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faraji\Desktop\"/>
    </mc:Choice>
  </mc:AlternateContent>
  <xr:revisionPtr revIDLastSave="0" documentId="13_ncr:1_{8D17C0E4-9814-4B36-9C12-1CCC2B282C6D}" xr6:coauthVersionLast="47" xr6:coauthVersionMax="47" xr10:uidLastSave="{00000000-0000-0000-0000-000000000000}"/>
  <bookViews>
    <workbookView xWindow="-108" yWindow="-108" windowWidth="23256" windowHeight="12576" xr2:uid="{2C29805B-498C-4112-9244-517CDDA6A323}"/>
  </bookViews>
  <sheets>
    <sheet name="Dashboard" sheetId="3" r:id="rId1"/>
    <sheet name="لیست پیش فاکتورها" sheetId="2" r:id="rId2"/>
    <sheet name="جزییات بارگیری" sheetId="5" r:id="rId3"/>
    <sheet name="Sheet1" sheetId="7" r:id="rId4"/>
    <sheet name="پرداخت های قبلی" sheetId="1" r:id="rId5"/>
    <sheet name="Calc" sheetId="6" r:id="rId6"/>
  </sheets>
  <externalReferences>
    <externalReference r:id="rId7"/>
  </externalReferences>
  <definedNames>
    <definedName name="_xlcn.WorksheetConnection_invoice.xlsxbargiri" hidden="1">bargiri[]</definedName>
    <definedName name="_xlcn.WorksheetConnection_invoice.xlsxinvoice" hidden="1">invoice[]</definedName>
    <definedName name="ExternalData_1" localSheetId="2" hidden="1">'جزییات بارگیری'!$A$1:$I$2640</definedName>
    <definedName name="Slicer_شماره_پیش_فاکتور">#N/A</definedName>
    <definedName name="Slicer_نام_مشتری">#N/A</definedName>
    <definedName name="year">[1]calc!$BV$5</definedName>
  </definedNames>
  <calcPr calcId="191029"/>
  <pivotCaches>
    <pivotCache cacheId="3037" r:id="rId8"/>
    <pivotCache cacheId="3038" r:id="rId9"/>
    <pivotCache cacheId="3039" r:id="rId10"/>
    <pivotCache cacheId="3040" r:id="rId11"/>
  </pivotCaches>
  <extLst>
    <ext xmlns:x14="http://schemas.microsoft.com/office/spreadsheetml/2009/9/main" uri="{876F7934-8845-4945-9796-88D515C7AA90}">
      <x14:pivotCaches>
        <pivotCache cacheId="3041" r:id="rId12"/>
      </x14:pivotCaches>
    </ext>
    <ext xmlns:x14="http://schemas.microsoft.com/office/spreadsheetml/2009/9/main" uri="{BBE1A952-AA13-448e-AADC-164F8A28A991}">
      <x14:slicerCaches>
        <x14:slicerCache r:id="rId13"/>
        <x14:slicerCache r:id="rId1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invoice" name="invoice" connection="WorksheetConnection_invoice.xlsx!invoice"/>
          <x15:modelTable id="bargiri" name="bargiri" connection="WorksheetConnection_invoice.xlsx!bargiri"/>
        </x15:modelTables>
        <x15:modelRelationships>
          <x15:modelRelationship fromTable="bargiri" fromColumn="شماره سند مبنا" toTable="invoice" toColumn="شماره پیش فاکتور"/>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8" i="2" l="1"/>
  <c r="H178" i="2" s="1"/>
  <c r="C179" i="2"/>
  <c r="H179" i="2" s="1"/>
  <c r="C180" i="2"/>
  <c r="H180" i="2" s="1"/>
  <c r="C181" i="2"/>
  <c r="H181" i="2" s="1"/>
  <c r="C182" i="2"/>
  <c r="H182" i="2" s="1"/>
  <c r="C183" i="2"/>
  <c r="H183" i="2" s="1"/>
  <c r="C184" i="2"/>
  <c r="H184" i="2" s="1"/>
  <c r="C185" i="2"/>
  <c r="H185" i="2" s="1"/>
  <c r="C186" i="2"/>
  <c r="H186" i="2" s="1"/>
  <c r="C187" i="2"/>
  <c r="H187" i="2" s="1"/>
  <c r="C188" i="2"/>
  <c r="H188" i="2" s="1"/>
  <c r="C189" i="2"/>
  <c r="H189" i="2" s="1"/>
  <c r="C190" i="2"/>
  <c r="H190" i="2" s="1"/>
  <c r="C191" i="2"/>
  <c r="H191" i="2" s="1"/>
  <c r="D178" i="2"/>
  <c r="D179" i="2"/>
  <c r="D180" i="2"/>
  <c r="D181" i="2"/>
  <c r="D182" i="2"/>
  <c r="D183" i="2"/>
  <c r="D184" i="2"/>
  <c r="D185" i="2"/>
  <c r="D186" i="2"/>
  <c r="D187" i="2"/>
  <c r="D188" i="2"/>
  <c r="D189" i="2"/>
  <c r="D190" i="2"/>
  <c r="D191" i="2"/>
  <c r="E178" i="2"/>
  <c r="N178" i="2" s="1"/>
  <c r="E179" i="2"/>
  <c r="N179" i="2" s="1"/>
  <c r="E180" i="2"/>
  <c r="N180" i="2" s="1"/>
  <c r="E181" i="2"/>
  <c r="N181" i="2" s="1"/>
  <c r="E182" i="2"/>
  <c r="N182" i="2" s="1"/>
  <c r="E183" i="2"/>
  <c r="N183" i="2" s="1"/>
  <c r="E184" i="2"/>
  <c r="N184" i="2" s="1"/>
  <c r="E185" i="2"/>
  <c r="N185" i="2" s="1"/>
  <c r="E186" i="2"/>
  <c r="N186" i="2" s="1"/>
  <c r="E187" i="2"/>
  <c r="N187" i="2" s="1"/>
  <c r="E188" i="2"/>
  <c r="N188" i="2" s="1"/>
  <c r="E189" i="2"/>
  <c r="N189" i="2" s="1"/>
  <c r="E190" i="2"/>
  <c r="N190" i="2" s="1"/>
  <c r="E191" i="2"/>
  <c r="N191" i="2" s="1"/>
  <c r="F178" i="2"/>
  <c r="F179" i="2"/>
  <c r="F180" i="2"/>
  <c r="F181" i="2"/>
  <c r="F182" i="2"/>
  <c r="F183" i="2"/>
  <c r="F184" i="2"/>
  <c r="F185" i="2"/>
  <c r="F186" i="2"/>
  <c r="F187" i="2"/>
  <c r="F188" i="2"/>
  <c r="F189" i="2"/>
  <c r="F190" i="2"/>
  <c r="F191" i="2"/>
  <c r="G178" i="2"/>
  <c r="G179" i="2"/>
  <c r="G180" i="2"/>
  <c r="G181" i="2"/>
  <c r="G182" i="2"/>
  <c r="G183" i="2"/>
  <c r="G184" i="2"/>
  <c r="G185" i="2"/>
  <c r="G186" i="2"/>
  <c r="G187" i="2"/>
  <c r="G188" i="2"/>
  <c r="G189" i="2"/>
  <c r="G190" i="2"/>
  <c r="G191" i="2"/>
  <c r="I178" i="2"/>
  <c r="I179" i="2"/>
  <c r="I180" i="2"/>
  <c r="I181" i="2"/>
  <c r="I182" i="2"/>
  <c r="I183" i="2"/>
  <c r="I184" i="2"/>
  <c r="I185" i="2"/>
  <c r="I186" i="2"/>
  <c r="I187" i="2"/>
  <c r="I188" i="2"/>
  <c r="I189" i="2"/>
  <c r="I190" i="2"/>
  <c r="I191" i="2"/>
  <c r="J178" i="2"/>
  <c r="J179" i="2"/>
  <c r="J180" i="2"/>
  <c r="J181" i="2"/>
  <c r="J182" i="2"/>
  <c r="J183" i="2"/>
  <c r="J184" i="2"/>
  <c r="J185" i="2"/>
  <c r="J186" i="2"/>
  <c r="J187" i="2"/>
  <c r="J188" i="2"/>
  <c r="J189" i="2"/>
  <c r="J190" i="2"/>
  <c r="J191" i="2"/>
  <c r="O178" i="2"/>
  <c r="O179" i="2"/>
  <c r="O180" i="2"/>
  <c r="O181" i="2"/>
  <c r="O182" i="2"/>
  <c r="O183" i="2"/>
  <c r="O184" i="2"/>
  <c r="O185" i="2"/>
  <c r="O186" i="2"/>
  <c r="O187" i="2"/>
  <c r="O188" i="2"/>
  <c r="O189" i="2"/>
  <c r="O190" i="2"/>
  <c r="O191" i="2"/>
  <c r="P178" i="2"/>
  <c r="P179" i="2"/>
  <c r="P180" i="2"/>
  <c r="P181" i="2"/>
  <c r="P182" i="2"/>
  <c r="P183" i="2"/>
  <c r="P184" i="2"/>
  <c r="P185" i="2"/>
  <c r="P186" i="2"/>
  <c r="P187" i="2"/>
  <c r="P188" i="2"/>
  <c r="P189" i="2"/>
  <c r="P190" i="2"/>
  <c r="P191" i="2"/>
  <c r="Q178" i="2"/>
  <c r="Q179" i="2"/>
  <c r="Q180" i="2"/>
  <c r="Q181" i="2"/>
  <c r="Q182" i="2"/>
  <c r="Q183" i="2"/>
  <c r="Q184" i="2"/>
  <c r="Q185" i="2"/>
  <c r="Q186" i="2"/>
  <c r="Q187" i="2"/>
  <c r="Q188" i="2"/>
  <c r="Q189" i="2"/>
  <c r="Q190" i="2"/>
  <c r="Q191" i="2"/>
  <c r="J407" i="5"/>
  <c r="J408" i="5"/>
  <c r="J409" i="5"/>
  <c r="J410" i="5"/>
  <c r="J411" i="5"/>
  <c r="J540" i="5"/>
  <c r="J541" i="5"/>
  <c r="J542" i="5"/>
  <c r="J569" i="5"/>
  <c r="J570" i="5"/>
  <c r="J574" i="5"/>
  <c r="J575" i="5"/>
  <c r="J588" i="5"/>
  <c r="J589" i="5"/>
  <c r="J597" i="5"/>
  <c r="J598" i="5"/>
  <c r="J599" i="5"/>
  <c r="K599" i="5" s="1"/>
  <c r="N599" i="5" s="1"/>
  <c r="J605" i="5"/>
  <c r="J606" i="5"/>
  <c r="J610" i="5"/>
  <c r="J611" i="5"/>
  <c r="K611" i="5" s="1"/>
  <c r="N611" i="5" s="1"/>
  <c r="J630" i="5"/>
  <c r="J631" i="5"/>
  <c r="J632" i="5"/>
  <c r="J635" i="5"/>
  <c r="K635" i="5" s="1"/>
  <c r="N635" i="5" s="1"/>
  <c r="J636" i="5"/>
  <c r="J637" i="5"/>
  <c r="J655" i="5"/>
  <c r="J656" i="5"/>
  <c r="K656" i="5" s="1"/>
  <c r="N656" i="5" s="1"/>
  <c r="J662" i="5"/>
  <c r="J663" i="5"/>
  <c r="J664" i="5"/>
  <c r="J670" i="5"/>
  <c r="K670" i="5" s="1"/>
  <c r="N670" i="5" s="1"/>
  <c r="J671" i="5"/>
  <c r="J672" i="5"/>
  <c r="J682" i="5"/>
  <c r="J683" i="5"/>
  <c r="K683" i="5" s="1"/>
  <c r="N683" i="5" s="1"/>
  <c r="J692" i="5"/>
  <c r="J697" i="5"/>
  <c r="J708" i="5"/>
  <c r="J709" i="5"/>
  <c r="K709" i="5" s="1"/>
  <c r="N709" i="5" s="1"/>
  <c r="J711" i="5"/>
  <c r="J712" i="5"/>
  <c r="J723" i="5"/>
  <c r="J726" i="5"/>
  <c r="K726" i="5" s="1"/>
  <c r="N726" i="5" s="1"/>
  <c r="J727" i="5"/>
  <c r="J728" i="5"/>
  <c r="J736" i="5"/>
  <c r="J737" i="5"/>
  <c r="K737" i="5" s="1"/>
  <c r="N737" i="5" s="1"/>
  <c r="J740" i="5"/>
  <c r="J741" i="5"/>
  <c r="J742" i="5"/>
  <c r="J756" i="5"/>
  <c r="K756" i="5" s="1"/>
  <c r="N756" i="5" s="1"/>
  <c r="J757" i="5"/>
  <c r="J758" i="5"/>
  <c r="J759" i="5"/>
  <c r="J760" i="5"/>
  <c r="K760" i="5" s="1"/>
  <c r="N760" i="5" s="1"/>
  <c r="J769" i="5"/>
  <c r="J770" i="5"/>
  <c r="J773" i="5"/>
  <c r="J774" i="5"/>
  <c r="K774" i="5" s="1"/>
  <c r="N774" i="5" s="1"/>
  <c r="J796" i="5"/>
  <c r="J797" i="5"/>
  <c r="J798" i="5"/>
  <c r="J805" i="5"/>
  <c r="K805" i="5" s="1"/>
  <c r="N805" i="5" s="1"/>
  <c r="J806" i="5"/>
  <c r="J815" i="5"/>
  <c r="J823" i="5"/>
  <c r="J824" i="5"/>
  <c r="K824" i="5" s="1"/>
  <c r="N824" i="5" s="1"/>
  <c r="J827" i="5"/>
  <c r="K827" i="5" s="1"/>
  <c r="N827" i="5" s="1"/>
  <c r="J828" i="5"/>
  <c r="J840" i="5"/>
  <c r="J841" i="5"/>
  <c r="J842" i="5"/>
  <c r="K842" i="5" s="1"/>
  <c r="N842" i="5" s="1"/>
  <c r="J843" i="5"/>
  <c r="J853" i="5"/>
  <c r="J856" i="5"/>
  <c r="K856" i="5" s="1"/>
  <c r="N856" i="5" s="1"/>
  <c r="J858" i="5"/>
  <c r="K858" i="5" s="1"/>
  <c r="N858" i="5" s="1"/>
  <c r="J859" i="5"/>
  <c r="J865" i="5"/>
  <c r="J866" i="5"/>
  <c r="K866" i="5" s="1"/>
  <c r="N866" i="5" s="1"/>
  <c r="J871" i="5"/>
  <c r="K871" i="5" s="1"/>
  <c r="N871" i="5" s="1"/>
  <c r="J872" i="5"/>
  <c r="J878" i="5"/>
  <c r="J879" i="5"/>
  <c r="K879" i="5" s="1"/>
  <c r="N879" i="5" s="1"/>
  <c r="J889" i="5"/>
  <c r="K889" i="5" s="1"/>
  <c r="J890" i="5"/>
  <c r="J898" i="5"/>
  <c r="J899" i="5"/>
  <c r="J900" i="5"/>
  <c r="K900" i="5" s="1"/>
  <c r="N900" i="5" s="1"/>
  <c r="J902" i="5"/>
  <c r="J903" i="5"/>
  <c r="J911" i="5"/>
  <c r="K911" i="5" s="1"/>
  <c r="N911" i="5" s="1"/>
  <c r="J913" i="5"/>
  <c r="K913" i="5" s="1"/>
  <c r="N913" i="5" s="1"/>
  <c r="J924" i="5"/>
  <c r="J925" i="5"/>
  <c r="J929" i="5"/>
  <c r="K929" i="5" s="1"/>
  <c r="N929" i="5" s="1"/>
  <c r="J930" i="5"/>
  <c r="K930" i="5" s="1"/>
  <c r="N930" i="5" s="1"/>
  <c r="J939" i="5"/>
  <c r="J940" i="5"/>
  <c r="J947" i="5"/>
  <c r="K947" i="5" s="1"/>
  <c r="N947" i="5" s="1"/>
  <c r="J948" i="5"/>
  <c r="K948" i="5" s="1"/>
  <c r="J964" i="5"/>
  <c r="J965" i="5"/>
  <c r="J966" i="5"/>
  <c r="J976" i="5"/>
  <c r="K976" i="5" s="1"/>
  <c r="N976" i="5" s="1"/>
  <c r="J977" i="5"/>
  <c r="J982" i="5"/>
  <c r="J983" i="5"/>
  <c r="K983" i="5" s="1"/>
  <c r="N983" i="5" s="1"/>
  <c r="J996" i="5"/>
  <c r="K996" i="5" s="1"/>
  <c r="N996" i="5" s="1"/>
  <c r="J997" i="5"/>
  <c r="J998" i="5"/>
  <c r="J1006" i="5"/>
  <c r="K1006" i="5" s="1"/>
  <c r="N1006" i="5" s="1"/>
  <c r="J1007" i="5"/>
  <c r="K1007" i="5" s="1"/>
  <c r="N1007" i="5" s="1"/>
  <c r="J1011" i="5"/>
  <c r="J1012" i="5"/>
  <c r="J1021" i="5"/>
  <c r="K1021" i="5" s="1"/>
  <c r="N1021" i="5" s="1"/>
  <c r="J1022" i="5"/>
  <c r="K1022" i="5" s="1"/>
  <c r="N1022" i="5" s="1"/>
  <c r="J1024" i="5"/>
  <c r="J1036" i="5"/>
  <c r="J1037" i="5"/>
  <c r="J1038" i="5"/>
  <c r="K1038" i="5" s="1"/>
  <c r="N1038" i="5" s="1"/>
  <c r="J1039" i="5"/>
  <c r="J1049" i="5"/>
  <c r="J1050" i="5"/>
  <c r="K1050" i="5" s="1"/>
  <c r="N1050" i="5" s="1"/>
  <c r="J1058" i="5"/>
  <c r="K1058" i="5" s="1"/>
  <c r="N1058" i="5" s="1"/>
  <c r="J1059" i="5"/>
  <c r="J1060" i="5"/>
  <c r="J1070" i="5"/>
  <c r="K1070" i="5" s="1"/>
  <c r="N1070" i="5" s="1"/>
  <c r="J1071" i="5"/>
  <c r="K1071" i="5" s="1"/>
  <c r="J1077" i="5"/>
  <c r="J1078" i="5"/>
  <c r="J1095" i="5"/>
  <c r="K1095" i="5" s="1"/>
  <c r="N1095" i="5" s="1"/>
  <c r="J1096" i="5"/>
  <c r="K1096" i="5" s="1"/>
  <c r="N1096" i="5" s="1"/>
  <c r="J1097" i="5"/>
  <c r="J1098" i="5"/>
  <c r="J1112" i="5"/>
  <c r="J1113" i="5"/>
  <c r="K1113" i="5" s="1"/>
  <c r="N1113" i="5" s="1"/>
  <c r="J1140" i="5"/>
  <c r="J1141" i="5"/>
  <c r="J1146" i="5"/>
  <c r="K1146" i="5" s="1"/>
  <c r="N1146" i="5" s="1"/>
  <c r="J1149" i="5"/>
  <c r="K1149" i="5" s="1"/>
  <c r="N1149" i="5" s="1"/>
  <c r="J1153" i="5"/>
  <c r="J1154" i="5"/>
  <c r="J1156" i="5"/>
  <c r="K1156" i="5" s="1"/>
  <c r="N1156" i="5" s="1"/>
  <c r="J1169" i="5"/>
  <c r="K1169" i="5" s="1"/>
  <c r="N1169" i="5" s="1"/>
  <c r="J1181" i="5"/>
  <c r="J1183" i="5"/>
  <c r="J1184" i="5"/>
  <c r="K1184" i="5" s="1"/>
  <c r="N1184" i="5" s="1"/>
  <c r="J1185" i="5"/>
  <c r="K1185" i="5" s="1"/>
  <c r="N1185" i="5" s="1"/>
  <c r="J1186" i="5"/>
  <c r="J1188" i="5"/>
  <c r="J1190" i="5"/>
  <c r="J1228" i="5"/>
  <c r="K1228" i="5" s="1"/>
  <c r="N1228" i="5" s="1"/>
  <c r="J1232" i="5"/>
  <c r="J1235" i="5"/>
  <c r="J1237" i="5"/>
  <c r="K1237" i="5" s="1"/>
  <c r="N1237" i="5" s="1"/>
  <c r="J1246" i="5"/>
  <c r="K1246" i="5" s="1"/>
  <c r="N1246" i="5" s="1"/>
  <c r="J1247" i="5"/>
  <c r="J1248" i="5"/>
  <c r="J1249" i="5"/>
  <c r="K1249" i="5" s="1"/>
  <c r="N1249" i="5" s="1"/>
  <c r="J1250" i="5"/>
  <c r="K1250" i="5" s="1"/>
  <c r="N1250" i="5" s="1"/>
  <c r="J1251" i="5"/>
  <c r="J1258" i="5"/>
  <c r="J1259" i="5"/>
  <c r="K1259" i="5" s="1"/>
  <c r="N1259" i="5" s="1"/>
  <c r="J1260" i="5"/>
  <c r="K1260" i="5" s="1"/>
  <c r="J1261" i="5"/>
  <c r="J1262" i="5"/>
  <c r="J1266" i="5"/>
  <c r="J1267" i="5"/>
  <c r="K1267" i="5" s="1"/>
  <c r="N1267" i="5" s="1"/>
  <c r="J1271" i="5"/>
  <c r="J1274" i="5"/>
  <c r="J1278" i="5"/>
  <c r="K1278" i="5" s="1"/>
  <c r="N1278" i="5" s="1"/>
  <c r="J1279" i="5"/>
  <c r="K1279" i="5" s="1"/>
  <c r="J1280" i="5"/>
  <c r="J1284" i="5"/>
  <c r="J1285" i="5"/>
  <c r="K1285" i="5" s="1"/>
  <c r="N1285" i="5" s="1"/>
  <c r="J1287" i="5"/>
  <c r="K1287" i="5" s="1"/>
  <c r="N1287" i="5" s="1"/>
  <c r="J1293" i="5"/>
  <c r="J1294" i="5"/>
  <c r="J1295" i="5"/>
  <c r="K1295" i="5" s="1"/>
  <c r="N1295" i="5" s="1"/>
  <c r="J1299" i="5"/>
  <c r="K1299" i="5" s="1"/>
  <c r="J1300" i="5"/>
  <c r="J1301" i="5"/>
  <c r="J1305" i="5"/>
  <c r="J1306" i="5"/>
  <c r="K1306" i="5" s="1"/>
  <c r="N1306" i="5" s="1"/>
  <c r="J1308" i="5"/>
  <c r="J1312" i="5"/>
  <c r="J1313" i="5"/>
  <c r="K1313" i="5" s="1"/>
  <c r="N1313" i="5" s="1"/>
  <c r="J1314" i="5"/>
  <c r="K1314" i="5" s="1"/>
  <c r="N1314" i="5" s="1"/>
  <c r="J1316" i="5"/>
  <c r="J1318" i="5"/>
  <c r="J1327" i="5"/>
  <c r="K1327" i="5" s="1"/>
  <c r="N1327" i="5" s="1"/>
  <c r="J1328" i="5"/>
  <c r="K1328" i="5" s="1"/>
  <c r="N1328" i="5" s="1"/>
  <c r="J1329" i="5"/>
  <c r="J1331" i="5"/>
  <c r="J1334" i="5"/>
  <c r="K1334" i="5" s="1"/>
  <c r="N1334" i="5" s="1"/>
  <c r="J1335" i="5"/>
  <c r="K1335" i="5" s="1"/>
  <c r="N1335" i="5" s="1"/>
  <c r="J1336" i="5"/>
  <c r="J1342" i="5"/>
  <c r="J1345" i="5"/>
  <c r="J1346" i="5"/>
  <c r="K1346" i="5" s="1"/>
  <c r="N1346" i="5" s="1"/>
  <c r="J1347" i="5"/>
  <c r="J1349" i="5"/>
  <c r="J1350" i="5"/>
  <c r="K1350" i="5" s="1"/>
  <c r="N1350" i="5" s="1"/>
  <c r="J1353" i="5"/>
  <c r="K1353" i="5" s="1"/>
  <c r="N1353" i="5" s="1"/>
  <c r="J1358" i="5"/>
  <c r="J1359" i="5"/>
  <c r="J1360" i="5"/>
  <c r="K1360" i="5" s="1"/>
  <c r="N1360" i="5" s="1"/>
  <c r="J1361" i="5"/>
  <c r="K1361" i="5" s="1"/>
  <c r="N1361" i="5" s="1"/>
  <c r="J1363" i="5"/>
  <c r="J1367" i="5"/>
  <c r="J1371" i="5"/>
  <c r="K1371" i="5" s="1"/>
  <c r="N1371" i="5" s="1"/>
  <c r="J1375" i="5"/>
  <c r="K1375" i="5" s="1"/>
  <c r="N1375" i="5" s="1"/>
  <c r="J1377" i="5"/>
  <c r="J1379" i="5"/>
  <c r="J1380" i="5"/>
  <c r="J1383" i="5"/>
  <c r="K1383" i="5" s="1"/>
  <c r="N1383" i="5" s="1"/>
  <c r="J1384" i="5"/>
  <c r="J1385" i="5"/>
  <c r="J1392" i="5"/>
  <c r="K1392" i="5" s="1"/>
  <c r="N1392" i="5" s="1"/>
  <c r="J1393" i="5"/>
  <c r="K1393" i="5" s="1"/>
  <c r="N1393" i="5" s="1"/>
  <c r="J1395" i="5"/>
  <c r="J1400" i="5"/>
  <c r="J1407" i="5"/>
  <c r="K1407" i="5" s="1"/>
  <c r="N1407" i="5" s="1"/>
  <c r="J1408" i="5"/>
  <c r="K1408" i="5" s="1"/>
  <c r="N1408" i="5" s="1"/>
  <c r="J1409" i="5"/>
  <c r="J1411" i="5"/>
  <c r="J1412" i="5"/>
  <c r="K1412" i="5" s="1"/>
  <c r="N1412" i="5" s="1"/>
  <c r="J1413" i="5"/>
  <c r="K1413" i="5" s="1"/>
  <c r="N1413" i="5" s="1"/>
  <c r="J1415" i="5"/>
  <c r="J1416" i="5"/>
  <c r="J1420" i="5"/>
  <c r="J1422" i="5"/>
  <c r="K1422" i="5" s="1"/>
  <c r="N1422" i="5" s="1"/>
  <c r="J1423" i="5"/>
  <c r="J1424" i="5"/>
  <c r="J1429" i="5"/>
  <c r="K1429" i="5" s="1"/>
  <c r="N1429" i="5" s="1"/>
  <c r="J1430" i="5"/>
  <c r="K1430" i="5" s="1"/>
  <c r="N1430" i="5" s="1"/>
  <c r="J1431" i="5"/>
  <c r="J1432" i="5"/>
  <c r="J1434" i="5"/>
  <c r="K1434" i="5" s="1"/>
  <c r="N1434" i="5" s="1"/>
  <c r="J1436" i="5"/>
  <c r="K1436" i="5" s="1"/>
  <c r="N1436" i="5" s="1"/>
  <c r="J1438" i="5"/>
  <c r="J1439" i="5"/>
  <c r="J1440" i="5"/>
  <c r="K1440" i="5" s="1"/>
  <c r="N1440" i="5" s="1"/>
  <c r="J1442" i="5"/>
  <c r="K1442" i="5" s="1"/>
  <c r="N1442" i="5" s="1"/>
  <c r="J1446" i="5"/>
  <c r="J1447" i="5"/>
  <c r="J1451" i="5"/>
  <c r="J1455" i="5"/>
  <c r="K1455" i="5" s="1"/>
  <c r="J1456" i="5"/>
  <c r="J1457" i="5"/>
  <c r="J1458" i="5"/>
  <c r="K1458" i="5" s="1"/>
  <c r="N1458" i="5" s="1"/>
  <c r="J1459" i="5"/>
  <c r="K1459" i="5" s="1"/>
  <c r="N1459" i="5" s="1"/>
  <c r="J1469" i="5"/>
  <c r="J1470" i="5"/>
  <c r="J1474" i="5"/>
  <c r="K1474" i="5" s="1"/>
  <c r="N1474" i="5" s="1"/>
  <c r="J1476" i="5"/>
  <c r="K1476" i="5" s="1"/>
  <c r="N1476" i="5" s="1"/>
  <c r="J1484" i="5"/>
  <c r="J1490" i="5"/>
  <c r="J1491" i="5"/>
  <c r="K1491" i="5" s="1"/>
  <c r="N1491" i="5" s="1"/>
  <c r="J1492" i="5"/>
  <c r="K1492" i="5" s="1"/>
  <c r="J1493" i="5"/>
  <c r="J1495" i="5"/>
  <c r="J1496" i="5"/>
  <c r="J1497" i="5"/>
  <c r="K1497" i="5" s="1"/>
  <c r="N1497" i="5" s="1"/>
  <c r="J1498" i="5"/>
  <c r="J1502" i="5"/>
  <c r="J1504" i="5"/>
  <c r="K1504" i="5" s="1"/>
  <c r="N1504" i="5" s="1"/>
  <c r="J1505" i="5"/>
  <c r="K1505" i="5" s="1"/>
  <c r="N1505" i="5" s="1"/>
  <c r="J1506" i="5"/>
  <c r="J1507" i="5"/>
  <c r="J1508" i="5"/>
  <c r="K1508" i="5" s="1"/>
  <c r="N1508" i="5" s="1"/>
  <c r="J1509" i="5"/>
  <c r="K1509" i="5" s="1"/>
  <c r="N1509" i="5" s="1"/>
  <c r="J1510" i="5"/>
  <c r="J1511" i="5"/>
  <c r="J1512" i="5"/>
  <c r="K1512" i="5" s="1"/>
  <c r="N1512" i="5" s="1"/>
  <c r="J1513" i="5"/>
  <c r="K1513" i="5" s="1"/>
  <c r="J1515" i="5"/>
  <c r="J1517" i="5"/>
  <c r="J1520" i="5"/>
  <c r="J1521" i="5"/>
  <c r="K1521" i="5" s="1"/>
  <c r="N1521" i="5" s="1"/>
  <c r="J1522" i="5"/>
  <c r="J1525" i="5"/>
  <c r="J1526" i="5"/>
  <c r="K1526" i="5" s="1"/>
  <c r="N1526" i="5" s="1"/>
  <c r="J1529" i="5"/>
  <c r="K1529" i="5" s="1"/>
  <c r="N1529" i="5" s="1"/>
  <c r="J1530" i="5"/>
  <c r="J1531" i="5"/>
  <c r="J1533" i="5"/>
  <c r="K1533" i="5" s="1"/>
  <c r="N1533" i="5" s="1"/>
  <c r="J1535" i="5"/>
  <c r="K1535" i="5" s="1"/>
  <c r="N1535" i="5" s="1"/>
  <c r="J1537" i="5"/>
  <c r="J1539" i="5"/>
  <c r="J1542" i="5"/>
  <c r="K1542" i="5" s="1"/>
  <c r="N1542" i="5" s="1"/>
  <c r="J1544" i="5"/>
  <c r="K1544" i="5" s="1"/>
  <c r="J1547" i="5"/>
  <c r="J1548" i="5"/>
  <c r="J1549" i="5"/>
  <c r="J1550" i="5"/>
  <c r="K1550" i="5" s="1"/>
  <c r="N1550" i="5" s="1"/>
  <c r="J1551" i="5"/>
  <c r="J1553" i="5"/>
  <c r="J1554" i="5"/>
  <c r="K1554" i="5" s="1"/>
  <c r="N1554" i="5" s="1"/>
  <c r="J1555" i="5"/>
  <c r="K1555" i="5" s="1"/>
  <c r="N1555" i="5" s="1"/>
  <c r="J1556" i="5"/>
  <c r="J1558" i="5"/>
  <c r="J1559" i="5"/>
  <c r="K1559" i="5" s="1"/>
  <c r="N1559" i="5" s="1"/>
  <c r="J1563" i="5"/>
  <c r="K1563" i="5" s="1"/>
  <c r="N1563" i="5" s="1"/>
  <c r="J1564" i="5"/>
  <c r="J1565" i="5"/>
  <c r="J1566" i="5"/>
  <c r="K1566" i="5" s="1"/>
  <c r="N1566" i="5" s="1"/>
  <c r="J1567" i="5"/>
  <c r="K1567" i="5" s="1"/>
  <c r="N1567" i="5" s="1"/>
  <c r="J1574" i="5"/>
  <c r="J1575" i="5"/>
  <c r="J1577" i="5"/>
  <c r="J1580" i="5"/>
  <c r="K1580" i="5" s="1"/>
  <c r="J1581" i="5"/>
  <c r="J1584" i="5"/>
  <c r="J1585" i="5"/>
  <c r="K1585" i="5" s="1"/>
  <c r="N1585" i="5" s="1"/>
  <c r="J1587" i="5"/>
  <c r="K1587" i="5" s="1"/>
  <c r="N1587" i="5" s="1"/>
  <c r="J1590" i="5"/>
  <c r="J1595" i="5"/>
  <c r="J1596" i="5"/>
  <c r="K1596" i="5" s="1"/>
  <c r="N1596" i="5" s="1"/>
  <c r="J1597" i="5"/>
  <c r="K1597" i="5" s="1"/>
  <c r="N1597" i="5" s="1"/>
  <c r="J1598" i="5"/>
  <c r="J1600" i="5"/>
  <c r="J1602" i="5"/>
  <c r="K1602" i="5" s="1"/>
  <c r="N1602" i="5" s="1"/>
  <c r="J1603" i="5"/>
  <c r="K1603" i="5" s="1"/>
  <c r="J1604" i="5"/>
  <c r="J1605" i="5"/>
  <c r="J1606" i="5"/>
  <c r="J1608" i="5"/>
  <c r="K1608" i="5" s="1"/>
  <c r="N1608" i="5" s="1"/>
  <c r="J1611" i="5"/>
  <c r="J1615" i="5"/>
  <c r="J1616" i="5"/>
  <c r="K1616" i="5" s="1"/>
  <c r="N1616" i="5" s="1"/>
  <c r="J1618" i="5"/>
  <c r="K1618" i="5" s="1"/>
  <c r="N1618" i="5" s="1"/>
  <c r="J1620" i="5"/>
  <c r="J1622" i="5"/>
  <c r="J1623" i="5"/>
  <c r="K1623" i="5" s="1"/>
  <c r="N1623" i="5" s="1"/>
  <c r="J1625" i="5"/>
  <c r="K1625" i="5" s="1"/>
  <c r="N1625" i="5" s="1"/>
  <c r="J1626" i="5"/>
  <c r="J1628" i="5"/>
  <c r="J1631" i="5"/>
  <c r="K1631" i="5" s="1"/>
  <c r="N1631" i="5" s="1"/>
  <c r="J1632" i="5"/>
  <c r="K1632" i="5" s="1"/>
  <c r="N1632" i="5" s="1"/>
  <c r="J1633" i="5"/>
  <c r="J1634" i="5"/>
  <c r="J1635" i="5"/>
  <c r="J1636" i="5"/>
  <c r="K1636" i="5" s="1"/>
  <c r="J1637" i="5"/>
  <c r="J1638" i="5"/>
  <c r="J1639" i="5"/>
  <c r="K1639" i="5" s="1"/>
  <c r="N1639" i="5" s="1"/>
  <c r="J1645" i="5"/>
  <c r="K1645" i="5" s="1"/>
  <c r="N1645" i="5" s="1"/>
  <c r="J1646" i="5"/>
  <c r="J1647" i="5"/>
  <c r="J1648" i="5"/>
  <c r="K1648" i="5" s="1"/>
  <c r="N1648" i="5" s="1"/>
  <c r="J1651" i="5"/>
  <c r="K1651" i="5" s="1"/>
  <c r="N1651" i="5" s="1"/>
  <c r="J1654" i="5"/>
  <c r="J1656" i="5"/>
  <c r="J1658" i="5"/>
  <c r="K1658" i="5" s="1"/>
  <c r="N1658" i="5" s="1"/>
  <c r="J1659" i="5"/>
  <c r="K1659" i="5" s="1"/>
  <c r="N1659" i="5" s="1"/>
  <c r="J1660" i="5"/>
  <c r="J1661" i="5"/>
  <c r="J1662" i="5"/>
  <c r="J1663" i="5"/>
  <c r="K1663" i="5" s="1"/>
  <c r="N1663" i="5" s="1"/>
  <c r="J1664" i="5"/>
  <c r="J1665" i="5"/>
  <c r="J1669" i="5"/>
  <c r="K1669" i="5" s="1"/>
  <c r="N1669" i="5" s="1"/>
  <c r="J1670" i="5"/>
  <c r="K1670" i="5" s="1"/>
  <c r="N1670" i="5" s="1"/>
  <c r="J1671" i="5"/>
  <c r="J1673" i="5"/>
  <c r="J1674" i="5"/>
  <c r="K1674" i="5" s="1"/>
  <c r="N1674" i="5" s="1"/>
  <c r="J1675" i="5"/>
  <c r="K1675" i="5" s="1"/>
  <c r="N1675" i="5" s="1"/>
  <c r="J1677" i="5"/>
  <c r="J1678" i="5"/>
  <c r="J1679" i="5"/>
  <c r="K1679" i="5" s="1"/>
  <c r="N1679" i="5" s="1"/>
  <c r="J1681" i="5"/>
  <c r="K1681" i="5" s="1"/>
  <c r="N1681" i="5" s="1"/>
  <c r="J1682" i="5"/>
  <c r="J1684" i="5"/>
  <c r="J1685" i="5"/>
  <c r="J1687" i="5"/>
  <c r="K1687" i="5" s="1"/>
  <c r="N1687" i="5" s="1"/>
  <c r="J1689" i="5"/>
  <c r="J1690" i="5"/>
  <c r="J1692" i="5"/>
  <c r="K1692" i="5" s="1"/>
  <c r="N1692" i="5" s="1"/>
  <c r="J1693" i="5"/>
  <c r="K1693" i="5" s="1"/>
  <c r="N1693" i="5" s="1"/>
  <c r="J1694" i="5"/>
  <c r="J1696" i="5"/>
  <c r="J1698" i="5"/>
  <c r="K1698" i="5" s="1"/>
  <c r="N1698" i="5" s="1"/>
  <c r="J1700" i="5"/>
  <c r="K1700" i="5" s="1"/>
  <c r="J1701" i="5"/>
  <c r="J1702" i="5"/>
  <c r="J1703" i="5"/>
  <c r="K1703" i="5" s="1"/>
  <c r="N1703" i="5" s="1"/>
  <c r="J1704" i="5"/>
  <c r="K1704" i="5" s="1"/>
  <c r="N1704" i="5" s="1"/>
  <c r="J1705" i="5"/>
  <c r="J1707" i="5"/>
  <c r="J1708" i="5"/>
  <c r="J1709" i="5"/>
  <c r="K1709" i="5" s="1"/>
  <c r="N1709" i="5" s="1"/>
  <c r="J1712" i="5"/>
  <c r="J1713" i="5"/>
  <c r="J1714" i="5"/>
  <c r="K1714" i="5" s="1"/>
  <c r="N1714" i="5" s="1"/>
  <c r="J1716" i="5"/>
  <c r="K1716" i="5" s="1"/>
  <c r="J1717" i="5"/>
  <c r="J1718" i="5"/>
  <c r="J1719" i="5"/>
  <c r="K1719" i="5" s="1"/>
  <c r="N1719" i="5" s="1"/>
  <c r="J1720" i="5"/>
  <c r="K1720" i="5" s="1"/>
  <c r="J1721" i="5"/>
  <c r="J1722" i="5"/>
  <c r="J1723" i="5"/>
  <c r="K1723" i="5" s="1"/>
  <c r="N1723" i="5" s="1"/>
  <c r="J1724" i="5"/>
  <c r="K1724" i="5" s="1"/>
  <c r="N1724" i="5" s="1"/>
  <c r="J1728" i="5"/>
  <c r="J1729" i="5"/>
  <c r="J1730" i="5"/>
  <c r="J1732" i="5"/>
  <c r="K1732" i="5" s="1"/>
  <c r="N1732" i="5" s="1"/>
  <c r="J1733" i="5"/>
  <c r="J1734" i="5"/>
  <c r="J1735" i="5"/>
  <c r="K1735" i="5" s="1"/>
  <c r="N1735" i="5" s="1"/>
  <c r="J1736" i="5"/>
  <c r="K1736" i="5" s="1"/>
  <c r="N1736" i="5" s="1"/>
  <c r="J1737" i="5"/>
  <c r="J1738" i="5"/>
  <c r="J1739" i="5"/>
  <c r="K1739" i="5" s="1"/>
  <c r="N1739" i="5" s="1"/>
  <c r="J1740" i="5"/>
  <c r="K1740" i="5" s="1"/>
  <c r="J1741" i="5"/>
  <c r="J1742" i="5"/>
  <c r="J1744" i="5"/>
  <c r="K1744" i="5" s="1"/>
  <c r="N1744" i="5" s="1"/>
  <c r="J1745" i="5"/>
  <c r="K1745" i="5" s="1"/>
  <c r="N1745" i="5" s="1"/>
  <c r="J1746" i="5"/>
  <c r="J1747" i="5"/>
  <c r="J1748" i="5"/>
  <c r="J1749" i="5"/>
  <c r="K1749" i="5" s="1"/>
  <c r="N1749" i="5" s="1"/>
  <c r="J1750" i="5"/>
  <c r="J1752" i="5"/>
  <c r="J1755" i="5"/>
  <c r="K1755" i="5" s="1"/>
  <c r="N1755" i="5" s="1"/>
  <c r="J1756" i="5"/>
  <c r="K1756" i="5" s="1"/>
  <c r="N1756" i="5" s="1"/>
  <c r="J1757" i="5"/>
  <c r="J1758" i="5"/>
  <c r="J1759" i="5"/>
  <c r="K1759" i="5" s="1"/>
  <c r="N1759" i="5" s="1"/>
  <c r="J1760" i="5"/>
  <c r="K1760" i="5" s="1"/>
  <c r="N1760" i="5" s="1"/>
  <c r="J1761" i="5"/>
  <c r="J1762" i="5"/>
  <c r="J1763" i="5"/>
  <c r="K1763" i="5" s="1"/>
  <c r="N1763" i="5" s="1"/>
  <c r="J1764" i="5"/>
  <c r="K1764" i="5" s="1"/>
  <c r="N1764" i="5" s="1"/>
  <c r="J1765" i="5"/>
  <c r="J1767" i="5"/>
  <c r="J1768" i="5"/>
  <c r="J1770" i="5"/>
  <c r="K1770" i="5" s="1"/>
  <c r="N1770" i="5" s="1"/>
  <c r="J1774" i="5"/>
  <c r="J1775" i="5"/>
  <c r="J1776" i="5"/>
  <c r="K1776" i="5" s="1"/>
  <c r="N1776" i="5" s="1"/>
  <c r="J1777" i="5"/>
  <c r="K1777" i="5" s="1"/>
  <c r="N1777" i="5" s="1"/>
  <c r="J1778" i="5"/>
  <c r="J1779" i="5"/>
  <c r="J1780" i="5"/>
  <c r="K1780" i="5" s="1"/>
  <c r="N1780" i="5" s="1"/>
  <c r="J1781" i="5"/>
  <c r="K1781" i="5" s="1"/>
  <c r="N1781" i="5" s="1"/>
  <c r="J1783" i="5"/>
  <c r="J1784" i="5"/>
  <c r="J1785" i="5"/>
  <c r="K1785" i="5" s="1"/>
  <c r="N1785" i="5" s="1"/>
  <c r="J1787" i="5"/>
  <c r="K1787" i="5" s="1"/>
  <c r="N1787" i="5" s="1"/>
  <c r="J1788" i="5"/>
  <c r="J1792" i="5"/>
  <c r="J1793" i="5"/>
  <c r="J1794" i="5"/>
  <c r="K1794" i="5" s="1"/>
  <c r="N1794" i="5" s="1"/>
  <c r="J1795" i="5"/>
  <c r="J1797" i="5"/>
  <c r="J1798" i="5"/>
  <c r="K1798" i="5" s="1"/>
  <c r="N1798" i="5" s="1"/>
  <c r="J1799" i="5"/>
  <c r="K1799" i="5" s="1"/>
  <c r="N1799" i="5" s="1"/>
  <c r="J1800" i="5"/>
  <c r="J1802" i="5"/>
  <c r="J1803" i="5"/>
  <c r="K1803" i="5" s="1"/>
  <c r="N1803" i="5" s="1"/>
  <c r="J1804" i="5"/>
  <c r="K1804" i="5" s="1"/>
  <c r="J1805" i="5"/>
  <c r="J1806" i="5"/>
  <c r="J1807" i="5"/>
  <c r="K1807" i="5" s="1"/>
  <c r="N1807" i="5" s="1"/>
  <c r="J1809" i="5"/>
  <c r="K1809" i="5" s="1"/>
  <c r="N1809" i="5" s="1"/>
  <c r="J1810" i="5"/>
  <c r="J1813" i="5"/>
  <c r="J1814" i="5"/>
  <c r="J1815" i="5"/>
  <c r="K1815" i="5" s="1"/>
  <c r="N1815" i="5" s="1"/>
  <c r="J1816" i="5"/>
  <c r="J1817" i="5"/>
  <c r="J1819" i="5"/>
  <c r="K1819" i="5" s="1"/>
  <c r="N1819" i="5" s="1"/>
  <c r="J1822" i="5"/>
  <c r="K1822" i="5" s="1"/>
  <c r="N1822" i="5" s="1"/>
  <c r="J1823" i="5"/>
  <c r="J1824" i="5"/>
  <c r="J1825" i="5"/>
  <c r="K1825" i="5" s="1"/>
  <c r="N1825" i="5" s="1"/>
  <c r="J1826" i="5"/>
  <c r="K1826" i="5" s="1"/>
  <c r="N1826" i="5" s="1"/>
  <c r="J1827" i="5"/>
  <c r="J1828" i="5"/>
  <c r="J1829" i="5"/>
  <c r="K1829" i="5" s="1"/>
  <c r="N1829" i="5" s="1"/>
  <c r="J1830" i="5"/>
  <c r="K1830" i="5" s="1"/>
  <c r="N1830" i="5" s="1"/>
  <c r="J1831" i="5"/>
  <c r="J1832" i="5"/>
  <c r="J1833" i="5"/>
  <c r="J1835" i="5"/>
  <c r="K1835" i="5" s="1"/>
  <c r="N1835" i="5" s="1"/>
  <c r="J1836" i="5"/>
  <c r="J1837" i="5"/>
  <c r="J1838" i="5"/>
  <c r="K1838" i="5" s="1"/>
  <c r="N1838" i="5" s="1"/>
  <c r="J1843" i="5"/>
  <c r="K1843" i="5" s="1"/>
  <c r="N1843" i="5" s="1"/>
  <c r="J1844" i="5"/>
  <c r="J1845" i="5"/>
  <c r="J1846" i="5"/>
  <c r="K1846" i="5" s="1"/>
  <c r="N1846" i="5" s="1"/>
  <c r="J1847" i="5"/>
  <c r="K1847" i="5" s="1"/>
  <c r="N1847" i="5" s="1"/>
  <c r="J1848" i="5"/>
  <c r="J1849" i="5"/>
  <c r="J1851" i="5"/>
  <c r="K1851" i="5" s="1"/>
  <c r="N1851" i="5" s="1"/>
  <c r="J1852" i="5"/>
  <c r="K1852" i="5" s="1"/>
  <c r="N1852" i="5" s="1"/>
  <c r="J1853" i="5"/>
  <c r="J1856" i="5"/>
  <c r="J1857" i="5"/>
  <c r="J1858" i="5"/>
  <c r="K1858" i="5" s="1"/>
  <c r="N1858" i="5" s="1"/>
  <c r="J1859" i="5"/>
  <c r="J1860" i="5"/>
  <c r="J1861" i="5"/>
  <c r="K1861" i="5" s="1"/>
  <c r="N1861" i="5" s="1"/>
  <c r="J1862" i="5"/>
  <c r="K1862" i="5" s="1"/>
  <c r="N1862" i="5" s="1"/>
  <c r="J1864" i="5"/>
  <c r="J1865" i="5"/>
  <c r="J1866" i="5"/>
  <c r="K1866" i="5" s="1"/>
  <c r="N1866" i="5" s="1"/>
  <c r="J1867" i="5"/>
  <c r="K1867" i="5" s="1"/>
  <c r="J1869" i="5"/>
  <c r="J1870" i="5"/>
  <c r="J1871" i="5"/>
  <c r="K1871" i="5" s="1"/>
  <c r="N1871" i="5" s="1"/>
  <c r="J1872" i="5"/>
  <c r="K1872" i="5" s="1"/>
  <c r="N1872" i="5" s="1"/>
  <c r="J1873" i="5"/>
  <c r="J1874" i="5"/>
  <c r="J1875" i="5"/>
  <c r="J1876" i="5"/>
  <c r="K1876" i="5" s="1"/>
  <c r="J1877" i="5"/>
  <c r="J1878" i="5"/>
  <c r="J1879" i="5"/>
  <c r="K1879" i="5" s="1"/>
  <c r="N1879" i="5" s="1"/>
  <c r="J1880" i="5"/>
  <c r="K1880" i="5" s="1"/>
  <c r="N1880" i="5" s="1"/>
  <c r="J1881" i="5"/>
  <c r="J1883" i="5"/>
  <c r="J1884" i="5"/>
  <c r="K1884" i="5" s="1"/>
  <c r="N1884" i="5" s="1"/>
  <c r="J1885" i="5"/>
  <c r="K1885" i="5" s="1"/>
  <c r="N1885" i="5" s="1"/>
  <c r="J1886" i="5"/>
  <c r="J1887" i="5"/>
  <c r="J1888" i="5"/>
  <c r="K1888" i="5" s="1"/>
  <c r="N1888" i="5" s="1"/>
  <c r="J1889" i="5"/>
  <c r="K1889" i="5" s="1"/>
  <c r="N1889" i="5" s="1"/>
  <c r="J1890" i="5"/>
  <c r="J1891" i="5"/>
  <c r="J1892" i="5"/>
  <c r="J1893" i="5"/>
  <c r="K1893" i="5" s="1"/>
  <c r="N1893" i="5" s="1"/>
  <c r="J1894" i="5"/>
  <c r="J1895" i="5"/>
  <c r="J1896" i="5"/>
  <c r="K1896" i="5" s="1"/>
  <c r="N1896" i="5" s="1"/>
  <c r="J1897" i="5"/>
  <c r="K1897" i="5" s="1"/>
  <c r="J1898" i="5"/>
  <c r="J1899" i="5"/>
  <c r="J1900" i="5"/>
  <c r="K1900" i="5" s="1"/>
  <c r="N1900" i="5" s="1"/>
  <c r="J1901" i="5"/>
  <c r="K1901" i="5" s="1"/>
  <c r="N1901" i="5" s="1"/>
  <c r="J1902" i="5"/>
  <c r="J1903" i="5"/>
  <c r="J1904" i="5"/>
  <c r="K1904" i="5" s="1"/>
  <c r="N1904" i="5" s="1"/>
  <c r="J1905" i="5"/>
  <c r="K1905" i="5" s="1"/>
  <c r="N1905" i="5" s="1"/>
  <c r="J1906" i="5"/>
  <c r="J1907" i="5"/>
  <c r="J1908" i="5"/>
  <c r="J1909" i="5"/>
  <c r="K1909" i="5" s="1"/>
  <c r="N1909" i="5" s="1"/>
  <c r="J1910" i="5"/>
  <c r="J1911" i="5"/>
  <c r="J1912" i="5"/>
  <c r="K1912" i="5" s="1"/>
  <c r="N1912" i="5" s="1"/>
  <c r="J1913" i="5"/>
  <c r="K1913" i="5" s="1"/>
  <c r="N1913" i="5" s="1"/>
  <c r="J1914" i="5"/>
  <c r="J1915" i="5"/>
  <c r="J1916" i="5"/>
  <c r="K1916" i="5" s="1"/>
  <c r="N1916" i="5" s="1"/>
  <c r="J1917" i="5"/>
  <c r="K1917" i="5" s="1"/>
  <c r="N1917" i="5" s="1"/>
  <c r="J1918" i="5"/>
  <c r="J1919" i="5"/>
  <c r="J1920" i="5"/>
  <c r="K1920" i="5" s="1"/>
  <c r="N1920" i="5" s="1"/>
  <c r="J1921" i="5"/>
  <c r="K1921" i="5" s="1"/>
  <c r="N1921" i="5" s="1"/>
  <c r="J1922" i="5"/>
  <c r="J1923" i="5"/>
  <c r="J1924" i="5"/>
  <c r="J1925" i="5"/>
  <c r="K1925" i="5" s="1"/>
  <c r="N1925" i="5" s="1"/>
  <c r="J1926" i="5"/>
  <c r="J1927" i="5"/>
  <c r="J1928" i="5"/>
  <c r="K1928" i="5" s="1"/>
  <c r="N1928" i="5" s="1"/>
  <c r="J1929" i="5"/>
  <c r="K1929" i="5" s="1"/>
  <c r="N1929" i="5" s="1"/>
  <c r="J1930" i="5"/>
  <c r="K1930" i="5" s="1"/>
  <c r="N1930" i="5" s="1"/>
  <c r="J1931" i="5"/>
  <c r="J1932" i="5"/>
  <c r="K1932" i="5" s="1"/>
  <c r="N1932" i="5" s="1"/>
  <c r="J1933" i="5"/>
  <c r="K1933" i="5" s="1"/>
  <c r="N1933" i="5" s="1"/>
  <c r="J1936" i="5"/>
  <c r="J1937" i="5"/>
  <c r="J1939" i="5"/>
  <c r="K1939" i="5" s="1"/>
  <c r="N1939" i="5" s="1"/>
  <c r="J1940" i="5"/>
  <c r="K1940" i="5" s="1"/>
  <c r="N1940" i="5" s="1"/>
  <c r="J1941" i="5"/>
  <c r="K1941" i="5" s="1"/>
  <c r="N1941" i="5" s="1"/>
  <c r="J1942" i="5"/>
  <c r="J1944" i="5"/>
  <c r="J1945" i="5"/>
  <c r="K1945" i="5" s="1"/>
  <c r="N1945" i="5" s="1"/>
  <c r="J1946" i="5"/>
  <c r="J1947" i="5"/>
  <c r="J1948" i="5"/>
  <c r="K1948" i="5" s="1"/>
  <c r="N1948" i="5" s="1"/>
  <c r="J1949" i="5"/>
  <c r="K1949" i="5" s="1"/>
  <c r="N1949" i="5" s="1"/>
  <c r="J1950" i="5"/>
  <c r="J1951" i="5"/>
  <c r="J1952" i="5"/>
  <c r="K1952" i="5" s="1"/>
  <c r="N1952" i="5" s="1"/>
  <c r="J1953" i="5"/>
  <c r="K1953" i="5" s="1"/>
  <c r="N1953" i="5" s="1"/>
  <c r="J1954" i="5"/>
  <c r="J1955" i="5"/>
  <c r="J1956" i="5"/>
  <c r="K1956" i="5" s="1"/>
  <c r="N1956" i="5" s="1"/>
  <c r="J1957" i="5"/>
  <c r="K1957" i="5" s="1"/>
  <c r="N1957" i="5" s="1"/>
  <c r="J1960" i="5"/>
  <c r="J1961" i="5"/>
  <c r="J1962" i="5"/>
  <c r="J1963" i="5"/>
  <c r="K1963" i="5" s="1"/>
  <c r="N1963" i="5" s="1"/>
  <c r="J1964" i="5"/>
  <c r="K1964" i="5" s="1"/>
  <c r="N1964" i="5" s="1"/>
  <c r="J1965" i="5"/>
  <c r="J1966" i="5"/>
  <c r="K1966" i="5" s="1"/>
  <c r="N1966" i="5" s="1"/>
  <c r="J1967" i="5"/>
  <c r="K1967" i="5" s="1"/>
  <c r="N1967" i="5" s="1"/>
  <c r="J1968" i="5"/>
  <c r="J1969" i="5"/>
  <c r="J1970" i="5"/>
  <c r="K1970" i="5" s="1"/>
  <c r="N1970" i="5" s="1"/>
  <c r="J1971" i="5"/>
  <c r="K1971" i="5" s="1"/>
  <c r="J1972" i="5"/>
  <c r="K1972" i="5" s="1"/>
  <c r="N1972" i="5" s="1"/>
  <c r="J1973" i="5"/>
  <c r="J1974" i="5"/>
  <c r="K1974" i="5" s="1"/>
  <c r="N1974" i="5" s="1"/>
  <c r="J1975" i="5"/>
  <c r="K1975" i="5" s="1"/>
  <c r="N1975" i="5" s="1"/>
  <c r="J1976" i="5"/>
  <c r="J1977" i="5"/>
  <c r="J1978" i="5"/>
  <c r="J1979" i="5"/>
  <c r="K1979" i="5" s="1"/>
  <c r="N1979" i="5" s="1"/>
  <c r="J1980" i="5"/>
  <c r="J1981" i="5"/>
  <c r="J1982" i="5"/>
  <c r="K1982" i="5" s="1"/>
  <c r="N1982" i="5" s="1"/>
  <c r="J1983" i="5"/>
  <c r="K1983" i="5" s="1"/>
  <c r="N1983" i="5" s="1"/>
  <c r="J1984" i="5"/>
  <c r="J1985" i="5"/>
  <c r="K1985" i="5" s="1"/>
  <c r="N1985" i="5" s="1"/>
  <c r="J1986" i="5"/>
  <c r="K1986" i="5" s="1"/>
  <c r="N1986" i="5" s="1"/>
  <c r="J1988" i="5"/>
  <c r="K1988" i="5" s="1"/>
  <c r="N1988" i="5" s="1"/>
  <c r="J1990" i="5"/>
  <c r="K1990" i="5" s="1"/>
  <c r="N1990" i="5" s="1"/>
  <c r="J1992" i="5"/>
  <c r="J1993" i="5"/>
  <c r="K1993" i="5" s="1"/>
  <c r="N1993" i="5" s="1"/>
  <c r="J1994" i="5"/>
  <c r="K1994" i="5" s="1"/>
  <c r="N1994" i="5" s="1"/>
  <c r="J1995" i="5"/>
  <c r="J1996" i="5"/>
  <c r="K1996" i="5" s="1"/>
  <c r="N1996" i="5" s="1"/>
  <c r="J1997" i="5"/>
  <c r="J1998" i="5"/>
  <c r="K1998" i="5" s="1"/>
  <c r="N1998" i="5" s="1"/>
  <c r="J1999" i="5"/>
  <c r="K1999" i="5" s="1"/>
  <c r="N1999" i="5" s="1"/>
  <c r="J2000" i="5"/>
  <c r="J2001" i="5"/>
  <c r="K2001" i="5" s="1"/>
  <c r="N2001" i="5" s="1"/>
  <c r="J2002" i="5"/>
  <c r="K2002" i="5" s="1"/>
  <c r="N2002" i="5" s="1"/>
  <c r="J2003" i="5"/>
  <c r="J2004" i="5"/>
  <c r="J2005" i="5"/>
  <c r="K2005" i="5" s="1"/>
  <c r="N2005" i="5" s="1"/>
  <c r="J2006" i="5"/>
  <c r="K2006" i="5" s="1"/>
  <c r="N2006" i="5" s="1"/>
  <c r="J2007" i="5"/>
  <c r="K2007" i="5" s="1"/>
  <c r="N2007" i="5" s="1"/>
  <c r="J2008" i="5"/>
  <c r="J2009" i="5"/>
  <c r="K2009" i="5" s="1"/>
  <c r="N2009" i="5" s="1"/>
  <c r="J2010" i="5"/>
  <c r="K2010" i="5" s="1"/>
  <c r="N2010" i="5" s="1"/>
  <c r="J2011" i="5"/>
  <c r="J2012" i="5"/>
  <c r="J2013" i="5"/>
  <c r="J2014" i="5"/>
  <c r="K2014" i="5" s="1"/>
  <c r="N2014" i="5" s="1"/>
  <c r="J2015" i="5"/>
  <c r="J2016" i="5"/>
  <c r="K2016" i="5" s="1"/>
  <c r="N2016" i="5" s="1"/>
  <c r="J2017" i="5"/>
  <c r="K2017" i="5" s="1"/>
  <c r="N2017" i="5" s="1"/>
  <c r="J2018" i="5"/>
  <c r="K2018" i="5" s="1"/>
  <c r="N2018" i="5" s="1"/>
  <c r="J2019" i="5"/>
  <c r="J2020" i="5"/>
  <c r="J2021" i="5"/>
  <c r="K2021" i="5" s="1"/>
  <c r="N2021" i="5" s="1"/>
  <c r="J2022" i="5"/>
  <c r="K2022" i="5" s="1"/>
  <c r="N2022" i="5" s="1"/>
  <c r="J2023" i="5"/>
  <c r="K2023" i="5" s="1"/>
  <c r="N2023" i="5" s="1"/>
  <c r="J2024" i="5"/>
  <c r="K2024" i="5" s="1"/>
  <c r="N2024" i="5" s="1"/>
  <c r="J2025" i="5"/>
  <c r="K2025" i="5" s="1"/>
  <c r="N2025" i="5" s="1"/>
  <c r="J2026" i="5"/>
  <c r="K2026" i="5" s="1"/>
  <c r="N2026" i="5" s="1"/>
  <c r="J2027" i="5"/>
  <c r="J2028" i="5"/>
  <c r="J2029" i="5"/>
  <c r="J2030" i="5"/>
  <c r="K2030" i="5" s="1"/>
  <c r="N2030" i="5" s="1"/>
  <c r="J2031" i="5"/>
  <c r="K2031" i="5" s="1"/>
  <c r="N2031" i="5" s="1"/>
  <c r="J2032" i="5"/>
  <c r="J2033" i="5"/>
  <c r="K2033" i="5" s="1"/>
  <c r="N2033" i="5" s="1"/>
  <c r="J2034" i="5"/>
  <c r="K2034" i="5" s="1"/>
  <c r="N2034" i="5" s="1"/>
  <c r="J2035" i="5"/>
  <c r="J2036" i="5"/>
  <c r="J2037" i="5"/>
  <c r="K2037" i="5" s="1"/>
  <c r="N2037" i="5" s="1"/>
  <c r="J2038" i="5"/>
  <c r="K2038" i="5" s="1"/>
  <c r="N2038" i="5" s="1"/>
  <c r="J2039" i="5"/>
  <c r="K2039" i="5" s="1"/>
  <c r="N2039" i="5" s="1"/>
  <c r="J2040" i="5"/>
  <c r="J2041" i="5"/>
  <c r="K2041" i="5" s="1"/>
  <c r="N2041" i="5" s="1"/>
  <c r="J2042" i="5"/>
  <c r="K2042" i="5" s="1"/>
  <c r="N2042" i="5" s="1"/>
  <c r="J2043" i="5"/>
  <c r="K2043" i="5" s="1"/>
  <c r="N2043" i="5" s="1"/>
  <c r="J2044" i="5"/>
  <c r="J2045" i="5"/>
  <c r="J2046" i="5"/>
  <c r="K2046" i="5" s="1"/>
  <c r="N2046" i="5" s="1"/>
  <c r="J2047" i="5"/>
  <c r="J2048" i="5"/>
  <c r="J2049" i="5"/>
  <c r="K2049" i="5" s="1"/>
  <c r="N2049" i="5" s="1"/>
  <c r="J2050" i="5"/>
  <c r="K2050" i="5" s="1"/>
  <c r="N2050" i="5" s="1"/>
  <c r="J2051" i="5"/>
  <c r="J2052" i="5"/>
  <c r="K2052" i="5" s="1"/>
  <c r="N2052" i="5" s="1"/>
  <c r="J2053" i="5"/>
  <c r="K2053" i="5" s="1"/>
  <c r="N2053" i="5" s="1"/>
  <c r="J2054" i="5"/>
  <c r="K2054" i="5" s="1"/>
  <c r="N2054" i="5" s="1"/>
  <c r="J2055" i="5"/>
  <c r="K2055" i="5" s="1"/>
  <c r="N2055" i="5" s="1"/>
  <c r="J2056" i="5"/>
  <c r="J2057" i="5"/>
  <c r="K2057" i="5" s="1"/>
  <c r="N2057" i="5" s="1"/>
  <c r="J2058" i="5"/>
  <c r="K2058" i="5" s="1"/>
  <c r="N2058" i="5" s="1"/>
  <c r="J2059" i="5"/>
  <c r="J2060" i="5"/>
  <c r="K2060" i="5" s="1"/>
  <c r="N2060" i="5" s="1"/>
  <c r="J2061" i="5"/>
  <c r="J2062" i="5"/>
  <c r="K2062" i="5" s="1"/>
  <c r="N2062" i="5" s="1"/>
  <c r="J2063" i="5"/>
  <c r="K2063" i="5" s="1"/>
  <c r="N2063" i="5" s="1"/>
  <c r="J2064" i="5"/>
  <c r="J2065" i="5"/>
  <c r="K2065" i="5" s="1"/>
  <c r="N2065" i="5" s="1"/>
  <c r="J2066" i="5"/>
  <c r="K2066" i="5" s="1"/>
  <c r="N2066" i="5" s="1"/>
  <c r="J2067" i="5"/>
  <c r="J2068" i="5"/>
  <c r="J2069" i="5"/>
  <c r="K2069" i="5" s="1"/>
  <c r="N2069" i="5" s="1"/>
  <c r="J2070" i="5"/>
  <c r="K2070" i="5" s="1"/>
  <c r="N2070" i="5" s="1"/>
  <c r="J2071" i="5"/>
  <c r="K2071" i="5" s="1"/>
  <c r="N2071" i="5" s="1"/>
  <c r="J2072" i="5"/>
  <c r="J2073" i="5"/>
  <c r="K2073" i="5" s="1"/>
  <c r="N2073" i="5" s="1"/>
  <c r="J2074" i="5"/>
  <c r="K2074" i="5" s="1"/>
  <c r="N2074" i="5" s="1"/>
  <c r="J2075" i="5"/>
  <c r="K2075" i="5" s="1"/>
  <c r="N2075" i="5" s="1"/>
  <c r="J2076" i="5"/>
  <c r="J2077" i="5"/>
  <c r="J2078" i="5"/>
  <c r="K2078" i="5" s="1"/>
  <c r="N2078" i="5" s="1"/>
  <c r="J2079" i="5"/>
  <c r="J2080" i="5"/>
  <c r="K2080" i="5" s="1"/>
  <c r="N2080" i="5" s="1"/>
  <c r="J2081" i="5"/>
  <c r="K2081" i="5" s="1"/>
  <c r="N2081" i="5" s="1"/>
  <c r="J2082" i="5"/>
  <c r="K2082" i="5" s="1"/>
  <c r="N2082" i="5" s="1"/>
  <c r="J2083" i="5"/>
  <c r="K2083" i="5" s="1"/>
  <c r="N2083" i="5" s="1"/>
  <c r="J2084" i="5"/>
  <c r="J2085" i="5"/>
  <c r="K2085" i="5" s="1"/>
  <c r="N2085" i="5" s="1"/>
  <c r="J2086" i="5"/>
  <c r="K2086" i="5" s="1"/>
  <c r="N2086" i="5" s="1"/>
  <c r="J2087" i="5"/>
  <c r="K2087" i="5" s="1"/>
  <c r="N2087" i="5" s="1"/>
  <c r="J2088" i="5"/>
  <c r="K2088" i="5" s="1"/>
  <c r="N2088" i="5" s="1"/>
  <c r="J2089" i="5"/>
  <c r="K2089" i="5" s="1"/>
  <c r="N2089" i="5" s="1"/>
  <c r="J2090" i="5"/>
  <c r="K2090" i="5" s="1"/>
  <c r="N2090" i="5" s="1"/>
  <c r="J2091" i="5"/>
  <c r="K2091" i="5" s="1"/>
  <c r="N2091" i="5" s="1"/>
  <c r="J2092" i="5"/>
  <c r="J2093" i="5"/>
  <c r="K2093" i="5" s="1"/>
  <c r="N2093" i="5" s="1"/>
  <c r="J2094" i="5"/>
  <c r="K2094" i="5" s="1"/>
  <c r="N2094" i="5" s="1"/>
  <c r="J2095" i="5"/>
  <c r="J2096" i="5"/>
  <c r="K2096" i="5" s="1"/>
  <c r="N2096" i="5" s="1"/>
  <c r="J2097" i="5"/>
  <c r="K2097" i="5" s="1"/>
  <c r="N2097" i="5" s="1"/>
  <c r="J2098" i="5"/>
  <c r="K2098" i="5" s="1"/>
  <c r="N2098" i="5" s="1"/>
  <c r="J2099" i="5"/>
  <c r="K2099" i="5" s="1"/>
  <c r="N2099" i="5" s="1"/>
  <c r="J2100" i="5"/>
  <c r="J2101" i="5"/>
  <c r="K2101" i="5" s="1"/>
  <c r="N2101" i="5" s="1"/>
  <c r="J2102" i="5"/>
  <c r="K2102" i="5" s="1"/>
  <c r="N2102" i="5" s="1"/>
  <c r="J2103" i="5"/>
  <c r="K2103" i="5" s="1"/>
  <c r="N2103" i="5" s="1"/>
  <c r="J2104" i="5"/>
  <c r="K2104" i="5" s="1"/>
  <c r="N2104" i="5" s="1"/>
  <c r="J2105" i="5"/>
  <c r="K2105" i="5" s="1"/>
  <c r="N2105" i="5" s="1"/>
  <c r="J2106" i="5"/>
  <c r="J2107" i="5"/>
  <c r="K2107" i="5" s="1"/>
  <c r="N2107" i="5" s="1"/>
  <c r="J2108" i="5"/>
  <c r="J2109" i="5"/>
  <c r="K2109" i="5" s="1"/>
  <c r="N2109" i="5" s="1"/>
  <c r="J2110" i="5"/>
  <c r="K2110" i="5" s="1"/>
  <c r="N2110" i="5" s="1"/>
  <c r="J2111" i="5"/>
  <c r="K2111" i="5" s="1"/>
  <c r="N2111" i="5" s="1"/>
  <c r="J2112" i="5"/>
  <c r="J2113" i="5"/>
  <c r="K2113" i="5" s="1"/>
  <c r="N2113" i="5" s="1"/>
  <c r="J2114" i="5"/>
  <c r="K2114" i="5" s="1"/>
  <c r="N2114" i="5" s="1"/>
  <c r="J2115" i="5"/>
  <c r="K2115" i="5" s="1"/>
  <c r="N2115" i="5" s="1"/>
  <c r="J2116" i="5"/>
  <c r="J2117" i="5"/>
  <c r="K2117" i="5" s="1"/>
  <c r="N2117" i="5" s="1"/>
  <c r="J2118" i="5"/>
  <c r="J2119" i="5"/>
  <c r="K2119" i="5" s="1"/>
  <c r="N2119" i="5" s="1"/>
  <c r="J2120" i="5"/>
  <c r="J2121" i="5"/>
  <c r="K2121" i="5" s="1"/>
  <c r="N2121" i="5" s="1"/>
  <c r="J2122" i="5"/>
  <c r="K2122" i="5" s="1"/>
  <c r="N2122" i="5" s="1"/>
  <c r="J2123" i="5"/>
  <c r="K2123" i="5" s="1"/>
  <c r="N2123" i="5" s="1"/>
  <c r="J2124" i="5"/>
  <c r="K2124" i="5" s="1"/>
  <c r="N2124" i="5" s="1"/>
  <c r="J2125" i="5"/>
  <c r="K2125" i="5" s="1"/>
  <c r="N2125" i="5" s="1"/>
  <c r="J2126" i="5"/>
  <c r="K2126" i="5" s="1"/>
  <c r="N2126" i="5" s="1"/>
  <c r="J2127" i="5"/>
  <c r="K2127" i="5" s="1"/>
  <c r="N2127" i="5" s="1"/>
  <c r="J2128" i="5"/>
  <c r="J2129" i="5"/>
  <c r="K2129" i="5" s="1"/>
  <c r="N2129" i="5" s="1"/>
  <c r="J2130" i="5"/>
  <c r="J2131" i="5"/>
  <c r="K2131" i="5" s="1"/>
  <c r="N2131" i="5" s="1"/>
  <c r="J2132" i="5"/>
  <c r="J2133" i="5"/>
  <c r="K2133" i="5" s="1"/>
  <c r="N2133" i="5" s="1"/>
  <c r="J2134" i="5"/>
  <c r="K2134" i="5" s="1"/>
  <c r="N2134" i="5" s="1"/>
  <c r="J2135" i="5"/>
  <c r="K2135" i="5" s="1"/>
  <c r="N2135" i="5" s="1"/>
  <c r="J2136" i="5"/>
  <c r="J2137" i="5"/>
  <c r="K2137" i="5" s="1"/>
  <c r="N2137" i="5" s="1"/>
  <c r="J2138" i="5"/>
  <c r="K2138" i="5" s="1"/>
  <c r="N2138" i="5" s="1"/>
  <c r="J2139" i="5"/>
  <c r="K2139" i="5" s="1"/>
  <c r="N2139" i="5" s="1"/>
  <c r="J2140" i="5"/>
  <c r="J2141" i="5"/>
  <c r="K2141" i="5" s="1"/>
  <c r="N2141" i="5" s="1"/>
  <c r="J2142" i="5"/>
  <c r="K2142" i="5" s="1"/>
  <c r="N2142" i="5" s="1"/>
  <c r="J2143" i="5"/>
  <c r="K2143" i="5" s="1"/>
  <c r="N2143" i="5" s="1"/>
  <c r="J2144" i="5"/>
  <c r="J2145" i="5"/>
  <c r="K2145" i="5" s="1"/>
  <c r="N2145" i="5" s="1"/>
  <c r="J2146" i="5"/>
  <c r="K2146" i="5" s="1"/>
  <c r="N2146" i="5" s="1"/>
  <c r="J2147" i="5"/>
  <c r="K2147" i="5" s="1"/>
  <c r="N2147" i="5" s="1"/>
  <c r="J2148" i="5"/>
  <c r="J2149" i="5"/>
  <c r="K2149" i="5" s="1"/>
  <c r="N2149" i="5" s="1"/>
  <c r="J2150" i="5"/>
  <c r="K2150" i="5" s="1"/>
  <c r="N2150" i="5" s="1"/>
  <c r="J2151" i="5"/>
  <c r="K2151" i="5" s="1"/>
  <c r="N2151" i="5" s="1"/>
  <c r="J2152" i="5"/>
  <c r="J2153" i="5"/>
  <c r="K2153" i="5" s="1"/>
  <c r="N2153" i="5" s="1"/>
  <c r="J2154" i="5"/>
  <c r="K2154" i="5" s="1"/>
  <c r="N2154" i="5" s="1"/>
  <c r="J2155" i="5"/>
  <c r="K2155" i="5" s="1"/>
  <c r="N2155" i="5" s="1"/>
  <c r="J2156" i="5"/>
  <c r="J2157" i="5"/>
  <c r="K2157" i="5" s="1"/>
  <c r="N2157" i="5" s="1"/>
  <c r="J2158" i="5"/>
  <c r="K2158" i="5" s="1"/>
  <c r="N2158" i="5" s="1"/>
  <c r="J2159" i="5"/>
  <c r="J2160" i="5"/>
  <c r="J2161" i="5"/>
  <c r="K2161" i="5" s="1"/>
  <c r="N2161" i="5" s="1"/>
  <c r="J2162" i="5"/>
  <c r="K2162" i="5" s="1"/>
  <c r="N2162" i="5" s="1"/>
  <c r="J2163" i="5"/>
  <c r="K2163" i="5" s="1"/>
  <c r="N2163" i="5" s="1"/>
  <c r="J2164" i="5"/>
  <c r="K2164" i="5" s="1"/>
  <c r="N2164" i="5" s="1"/>
  <c r="J2165" i="5"/>
  <c r="K2165" i="5" s="1"/>
  <c r="N2165" i="5" s="1"/>
  <c r="J2166" i="5"/>
  <c r="K2166" i="5" s="1"/>
  <c r="N2166" i="5" s="1"/>
  <c r="J2167" i="5"/>
  <c r="K2167" i="5" s="1"/>
  <c r="N2167" i="5" s="1"/>
  <c r="J2168" i="5"/>
  <c r="J2169" i="5"/>
  <c r="K2169" i="5" s="1"/>
  <c r="N2169" i="5" s="1"/>
  <c r="J2170" i="5"/>
  <c r="K2170" i="5" s="1"/>
  <c r="N2170" i="5" s="1"/>
  <c r="J2171" i="5"/>
  <c r="K2171" i="5" s="1"/>
  <c r="N2171" i="5" s="1"/>
  <c r="J2172" i="5"/>
  <c r="K2172" i="5" s="1"/>
  <c r="N2172" i="5" s="1"/>
  <c r="J2173" i="5"/>
  <c r="K2173" i="5" s="1"/>
  <c r="N2173" i="5" s="1"/>
  <c r="J2174" i="5"/>
  <c r="K2174" i="5" s="1"/>
  <c r="N2174" i="5" s="1"/>
  <c r="J2175" i="5"/>
  <c r="K2175" i="5" s="1"/>
  <c r="N2175" i="5" s="1"/>
  <c r="J2176" i="5"/>
  <c r="J2177" i="5"/>
  <c r="K2177" i="5" s="1"/>
  <c r="N2177" i="5" s="1"/>
  <c r="J2178" i="5"/>
  <c r="K2178" i="5" s="1"/>
  <c r="N2178" i="5" s="1"/>
  <c r="J2179" i="5"/>
  <c r="J2180" i="5"/>
  <c r="K2180" i="5" s="1"/>
  <c r="N2180" i="5" s="1"/>
  <c r="J2181" i="5"/>
  <c r="K2181" i="5" s="1"/>
  <c r="N2181" i="5" s="1"/>
  <c r="J2182" i="5"/>
  <c r="K2182" i="5" s="1"/>
  <c r="N2182" i="5" s="1"/>
  <c r="J2183" i="5"/>
  <c r="K2183" i="5" s="1"/>
  <c r="N2183" i="5" s="1"/>
  <c r="J2184" i="5"/>
  <c r="J2185" i="5"/>
  <c r="K2185" i="5" s="1"/>
  <c r="N2185" i="5" s="1"/>
  <c r="J2186" i="5"/>
  <c r="K2186" i="5" s="1"/>
  <c r="N2186" i="5" s="1"/>
  <c r="J2187" i="5"/>
  <c r="K2187" i="5" s="1"/>
  <c r="N2187" i="5" s="1"/>
  <c r="J2188" i="5"/>
  <c r="K2188" i="5" s="1"/>
  <c r="N2188" i="5" s="1"/>
  <c r="J2189" i="5"/>
  <c r="K2189" i="5" s="1"/>
  <c r="N2189" i="5" s="1"/>
  <c r="J2190" i="5"/>
  <c r="K2190" i="5" s="1"/>
  <c r="N2190" i="5" s="1"/>
  <c r="J2191" i="5"/>
  <c r="K2191" i="5" s="1"/>
  <c r="N2191" i="5" s="1"/>
  <c r="J2192" i="5"/>
  <c r="J2193" i="5"/>
  <c r="K2193" i="5" s="1"/>
  <c r="N2193" i="5" s="1"/>
  <c r="J2194" i="5"/>
  <c r="K2194" i="5" s="1"/>
  <c r="N2194" i="5" s="1"/>
  <c r="J2195" i="5"/>
  <c r="K2195" i="5" s="1"/>
  <c r="N2195" i="5" s="1"/>
  <c r="J2196" i="5"/>
  <c r="K2196" i="5" s="1"/>
  <c r="N2196" i="5" s="1"/>
  <c r="J2197" i="5"/>
  <c r="K2197" i="5" s="1"/>
  <c r="N2197" i="5" s="1"/>
  <c r="J2198" i="5"/>
  <c r="K2198" i="5" s="1"/>
  <c r="N2198" i="5" s="1"/>
  <c r="J2199" i="5"/>
  <c r="K2199" i="5" s="1"/>
  <c r="N2199" i="5" s="1"/>
  <c r="J2200" i="5"/>
  <c r="J2201" i="5"/>
  <c r="K2201" i="5" s="1"/>
  <c r="N2201" i="5" s="1"/>
  <c r="J2202" i="5"/>
  <c r="K2202" i="5" s="1"/>
  <c r="N2202" i="5" s="1"/>
  <c r="J2203" i="5"/>
  <c r="K2203" i="5" s="1"/>
  <c r="N2203" i="5" s="1"/>
  <c r="J2204" i="5"/>
  <c r="K2204" i="5" s="1"/>
  <c r="N2204" i="5" s="1"/>
  <c r="J2205" i="5"/>
  <c r="K2205" i="5" s="1"/>
  <c r="N2205" i="5" s="1"/>
  <c r="J2206" i="5"/>
  <c r="K2206" i="5" s="1"/>
  <c r="N2206" i="5" s="1"/>
  <c r="J2207" i="5"/>
  <c r="K2207" i="5" s="1"/>
  <c r="N2207" i="5" s="1"/>
  <c r="J2208" i="5"/>
  <c r="J2209" i="5"/>
  <c r="K2209" i="5" s="1"/>
  <c r="N2209" i="5" s="1"/>
  <c r="J2210" i="5"/>
  <c r="K2210" i="5" s="1"/>
  <c r="N2210" i="5" s="1"/>
  <c r="J2211" i="5"/>
  <c r="K2211" i="5" s="1"/>
  <c r="N2211" i="5" s="1"/>
  <c r="J2212" i="5"/>
  <c r="K2212" i="5" s="1"/>
  <c r="N2212" i="5" s="1"/>
  <c r="J2213" i="5"/>
  <c r="K2213" i="5" s="1"/>
  <c r="N2213" i="5" s="1"/>
  <c r="J2214" i="5"/>
  <c r="K2214" i="5" s="1"/>
  <c r="N2214" i="5" s="1"/>
  <c r="J2215" i="5"/>
  <c r="K2215" i="5" s="1"/>
  <c r="N2215" i="5" s="1"/>
  <c r="J2216" i="5"/>
  <c r="J2217" i="5"/>
  <c r="K2217" i="5" s="1"/>
  <c r="N2217" i="5" s="1"/>
  <c r="J2218" i="5"/>
  <c r="K2218" i="5" s="1"/>
  <c r="N2218" i="5" s="1"/>
  <c r="J2219" i="5"/>
  <c r="K2219" i="5" s="1"/>
  <c r="N2219" i="5" s="1"/>
  <c r="J2220" i="5"/>
  <c r="K2220" i="5" s="1"/>
  <c r="N2220" i="5" s="1"/>
  <c r="J2221" i="5"/>
  <c r="K2221" i="5" s="1"/>
  <c r="N2221" i="5" s="1"/>
  <c r="J2222" i="5"/>
  <c r="K2222" i="5" s="1"/>
  <c r="N2222" i="5" s="1"/>
  <c r="J2223" i="5"/>
  <c r="K2223" i="5" s="1"/>
  <c r="N2223" i="5" s="1"/>
  <c r="J2224" i="5"/>
  <c r="J2225" i="5"/>
  <c r="K2225" i="5" s="1"/>
  <c r="N2225" i="5" s="1"/>
  <c r="J2226" i="5"/>
  <c r="K2226" i="5" s="1"/>
  <c r="N2226" i="5" s="1"/>
  <c r="J2227" i="5"/>
  <c r="K2227" i="5" s="1"/>
  <c r="N2227" i="5" s="1"/>
  <c r="J2228" i="5"/>
  <c r="K2228" i="5" s="1"/>
  <c r="N2228" i="5" s="1"/>
  <c r="J2229" i="5"/>
  <c r="K2229" i="5" s="1"/>
  <c r="N2229" i="5" s="1"/>
  <c r="J2230" i="5"/>
  <c r="K2230" i="5" s="1"/>
  <c r="N2230" i="5" s="1"/>
  <c r="J2231" i="5"/>
  <c r="K2231" i="5" s="1"/>
  <c r="N2231" i="5" s="1"/>
  <c r="J2232" i="5"/>
  <c r="J2233" i="5"/>
  <c r="K2233" i="5" s="1"/>
  <c r="N2233" i="5" s="1"/>
  <c r="J2234" i="5"/>
  <c r="K2234" i="5" s="1"/>
  <c r="N2234" i="5" s="1"/>
  <c r="J2235" i="5"/>
  <c r="K2235" i="5" s="1"/>
  <c r="N2235" i="5" s="1"/>
  <c r="J2236" i="5"/>
  <c r="K2236" i="5" s="1"/>
  <c r="N2236" i="5" s="1"/>
  <c r="J2237" i="5"/>
  <c r="K2237" i="5" s="1"/>
  <c r="N2237" i="5" s="1"/>
  <c r="J2238" i="5"/>
  <c r="K2238" i="5" s="1"/>
  <c r="N2238" i="5" s="1"/>
  <c r="J2239" i="5"/>
  <c r="K2239" i="5" s="1"/>
  <c r="N2239" i="5" s="1"/>
  <c r="J2240" i="5"/>
  <c r="K2240" i="5" s="1"/>
  <c r="N2240" i="5" s="1"/>
  <c r="J2241" i="5"/>
  <c r="K2241" i="5" s="1"/>
  <c r="N2241" i="5" s="1"/>
  <c r="J2242" i="5"/>
  <c r="K2242" i="5" s="1"/>
  <c r="N2242" i="5" s="1"/>
  <c r="J2243" i="5"/>
  <c r="K2243" i="5" s="1"/>
  <c r="N2243" i="5" s="1"/>
  <c r="J2244" i="5"/>
  <c r="K2244" i="5" s="1"/>
  <c r="N2244" i="5" s="1"/>
  <c r="J2245" i="5"/>
  <c r="K2245" i="5" s="1"/>
  <c r="N2245" i="5" s="1"/>
  <c r="J2246" i="5"/>
  <c r="K2246" i="5" s="1"/>
  <c r="N2246" i="5" s="1"/>
  <c r="J2247" i="5"/>
  <c r="K2247" i="5" s="1"/>
  <c r="N2247" i="5" s="1"/>
  <c r="J2248" i="5"/>
  <c r="K2248" i="5" s="1"/>
  <c r="N2248" i="5" s="1"/>
  <c r="J2249" i="5"/>
  <c r="K2249" i="5" s="1"/>
  <c r="N2249" i="5" s="1"/>
  <c r="J2250" i="5"/>
  <c r="K2250" i="5" s="1"/>
  <c r="N2250" i="5" s="1"/>
  <c r="J2251" i="5"/>
  <c r="K2251" i="5" s="1"/>
  <c r="N2251" i="5" s="1"/>
  <c r="J2252" i="5"/>
  <c r="J2253" i="5"/>
  <c r="K2253" i="5" s="1"/>
  <c r="N2253" i="5" s="1"/>
  <c r="J2254" i="5"/>
  <c r="K2254" i="5" s="1"/>
  <c r="N2254" i="5" s="1"/>
  <c r="J2255" i="5"/>
  <c r="K2255" i="5" s="1"/>
  <c r="N2255" i="5" s="1"/>
  <c r="J2256" i="5"/>
  <c r="K2256" i="5" s="1"/>
  <c r="N2256" i="5" s="1"/>
  <c r="J2257" i="5"/>
  <c r="K2257" i="5" s="1"/>
  <c r="N2257" i="5" s="1"/>
  <c r="J2258" i="5"/>
  <c r="K2258" i="5" s="1"/>
  <c r="N2258" i="5" s="1"/>
  <c r="J2259" i="5"/>
  <c r="K2259" i="5" s="1"/>
  <c r="N2259" i="5" s="1"/>
  <c r="J2260" i="5"/>
  <c r="J2261" i="5"/>
  <c r="K2261" i="5" s="1"/>
  <c r="N2261" i="5" s="1"/>
  <c r="J2262" i="5"/>
  <c r="K2262" i="5" s="1"/>
  <c r="N2262" i="5" s="1"/>
  <c r="J2263" i="5"/>
  <c r="K2263" i="5" s="1"/>
  <c r="N2263" i="5" s="1"/>
  <c r="J2264" i="5"/>
  <c r="K2264" i="5" s="1"/>
  <c r="N2264" i="5" s="1"/>
  <c r="J2265" i="5"/>
  <c r="K2265" i="5" s="1"/>
  <c r="N2265" i="5" s="1"/>
  <c r="J2266" i="5"/>
  <c r="K2266" i="5" s="1"/>
  <c r="N2266" i="5" s="1"/>
  <c r="J2267" i="5"/>
  <c r="K2267" i="5" s="1"/>
  <c r="N2267" i="5" s="1"/>
  <c r="J2268" i="5"/>
  <c r="K2268" i="5" s="1"/>
  <c r="N2268" i="5" s="1"/>
  <c r="J2269" i="5"/>
  <c r="K2269" i="5" s="1"/>
  <c r="N2269" i="5" s="1"/>
  <c r="J2270" i="5"/>
  <c r="K2270" i="5" s="1"/>
  <c r="N2270" i="5" s="1"/>
  <c r="J2271" i="5"/>
  <c r="K2271" i="5" s="1"/>
  <c r="N2271" i="5" s="1"/>
  <c r="J2272" i="5"/>
  <c r="K2272" i="5" s="1"/>
  <c r="N2272" i="5" s="1"/>
  <c r="J2273" i="5"/>
  <c r="K2273" i="5" s="1"/>
  <c r="N2273" i="5" s="1"/>
  <c r="J2274" i="5"/>
  <c r="K2274" i="5" s="1"/>
  <c r="N2274" i="5" s="1"/>
  <c r="J2275" i="5"/>
  <c r="K2275" i="5" s="1"/>
  <c r="N2275" i="5" s="1"/>
  <c r="J2276" i="5"/>
  <c r="K2276" i="5" s="1"/>
  <c r="N2276" i="5" s="1"/>
  <c r="J2277" i="5"/>
  <c r="K2277" i="5" s="1"/>
  <c r="N2277" i="5" s="1"/>
  <c r="J2278" i="5"/>
  <c r="K2278" i="5" s="1"/>
  <c r="N2278" i="5" s="1"/>
  <c r="J2279" i="5"/>
  <c r="K2279" i="5" s="1"/>
  <c r="N2279" i="5" s="1"/>
  <c r="J2280" i="5"/>
  <c r="K2280" i="5" s="1"/>
  <c r="N2280" i="5" s="1"/>
  <c r="J2281" i="5"/>
  <c r="K2281" i="5" s="1"/>
  <c r="N2281" i="5" s="1"/>
  <c r="J2282" i="5"/>
  <c r="K2282" i="5" s="1"/>
  <c r="N2282" i="5" s="1"/>
  <c r="J2283" i="5"/>
  <c r="K2283" i="5" s="1"/>
  <c r="N2283" i="5" s="1"/>
  <c r="J2284" i="5"/>
  <c r="K2284" i="5" s="1"/>
  <c r="N2284" i="5" s="1"/>
  <c r="J2285" i="5"/>
  <c r="K2285" i="5" s="1"/>
  <c r="N2285" i="5" s="1"/>
  <c r="J2286" i="5"/>
  <c r="K2286" i="5" s="1"/>
  <c r="N2286" i="5" s="1"/>
  <c r="J2287" i="5"/>
  <c r="K2287" i="5" s="1"/>
  <c r="N2287" i="5" s="1"/>
  <c r="J2288" i="5"/>
  <c r="K2288" i="5" s="1"/>
  <c r="N2288" i="5" s="1"/>
  <c r="J2289" i="5"/>
  <c r="K2289" i="5" s="1"/>
  <c r="N2289" i="5" s="1"/>
  <c r="J2290" i="5"/>
  <c r="K2290" i="5" s="1"/>
  <c r="N2290" i="5" s="1"/>
  <c r="J2291" i="5"/>
  <c r="K2291" i="5" s="1"/>
  <c r="N2291" i="5" s="1"/>
  <c r="J2292" i="5"/>
  <c r="K2292" i="5" s="1"/>
  <c r="N2292" i="5" s="1"/>
  <c r="J2293" i="5"/>
  <c r="K2293" i="5" s="1"/>
  <c r="N2293" i="5" s="1"/>
  <c r="J2294" i="5"/>
  <c r="K2294" i="5" s="1"/>
  <c r="N2294" i="5" s="1"/>
  <c r="J2295" i="5"/>
  <c r="K2295" i="5" s="1"/>
  <c r="N2295" i="5" s="1"/>
  <c r="J2296" i="5"/>
  <c r="K2296" i="5" s="1"/>
  <c r="N2296" i="5" s="1"/>
  <c r="J2297" i="5"/>
  <c r="K2297" i="5" s="1"/>
  <c r="N2297" i="5" s="1"/>
  <c r="J2298" i="5"/>
  <c r="K2298" i="5" s="1"/>
  <c r="N2298" i="5" s="1"/>
  <c r="J2299" i="5"/>
  <c r="K2299" i="5" s="1"/>
  <c r="N2299" i="5" s="1"/>
  <c r="J2300" i="5"/>
  <c r="K2300" i="5" s="1"/>
  <c r="N2300" i="5" s="1"/>
  <c r="J2301" i="5"/>
  <c r="K2301" i="5" s="1"/>
  <c r="N2301" i="5" s="1"/>
  <c r="J2302" i="5"/>
  <c r="K2302" i="5" s="1"/>
  <c r="N2302" i="5" s="1"/>
  <c r="J2303" i="5"/>
  <c r="K2303" i="5" s="1"/>
  <c r="N2303" i="5" s="1"/>
  <c r="J2304" i="5"/>
  <c r="K2304" i="5" s="1"/>
  <c r="N2304" i="5" s="1"/>
  <c r="J2305" i="5"/>
  <c r="K2305" i="5" s="1"/>
  <c r="N2305" i="5" s="1"/>
  <c r="J2306" i="5"/>
  <c r="K2306" i="5" s="1"/>
  <c r="N2306" i="5" s="1"/>
  <c r="J2307" i="5"/>
  <c r="K2307" i="5" s="1"/>
  <c r="N2307" i="5" s="1"/>
  <c r="J2308" i="5"/>
  <c r="K2308" i="5" s="1"/>
  <c r="N2308" i="5" s="1"/>
  <c r="J2309" i="5"/>
  <c r="K2309" i="5" s="1"/>
  <c r="N2309" i="5" s="1"/>
  <c r="J2310" i="5"/>
  <c r="K2310" i="5" s="1"/>
  <c r="N2310" i="5" s="1"/>
  <c r="J2311" i="5"/>
  <c r="K2311" i="5" s="1"/>
  <c r="N2311" i="5" s="1"/>
  <c r="J2312" i="5"/>
  <c r="J2313" i="5"/>
  <c r="K2313" i="5" s="1"/>
  <c r="N2313" i="5" s="1"/>
  <c r="J2314" i="5"/>
  <c r="K2314" i="5" s="1"/>
  <c r="N2314" i="5" s="1"/>
  <c r="J2315" i="5"/>
  <c r="K2315" i="5" s="1"/>
  <c r="N2315" i="5" s="1"/>
  <c r="J2316" i="5"/>
  <c r="K2316" i="5" s="1"/>
  <c r="N2316" i="5" s="1"/>
  <c r="J2317" i="5"/>
  <c r="K2317" i="5" s="1"/>
  <c r="N2317" i="5" s="1"/>
  <c r="J2318" i="5"/>
  <c r="K2318" i="5" s="1"/>
  <c r="N2318" i="5" s="1"/>
  <c r="J2319" i="5"/>
  <c r="K2319" i="5" s="1"/>
  <c r="N2319" i="5" s="1"/>
  <c r="J2320" i="5"/>
  <c r="K2320" i="5" s="1"/>
  <c r="N2320" i="5" s="1"/>
  <c r="J2321" i="5"/>
  <c r="K2321" i="5" s="1"/>
  <c r="N2321" i="5" s="1"/>
  <c r="J2322" i="5"/>
  <c r="K2322" i="5" s="1"/>
  <c r="N2322" i="5" s="1"/>
  <c r="J2323" i="5"/>
  <c r="K2323" i="5" s="1"/>
  <c r="N2323" i="5" s="1"/>
  <c r="J2324" i="5"/>
  <c r="K2324" i="5" s="1"/>
  <c r="N2324" i="5" s="1"/>
  <c r="J2325" i="5"/>
  <c r="K2325" i="5" s="1"/>
  <c r="N2325" i="5" s="1"/>
  <c r="J2326" i="5"/>
  <c r="K2326" i="5" s="1"/>
  <c r="N2326" i="5" s="1"/>
  <c r="J2327" i="5"/>
  <c r="K2327" i="5" s="1"/>
  <c r="N2327" i="5" s="1"/>
  <c r="J2328" i="5"/>
  <c r="K2328" i="5" s="1"/>
  <c r="N2328" i="5" s="1"/>
  <c r="J2329" i="5"/>
  <c r="K2329" i="5" s="1"/>
  <c r="N2329" i="5" s="1"/>
  <c r="J2330" i="5"/>
  <c r="K2330" i="5" s="1"/>
  <c r="N2330" i="5" s="1"/>
  <c r="J2331" i="5"/>
  <c r="K2331" i="5" s="1"/>
  <c r="N2331" i="5" s="1"/>
  <c r="J2332" i="5"/>
  <c r="K2332" i="5" s="1"/>
  <c r="N2332" i="5" s="1"/>
  <c r="J2333" i="5"/>
  <c r="K2333" i="5" s="1"/>
  <c r="N2333" i="5" s="1"/>
  <c r="J2334" i="5"/>
  <c r="K2334" i="5" s="1"/>
  <c r="N2334" i="5" s="1"/>
  <c r="J2335" i="5"/>
  <c r="K2335" i="5" s="1"/>
  <c r="N2335" i="5" s="1"/>
  <c r="J2336" i="5"/>
  <c r="K2336" i="5" s="1"/>
  <c r="N2336" i="5" s="1"/>
  <c r="J2337" i="5"/>
  <c r="K2337" i="5" s="1"/>
  <c r="N2337" i="5" s="1"/>
  <c r="J2338" i="5"/>
  <c r="K2338" i="5" s="1"/>
  <c r="N2338" i="5" s="1"/>
  <c r="J2339" i="5"/>
  <c r="K2339" i="5" s="1"/>
  <c r="N2339" i="5" s="1"/>
  <c r="J2340" i="5"/>
  <c r="K2340" i="5" s="1"/>
  <c r="N2340" i="5" s="1"/>
  <c r="J2341" i="5"/>
  <c r="K2341" i="5" s="1"/>
  <c r="N2341" i="5" s="1"/>
  <c r="J2342" i="5"/>
  <c r="K2342" i="5" s="1"/>
  <c r="N2342" i="5" s="1"/>
  <c r="J2343" i="5"/>
  <c r="K2343" i="5" s="1"/>
  <c r="N2343" i="5" s="1"/>
  <c r="J2344" i="5"/>
  <c r="K2344" i="5" s="1"/>
  <c r="N2344" i="5" s="1"/>
  <c r="J2345" i="5"/>
  <c r="K2345" i="5" s="1"/>
  <c r="N2345" i="5" s="1"/>
  <c r="J2346" i="5"/>
  <c r="K2346" i="5" s="1"/>
  <c r="N2346" i="5" s="1"/>
  <c r="J2347" i="5"/>
  <c r="K2347" i="5" s="1"/>
  <c r="N2347" i="5" s="1"/>
  <c r="J2348" i="5"/>
  <c r="K2348" i="5" s="1"/>
  <c r="N2348" i="5" s="1"/>
  <c r="J2349" i="5"/>
  <c r="K2349" i="5" s="1"/>
  <c r="N2349" i="5" s="1"/>
  <c r="J2350" i="5"/>
  <c r="K2350" i="5" s="1"/>
  <c r="N2350" i="5" s="1"/>
  <c r="J2351" i="5"/>
  <c r="K2351" i="5" s="1"/>
  <c r="N2351" i="5" s="1"/>
  <c r="J2352" i="5"/>
  <c r="K2352" i="5" s="1"/>
  <c r="N2352" i="5" s="1"/>
  <c r="J2353" i="5"/>
  <c r="K2353" i="5" s="1"/>
  <c r="N2353" i="5" s="1"/>
  <c r="J2354" i="5"/>
  <c r="K2354" i="5" s="1"/>
  <c r="N2354" i="5" s="1"/>
  <c r="J2355" i="5"/>
  <c r="K2355" i="5" s="1"/>
  <c r="N2355" i="5" s="1"/>
  <c r="J2356" i="5"/>
  <c r="K2356" i="5" s="1"/>
  <c r="N2356" i="5" s="1"/>
  <c r="J2357" i="5"/>
  <c r="K2357" i="5" s="1"/>
  <c r="N2357" i="5" s="1"/>
  <c r="J2358" i="5"/>
  <c r="K2358" i="5" s="1"/>
  <c r="N2358" i="5" s="1"/>
  <c r="J2359" i="5"/>
  <c r="K2359" i="5" s="1"/>
  <c r="N2359" i="5" s="1"/>
  <c r="J2360" i="5"/>
  <c r="K2360" i="5" s="1"/>
  <c r="N2360" i="5" s="1"/>
  <c r="J2361" i="5"/>
  <c r="K2361" i="5" s="1"/>
  <c r="N2361" i="5" s="1"/>
  <c r="J2362" i="5"/>
  <c r="K2362" i="5" s="1"/>
  <c r="N2362" i="5" s="1"/>
  <c r="J2363" i="5"/>
  <c r="K2363" i="5" s="1"/>
  <c r="N2363" i="5" s="1"/>
  <c r="J2364" i="5"/>
  <c r="K2364" i="5" s="1"/>
  <c r="N2364" i="5" s="1"/>
  <c r="J2365" i="5"/>
  <c r="K2365" i="5" s="1"/>
  <c r="N2365" i="5" s="1"/>
  <c r="J2366" i="5"/>
  <c r="K2366" i="5" s="1"/>
  <c r="N2366" i="5" s="1"/>
  <c r="J2367" i="5"/>
  <c r="K2367" i="5" s="1"/>
  <c r="N2367" i="5" s="1"/>
  <c r="J2368" i="5"/>
  <c r="K2368" i="5" s="1"/>
  <c r="N2368" i="5" s="1"/>
  <c r="J2369" i="5"/>
  <c r="K2369" i="5" s="1"/>
  <c r="N2369" i="5" s="1"/>
  <c r="J2370" i="5"/>
  <c r="K2370" i="5" s="1"/>
  <c r="N2370" i="5" s="1"/>
  <c r="J2371" i="5"/>
  <c r="K2371" i="5" s="1"/>
  <c r="N2371" i="5" s="1"/>
  <c r="J2372" i="5"/>
  <c r="K2372" i="5" s="1"/>
  <c r="N2372" i="5" s="1"/>
  <c r="J2373" i="5"/>
  <c r="K2373" i="5" s="1"/>
  <c r="N2373" i="5" s="1"/>
  <c r="J2374" i="5"/>
  <c r="K2374" i="5" s="1"/>
  <c r="N2374" i="5" s="1"/>
  <c r="J2375" i="5"/>
  <c r="K2375" i="5" s="1"/>
  <c r="N2375" i="5" s="1"/>
  <c r="J2376" i="5"/>
  <c r="K2376" i="5" s="1"/>
  <c r="N2376" i="5" s="1"/>
  <c r="J2377" i="5"/>
  <c r="K2377" i="5" s="1"/>
  <c r="N2377" i="5" s="1"/>
  <c r="J2378" i="5"/>
  <c r="K2378" i="5" s="1"/>
  <c r="N2378" i="5" s="1"/>
  <c r="J2379" i="5"/>
  <c r="K2379" i="5" s="1"/>
  <c r="N2379" i="5" s="1"/>
  <c r="J2380" i="5"/>
  <c r="K2380" i="5" s="1"/>
  <c r="N2380" i="5" s="1"/>
  <c r="J2381" i="5"/>
  <c r="K2381" i="5" s="1"/>
  <c r="N2381" i="5" s="1"/>
  <c r="J2382" i="5"/>
  <c r="K2382" i="5" s="1"/>
  <c r="N2382" i="5" s="1"/>
  <c r="J2383" i="5"/>
  <c r="K2383" i="5" s="1"/>
  <c r="N2383" i="5" s="1"/>
  <c r="J2384" i="5"/>
  <c r="K2384" i="5" s="1"/>
  <c r="N2384" i="5" s="1"/>
  <c r="J2385" i="5"/>
  <c r="K2385" i="5" s="1"/>
  <c r="N2385" i="5" s="1"/>
  <c r="J2386" i="5"/>
  <c r="K2386" i="5" s="1"/>
  <c r="N2386" i="5" s="1"/>
  <c r="J2387" i="5"/>
  <c r="K2387" i="5" s="1"/>
  <c r="N2387" i="5" s="1"/>
  <c r="J2388" i="5"/>
  <c r="K2388" i="5" s="1"/>
  <c r="N2388" i="5" s="1"/>
  <c r="J2389" i="5"/>
  <c r="K2389" i="5" s="1"/>
  <c r="N2389" i="5" s="1"/>
  <c r="J2390" i="5"/>
  <c r="K2390" i="5" s="1"/>
  <c r="N2390" i="5" s="1"/>
  <c r="J2391" i="5"/>
  <c r="K2391" i="5" s="1"/>
  <c r="N2391" i="5" s="1"/>
  <c r="J2392" i="5"/>
  <c r="K2392" i="5" s="1"/>
  <c r="N2392" i="5" s="1"/>
  <c r="J2393" i="5"/>
  <c r="K2393" i="5" s="1"/>
  <c r="N2393" i="5" s="1"/>
  <c r="J2394" i="5"/>
  <c r="K2394" i="5" s="1"/>
  <c r="N2394" i="5" s="1"/>
  <c r="J2395" i="5"/>
  <c r="K2395" i="5" s="1"/>
  <c r="N2395" i="5" s="1"/>
  <c r="J2396" i="5"/>
  <c r="K2396" i="5" s="1"/>
  <c r="N2396" i="5" s="1"/>
  <c r="J2397" i="5"/>
  <c r="K2397" i="5" s="1"/>
  <c r="N2397" i="5" s="1"/>
  <c r="J2398" i="5"/>
  <c r="K2398" i="5" s="1"/>
  <c r="N2398" i="5" s="1"/>
  <c r="J2399" i="5"/>
  <c r="K2399" i="5" s="1"/>
  <c r="N2399" i="5" s="1"/>
  <c r="J2400" i="5"/>
  <c r="K2400" i="5" s="1"/>
  <c r="N2400" i="5" s="1"/>
  <c r="J2401" i="5"/>
  <c r="K2401" i="5" s="1"/>
  <c r="N2401" i="5" s="1"/>
  <c r="J2402" i="5"/>
  <c r="K2402" i="5" s="1"/>
  <c r="N2402" i="5" s="1"/>
  <c r="J2403" i="5"/>
  <c r="K2403" i="5" s="1"/>
  <c r="N2403" i="5" s="1"/>
  <c r="J2404" i="5"/>
  <c r="K2404" i="5" s="1"/>
  <c r="N2404" i="5" s="1"/>
  <c r="J2405" i="5"/>
  <c r="K2405" i="5" s="1"/>
  <c r="N2405" i="5" s="1"/>
  <c r="J2406" i="5"/>
  <c r="K2406" i="5" s="1"/>
  <c r="N2406" i="5" s="1"/>
  <c r="J2407" i="5"/>
  <c r="K2407" i="5" s="1"/>
  <c r="N2407" i="5" s="1"/>
  <c r="J2408" i="5"/>
  <c r="K2408" i="5" s="1"/>
  <c r="N2408" i="5" s="1"/>
  <c r="J2409" i="5"/>
  <c r="K2409" i="5" s="1"/>
  <c r="N2409" i="5" s="1"/>
  <c r="J2410" i="5"/>
  <c r="K2410" i="5" s="1"/>
  <c r="N2410" i="5" s="1"/>
  <c r="J2411" i="5"/>
  <c r="K2411" i="5" s="1"/>
  <c r="N2411" i="5" s="1"/>
  <c r="J2412" i="5"/>
  <c r="K2412" i="5" s="1"/>
  <c r="N2412" i="5" s="1"/>
  <c r="J2413" i="5"/>
  <c r="K2413" i="5" s="1"/>
  <c r="N2413" i="5" s="1"/>
  <c r="J2414" i="5"/>
  <c r="K2414" i="5" s="1"/>
  <c r="N2414" i="5" s="1"/>
  <c r="J2415" i="5"/>
  <c r="K2415" i="5" s="1"/>
  <c r="N2415" i="5" s="1"/>
  <c r="J2416" i="5"/>
  <c r="K2416" i="5" s="1"/>
  <c r="N2416" i="5" s="1"/>
  <c r="J2417" i="5"/>
  <c r="K2417" i="5" s="1"/>
  <c r="N2417" i="5" s="1"/>
  <c r="J2418" i="5"/>
  <c r="K2418" i="5" s="1"/>
  <c r="N2418" i="5" s="1"/>
  <c r="J2419" i="5"/>
  <c r="K2419" i="5" s="1"/>
  <c r="N2419" i="5" s="1"/>
  <c r="J2420" i="5"/>
  <c r="K2420" i="5" s="1"/>
  <c r="N2420" i="5" s="1"/>
  <c r="J2421" i="5"/>
  <c r="K2421" i="5" s="1"/>
  <c r="N2421" i="5" s="1"/>
  <c r="J2422" i="5"/>
  <c r="K2422" i="5" s="1"/>
  <c r="N2422" i="5" s="1"/>
  <c r="J2423" i="5"/>
  <c r="K2423" i="5" s="1"/>
  <c r="N2423" i="5" s="1"/>
  <c r="J2424" i="5"/>
  <c r="K2424" i="5" s="1"/>
  <c r="N2424" i="5" s="1"/>
  <c r="J2425" i="5"/>
  <c r="K2425" i="5" s="1"/>
  <c r="N2425" i="5" s="1"/>
  <c r="J2426" i="5"/>
  <c r="K2426" i="5" s="1"/>
  <c r="N2426" i="5" s="1"/>
  <c r="J2427" i="5"/>
  <c r="K2427" i="5" s="1"/>
  <c r="N2427" i="5" s="1"/>
  <c r="J2428" i="5"/>
  <c r="K2428" i="5" s="1"/>
  <c r="N2428" i="5" s="1"/>
  <c r="J2429" i="5"/>
  <c r="K2429" i="5" s="1"/>
  <c r="N2429" i="5" s="1"/>
  <c r="J2430" i="5"/>
  <c r="K2430" i="5" s="1"/>
  <c r="N2430" i="5" s="1"/>
  <c r="J2431" i="5"/>
  <c r="K2431" i="5" s="1"/>
  <c r="N2431" i="5" s="1"/>
  <c r="J2432" i="5"/>
  <c r="K2432" i="5" s="1"/>
  <c r="N2432" i="5" s="1"/>
  <c r="J2433" i="5"/>
  <c r="K2433" i="5" s="1"/>
  <c r="N2433" i="5" s="1"/>
  <c r="J2434" i="5"/>
  <c r="K2434" i="5" s="1"/>
  <c r="N2434" i="5" s="1"/>
  <c r="J2435" i="5"/>
  <c r="K2435" i="5" s="1"/>
  <c r="N2435" i="5" s="1"/>
  <c r="J2436" i="5"/>
  <c r="K2436" i="5" s="1"/>
  <c r="N2436" i="5" s="1"/>
  <c r="J2437" i="5"/>
  <c r="K2437" i="5" s="1"/>
  <c r="N2437" i="5" s="1"/>
  <c r="J2438" i="5"/>
  <c r="K2438" i="5" s="1"/>
  <c r="N2438" i="5" s="1"/>
  <c r="J2439" i="5"/>
  <c r="K2439" i="5" s="1"/>
  <c r="N2439" i="5" s="1"/>
  <c r="J2440" i="5"/>
  <c r="K2440" i="5" s="1"/>
  <c r="N2440" i="5" s="1"/>
  <c r="J2441" i="5"/>
  <c r="K2441" i="5" s="1"/>
  <c r="N2441" i="5" s="1"/>
  <c r="J2442" i="5"/>
  <c r="K2442" i="5" s="1"/>
  <c r="N2442" i="5" s="1"/>
  <c r="J2443" i="5"/>
  <c r="K2443" i="5" s="1"/>
  <c r="N2443" i="5" s="1"/>
  <c r="J2444" i="5"/>
  <c r="K2444" i="5" s="1"/>
  <c r="N2444" i="5" s="1"/>
  <c r="J2445" i="5"/>
  <c r="K2445" i="5" s="1"/>
  <c r="N2445" i="5" s="1"/>
  <c r="J2446" i="5"/>
  <c r="K2446" i="5" s="1"/>
  <c r="N2446" i="5" s="1"/>
  <c r="J2447" i="5"/>
  <c r="K2447" i="5" s="1"/>
  <c r="N2447" i="5" s="1"/>
  <c r="J2448" i="5"/>
  <c r="K2448" i="5" s="1"/>
  <c r="N2448" i="5" s="1"/>
  <c r="J2449" i="5"/>
  <c r="K2449" i="5" s="1"/>
  <c r="N2449" i="5" s="1"/>
  <c r="J2450" i="5"/>
  <c r="K2450" i="5" s="1"/>
  <c r="N2450" i="5" s="1"/>
  <c r="J2451" i="5"/>
  <c r="K2451" i="5" s="1"/>
  <c r="N2451" i="5" s="1"/>
  <c r="J2452" i="5"/>
  <c r="K2452" i="5" s="1"/>
  <c r="N2452" i="5" s="1"/>
  <c r="J2453" i="5"/>
  <c r="K2453" i="5" s="1"/>
  <c r="N2453" i="5" s="1"/>
  <c r="J2454" i="5"/>
  <c r="K2454" i="5" s="1"/>
  <c r="N2454" i="5" s="1"/>
  <c r="J2455" i="5"/>
  <c r="K2455" i="5" s="1"/>
  <c r="N2455" i="5" s="1"/>
  <c r="J2456" i="5"/>
  <c r="K2456" i="5" s="1"/>
  <c r="N2456" i="5" s="1"/>
  <c r="J2457" i="5"/>
  <c r="K2457" i="5" s="1"/>
  <c r="N2457" i="5" s="1"/>
  <c r="J2458" i="5"/>
  <c r="K2458" i="5" s="1"/>
  <c r="N2458" i="5" s="1"/>
  <c r="J2459" i="5"/>
  <c r="K2459" i="5" s="1"/>
  <c r="N2459" i="5" s="1"/>
  <c r="J2460" i="5"/>
  <c r="K2460" i="5" s="1"/>
  <c r="N2460" i="5" s="1"/>
  <c r="J2461" i="5"/>
  <c r="K2461" i="5" s="1"/>
  <c r="N2461" i="5" s="1"/>
  <c r="J2462" i="5"/>
  <c r="K2462" i="5" s="1"/>
  <c r="N2462" i="5" s="1"/>
  <c r="J2463" i="5"/>
  <c r="K2463" i="5" s="1"/>
  <c r="N2463" i="5" s="1"/>
  <c r="J2464" i="5"/>
  <c r="K2464" i="5" s="1"/>
  <c r="N2464" i="5" s="1"/>
  <c r="J2465" i="5"/>
  <c r="K2465" i="5" s="1"/>
  <c r="N2465" i="5" s="1"/>
  <c r="J2466" i="5"/>
  <c r="K2466" i="5" s="1"/>
  <c r="N2466" i="5" s="1"/>
  <c r="J2467" i="5"/>
  <c r="K2467" i="5" s="1"/>
  <c r="N2467" i="5" s="1"/>
  <c r="J2468" i="5"/>
  <c r="K2468" i="5" s="1"/>
  <c r="N2468" i="5" s="1"/>
  <c r="J2469" i="5"/>
  <c r="K2469" i="5" s="1"/>
  <c r="N2469" i="5" s="1"/>
  <c r="J2470" i="5"/>
  <c r="K2470" i="5" s="1"/>
  <c r="N2470" i="5" s="1"/>
  <c r="J2471" i="5"/>
  <c r="K2471" i="5" s="1"/>
  <c r="N2471" i="5" s="1"/>
  <c r="J2472" i="5"/>
  <c r="K2472" i="5" s="1"/>
  <c r="N2472" i="5" s="1"/>
  <c r="J2473" i="5"/>
  <c r="K2473" i="5" s="1"/>
  <c r="N2473" i="5" s="1"/>
  <c r="J2474" i="5"/>
  <c r="K2474" i="5" s="1"/>
  <c r="N2474" i="5" s="1"/>
  <c r="J2475" i="5"/>
  <c r="K2475" i="5" s="1"/>
  <c r="N2475" i="5" s="1"/>
  <c r="J2476" i="5"/>
  <c r="K2476" i="5" s="1"/>
  <c r="N2476" i="5" s="1"/>
  <c r="J2477" i="5"/>
  <c r="K2477" i="5" s="1"/>
  <c r="N2477" i="5" s="1"/>
  <c r="J2478" i="5"/>
  <c r="K2478" i="5" s="1"/>
  <c r="N2478" i="5" s="1"/>
  <c r="J2479" i="5"/>
  <c r="K2479" i="5" s="1"/>
  <c r="N2479" i="5" s="1"/>
  <c r="J2480" i="5"/>
  <c r="K2480" i="5" s="1"/>
  <c r="N2480" i="5" s="1"/>
  <c r="J2481" i="5"/>
  <c r="K2481" i="5" s="1"/>
  <c r="N2481" i="5" s="1"/>
  <c r="J2482" i="5"/>
  <c r="K2482" i="5" s="1"/>
  <c r="N2482" i="5" s="1"/>
  <c r="J2483" i="5"/>
  <c r="K2483" i="5" s="1"/>
  <c r="N2483" i="5" s="1"/>
  <c r="J2484" i="5"/>
  <c r="K2484" i="5" s="1"/>
  <c r="N2484" i="5" s="1"/>
  <c r="J2485" i="5"/>
  <c r="K2485" i="5" s="1"/>
  <c r="N2485" i="5" s="1"/>
  <c r="J2486" i="5"/>
  <c r="K2486" i="5" s="1"/>
  <c r="N2486" i="5" s="1"/>
  <c r="J2487" i="5"/>
  <c r="K2487" i="5" s="1"/>
  <c r="N2487" i="5" s="1"/>
  <c r="J2488" i="5"/>
  <c r="K2488" i="5" s="1"/>
  <c r="N2488" i="5" s="1"/>
  <c r="J2489" i="5"/>
  <c r="K2489" i="5" s="1"/>
  <c r="N2489" i="5" s="1"/>
  <c r="J2490" i="5"/>
  <c r="K2490" i="5" s="1"/>
  <c r="N2490" i="5" s="1"/>
  <c r="J2491" i="5"/>
  <c r="K2491" i="5" s="1"/>
  <c r="N2491" i="5" s="1"/>
  <c r="J2492" i="5"/>
  <c r="K2492" i="5" s="1"/>
  <c r="N2492" i="5" s="1"/>
  <c r="J2493" i="5"/>
  <c r="K2493" i="5" s="1"/>
  <c r="N2493" i="5" s="1"/>
  <c r="J2494" i="5"/>
  <c r="K2494" i="5" s="1"/>
  <c r="N2494" i="5" s="1"/>
  <c r="J2495" i="5"/>
  <c r="K2495" i="5" s="1"/>
  <c r="N2495" i="5" s="1"/>
  <c r="J2496" i="5"/>
  <c r="K2496" i="5" s="1"/>
  <c r="N2496" i="5" s="1"/>
  <c r="J2497" i="5"/>
  <c r="K2497" i="5" s="1"/>
  <c r="N2497" i="5" s="1"/>
  <c r="J2498" i="5"/>
  <c r="K2498" i="5" s="1"/>
  <c r="N2498" i="5" s="1"/>
  <c r="J2499" i="5"/>
  <c r="K2499" i="5" s="1"/>
  <c r="N2499" i="5" s="1"/>
  <c r="J2500" i="5"/>
  <c r="K2500" i="5" s="1"/>
  <c r="N2500" i="5" s="1"/>
  <c r="J2501" i="5"/>
  <c r="K2501" i="5" s="1"/>
  <c r="N2501" i="5" s="1"/>
  <c r="J2502" i="5"/>
  <c r="K2502" i="5" s="1"/>
  <c r="N2502" i="5" s="1"/>
  <c r="J2503" i="5"/>
  <c r="K2503" i="5" s="1"/>
  <c r="N2503" i="5" s="1"/>
  <c r="J2504" i="5"/>
  <c r="K2504" i="5" s="1"/>
  <c r="N2504" i="5" s="1"/>
  <c r="J2505" i="5"/>
  <c r="K2505" i="5" s="1"/>
  <c r="N2505" i="5" s="1"/>
  <c r="J2506" i="5"/>
  <c r="K2506" i="5" s="1"/>
  <c r="N2506" i="5" s="1"/>
  <c r="J2507" i="5"/>
  <c r="K2507" i="5" s="1"/>
  <c r="N2507" i="5" s="1"/>
  <c r="J2508" i="5"/>
  <c r="K2508" i="5" s="1"/>
  <c r="N2508" i="5" s="1"/>
  <c r="J2509" i="5"/>
  <c r="K2509" i="5" s="1"/>
  <c r="N2509" i="5" s="1"/>
  <c r="J2510" i="5"/>
  <c r="K2510" i="5" s="1"/>
  <c r="N2510" i="5" s="1"/>
  <c r="J2511" i="5"/>
  <c r="K2511" i="5" s="1"/>
  <c r="N2511" i="5" s="1"/>
  <c r="J2512" i="5"/>
  <c r="K2512" i="5" s="1"/>
  <c r="N2512" i="5" s="1"/>
  <c r="J2513" i="5"/>
  <c r="K2513" i="5" s="1"/>
  <c r="N2513" i="5" s="1"/>
  <c r="J2514" i="5"/>
  <c r="K2514" i="5" s="1"/>
  <c r="N2514" i="5" s="1"/>
  <c r="J2515" i="5"/>
  <c r="K2515" i="5" s="1"/>
  <c r="N2515" i="5" s="1"/>
  <c r="J2516" i="5"/>
  <c r="K2516" i="5" s="1"/>
  <c r="N2516" i="5" s="1"/>
  <c r="J2517" i="5"/>
  <c r="K2517" i="5" s="1"/>
  <c r="N2517" i="5" s="1"/>
  <c r="J2518" i="5"/>
  <c r="K2518" i="5" s="1"/>
  <c r="N2518" i="5" s="1"/>
  <c r="J2519" i="5"/>
  <c r="K2519" i="5" s="1"/>
  <c r="N2519" i="5" s="1"/>
  <c r="J2520" i="5"/>
  <c r="K2520" i="5" s="1"/>
  <c r="N2520" i="5" s="1"/>
  <c r="J2521" i="5"/>
  <c r="K2521" i="5" s="1"/>
  <c r="N2521" i="5" s="1"/>
  <c r="J2522" i="5"/>
  <c r="K2522" i="5" s="1"/>
  <c r="N2522" i="5" s="1"/>
  <c r="J2523" i="5"/>
  <c r="K2523" i="5" s="1"/>
  <c r="N2523" i="5" s="1"/>
  <c r="J2524" i="5"/>
  <c r="K2524" i="5" s="1"/>
  <c r="N2524" i="5" s="1"/>
  <c r="J2525" i="5"/>
  <c r="K2525" i="5" s="1"/>
  <c r="N2525" i="5" s="1"/>
  <c r="J2526" i="5"/>
  <c r="K2526" i="5" s="1"/>
  <c r="N2526" i="5" s="1"/>
  <c r="J2527" i="5"/>
  <c r="K2527" i="5" s="1"/>
  <c r="N2527" i="5" s="1"/>
  <c r="J2528" i="5"/>
  <c r="K2528" i="5" s="1"/>
  <c r="N2528" i="5" s="1"/>
  <c r="J2529" i="5"/>
  <c r="K2529" i="5" s="1"/>
  <c r="N2529" i="5" s="1"/>
  <c r="J2530" i="5"/>
  <c r="K2530" i="5" s="1"/>
  <c r="N2530" i="5" s="1"/>
  <c r="J2531" i="5"/>
  <c r="K2531" i="5" s="1"/>
  <c r="N2531" i="5" s="1"/>
  <c r="J2532" i="5"/>
  <c r="K2532" i="5" s="1"/>
  <c r="N2532" i="5" s="1"/>
  <c r="J2533" i="5"/>
  <c r="K2533" i="5" s="1"/>
  <c r="N2533" i="5" s="1"/>
  <c r="J2534" i="5"/>
  <c r="K2534" i="5" s="1"/>
  <c r="N2534" i="5" s="1"/>
  <c r="J2535" i="5"/>
  <c r="K2535" i="5" s="1"/>
  <c r="N2535" i="5" s="1"/>
  <c r="J2536" i="5"/>
  <c r="K2536" i="5" s="1"/>
  <c r="N2536" i="5" s="1"/>
  <c r="J2537" i="5"/>
  <c r="K2537" i="5" s="1"/>
  <c r="N2537" i="5" s="1"/>
  <c r="J2538" i="5"/>
  <c r="K2538" i="5" s="1"/>
  <c r="N2538" i="5" s="1"/>
  <c r="J2539" i="5"/>
  <c r="K2539" i="5" s="1"/>
  <c r="N2539" i="5" s="1"/>
  <c r="J2540" i="5"/>
  <c r="K2540" i="5" s="1"/>
  <c r="N2540" i="5" s="1"/>
  <c r="J2541" i="5"/>
  <c r="K2541" i="5" s="1"/>
  <c r="N2541" i="5" s="1"/>
  <c r="J2542" i="5"/>
  <c r="K2542" i="5" s="1"/>
  <c r="N2542" i="5" s="1"/>
  <c r="J2543" i="5"/>
  <c r="K2543" i="5" s="1"/>
  <c r="N2543" i="5" s="1"/>
  <c r="J2544" i="5"/>
  <c r="K2544" i="5" s="1"/>
  <c r="N2544" i="5" s="1"/>
  <c r="J2545" i="5"/>
  <c r="K2545" i="5" s="1"/>
  <c r="N2545" i="5" s="1"/>
  <c r="J2546" i="5"/>
  <c r="K2546" i="5" s="1"/>
  <c r="N2546" i="5" s="1"/>
  <c r="J2547" i="5"/>
  <c r="K2547" i="5" s="1"/>
  <c r="N2547" i="5" s="1"/>
  <c r="J2548" i="5"/>
  <c r="K2548" i="5" s="1"/>
  <c r="N2548" i="5" s="1"/>
  <c r="J2549" i="5"/>
  <c r="K2549" i="5" s="1"/>
  <c r="N2549" i="5" s="1"/>
  <c r="J2550" i="5"/>
  <c r="K2550" i="5" s="1"/>
  <c r="N2550" i="5" s="1"/>
  <c r="J2551" i="5"/>
  <c r="K2551" i="5" s="1"/>
  <c r="N2551" i="5" s="1"/>
  <c r="J2552" i="5"/>
  <c r="K2552" i="5" s="1"/>
  <c r="N2552" i="5" s="1"/>
  <c r="J2553" i="5"/>
  <c r="K2553" i="5" s="1"/>
  <c r="N2553" i="5" s="1"/>
  <c r="J2554" i="5"/>
  <c r="K2554" i="5" s="1"/>
  <c r="N2554" i="5" s="1"/>
  <c r="J2555" i="5"/>
  <c r="K2555" i="5" s="1"/>
  <c r="N2555" i="5" s="1"/>
  <c r="J2556" i="5"/>
  <c r="K2556" i="5" s="1"/>
  <c r="N2556" i="5" s="1"/>
  <c r="J2557" i="5"/>
  <c r="K2557" i="5" s="1"/>
  <c r="N2557" i="5" s="1"/>
  <c r="J2558" i="5"/>
  <c r="K2558" i="5" s="1"/>
  <c r="N2558" i="5" s="1"/>
  <c r="J2559" i="5"/>
  <c r="K2559" i="5" s="1"/>
  <c r="N2559" i="5" s="1"/>
  <c r="J2560" i="5"/>
  <c r="K2560" i="5" s="1"/>
  <c r="N2560" i="5" s="1"/>
  <c r="J2561" i="5"/>
  <c r="K2561" i="5" s="1"/>
  <c r="N2561" i="5" s="1"/>
  <c r="J2562" i="5"/>
  <c r="K2562" i="5" s="1"/>
  <c r="N2562" i="5" s="1"/>
  <c r="J2563" i="5"/>
  <c r="K2563" i="5" s="1"/>
  <c r="N2563" i="5" s="1"/>
  <c r="J2564" i="5"/>
  <c r="K2564" i="5" s="1"/>
  <c r="N2564" i="5" s="1"/>
  <c r="J2565" i="5"/>
  <c r="K2565" i="5" s="1"/>
  <c r="N2565" i="5" s="1"/>
  <c r="J2566" i="5"/>
  <c r="K2566" i="5" s="1"/>
  <c r="N2566" i="5" s="1"/>
  <c r="J2567" i="5"/>
  <c r="K2567" i="5" s="1"/>
  <c r="N2567" i="5" s="1"/>
  <c r="J2568" i="5"/>
  <c r="K2568" i="5" s="1"/>
  <c r="N2568" i="5" s="1"/>
  <c r="J2569" i="5"/>
  <c r="K2569" i="5" s="1"/>
  <c r="N2569" i="5" s="1"/>
  <c r="J2570" i="5"/>
  <c r="K2570" i="5" s="1"/>
  <c r="N2570" i="5" s="1"/>
  <c r="J2571" i="5"/>
  <c r="K2571" i="5" s="1"/>
  <c r="N2571" i="5" s="1"/>
  <c r="J2572" i="5"/>
  <c r="K2572" i="5" s="1"/>
  <c r="N2572" i="5" s="1"/>
  <c r="J2573" i="5"/>
  <c r="K2573" i="5" s="1"/>
  <c r="N2573" i="5" s="1"/>
  <c r="J2574" i="5"/>
  <c r="K2574" i="5" s="1"/>
  <c r="N2574" i="5" s="1"/>
  <c r="J2575" i="5"/>
  <c r="K2575" i="5" s="1"/>
  <c r="N2575" i="5" s="1"/>
  <c r="J2576" i="5"/>
  <c r="K2576" i="5" s="1"/>
  <c r="N2576" i="5" s="1"/>
  <c r="J2577" i="5"/>
  <c r="K2577" i="5" s="1"/>
  <c r="N2577" i="5" s="1"/>
  <c r="J2578" i="5"/>
  <c r="K2578" i="5" s="1"/>
  <c r="N2578" i="5" s="1"/>
  <c r="J2579" i="5"/>
  <c r="K2579" i="5" s="1"/>
  <c r="N2579" i="5" s="1"/>
  <c r="J2580" i="5"/>
  <c r="K2580" i="5" s="1"/>
  <c r="N2580" i="5" s="1"/>
  <c r="J2581" i="5"/>
  <c r="K2581" i="5" s="1"/>
  <c r="N2581" i="5" s="1"/>
  <c r="J2582" i="5"/>
  <c r="K2582" i="5" s="1"/>
  <c r="N2582" i="5" s="1"/>
  <c r="J2583" i="5"/>
  <c r="K2583" i="5" s="1"/>
  <c r="N2583" i="5" s="1"/>
  <c r="J2584" i="5"/>
  <c r="K2584" i="5" s="1"/>
  <c r="N2584" i="5" s="1"/>
  <c r="J2585" i="5"/>
  <c r="K2585" i="5" s="1"/>
  <c r="N2585" i="5" s="1"/>
  <c r="J2586" i="5"/>
  <c r="K2586" i="5" s="1"/>
  <c r="N2586" i="5" s="1"/>
  <c r="J2587" i="5"/>
  <c r="K2587" i="5" s="1"/>
  <c r="N2587" i="5" s="1"/>
  <c r="J2588" i="5"/>
  <c r="K2588" i="5" s="1"/>
  <c r="N2588" i="5" s="1"/>
  <c r="J2589" i="5"/>
  <c r="K2589" i="5" s="1"/>
  <c r="N2589" i="5" s="1"/>
  <c r="J2590" i="5"/>
  <c r="K2590" i="5" s="1"/>
  <c r="N2590" i="5" s="1"/>
  <c r="J2591" i="5"/>
  <c r="K2591" i="5" s="1"/>
  <c r="N2591" i="5" s="1"/>
  <c r="J2592" i="5"/>
  <c r="K2592" i="5" s="1"/>
  <c r="N2592" i="5" s="1"/>
  <c r="J2593" i="5"/>
  <c r="K2593" i="5" s="1"/>
  <c r="N2593" i="5" s="1"/>
  <c r="J2594" i="5"/>
  <c r="K2594" i="5" s="1"/>
  <c r="N2594" i="5" s="1"/>
  <c r="J2595" i="5"/>
  <c r="K2595" i="5" s="1"/>
  <c r="N2595" i="5" s="1"/>
  <c r="J2596" i="5"/>
  <c r="K2596" i="5" s="1"/>
  <c r="N2596" i="5" s="1"/>
  <c r="J2597" i="5"/>
  <c r="K2597" i="5" s="1"/>
  <c r="N2597" i="5" s="1"/>
  <c r="J2598" i="5"/>
  <c r="K2598" i="5" s="1"/>
  <c r="N2598" i="5" s="1"/>
  <c r="J2599" i="5"/>
  <c r="K2599" i="5" s="1"/>
  <c r="N2599" i="5" s="1"/>
  <c r="J2600" i="5"/>
  <c r="K2600" i="5" s="1"/>
  <c r="N2600" i="5" s="1"/>
  <c r="J2601" i="5"/>
  <c r="K2601" i="5" s="1"/>
  <c r="N2601" i="5" s="1"/>
  <c r="J2602" i="5"/>
  <c r="K2602" i="5" s="1"/>
  <c r="N2602" i="5" s="1"/>
  <c r="J2603" i="5"/>
  <c r="K2603" i="5" s="1"/>
  <c r="N2603" i="5" s="1"/>
  <c r="J2604" i="5"/>
  <c r="K2604" i="5" s="1"/>
  <c r="N2604" i="5" s="1"/>
  <c r="J2605" i="5"/>
  <c r="K2605" i="5" s="1"/>
  <c r="N2605" i="5" s="1"/>
  <c r="J2606" i="5"/>
  <c r="K2606" i="5" s="1"/>
  <c r="N2606" i="5" s="1"/>
  <c r="J2607" i="5"/>
  <c r="K2607" i="5" s="1"/>
  <c r="N2607" i="5" s="1"/>
  <c r="J2608" i="5"/>
  <c r="K2608" i="5" s="1"/>
  <c r="N2608" i="5" s="1"/>
  <c r="J2609" i="5"/>
  <c r="K2609" i="5" s="1"/>
  <c r="N2609" i="5" s="1"/>
  <c r="J2610" i="5"/>
  <c r="K2610" i="5" s="1"/>
  <c r="N2610" i="5" s="1"/>
  <c r="J2611" i="5"/>
  <c r="K2611" i="5" s="1"/>
  <c r="N2611" i="5" s="1"/>
  <c r="J2612" i="5"/>
  <c r="K2612" i="5" s="1"/>
  <c r="N2612" i="5" s="1"/>
  <c r="J2613" i="5"/>
  <c r="K2613" i="5" s="1"/>
  <c r="N2613" i="5" s="1"/>
  <c r="J2614" i="5"/>
  <c r="K2614" i="5" s="1"/>
  <c r="N2614" i="5" s="1"/>
  <c r="J2615" i="5"/>
  <c r="K2615" i="5" s="1"/>
  <c r="N2615" i="5" s="1"/>
  <c r="J2616" i="5"/>
  <c r="K2616" i="5" s="1"/>
  <c r="N2616" i="5" s="1"/>
  <c r="J2617" i="5"/>
  <c r="K2617" i="5" s="1"/>
  <c r="N2617" i="5" s="1"/>
  <c r="J2618" i="5"/>
  <c r="K2618" i="5" s="1"/>
  <c r="N2618" i="5" s="1"/>
  <c r="J2619" i="5"/>
  <c r="K2619" i="5" s="1"/>
  <c r="N2619" i="5" s="1"/>
  <c r="J2620" i="5"/>
  <c r="K2620" i="5" s="1"/>
  <c r="N2620" i="5" s="1"/>
  <c r="J2621" i="5"/>
  <c r="K2621" i="5" s="1"/>
  <c r="N2621" i="5" s="1"/>
  <c r="J2622" i="5"/>
  <c r="K2622" i="5" s="1"/>
  <c r="N2622" i="5" s="1"/>
  <c r="J2623" i="5"/>
  <c r="K2623" i="5" s="1"/>
  <c r="N2623" i="5" s="1"/>
  <c r="J2624" i="5"/>
  <c r="K2624" i="5" s="1"/>
  <c r="N2624" i="5" s="1"/>
  <c r="J2625" i="5"/>
  <c r="K2625" i="5" s="1"/>
  <c r="N2625" i="5" s="1"/>
  <c r="J2626" i="5"/>
  <c r="K2626" i="5" s="1"/>
  <c r="N2626" i="5" s="1"/>
  <c r="J2627" i="5"/>
  <c r="K2627" i="5" s="1"/>
  <c r="N2627" i="5" s="1"/>
  <c r="J2628" i="5"/>
  <c r="K2628" i="5" s="1"/>
  <c r="N2628" i="5" s="1"/>
  <c r="J2629" i="5"/>
  <c r="K2629" i="5" s="1"/>
  <c r="N2629" i="5" s="1"/>
  <c r="J2630" i="5"/>
  <c r="K2630" i="5" s="1"/>
  <c r="N2630" i="5" s="1"/>
  <c r="J2631" i="5"/>
  <c r="K2631" i="5" s="1"/>
  <c r="N2631" i="5" s="1"/>
  <c r="J2632" i="5"/>
  <c r="K2632" i="5" s="1"/>
  <c r="N2632" i="5" s="1"/>
  <c r="J2633" i="5"/>
  <c r="K2633" i="5" s="1"/>
  <c r="N2633" i="5" s="1"/>
  <c r="J2634" i="5"/>
  <c r="K2634" i="5" s="1"/>
  <c r="N2634" i="5" s="1"/>
  <c r="J2635" i="5"/>
  <c r="K2635" i="5" s="1"/>
  <c r="N2635" i="5" s="1"/>
  <c r="J2636" i="5"/>
  <c r="K2636" i="5" s="1"/>
  <c r="N2636" i="5" s="1"/>
  <c r="J2637" i="5"/>
  <c r="K2637" i="5" s="1"/>
  <c r="N2637" i="5" s="1"/>
  <c r="J2638" i="5"/>
  <c r="K2638" i="5" s="1"/>
  <c r="N2638" i="5" s="1"/>
  <c r="J2639" i="5"/>
  <c r="K2639" i="5" s="1"/>
  <c r="N2639" i="5" s="1"/>
  <c r="J2640" i="5"/>
  <c r="K2640" i="5" s="1"/>
  <c r="N2640" i="5" s="1"/>
  <c r="K407" i="5"/>
  <c r="N407" i="5" s="1"/>
  <c r="K408" i="5"/>
  <c r="N408" i="5" s="1"/>
  <c r="K409" i="5"/>
  <c r="N409" i="5" s="1"/>
  <c r="K410" i="5"/>
  <c r="N410" i="5" s="1"/>
  <c r="K411" i="5"/>
  <c r="N411" i="5" s="1"/>
  <c r="K540" i="5"/>
  <c r="N540" i="5" s="1"/>
  <c r="K541" i="5"/>
  <c r="N541" i="5" s="1"/>
  <c r="K542" i="5"/>
  <c r="N542" i="5" s="1"/>
  <c r="K569" i="5"/>
  <c r="N569" i="5" s="1"/>
  <c r="K570" i="5"/>
  <c r="N570" i="5" s="1"/>
  <c r="K574" i="5"/>
  <c r="N574" i="5" s="1"/>
  <c r="K575" i="5"/>
  <c r="N575" i="5" s="1"/>
  <c r="K588" i="5"/>
  <c r="N588" i="5" s="1"/>
  <c r="K589" i="5"/>
  <c r="N589" i="5" s="1"/>
  <c r="K597" i="5"/>
  <c r="N597" i="5" s="1"/>
  <c r="K598" i="5"/>
  <c r="N598" i="5" s="1"/>
  <c r="K605" i="5"/>
  <c r="N605" i="5" s="1"/>
  <c r="K606" i="5"/>
  <c r="N606" i="5" s="1"/>
  <c r="K610" i="5"/>
  <c r="N610" i="5" s="1"/>
  <c r="K630" i="5"/>
  <c r="N630" i="5" s="1"/>
  <c r="K631" i="5"/>
  <c r="N631" i="5" s="1"/>
  <c r="K632" i="5"/>
  <c r="N632" i="5" s="1"/>
  <c r="K636" i="5"/>
  <c r="N636" i="5" s="1"/>
  <c r="K637" i="5"/>
  <c r="N637" i="5" s="1"/>
  <c r="K655" i="5"/>
  <c r="N655" i="5" s="1"/>
  <c r="K662" i="5"/>
  <c r="N662" i="5" s="1"/>
  <c r="K663" i="5"/>
  <c r="N663" i="5" s="1"/>
  <c r="K664" i="5"/>
  <c r="N664" i="5" s="1"/>
  <c r="K671" i="5"/>
  <c r="N671" i="5" s="1"/>
  <c r="K672" i="5"/>
  <c r="N672" i="5" s="1"/>
  <c r="K682" i="5"/>
  <c r="N682" i="5" s="1"/>
  <c r="K692" i="5"/>
  <c r="N692" i="5" s="1"/>
  <c r="K697" i="5"/>
  <c r="N697" i="5" s="1"/>
  <c r="K708" i="5"/>
  <c r="N708" i="5" s="1"/>
  <c r="K711" i="5"/>
  <c r="N711" i="5" s="1"/>
  <c r="K712" i="5"/>
  <c r="N712" i="5" s="1"/>
  <c r="K723" i="5"/>
  <c r="N723" i="5" s="1"/>
  <c r="K727" i="5"/>
  <c r="N727" i="5" s="1"/>
  <c r="K728" i="5"/>
  <c r="N728" i="5" s="1"/>
  <c r="K736" i="5"/>
  <c r="N736" i="5" s="1"/>
  <c r="K740" i="5"/>
  <c r="N740" i="5" s="1"/>
  <c r="K741" i="5"/>
  <c r="N741" i="5" s="1"/>
  <c r="K742" i="5"/>
  <c r="N742" i="5" s="1"/>
  <c r="K757" i="5"/>
  <c r="N757" i="5" s="1"/>
  <c r="K758" i="5"/>
  <c r="N758" i="5" s="1"/>
  <c r="K759" i="5"/>
  <c r="N759" i="5" s="1"/>
  <c r="K769" i="5"/>
  <c r="N769" i="5" s="1"/>
  <c r="K770" i="5"/>
  <c r="N770" i="5" s="1"/>
  <c r="K773" i="5"/>
  <c r="N773" i="5" s="1"/>
  <c r="K796" i="5"/>
  <c r="N796" i="5" s="1"/>
  <c r="K797" i="5"/>
  <c r="N797" i="5" s="1"/>
  <c r="K798" i="5"/>
  <c r="N798" i="5" s="1"/>
  <c r="K806" i="5"/>
  <c r="N806" i="5" s="1"/>
  <c r="K815" i="5"/>
  <c r="N815" i="5" s="1"/>
  <c r="K823" i="5"/>
  <c r="N823" i="5" s="1"/>
  <c r="K828" i="5"/>
  <c r="N828" i="5" s="1"/>
  <c r="K840" i="5"/>
  <c r="N840" i="5" s="1"/>
  <c r="K841" i="5"/>
  <c r="N841" i="5" s="1"/>
  <c r="K843" i="5"/>
  <c r="N843" i="5" s="1"/>
  <c r="K853" i="5"/>
  <c r="N853" i="5" s="1"/>
  <c r="K859" i="5"/>
  <c r="N859" i="5" s="1"/>
  <c r="K865" i="5"/>
  <c r="N865" i="5" s="1"/>
  <c r="K872" i="5"/>
  <c r="N872" i="5" s="1"/>
  <c r="K878" i="5"/>
  <c r="N878" i="5" s="1"/>
  <c r="K890" i="5"/>
  <c r="N890" i="5" s="1"/>
  <c r="K898" i="5"/>
  <c r="N898" i="5" s="1"/>
  <c r="K899" i="5"/>
  <c r="N899" i="5" s="1"/>
  <c r="K902" i="5"/>
  <c r="N902" i="5" s="1"/>
  <c r="K903" i="5"/>
  <c r="N903" i="5" s="1"/>
  <c r="K924" i="5"/>
  <c r="N924" i="5" s="1"/>
  <c r="K925" i="5"/>
  <c r="N925" i="5" s="1"/>
  <c r="K939" i="5"/>
  <c r="N939" i="5" s="1"/>
  <c r="K940" i="5"/>
  <c r="N940" i="5" s="1"/>
  <c r="K964" i="5"/>
  <c r="N964" i="5" s="1"/>
  <c r="K965" i="5"/>
  <c r="N965" i="5" s="1"/>
  <c r="K966" i="5"/>
  <c r="N966" i="5" s="1"/>
  <c r="K977" i="5"/>
  <c r="N977" i="5" s="1"/>
  <c r="K982" i="5"/>
  <c r="N982" i="5" s="1"/>
  <c r="K997" i="5"/>
  <c r="N997" i="5" s="1"/>
  <c r="K998" i="5"/>
  <c r="N998" i="5" s="1"/>
  <c r="K1011" i="5"/>
  <c r="N1011" i="5" s="1"/>
  <c r="K1012" i="5"/>
  <c r="N1012" i="5" s="1"/>
  <c r="K1024" i="5"/>
  <c r="N1024" i="5" s="1"/>
  <c r="K1036" i="5"/>
  <c r="N1036" i="5" s="1"/>
  <c r="K1037" i="5"/>
  <c r="N1037" i="5" s="1"/>
  <c r="K1039" i="5"/>
  <c r="N1039" i="5" s="1"/>
  <c r="K1049" i="5"/>
  <c r="N1049" i="5" s="1"/>
  <c r="K1059" i="5"/>
  <c r="N1059" i="5" s="1"/>
  <c r="K1060" i="5"/>
  <c r="N1060" i="5" s="1"/>
  <c r="K1077" i="5"/>
  <c r="N1077" i="5" s="1"/>
  <c r="K1078" i="5"/>
  <c r="N1078" i="5" s="1"/>
  <c r="K1097" i="5"/>
  <c r="N1097" i="5" s="1"/>
  <c r="K1098" i="5"/>
  <c r="N1098" i="5" s="1"/>
  <c r="K1112" i="5"/>
  <c r="N1112" i="5" s="1"/>
  <c r="K1140" i="5"/>
  <c r="N1140" i="5" s="1"/>
  <c r="K1141" i="5"/>
  <c r="N1141" i="5" s="1"/>
  <c r="K1153" i="5"/>
  <c r="N1153" i="5" s="1"/>
  <c r="K1154" i="5"/>
  <c r="N1154" i="5" s="1"/>
  <c r="K1181" i="5"/>
  <c r="N1181" i="5" s="1"/>
  <c r="K1183" i="5"/>
  <c r="N1183" i="5" s="1"/>
  <c r="K1186" i="5"/>
  <c r="N1186" i="5" s="1"/>
  <c r="K1188" i="5"/>
  <c r="N1188" i="5" s="1"/>
  <c r="K1190" i="5"/>
  <c r="N1190" i="5" s="1"/>
  <c r="K1232" i="5"/>
  <c r="N1232" i="5" s="1"/>
  <c r="K1235" i="5"/>
  <c r="N1235" i="5" s="1"/>
  <c r="K1247" i="5"/>
  <c r="N1247" i="5" s="1"/>
  <c r="K1248" i="5"/>
  <c r="N1248" i="5" s="1"/>
  <c r="K1251" i="5"/>
  <c r="N1251" i="5" s="1"/>
  <c r="K1258" i="5"/>
  <c r="N1258" i="5" s="1"/>
  <c r="K1261" i="5"/>
  <c r="N1261" i="5" s="1"/>
  <c r="K1262" i="5"/>
  <c r="N1262" i="5" s="1"/>
  <c r="K1266" i="5"/>
  <c r="N1266" i="5" s="1"/>
  <c r="K1271" i="5"/>
  <c r="N1271" i="5" s="1"/>
  <c r="K1274" i="5"/>
  <c r="N1274" i="5" s="1"/>
  <c r="K1280" i="5"/>
  <c r="N1280" i="5" s="1"/>
  <c r="K1284" i="5"/>
  <c r="N1284" i="5" s="1"/>
  <c r="K1293" i="5"/>
  <c r="N1293" i="5" s="1"/>
  <c r="K1294" i="5"/>
  <c r="N1294" i="5" s="1"/>
  <c r="K1300" i="5"/>
  <c r="N1300" i="5" s="1"/>
  <c r="K1301" i="5"/>
  <c r="N1301" i="5" s="1"/>
  <c r="K1305" i="5"/>
  <c r="N1305" i="5" s="1"/>
  <c r="K1308" i="5"/>
  <c r="N1308" i="5" s="1"/>
  <c r="K1312" i="5"/>
  <c r="N1312" i="5" s="1"/>
  <c r="K1316" i="5"/>
  <c r="N1316" i="5" s="1"/>
  <c r="K1318" i="5"/>
  <c r="N1318" i="5" s="1"/>
  <c r="K1329" i="5"/>
  <c r="N1329" i="5" s="1"/>
  <c r="K1331" i="5"/>
  <c r="N1331" i="5" s="1"/>
  <c r="K1336" i="5"/>
  <c r="N1336" i="5" s="1"/>
  <c r="K1342" i="5"/>
  <c r="N1342" i="5" s="1"/>
  <c r="K1345" i="5"/>
  <c r="N1345" i="5" s="1"/>
  <c r="K1347" i="5"/>
  <c r="N1347" i="5" s="1"/>
  <c r="K1349" i="5"/>
  <c r="N1349" i="5" s="1"/>
  <c r="K1358" i="5"/>
  <c r="N1358" i="5" s="1"/>
  <c r="K1359" i="5"/>
  <c r="N1359" i="5" s="1"/>
  <c r="K1363" i="5"/>
  <c r="N1363" i="5" s="1"/>
  <c r="K1367" i="5"/>
  <c r="N1367" i="5" s="1"/>
  <c r="K1377" i="5"/>
  <c r="N1377" i="5" s="1"/>
  <c r="K1379" i="5"/>
  <c r="N1379" i="5" s="1"/>
  <c r="K1380" i="5"/>
  <c r="N1380" i="5" s="1"/>
  <c r="K1384" i="5"/>
  <c r="N1384" i="5" s="1"/>
  <c r="K1385" i="5"/>
  <c r="N1385" i="5" s="1"/>
  <c r="K1395" i="5"/>
  <c r="N1395" i="5" s="1"/>
  <c r="K1400" i="5"/>
  <c r="N1400" i="5" s="1"/>
  <c r="K1409" i="5"/>
  <c r="N1409" i="5" s="1"/>
  <c r="K1411" i="5"/>
  <c r="N1411" i="5" s="1"/>
  <c r="K1415" i="5"/>
  <c r="N1415" i="5" s="1"/>
  <c r="K1416" i="5"/>
  <c r="N1416" i="5" s="1"/>
  <c r="K1420" i="5"/>
  <c r="N1420" i="5" s="1"/>
  <c r="K1423" i="5"/>
  <c r="N1423" i="5" s="1"/>
  <c r="K1424" i="5"/>
  <c r="N1424" i="5" s="1"/>
  <c r="K1431" i="5"/>
  <c r="N1431" i="5" s="1"/>
  <c r="K1432" i="5"/>
  <c r="N1432" i="5" s="1"/>
  <c r="K1438" i="5"/>
  <c r="N1438" i="5" s="1"/>
  <c r="K1439" i="5"/>
  <c r="N1439" i="5" s="1"/>
  <c r="K1446" i="5"/>
  <c r="N1446" i="5" s="1"/>
  <c r="K1447" i="5"/>
  <c r="N1447" i="5" s="1"/>
  <c r="K1451" i="5"/>
  <c r="N1451" i="5" s="1"/>
  <c r="K1456" i="5"/>
  <c r="N1456" i="5" s="1"/>
  <c r="K1457" i="5"/>
  <c r="N1457" i="5" s="1"/>
  <c r="K1469" i="5"/>
  <c r="N1469" i="5" s="1"/>
  <c r="K1470" i="5"/>
  <c r="N1470" i="5" s="1"/>
  <c r="K1484" i="5"/>
  <c r="N1484" i="5" s="1"/>
  <c r="K1490" i="5"/>
  <c r="N1490" i="5" s="1"/>
  <c r="K1493" i="5"/>
  <c r="N1493" i="5" s="1"/>
  <c r="K1495" i="5"/>
  <c r="N1495" i="5" s="1"/>
  <c r="K1496" i="5"/>
  <c r="N1496" i="5" s="1"/>
  <c r="K1498" i="5"/>
  <c r="N1498" i="5" s="1"/>
  <c r="K1502" i="5"/>
  <c r="N1502" i="5" s="1"/>
  <c r="K1506" i="5"/>
  <c r="N1506" i="5" s="1"/>
  <c r="K1507" i="5"/>
  <c r="N1507" i="5" s="1"/>
  <c r="K1510" i="5"/>
  <c r="N1510" i="5" s="1"/>
  <c r="K1511" i="5"/>
  <c r="N1511" i="5" s="1"/>
  <c r="K1515" i="5"/>
  <c r="N1515" i="5" s="1"/>
  <c r="K1517" i="5"/>
  <c r="N1517" i="5" s="1"/>
  <c r="K1520" i="5"/>
  <c r="N1520" i="5" s="1"/>
  <c r="K1522" i="5"/>
  <c r="N1522" i="5" s="1"/>
  <c r="K1525" i="5"/>
  <c r="N1525" i="5" s="1"/>
  <c r="K1530" i="5"/>
  <c r="N1530" i="5" s="1"/>
  <c r="K1531" i="5"/>
  <c r="N1531" i="5" s="1"/>
  <c r="K1537" i="5"/>
  <c r="N1537" i="5" s="1"/>
  <c r="K1539" i="5"/>
  <c r="N1539" i="5" s="1"/>
  <c r="K1547" i="5"/>
  <c r="N1547" i="5" s="1"/>
  <c r="K1548" i="5"/>
  <c r="N1548" i="5" s="1"/>
  <c r="K1549" i="5"/>
  <c r="N1549" i="5" s="1"/>
  <c r="K1551" i="5"/>
  <c r="N1551" i="5" s="1"/>
  <c r="K1553" i="5"/>
  <c r="N1553" i="5" s="1"/>
  <c r="K1556" i="5"/>
  <c r="N1556" i="5" s="1"/>
  <c r="K1558" i="5"/>
  <c r="N1558" i="5" s="1"/>
  <c r="K1564" i="5"/>
  <c r="N1564" i="5" s="1"/>
  <c r="K1565" i="5"/>
  <c r="N1565" i="5" s="1"/>
  <c r="K1574" i="5"/>
  <c r="N1574" i="5" s="1"/>
  <c r="K1575" i="5"/>
  <c r="N1575" i="5" s="1"/>
  <c r="K1577" i="5"/>
  <c r="N1577" i="5" s="1"/>
  <c r="K1581" i="5"/>
  <c r="N1581" i="5" s="1"/>
  <c r="K1584" i="5"/>
  <c r="N1584" i="5" s="1"/>
  <c r="K1590" i="5"/>
  <c r="N1590" i="5" s="1"/>
  <c r="K1595" i="5"/>
  <c r="N1595" i="5" s="1"/>
  <c r="K1598" i="5"/>
  <c r="N1598" i="5" s="1"/>
  <c r="K1600" i="5"/>
  <c r="N1600" i="5" s="1"/>
  <c r="K1604" i="5"/>
  <c r="N1604" i="5" s="1"/>
  <c r="K1605" i="5"/>
  <c r="N1605" i="5" s="1"/>
  <c r="K1606" i="5"/>
  <c r="N1606" i="5" s="1"/>
  <c r="K1611" i="5"/>
  <c r="N1611" i="5" s="1"/>
  <c r="K1615" i="5"/>
  <c r="N1615" i="5" s="1"/>
  <c r="K1620" i="5"/>
  <c r="N1620" i="5" s="1"/>
  <c r="K1622" i="5"/>
  <c r="N1622" i="5" s="1"/>
  <c r="K1626" i="5"/>
  <c r="N1626" i="5" s="1"/>
  <c r="K1628" i="5"/>
  <c r="N1628" i="5" s="1"/>
  <c r="K1633" i="5"/>
  <c r="N1633" i="5" s="1"/>
  <c r="K1634" i="5"/>
  <c r="N1634" i="5" s="1"/>
  <c r="K1635" i="5"/>
  <c r="N1635" i="5" s="1"/>
  <c r="K1637" i="5"/>
  <c r="N1637" i="5" s="1"/>
  <c r="K1638" i="5"/>
  <c r="N1638" i="5" s="1"/>
  <c r="K1646" i="5"/>
  <c r="N1646" i="5" s="1"/>
  <c r="K1647" i="5"/>
  <c r="N1647" i="5" s="1"/>
  <c r="K1654" i="5"/>
  <c r="N1654" i="5" s="1"/>
  <c r="K1656" i="5"/>
  <c r="N1656" i="5" s="1"/>
  <c r="K1660" i="5"/>
  <c r="N1660" i="5" s="1"/>
  <c r="K1661" i="5"/>
  <c r="N1661" i="5" s="1"/>
  <c r="K1662" i="5"/>
  <c r="N1662" i="5" s="1"/>
  <c r="K1664" i="5"/>
  <c r="N1664" i="5" s="1"/>
  <c r="K1665" i="5"/>
  <c r="N1665" i="5" s="1"/>
  <c r="K1671" i="5"/>
  <c r="N1671" i="5" s="1"/>
  <c r="K1673" i="5"/>
  <c r="N1673" i="5" s="1"/>
  <c r="K1677" i="5"/>
  <c r="N1677" i="5" s="1"/>
  <c r="K1678" i="5"/>
  <c r="N1678" i="5" s="1"/>
  <c r="K1682" i="5"/>
  <c r="N1682" i="5" s="1"/>
  <c r="K1684" i="5"/>
  <c r="N1684" i="5" s="1"/>
  <c r="K1685" i="5"/>
  <c r="N1685" i="5" s="1"/>
  <c r="K1689" i="5"/>
  <c r="N1689" i="5" s="1"/>
  <c r="K1690" i="5"/>
  <c r="N1690" i="5" s="1"/>
  <c r="K1694" i="5"/>
  <c r="N1694" i="5" s="1"/>
  <c r="K1696" i="5"/>
  <c r="N1696" i="5" s="1"/>
  <c r="K1701" i="5"/>
  <c r="N1701" i="5" s="1"/>
  <c r="K1702" i="5"/>
  <c r="N1702" i="5" s="1"/>
  <c r="K1705" i="5"/>
  <c r="N1705" i="5" s="1"/>
  <c r="K1707" i="5"/>
  <c r="N1707" i="5" s="1"/>
  <c r="K1708" i="5"/>
  <c r="N1708" i="5" s="1"/>
  <c r="K1712" i="5"/>
  <c r="N1712" i="5" s="1"/>
  <c r="K1713" i="5"/>
  <c r="N1713" i="5" s="1"/>
  <c r="K1717" i="5"/>
  <c r="N1717" i="5" s="1"/>
  <c r="K1718" i="5"/>
  <c r="N1718" i="5" s="1"/>
  <c r="K1721" i="5"/>
  <c r="N1721" i="5" s="1"/>
  <c r="K1722" i="5"/>
  <c r="N1722" i="5" s="1"/>
  <c r="K1728" i="5"/>
  <c r="N1728" i="5" s="1"/>
  <c r="K1729" i="5"/>
  <c r="N1729" i="5" s="1"/>
  <c r="K1730" i="5"/>
  <c r="N1730" i="5" s="1"/>
  <c r="K1733" i="5"/>
  <c r="N1733" i="5" s="1"/>
  <c r="K1734" i="5"/>
  <c r="N1734" i="5" s="1"/>
  <c r="K1737" i="5"/>
  <c r="N1737" i="5" s="1"/>
  <c r="K1738" i="5"/>
  <c r="N1738" i="5" s="1"/>
  <c r="K1741" i="5"/>
  <c r="N1741" i="5" s="1"/>
  <c r="K1742" i="5"/>
  <c r="N1742" i="5" s="1"/>
  <c r="K1746" i="5"/>
  <c r="N1746" i="5" s="1"/>
  <c r="K1747" i="5"/>
  <c r="N1747" i="5" s="1"/>
  <c r="K1748" i="5"/>
  <c r="N1748" i="5" s="1"/>
  <c r="K1750" i="5"/>
  <c r="N1750" i="5" s="1"/>
  <c r="K1752" i="5"/>
  <c r="N1752" i="5" s="1"/>
  <c r="K1757" i="5"/>
  <c r="N1757" i="5" s="1"/>
  <c r="K1758" i="5"/>
  <c r="N1758" i="5" s="1"/>
  <c r="K1761" i="5"/>
  <c r="N1761" i="5" s="1"/>
  <c r="K1762" i="5"/>
  <c r="N1762" i="5" s="1"/>
  <c r="K1765" i="5"/>
  <c r="N1765" i="5" s="1"/>
  <c r="K1767" i="5"/>
  <c r="N1767" i="5" s="1"/>
  <c r="K1768" i="5"/>
  <c r="N1768" i="5" s="1"/>
  <c r="K1774" i="5"/>
  <c r="N1774" i="5" s="1"/>
  <c r="K1775" i="5"/>
  <c r="N1775" i="5" s="1"/>
  <c r="K1778" i="5"/>
  <c r="N1778" i="5" s="1"/>
  <c r="K1779" i="5"/>
  <c r="N1779" i="5" s="1"/>
  <c r="K1783" i="5"/>
  <c r="N1783" i="5" s="1"/>
  <c r="K1784" i="5"/>
  <c r="N1784" i="5" s="1"/>
  <c r="K1788" i="5"/>
  <c r="N1788" i="5" s="1"/>
  <c r="K1792" i="5"/>
  <c r="N1792" i="5" s="1"/>
  <c r="K1793" i="5"/>
  <c r="N1793" i="5" s="1"/>
  <c r="K1795" i="5"/>
  <c r="N1795" i="5" s="1"/>
  <c r="K1797" i="5"/>
  <c r="N1797" i="5" s="1"/>
  <c r="K1800" i="5"/>
  <c r="N1800" i="5" s="1"/>
  <c r="K1802" i="5"/>
  <c r="N1802" i="5" s="1"/>
  <c r="K1805" i="5"/>
  <c r="N1805" i="5" s="1"/>
  <c r="K1806" i="5"/>
  <c r="N1806" i="5" s="1"/>
  <c r="K1810" i="5"/>
  <c r="N1810" i="5" s="1"/>
  <c r="K1813" i="5"/>
  <c r="N1813" i="5" s="1"/>
  <c r="K1814" i="5"/>
  <c r="N1814" i="5" s="1"/>
  <c r="K1816" i="5"/>
  <c r="N1816" i="5" s="1"/>
  <c r="K1817" i="5"/>
  <c r="N1817" i="5" s="1"/>
  <c r="K1823" i="5"/>
  <c r="N1823" i="5" s="1"/>
  <c r="K1824" i="5"/>
  <c r="N1824" i="5" s="1"/>
  <c r="K1827" i="5"/>
  <c r="N1827" i="5" s="1"/>
  <c r="K1828" i="5"/>
  <c r="N1828" i="5" s="1"/>
  <c r="K1831" i="5"/>
  <c r="N1831" i="5" s="1"/>
  <c r="K1832" i="5"/>
  <c r="N1832" i="5" s="1"/>
  <c r="K1833" i="5"/>
  <c r="N1833" i="5" s="1"/>
  <c r="K1836" i="5"/>
  <c r="N1836" i="5" s="1"/>
  <c r="K1837" i="5"/>
  <c r="N1837" i="5" s="1"/>
  <c r="K1844" i="5"/>
  <c r="N1844" i="5" s="1"/>
  <c r="K1845" i="5"/>
  <c r="N1845" i="5" s="1"/>
  <c r="K1848" i="5"/>
  <c r="N1848" i="5" s="1"/>
  <c r="K1849" i="5"/>
  <c r="N1849" i="5" s="1"/>
  <c r="K1853" i="5"/>
  <c r="N1853" i="5" s="1"/>
  <c r="K1856" i="5"/>
  <c r="N1856" i="5" s="1"/>
  <c r="K1857" i="5"/>
  <c r="N1857" i="5" s="1"/>
  <c r="K1859" i="5"/>
  <c r="N1859" i="5" s="1"/>
  <c r="K1860" i="5"/>
  <c r="N1860" i="5" s="1"/>
  <c r="K1864" i="5"/>
  <c r="N1864" i="5" s="1"/>
  <c r="K1865" i="5"/>
  <c r="N1865" i="5" s="1"/>
  <c r="K1869" i="5"/>
  <c r="N1869" i="5" s="1"/>
  <c r="K1870" i="5"/>
  <c r="N1870" i="5" s="1"/>
  <c r="K1873" i="5"/>
  <c r="N1873" i="5" s="1"/>
  <c r="K1874" i="5"/>
  <c r="N1874" i="5" s="1"/>
  <c r="K1875" i="5"/>
  <c r="N1875" i="5" s="1"/>
  <c r="K1877" i="5"/>
  <c r="N1877" i="5" s="1"/>
  <c r="K1878" i="5"/>
  <c r="N1878" i="5" s="1"/>
  <c r="K1881" i="5"/>
  <c r="N1881" i="5" s="1"/>
  <c r="K1883" i="5"/>
  <c r="N1883" i="5" s="1"/>
  <c r="K1886" i="5"/>
  <c r="N1886" i="5" s="1"/>
  <c r="K1887" i="5"/>
  <c r="N1887" i="5" s="1"/>
  <c r="K1890" i="5"/>
  <c r="N1890" i="5" s="1"/>
  <c r="K1891" i="5"/>
  <c r="N1891" i="5" s="1"/>
  <c r="K1892" i="5"/>
  <c r="N1892" i="5" s="1"/>
  <c r="K1894" i="5"/>
  <c r="N1894" i="5" s="1"/>
  <c r="K1895" i="5"/>
  <c r="N1895" i="5" s="1"/>
  <c r="K1898" i="5"/>
  <c r="N1898" i="5" s="1"/>
  <c r="K1899" i="5"/>
  <c r="N1899" i="5" s="1"/>
  <c r="K1902" i="5"/>
  <c r="N1902" i="5" s="1"/>
  <c r="K1903" i="5"/>
  <c r="N1903" i="5" s="1"/>
  <c r="K1906" i="5"/>
  <c r="N1906" i="5" s="1"/>
  <c r="K1907" i="5"/>
  <c r="N1907" i="5" s="1"/>
  <c r="K1908" i="5"/>
  <c r="N1908" i="5" s="1"/>
  <c r="K1910" i="5"/>
  <c r="N1910" i="5" s="1"/>
  <c r="K1911" i="5"/>
  <c r="N1911" i="5" s="1"/>
  <c r="K1914" i="5"/>
  <c r="N1914" i="5" s="1"/>
  <c r="K1915" i="5"/>
  <c r="N1915" i="5" s="1"/>
  <c r="K1918" i="5"/>
  <c r="N1918" i="5" s="1"/>
  <c r="K1919" i="5"/>
  <c r="N1919" i="5" s="1"/>
  <c r="K1922" i="5"/>
  <c r="N1922" i="5" s="1"/>
  <c r="K1923" i="5"/>
  <c r="N1923" i="5" s="1"/>
  <c r="K1924" i="5"/>
  <c r="N1924" i="5" s="1"/>
  <c r="K1926" i="5"/>
  <c r="N1926" i="5" s="1"/>
  <c r="K1927" i="5"/>
  <c r="N1927" i="5" s="1"/>
  <c r="K1931" i="5"/>
  <c r="N1931" i="5" s="1"/>
  <c r="K1936" i="5"/>
  <c r="N1936" i="5" s="1"/>
  <c r="K1937" i="5"/>
  <c r="N1937" i="5" s="1"/>
  <c r="K1942" i="5"/>
  <c r="N1942" i="5" s="1"/>
  <c r="K1944" i="5"/>
  <c r="N1944" i="5" s="1"/>
  <c r="K1946" i="5"/>
  <c r="N1946" i="5" s="1"/>
  <c r="K1947" i="5"/>
  <c r="N1947" i="5" s="1"/>
  <c r="K1950" i="5"/>
  <c r="N1950" i="5" s="1"/>
  <c r="K1951" i="5"/>
  <c r="N1951" i="5" s="1"/>
  <c r="K1954" i="5"/>
  <c r="N1954" i="5" s="1"/>
  <c r="K1955" i="5"/>
  <c r="N1955" i="5" s="1"/>
  <c r="K1960" i="5"/>
  <c r="N1960" i="5" s="1"/>
  <c r="K1961" i="5"/>
  <c r="N1961" i="5" s="1"/>
  <c r="K1962" i="5"/>
  <c r="N1962" i="5" s="1"/>
  <c r="K1965" i="5"/>
  <c r="N1965" i="5" s="1"/>
  <c r="K1968" i="5"/>
  <c r="N1968" i="5" s="1"/>
  <c r="K1969" i="5"/>
  <c r="N1969" i="5" s="1"/>
  <c r="K1973" i="5"/>
  <c r="N1973" i="5" s="1"/>
  <c r="K1976" i="5"/>
  <c r="N1976" i="5" s="1"/>
  <c r="K1977" i="5"/>
  <c r="N1977" i="5" s="1"/>
  <c r="K1978" i="5"/>
  <c r="N1978" i="5" s="1"/>
  <c r="K1980" i="5"/>
  <c r="N1980" i="5" s="1"/>
  <c r="K1981" i="5"/>
  <c r="N1981" i="5" s="1"/>
  <c r="K1984" i="5"/>
  <c r="N1984" i="5" s="1"/>
  <c r="K1992" i="5"/>
  <c r="N1992" i="5" s="1"/>
  <c r="K1995" i="5"/>
  <c r="N1995" i="5" s="1"/>
  <c r="K1997" i="5"/>
  <c r="N1997" i="5" s="1"/>
  <c r="K2000" i="5"/>
  <c r="N2000" i="5" s="1"/>
  <c r="K2003" i="5"/>
  <c r="N2003" i="5" s="1"/>
  <c r="K2004" i="5"/>
  <c r="N2004" i="5" s="1"/>
  <c r="K2008" i="5"/>
  <c r="N2008" i="5" s="1"/>
  <c r="K2011" i="5"/>
  <c r="N2011" i="5" s="1"/>
  <c r="K2012" i="5"/>
  <c r="N2012" i="5" s="1"/>
  <c r="K2013" i="5"/>
  <c r="N2013" i="5" s="1"/>
  <c r="K2015" i="5"/>
  <c r="N2015" i="5" s="1"/>
  <c r="K2019" i="5"/>
  <c r="N2019" i="5" s="1"/>
  <c r="K2020" i="5"/>
  <c r="N2020" i="5" s="1"/>
  <c r="K2027" i="5"/>
  <c r="N2027" i="5" s="1"/>
  <c r="K2028" i="5"/>
  <c r="N2028" i="5" s="1"/>
  <c r="K2029" i="5"/>
  <c r="N2029" i="5" s="1"/>
  <c r="K2032" i="5"/>
  <c r="N2032" i="5" s="1"/>
  <c r="K2035" i="5"/>
  <c r="N2035" i="5" s="1"/>
  <c r="K2036" i="5"/>
  <c r="N2036" i="5" s="1"/>
  <c r="K2040" i="5"/>
  <c r="N2040" i="5" s="1"/>
  <c r="K2044" i="5"/>
  <c r="N2044" i="5" s="1"/>
  <c r="K2045" i="5"/>
  <c r="N2045" i="5" s="1"/>
  <c r="K2047" i="5"/>
  <c r="N2047" i="5" s="1"/>
  <c r="K2048" i="5"/>
  <c r="N2048" i="5" s="1"/>
  <c r="K2051" i="5"/>
  <c r="N2051" i="5" s="1"/>
  <c r="K2056" i="5"/>
  <c r="N2056" i="5" s="1"/>
  <c r="K2059" i="5"/>
  <c r="N2059" i="5" s="1"/>
  <c r="K2061" i="5"/>
  <c r="N2061" i="5" s="1"/>
  <c r="K2064" i="5"/>
  <c r="N2064" i="5" s="1"/>
  <c r="K2067" i="5"/>
  <c r="N2067" i="5" s="1"/>
  <c r="K2068" i="5"/>
  <c r="N2068" i="5" s="1"/>
  <c r="K2072" i="5"/>
  <c r="N2072" i="5" s="1"/>
  <c r="K2076" i="5"/>
  <c r="N2076" i="5" s="1"/>
  <c r="K2077" i="5"/>
  <c r="N2077" i="5" s="1"/>
  <c r="K2079" i="5"/>
  <c r="N2079" i="5" s="1"/>
  <c r="K2084" i="5"/>
  <c r="N2084" i="5" s="1"/>
  <c r="K2092" i="5"/>
  <c r="N2092" i="5" s="1"/>
  <c r="K2095" i="5"/>
  <c r="N2095" i="5" s="1"/>
  <c r="K2100" i="5"/>
  <c r="N2100" i="5" s="1"/>
  <c r="K2106" i="5"/>
  <c r="N2106" i="5" s="1"/>
  <c r="K2108" i="5"/>
  <c r="N2108" i="5" s="1"/>
  <c r="K2112" i="5"/>
  <c r="N2112" i="5" s="1"/>
  <c r="K2116" i="5"/>
  <c r="N2116" i="5" s="1"/>
  <c r="K2118" i="5"/>
  <c r="N2118" i="5" s="1"/>
  <c r="K2120" i="5"/>
  <c r="N2120" i="5" s="1"/>
  <c r="K2128" i="5"/>
  <c r="N2128" i="5" s="1"/>
  <c r="K2130" i="5"/>
  <c r="N2130" i="5" s="1"/>
  <c r="K2132" i="5"/>
  <c r="N2132" i="5" s="1"/>
  <c r="K2136" i="5"/>
  <c r="N2136" i="5" s="1"/>
  <c r="K2140" i="5"/>
  <c r="N2140" i="5" s="1"/>
  <c r="K2144" i="5"/>
  <c r="N2144" i="5" s="1"/>
  <c r="K2148" i="5"/>
  <c r="N2148" i="5" s="1"/>
  <c r="K2152" i="5"/>
  <c r="N2152" i="5" s="1"/>
  <c r="K2156" i="5"/>
  <c r="N2156" i="5" s="1"/>
  <c r="K2159" i="5"/>
  <c r="N2159" i="5" s="1"/>
  <c r="K2160" i="5"/>
  <c r="N2160" i="5" s="1"/>
  <c r="K2168" i="5"/>
  <c r="N2168" i="5" s="1"/>
  <c r="K2176" i="5"/>
  <c r="N2176" i="5" s="1"/>
  <c r="K2179" i="5"/>
  <c r="N2179" i="5" s="1"/>
  <c r="K2184" i="5"/>
  <c r="N2184" i="5" s="1"/>
  <c r="K2192" i="5"/>
  <c r="N2192" i="5" s="1"/>
  <c r="K2200" i="5"/>
  <c r="N2200" i="5" s="1"/>
  <c r="K2208" i="5"/>
  <c r="N2208" i="5" s="1"/>
  <c r="K2216" i="5"/>
  <c r="N2216" i="5" s="1"/>
  <c r="K2224" i="5"/>
  <c r="N2224" i="5" s="1"/>
  <c r="K2232" i="5"/>
  <c r="N2232" i="5" s="1"/>
  <c r="K2252" i="5"/>
  <c r="N2252" i="5" s="1"/>
  <c r="K2260" i="5"/>
  <c r="N2260" i="5" s="1"/>
  <c r="K2312" i="5"/>
  <c r="N2312" i="5" s="1"/>
  <c r="N889" i="5"/>
  <c r="N948" i="5"/>
  <c r="N1071" i="5"/>
  <c r="N1260" i="5"/>
  <c r="N1279" i="5"/>
  <c r="N1299" i="5"/>
  <c r="N1455" i="5"/>
  <c r="N1492" i="5"/>
  <c r="N1513" i="5"/>
  <c r="N1544" i="5"/>
  <c r="N1580" i="5"/>
  <c r="N1603" i="5"/>
  <c r="N1636" i="5"/>
  <c r="N1700" i="5"/>
  <c r="N1716" i="5"/>
  <c r="N1720" i="5"/>
  <c r="N1740" i="5"/>
  <c r="N1804" i="5"/>
  <c r="N1867" i="5"/>
  <c r="N1876" i="5"/>
  <c r="N1897" i="5"/>
  <c r="N1971" i="5"/>
  <c r="P407" i="5"/>
  <c r="P408" i="5"/>
  <c r="P409" i="5"/>
  <c r="P410" i="5"/>
  <c r="P411" i="5"/>
  <c r="P540" i="5"/>
  <c r="P541" i="5"/>
  <c r="P542" i="5"/>
  <c r="P569" i="5"/>
  <c r="P570" i="5"/>
  <c r="P574" i="5"/>
  <c r="P575" i="5"/>
  <c r="P588" i="5"/>
  <c r="P589" i="5"/>
  <c r="P597" i="5"/>
  <c r="P598" i="5"/>
  <c r="P599" i="5"/>
  <c r="P605" i="5"/>
  <c r="P606" i="5"/>
  <c r="P610" i="5"/>
  <c r="P611" i="5"/>
  <c r="P630" i="5"/>
  <c r="P631" i="5"/>
  <c r="P632" i="5"/>
  <c r="P635" i="5"/>
  <c r="P636" i="5"/>
  <c r="P637" i="5"/>
  <c r="P655" i="5"/>
  <c r="P656" i="5"/>
  <c r="P662" i="5"/>
  <c r="P663" i="5"/>
  <c r="P664" i="5"/>
  <c r="P670" i="5"/>
  <c r="P671" i="5"/>
  <c r="P672" i="5"/>
  <c r="P682" i="5"/>
  <c r="P683" i="5"/>
  <c r="P692" i="5"/>
  <c r="P697" i="5"/>
  <c r="P708" i="5"/>
  <c r="P709" i="5"/>
  <c r="P711" i="5"/>
  <c r="P712" i="5"/>
  <c r="P723" i="5"/>
  <c r="P726" i="5"/>
  <c r="P727" i="5"/>
  <c r="P728" i="5"/>
  <c r="P736" i="5"/>
  <c r="P737" i="5"/>
  <c r="P740" i="5"/>
  <c r="P741" i="5"/>
  <c r="P742" i="5"/>
  <c r="P756" i="5"/>
  <c r="P757" i="5"/>
  <c r="P758" i="5"/>
  <c r="P759" i="5"/>
  <c r="P760" i="5"/>
  <c r="P769" i="5"/>
  <c r="P770" i="5"/>
  <c r="P773" i="5"/>
  <c r="P774" i="5"/>
  <c r="P796" i="5"/>
  <c r="P797" i="5"/>
  <c r="Q797" i="5" s="1"/>
  <c r="P798" i="5"/>
  <c r="P805" i="5"/>
  <c r="P806" i="5"/>
  <c r="Q806" i="5" s="1"/>
  <c r="P815" i="5"/>
  <c r="P823" i="5"/>
  <c r="P824" i="5"/>
  <c r="P827" i="5"/>
  <c r="Q827" i="5" s="1"/>
  <c r="P828" i="5"/>
  <c r="P840" i="5"/>
  <c r="P841" i="5"/>
  <c r="P842" i="5"/>
  <c r="Q842" i="5" s="1"/>
  <c r="P843" i="5"/>
  <c r="Q843" i="5" s="1"/>
  <c r="P853" i="5"/>
  <c r="P856" i="5"/>
  <c r="P858" i="5"/>
  <c r="Q858" i="5" s="1"/>
  <c r="P859" i="5"/>
  <c r="P865" i="5"/>
  <c r="P866" i="5"/>
  <c r="P871" i="5"/>
  <c r="Q871" i="5" s="1"/>
  <c r="P872" i="5"/>
  <c r="P878" i="5"/>
  <c r="P879" i="5"/>
  <c r="P889" i="5"/>
  <c r="Q889" i="5" s="1"/>
  <c r="P890" i="5"/>
  <c r="Q890" i="5" s="1"/>
  <c r="P898" i="5"/>
  <c r="P899" i="5"/>
  <c r="P900" i="5"/>
  <c r="Q900" i="5" s="1"/>
  <c r="P902" i="5"/>
  <c r="Q902" i="5" s="1"/>
  <c r="P903" i="5"/>
  <c r="P911" i="5"/>
  <c r="P913" i="5"/>
  <c r="Q913" i="5" s="1"/>
  <c r="P924" i="5"/>
  <c r="P925" i="5"/>
  <c r="P929" i="5"/>
  <c r="P930" i="5"/>
  <c r="Q930" i="5" s="1"/>
  <c r="P939" i="5"/>
  <c r="Q939" i="5" s="1"/>
  <c r="P940" i="5"/>
  <c r="P947" i="5"/>
  <c r="P948" i="5"/>
  <c r="Q948" i="5" s="1"/>
  <c r="P964" i="5"/>
  <c r="Q964" i="5" s="1"/>
  <c r="P965" i="5"/>
  <c r="P966" i="5"/>
  <c r="P976" i="5"/>
  <c r="Q976" i="5" s="1"/>
  <c r="P977" i="5"/>
  <c r="Q977" i="5" s="1"/>
  <c r="P982" i="5"/>
  <c r="P983" i="5"/>
  <c r="P996" i="5"/>
  <c r="Q996" i="5" s="1"/>
  <c r="P997" i="5"/>
  <c r="Q997" i="5" s="1"/>
  <c r="P998" i="5"/>
  <c r="P1006" i="5"/>
  <c r="P1007" i="5"/>
  <c r="Q1007" i="5" s="1"/>
  <c r="P1011" i="5"/>
  <c r="Q1011" i="5" s="1"/>
  <c r="P1012" i="5"/>
  <c r="P1021" i="5"/>
  <c r="P1022" i="5"/>
  <c r="Q1022" i="5" s="1"/>
  <c r="P1024" i="5"/>
  <c r="P1036" i="5"/>
  <c r="P1037" i="5"/>
  <c r="P1038" i="5"/>
  <c r="Q1038" i="5" s="1"/>
  <c r="P1039" i="5"/>
  <c r="Q1039" i="5" s="1"/>
  <c r="P1049" i="5"/>
  <c r="P1050" i="5"/>
  <c r="Q1050" i="5" s="1"/>
  <c r="P1058" i="5"/>
  <c r="Q1058" i="5" s="1"/>
  <c r="P1059" i="5"/>
  <c r="P1060" i="5"/>
  <c r="P1070" i="5"/>
  <c r="P1071" i="5"/>
  <c r="Q1071" i="5" s="1"/>
  <c r="P1077" i="5"/>
  <c r="P1078" i="5"/>
  <c r="P1095" i="5"/>
  <c r="P1096" i="5"/>
  <c r="Q1096" i="5" s="1"/>
  <c r="P1097" i="5"/>
  <c r="Q1097" i="5" s="1"/>
  <c r="P1098" i="5"/>
  <c r="P1112" i="5"/>
  <c r="P1113" i="5"/>
  <c r="Q1113" i="5" s="1"/>
  <c r="P1140" i="5"/>
  <c r="P1141" i="5"/>
  <c r="P1146" i="5"/>
  <c r="Q1146" i="5" s="1"/>
  <c r="P1149" i="5"/>
  <c r="Q1149" i="5" s="1"/>
  <c r="P1153" i="5"/>
  <c r="Q1153" i="5" s="1"/>
  <c r="P1154" i="5"/>
  <c r="P1156" i="5"/>
  <c r="P1169" i="5"/>
  <c r="Q1169" i="5" s="1"/>
  <c r="P1181" i="5"/>
  <c r="Q1181" i="5" s="1"/>
  <c r="P1183" i="5"/>
  <c r="P1184" i="5"/>
  <c r="P1185" i="5"/>
  <c r="Q1185" i="5" s="1"/>
  <c r="P1186" i="5"/>
  <c r="P1188" i="5"/>
  <c r="P1190" i="5"/>
  <c r="P1228" i="5"/>
  <c r="Q1228" i="5" s="1"/>
  <c r="P1232" i="5"/>
  <c r="Q1232" i="5" s="1"/>
  <c r="P1235" i="5"/>
  <c r="P1237" i="5"/>
  <c r="Q1237" i="5" s="1"/>
  <c r="P1246" i="5"/>
  <c r="Q1246" i="5" s="1"/>
  <c r="P1247" i="5"/>
  <c r="Q1247" i="5" s="1"/>
  <c r="P1248" i="5"/>
  <c r="P1249" i="5"/>
  <c r="P1250" i="5"/>
  <c r="Q1250" i="5" s="1"/>
  <c r="P1251" i="5"/>
  <c r="Q1251" i="5" s="1"/>
  <c r="P1258" i="5"/>
  <c r="P1259" i="5"/>
  <c r="P1260" i="5"/>
  <c r="Q1260" i="5" s="1"/>
  <c r="P1261" i="5"/>
  <c r="Q1261" i="5" s="1"/>
  <c r="P1262" i="5"/>
  <c r="P1266" i="5"/>
  <c r="P1267" i="5"/>
  <c r="Q1267" i="5" s="1"/>
  <c r="P1271" i="5"/>
  <c r="Q1271" i="5" s="1"/>
  <c r="P1274" i="5"/>
  <c r="P1278" i="5"/>
  <c r="Q1278" i="5" s="1"/>
  <c r="P1279" i="5"/>
  <c r="Q1279" i="5" s="1"/>
  <c r="P1280" i="5"/>
  <c r="Q1280" i="5" s="1"/>
  <c r="P1284" i="5"/>
  <c r="P1285" i="5"/>
  <c r="P1287" i="5"/>
  <c r="Q1287" i="5" s="1"/>
  <c r="P1293" i="5"/>
  <c r="Q1293" i="5" s="1"/>
  <c r="P1294" i="5"/>
  <c r="P1295" i="5"/>
  <c r="P1299" i="5"/>
  <c r="Q1299" i="5" s="1"/>
  <c r="P1300" i="5"/>
  <c r="P1301" i="5"/>
  <c r="P1305" i="5"/>
  <c r="P1306" i="5"/>
  <c r="Q1306" i="5" s="1"/>
  <c r="P1308" i="5"/>
  <c r="Q1308" i="5" s="1"/>
  <c r="P1312" i="5"/>
  <c r="P1313" i="5"/>
  <c r="Q1313" i="5" s="1"/>
  <c r="P1314" i="5"/>
  <c r="Q1314" i="5" s="1"/>
  <c r="P1316" i="5"/>
  <c r="P1318" i="5"/>
  <c r="P1327" i="5"/>
  <c r="P1328" i="5"/>
  <c r="Q1328" i="5" s="1"/>
  <c r="P1329" i="5"/>
  <c r="Q1329" i="5" s="1"/>
  <c r="P1331" i="5"/>
  <c r="P1334" i="5"/>
  <c r="P1335" i="5"/>
  <c r="Q1335" i="5" s="1"/>
  <c r="P1336" i="5"/>
  <c r="Q1336" i="5" s="1"/>
  <c r="P1342" i="5"/>
  <c r="P1345" i="5"/>
  <c r="P1346" i="5"/>
  <c r="Q1346" i="5" s="1"/>
  <c r="P1347" i="5"/>
  <c r="Q1347" i="5" s="1"/>
  <c r="P1349" i="5"/>
  <c r="P1350" i="5"/>
  <c r="Q1350" i="5" s="1"/>
  <c r="P1353" i="5"/>
  <c r="Q1353" i="5" s="1"/>
  <c r="P1358" i="5"/>
  <c r="Q1358" i="5" s="1"/>
  <c r="P1359" i="5"/>
  <c r="P1360" i="5"/>
  <c r="P1361" i="5"/>
  <c r="Q1361" i="5" s="1"/>
  <c r="P1363" i="5"/>
  <c r="Q1363" i="5" s="1"/>
  <c r="P1367" i="5"/>
  <c r="P1371" i="5"/>
  <c r="P1375" i="5"/>
  <c r="Q1375" i="5" s="1"/>
  <c r="P1377" i="5"/>
  <c r="Q1377" i="5" s="1"/>
  <c r="P1379" i="5"/>
  <c r="P1380" i="5"/>
  <c r="P1383" i="5"/>
  <c r="Q1383" i="5" s="1"/>
  <c r="P1384" i="5"/>
  <c r="Q1384" i="5" s="1"/>
  <c r="P1385" i="5"/>
  <c r="P1392" i="5"/>
  <c r="Q1392" i="5" s="1"/>
  <c r="P1393" i="5"/>
  <c r="Q1393" i="5" s="1"/>
  <c r="P1395" i="5"/>
  <c r="Q1395" i="5" s="1"/>
  <c r="P1400" i="5"/>
  <c r="P1407" i="5"/>
  <c r="P1408" i="5"/>
  <c r="Q1408" i="5" s="1"/>
  <c r="P1409" i="5"/>
  <c r="Q1409" i="5" s="1"/>
  <c r="P1411" i="5"/>
  <c r="P1412" i="5"/>
  <c r="P1413" i="5"/>
  <c r="Q1413" i="5" s="1"/>
  <c r="P1415" i="5"/>
  <c r="Q1415" i="5" s="1"/>
  <c r="P1416" i="5"/>
  <c r="P1420" i="5"/>
  <c r="P1422" i="5"/>
  <c r="Q1422" i="5" s="1"/>
  <c r="P1423" i="5"/>
  <c r="Q1423" i="5" s="1"/>
  <c r="P1424" i="5"/>
  <c r="P1429" i="5"/>
  <c r="Q1429" i="5" s="1"/>
  <c r="P1430" i="5"/>
  <c r="Q1430" i="5" s="1"/>
  <c r="P1431" i="5"/>
  <c r="Q1431" i="5" s="1"/>
  <c r="P1432" i="5"/>
  <c r="P1434" i="5"/>
  <c r="P1436" i="5"/>
  <c r="Q1436" i="5" s="1"/>
  <c r="P1438" i="5"/>
  <c r="Q1438" i="5" s="1"/>
  <c r="P1439" i="5"/>
  <c r="P1440" i="5"/>
  <c r="P1442" i="5"/>
  <c r="Q1442" i="5" s="1"/>
  <c r="P1446" i="5"/>
  <c r="P1447" i="5"/>
  <c r="P1451" i="5"/>
  <c r="P1455" i="5"/>
  <c r="Q1455" i="5" s="1"/>
  <c r="P1456" i="5"/>
  <c r="Q1456" i="5" s="1"/>
  <c r="P1457" i="5"/>
  <c r="P1458" i="5"/>
  <c r="Q1458" i="5" s="1"/>
  <c r="P1459" i="5"/>
  <c r="Q1459" i="5" s="1"/>
  <c r="P1469" i="5"/>
  <c r="P1470" i="5"/>
  <c r="P1474" i="5"/>
  <c r="P1476" i="5"/>
  <c r="Q1476" i="5" s="1"/>
  <c r="P1484" i="5"/>
  <c r="Q1484" i="5" s="1"/>
  <c r="P1490" i="5"/>
  <c r="P1491" i="5"/>
  <c r="Q1491" i="5" s="1"/>
  <c r="P1492" i="5"/>
  <c r="Q1492" i="5" s="1"/>
  <c r="P1493" i="5"/>
  <c r="Q1493" i="5" s="1"/>
  <c r="P1495" i="5"/>
  <c r="P1496" i="5"/>
  <c r="P1497" i="5"/>
  <c r="Q1497" i="5" s="1"/>
  <c r="P1498" i="5"/>
  <c r="P1502" i="5"/>
  <c r="P1504" i="5"/>
  <c r="Q1504" i="5" s="1"/>
  <c r="P1505" i="5"/>
  <c r="Q1505" i="5" s="1"/>
  <c r="P1506" i="5"/>
  <c r="Q1506" i="5" s="1"/>
  <c r="P1507" i="5"/>
  <c r="P1508" i="5"/>
  <c r="P1509" i="5"/>
  <c r="Q1509" i="5" s="1"/>
  <c r="P1510" i="5"/>
  <c r="Q1510" i="5" s="1"/>
  <c r="P1511" i="5"/>
  <c r="P1512" i="5"/>
  <c r="Q1512" i="5" s="1"/>
  <c r="P1513" i="5"/>
  <c r="Q1513" i="5" s="1"/>
  <c r="P1515" i="5"/>
  <c r="Q1515" i="5" s="1"/>
  <c r="P1517" i="5"/>
  <c r="P1520" i="5"/>
  <c r="P1521" i="5"/>
  <c r="Q1521" i="5" s="1"/>
  <c r="P1522" i="5"/>
  <c r="Q1522" i="5" s="1"/>
  <c r="P1525" i="5"/>
  <c r="P1526" i="5"/>
  <c r="Q1526" i="5" s="1"/>
  <c r="P1529" i="5"/>
  <c r="Q1529" i="5" s="1"/>
  <c r="P1530" i="5"/>
  <c r="Q1530" i="5" s="1"/>
  <c r="P1531" i="5"/>
  <c r="P1533" i="5"/>
  <c r="P1535" i="5"/>
  <c r="Q1535" i="5" s="1"/>
  <c r="P1537" i="5"/>
  <c r="Q1537" i="5" s="1"/>
  <c r="P1539" i="5"/>
  <c r="P1542" i="5"/>
  <c r="P1544" i="5"/>
  <c r="Q1544" i="5" s="1"/>
  <c r="P1547" i="5"/>
  <c r="Q1547" i="5" s="1"/>
  <c r="P1548" i="5"/>
  <c r="P1549" i="5"/>
  <c r="P1550" i="5"/>
  <c r="Q1550" i="5" s="1"/>
  <c r="P1551" i="5"/>
  <c r="P1553" i="5"/>
  <c r="P1554" i="5"/>
  <c r="Q1554" i="5" s="1"/>
  <c r="P1555" i="5"/>
  <c r="Q1555" i="5" s="1"/>
  <c r="P1556" i="5"/>
  <c r="Q1556" i="5" s="1"/>
  <c r="P1558" i="5"/>
  <c r="P1559" i="5"/>
  <c r="P1563" i="5"/>
  <c r="Q1563" i="5" s="1"/>
  <c r="P1564" i="5"/>
  <c r="Q1564" i="5" s="1"/>
  <c r="P1565" i="5"/>
  <c r="P1566" i="5"/>
  <c r="P1567" i="5"/>
  <c r="Q1567" i="5" s="1"/>
  <c r="P1574" i="5"/>
  <c r="Q1574" i="5" s="1"/>
  <c r="P1575" i="5"/>
  <c r="P1577" i="5"/>
  <c r="P1580" i="5"/>
  <c r="Q1580" i="5" s="1"/>
  <c r="P1581" i="5"/>
  <c r="Q1581" i="5" s="1"/>
  <c r="P1584" i="5"/>
  <c r="P1585" i="5"/>
  <c r="Q1585" i="5" s="1"/>
  <c r="P1587" i="5"/>
  <c r="Q1587" i="5" s="1"/>
  <c r="P1590" i="5"/>
  <c r="Q1590" i="5" s="1"/>
  <c r="P1595" i="5"/>
  <c r="P1596" i="5"/>
  <c r="Q1596" i="5" s="1"/>
  <c r="P1597" i="5"/>
  <c r="Q1597" i="5" s="1"/>
  <c r="P1598" i="5"/>
  <c r="Q1598" i="5" s="1"/>
  <c r="P1600" i="5"/>
  <c r="P1602" i="5"/>
  <c r="P1603" i="5"/>
  <c r="Q1603" i="5" s="1"/>
  <c r="P1604" i="5"/>
  <c r="Q1604" i="5" s="1"/>
  <c r="P1605" i="5"/>
  <c r="P1606" i="5"/>
  <c r="Q1606" i="5" s="1"/>
  <c r="P1608" i="5"/>
  <c r="Q1608" i="5" s="1"/>
  <c r="P1611" i="5"/>
  <c r="Q1611" i="5" s="1"/>
  <c r="P1615" i="5"/>
  <c r="P1616" i="5"/>
  <c r="Q1616" i="5" s="1"/>
  <c r="P1618" i="5"/>
  <c r="Q1618" i="5" s="1"/>
  <c r="P1620" i="5"/>
  <c r="Q1620" i="5" s="1"/>
  <c r="P1622" i="5"/>
  <c r="P1623" i="5"/>
  <c r="P1625" i="5"/>
  <c r="Q1625" i="5" s="1"/>
  <c r="P1626" i="5"/>
  <c r="Q1626" i="5" s="1"/>
  <c r="P1628" i="5"/>
  <c r="P1631" i="5"/>
  <c r="P1632" i="5"/>
  <c r="Q1632" i="5" s="1"/>
  <c r="P1633" i="5"/>
  <c r="P1634" i="5"/>
  <c r="P1635" i="5"/>
  <c r="Q1635" i="5" s="1"/>
  <c r="P1636" i="5"/>
  <c r="Q1636" i="5" s="1"/>
  <c r="P1637" i="5"/>
  <c r="Q1637" i="5" s="1"/>
  <c r="P1638" i="5"/>
  <c r="P1639" i="5"/>
  <c r="Q1639" i="5" s="1"/>
  <c r="P1645" i="5"/>
  <c r="Q1645" i="5" s="1"/>
  <c r="P1646" i="5"/>
  <c r="Q1646" i="5" s="1"/>
  <c r="P1647" i="5"/>
  <c r="P1648" i="5"/>
  <c r="P1651" i="5"/>
  <c r="Q1651" i="5" s="1"/>
  <c r="P1654" i="5"/>
  <c r="Q1654" i="5" s="1"/>
  <c r="P1656" i="5"/>
  <c r="P1658" i="5"/>
  <c r="P1659" i="5"/>
  <c r="Q1659" i="5" s="1"/>
  <c r="P1660" i="5"/>
  <c r="Q1660" i="5" s="1"/>
  <c r="P1661" i="5"/>
  <c r="P1662" i="5"/>
  <c r="P1663" i="5"/>
  <c r="Q1663" i="5" s="1"/>
  <c r="P1664" i="5"/>
  <c r="Q1664" i="5" s="1"/>
  <c r="P1665" i="5"/>
  <c r="P1669" i="5"/>
  <c r="Q1669" i="5" s="1"/>
  <c r="P1670" i="5"/>
  <c r="Q1670" i="5" s="1"/>
  <c r="P1671" i="5"/>
  <c r="Q1671" i="5" s="1"/>
  <c r="P1673" i="5"/>
  <c r="P1674" i="5"/>
  <c r="P1675" i="5"/>
  <c r="Q1675" i="5" s="1"/>
  <c r="P1677" i="5"/>
  <c r="Q1677" i="5" s="1"/>
  <c r="P1678" i="5"/>
  <c r="P1679" i="5"/>
  <c r="Q1679" i="5" s="1"/>
  <c r="P1681" i="5"/>
  <c r="Q1681" i="5" s="1"/>
  <c r="P1682" i="5"/>
  <c r="P1684" i="5"/>
  <c r="P1685" i="5"/>
  <c r="P1687" i="5"/>
  <c r="Q1687" i="5" s="1"/>
  <c r="P1689" i="5"/>
  <c r="Q1689" i="5" s="1"/>
  <c r="P1690" i="5"/>
  <c r="P1692" i="5"/>
  <c r="Q1692" i="5" s="1"/>
  <c r="P1693" i="5"/>
  <c r="Q1693" i="5" s="1"/>
  <c r="P1694" i="5"/>
  <c r="Q1694" i="5" s="1"/>
  <c r="P1696" i="5"/>
  <c r="P1698" i="5"/>
  <c r="P1700" i="5"/>
  <c r="Q1700" i="5" s="1"/>
  <c r="P1701" i="5"/>
  <c r="Q1701" i="5" s="1"/>
  <c r="P1702" i="5"/>
  <c r="P1703" i="5"/>
  <c r="Q1703" i="5" s="1"/>
  <c r="P1704" i="5"/>
  <c r="Q1704" i="5" s="1"/>
  <c r="P1705" i="5"/>
  <c r="Q1705" i="5" s="1"/>
  <c r="P1707" i="5"/>
  <c r="P1708" i="5"/>
  <c r="P1709" i="5"/>
  <c r="Q1709" i="5" s="1"/>
  <c r="P1712" i="5"/>
  <c r="Q1712" i="5" s="1"/>
  <c r="P1713" i="5"/>
  <c r="P1714" i="5"/>
  <c r="Q1714" i="5" s="1"/>
  <c r="P1716" i="5"/>
  <c r="Q1716" i="5" s="1"/>
  <c r="P1717" i="5"/>
  <c r="Q1717" i="5" s="1"/>
  <c r="P1718" i="5"/>
  <c r="P1719" i="5"/>
  <c r="P1720" i="5"/>
  <c r="Q1720" i="5" s="1"/>
  <c r="P1721" i="5"/>
  <c r="Q1721" i="5" s="1"/>
  <c r="P1722" i="5"/>
  <c r="P1723" i="5"/>
  <c r="P1724" i="5"/>
  <c r="Q1724" i="5" s="1"/>
  <c r="P1728" i="5"/>
  <c r="Q1728" i="5" s="1"/>
  <c r="P1729" i="5"/>
  <c r="P1730" i="5"/>
  <c r="Q1730" i="5" s="1"/>
  <c r="P1732" i="5"/>
  <c r="Q1732" i="5" s="1"/>
  <c r="P1733" i="5"/>
  <c r="Q1733" i="5" s="1"/>
  <c r="P1734" i="5"/>
  <c r="P1735" i="5"/>
  <c r="Q1735" i="5" s="1"/>
  <c r="P1736" i="5"/>
  <c r="Q1736" i="5" s="1"/>
  <c r="P1737" i="5"/>
  <c r="Q1737" i="5" s="1"/>
  <c r="P1738" i="5"/>
  <c r="P1739" i="5"/>
  <c r="P1740" i="5"/>
  <c r="Q1740" i="5" s="1"/>
  <c r="P1741" i="5"/>
  <c r="Q1741" i="5" s="1"/>
  <c r="P1742" i="5"/>
  <c r="P1744" i="5"/>
  <c r="P1745" i="5"/>
  <c r="Q1745" i="5" s="1"/>
  <c r="P1746" i="5"/>
  <c r="Q1746" i="5" s="1"/>
  <c r="P1747" i="5"/>
  <c r="P1748" i="5"/>
  <c r="Q1748" i="5" s="1"/>
  <c r="P1749" i="5"/>
  <c r="Q1749" i="5" s="1"/>
  <c r="P1750" i="5"/>
  <c r="Q1750" i="5" s="1"/>
  <c r="P1752" i="5"/>
  <c r="P1755" i="5"/>
  <c r="Q1755" i="5" s="1"/>
  <c r="P1756" i="5"/>
  <c r="Q1756" i="5" s="1"/>
  <c r="P1757" i="5"/>
  <c r="Q1757" i="5" s="1"/>
  <c r="P1758" i="5"/>
  <c r="P1759" i="5"/>
  <c r="P1760" i="5"/>
  <c r="Q1760" i="5" s="1"/>
  <c r="P1761" i="5"/>
  <c r="Q1761" i="5" s="1"/>
  <c r="P1762" i="5"/>
  <c r="P1763" i="5"/>
  <c r="P1764" i="5"/>
  <c r="Q1764" i="5" s="1"/>
  <c r="P1765" i="5"/>
  <c r="Q1765" i="5" s="1"/>
  <c r="P1767" i="5"/>
  <c r="P1768" i="5"/>
  <c r="Q1768" i="5" s="1"/>
  <c r="P1770" i="5"/>
  <c r="Q1770" i="5" s="1"/>
  <c r="P1774" i="5"/>
  <c r="Q1774" i="5" s="1"/>
  <c r="P1775" i="5"/>
  <c r="P1776" i="5"/>
  <c r="Q1776" i="5" s="1"/>
  <c r="P1777" i="5"/>
  <c r="Q1777" i="5" s="1"/>
  <c r="P1778" i="5"/>
  <c r="Q1778" i="5" s="1"/>
  <c r="P1779" i="5"/>
  <c r="P1780" i="5"/>
  <c r="P1781" i="5"/>
  <c r="Q1781" i="5" s="1"/>
  <c r="P1783" i="5"/>
  <c r="Q1783" i="5" s="1"/>
  <c r="P1784" i="5"/>
  <c r="P1785" i="5"/>
  <c r="P1787" i="5"/>
  <c r="Q1787" i="5" s="1"/>
  <c r="P1788" i="5"/>
  <c r="Q1788" i="5" s="1"/>
  <c r="P1792" i="5"/>
  <c r="P1793" i="5"/>
  <c r="Q1793" i="5" s="1"/>
  <c r="P1794" i="5"/>
  <c r="Q1794" i="5" s="1"/>
  <c r="P1795" i="5"/>
  <c r="Q1795" i="5" s="1"/>
  <c r="P1797" i="5"/>
  <c r="P1798" i="5"/>
  <c r="Q1798" i="5" s="1"/>
  <c r="P1799" i="5"/>
  <c r="Q1799" i="5" s="1"/>
  <c r="P1800" i="5"/>
  <c r="Q1800" i="5" s="1"/>
  <c r="P1802" i="5"/>
  <c r="P1803" i="5"/>
  <c r="P1804" i="5"/>
  <c r="Q1804" i="5" s="1"/>
  <c r="P1805" i="5"/>
  <c r="Q1805" i="5" s="1"/>
  <c r="P1806" i="5"/>
  <c r="P1807" i="5"/>
  <c r="P1809" i="5"/>
  <c r="Q1809" i="5" s="1"/>
  <c r="P1810" i="5"/>
  <c r="Q1810" i="5" s="1"/>
  <c r="P1813" i="5"/>
  <c r="P1814" i="5"/>
  <c r="Q1814" i="5" s="1"/>
  <c r="P1815" i="5"/>
  <c r="Q1815" i="5" s="1"/>
  <c r="P1816" i="5"/>
  <c r="Q1816" i="5" s="1"/>
  <c r="P1817" i="5"/>
  <c r="P1819" i="5"/>
  <c r="Q1819" i="5" s="1"/>
  <c r="P1822" i="5"/>
  <c r="Q1822" i="5" s="1"/>
  <c r="P1823" i="5"/>
  <c r="Q1823" i="5" s="1"/>
  <c r="P1824" i="5"/>
  <c r="P1825" i="5"/>
  <c r="P1826" i="5"/>
  <c r="Q1826" i="5" s="1"/>
  <c r="P1827" i="5"/>
  <c r="Q1827" i="5" s="1"/>
  <c r="P1828" i="5"/>
  <c r="P1829" i="5"/>
  <c r="Q1829" i="5" s="1"/>
  <c r="P1830" i="5"/>
  <c r="Q1830" i="5" s="1"/>
  <c r="P1831" i="5"/>
  <c r="Q1831" i="5" s="1"/>
  <c r="P1832" i="5"/>
  <c r="P1833" i="5"/>
  <c r="Q1833" i="5" s="1"/>
  <c r="P1835" i="5"/>
  <c r="Q1835" i="5" s="1"/>
  <c r="P1836" i="5"/>
  <c r="Q1836" i="5" s="1"/>
  <c r="P1837" i="5"/>
  <c r="P1838" i="5"/>
  <c r="Q1838" i="5" s="1"/>
  <c r="P1843" i="5"/>
  <c r="Q1843" i="5" s="1"/>
  <c r="P1844" i="5"/>
  <c r="Q1844" i="5" s="1"/>
  <c r="P1845" i="5"/>
  <c r="P1846" i="5"/>
  <c r="Q1846" i="5" s="1"/>
  <c r="P1847" i="5"/>
  <c r="Q1847" i="5" s="1"/>
  <c r="P1848" i="5"/>
  <c r="Q1848" i="5" s="1"/>
  <c r="P1849" i="5"/>
  <c r="P1851" i="5"/>
  <c r="P1852" i="5"/>
  <c r="Q1852" i="5" s="1"/>
  <c r="P1853" i="5"/>
  <c r="Q1853" i="5" s="1"/>
  <c r="P1856" i="5"/>
  <c r="P1857" i="5"/>
  <c r="Q1857" i="5" s="1"/>
  <c r="P1858" i="5"/>
  <c r="Q1858" i="5" s="1"/>
  <c r="P1859" i="5"/>
  <c r="Q1859" i="5" s="1"/>
  <c r="P1860" i="5"/>
  <c r="P1861" i="5"/>
  <c r="Q1861" i="5" s="1"/>
  <c r="P1862" i="5"/>
  <c r="Q1862" i="5" s="1"/>
  <c r="P1864" i="5"/>
  <c r="Q1864" i="5" s="1"/>
  <c r="P1865" i="5"/>
  <c r="P1866" i="5"/>
  <c r="P1867" i="5"/>
  <c r="Q1867" i="5" s="1"/>
  <c r="P1869" i="5"/>
  <c r="Q1869" i="5" s="1"/>
  <c r="P1870" i="5"/>
  <c r="P1871" i="5"/>
  <c r="Q1871" i="5" s="1"/>
  <c r="P1872" i="5"/>
  <c r="Q1872" i="5" s="1"/>
  <c r="P1873" i="5"/>
  <c r="Q1873" i="5" s="1"/>
  <c r="P1874" i="5"/>
  <c r="P1875" i="5"/>
  <c r="Q1875" i="5" s="1"/>
  <c r="P1876" i="5"/>
  <c r="Q1876" i="5" s="1"/>
  <c r="P1877" i="5"/>
  <c r="Q1877" i="5" s="1"/>
  <c r="P1878" i="5"/>
  <c r="P1879" i="5"/>
  <c r="Q1879" i="5" s="1"/>
  <c r="P1880" i="5"/>
  <c r="Q1880" i="5" s="1"/>
  <c r="P1881" i="5"/>
  <c r="Q1881" i="5" s="1"/>
  <c r="P1883" i="5"/>
  <c r="P1884" i="5"/>
  <c r="Q1884" i="5" s="1"/>
  <c r="P1885" i="5"/>
  <c r="Q1885" i="5" s="1"/>
  <c r="P1886" i="5"/>
  <c r="Q1886" i="5" s="1"/>
  <c r="P1887" i="5"/>
  <c r="P1888" i="5"/>
  <c r="Q1888" i="5" s="1"/>
  <c r="P1889" i="5"/>
  <c r="Q1889" i="5" s="1"/>
  <c r="P1890" i="5"/>
  <c r="Q1890" i="5" s="1"/>
  <c r="P1891" i="5"/>
  <c r="P1892" i="5"/>
  <c r="Q1892" i="5" s="1"/>
  <c r="P1893" i="5"/>
  <c r="Q1893" i="5" s="1"/>
  <c r="P1894" i="5"/>
  <c r="Q1894" i="5" s="1"/>
  <c r="P1895" i="5"/>
  <c r="P1896" i="5"/>
  <c r="Q1896" i="5" s="1"/>
  <c r="P1897" i="5"/>
  <c r="Q1897" i="5" s="1"/>
  <c r="P1898" i="5"/>
  <c r="Q1898" i="5" s="1"/>
  <c r="P1899" i="5"/>
  <c r="P1900" i="5"/>
  <c r="Q1900" i="5" s="1"/>
  <c r="P1901" i="5"/>
  <c r="Q1901" i="5" s="1"/>
  <c r="P1902" i="5"/>
  <c r="Q1902" i="5" s="1"/>
  <c r="P1903" i="5"/>
  <c r="P1904" i="5"/>
  <c r="Q1904" i="5" s="1"/>
  <c r="P1905" i="5"/>
  <c r="Q1905" i="5" s="1"/>
  <c r="P1906" i="5"/>
  <c r="Q1906" i="5" s="1"/>
  <c r="P1907" i="5"/>
  <c r="P1908" i="5"/>
  <c r="Q1908" i="5" s="1"/>
  <c r="P1909" i="5"/>
  <c r="Q1909" i="5" s="1"/>
  <c r="P1910" i="5"/>
  <c r="Q1910" i="5" s="1"/>
  <c r="P1911" i="5"/>
  <c r="P1912" i="5"/>
  <c r="Q1912" i="5" s="1"/>
  <c r="P1913" i="5"/>
  <c r="Q1913" i="5" s="1"/>
  <c r="P1914" i="5"/>
  <c r="Q1914" i="5" s="1"/>
  <c r="P1915" i="5"/>
  <c r="P1916" i="5"/>
  <c r="Q1916" i="5" s="1"/>
  <c r="P1917" i="5"/>
  <c r="Q1917" i="5" s="1"/>
  <c r="P1918" i="5"/>
  <c r="Q1918" i="5" s="1"/>
  <c r="P1919" i="5"/>
  <c r="P1920" i="5"/>
  <c r="P1921" i="5"/>
  <c r="Q1921" i="5" s="1"/>
  <c r="P1922" i="5"/>
  <c r="Q1922" i="5" s="1"/>
  <c r="P1923" i="5"/>
  <c r="P1924" i="5"/>
  <c r="Q1924" i="5" s="1"/>
  <c r="P1925" i="5"/>
  <c r="Q1925" i="5" s="1"/>
  <c r="P1926" i="5"/>
  <c r="Q1926" i="5" s="1"/>
  <c r="P1927" i="5"/>
  <c r="P1928" i="5"/>
  <c r="Q1928" i="5" s="1"/>
  <c r="P1929" i="5"/>
  <c r="Q1929" i="5" s="1"/>
  <c r="P1930" i="5"/>
  <c r="Q1930" i="5" s="1"/>
  <c r="P1931" i="5"/>
  <c r="P1932" i="5"/>
  <c r="P1933" i="5"/>
  <c r="Q1933" i="5" s="1"/>
  <c r="P1936" i="5"/>
  <c r="Q1936" i="5" s="1"/>
  <c r="P1937" i="5"/>
  <c r="P1939" i="5"/>
  <c r="Q1939" i="5" s="1"/>
  <c r="P1940" i="5"/>
  <c r="Q1940" i="5" s="1"/>
  <c r="P1941" i="5"/>
  <c r="Q1941" i="5" s="1"/>
  <c r="P1942" i="5"/>
  <c r="P1944" i="5"/>
  <c r="Q1944" i="5" s="1"/>
  <c r="P1945" i="5"/>
  <c r="Q1945" i="5" s="1"/>
  <c r="P1946" i="5"/>
  <c r="Q1946" i="5" s="1"/>
  <c r="P1947" i="5"/>
  <c r="P1948" i="5"/>
  <c r="Q1948" i="5" s="1"/>
  <c r="P1949" i="5"/>
  <c r="Q1949" i="5" s="1"/>
  <c r="P1950" i="5"/>
  <c r="Q1950" i="5" s="1"/>
  <c r="P1951" i="5"/>
  <c r="Q1951" i="5" s="1"/>
  <c r="P1952" i="5"/>
  <c r="Q1952" i="5" s="1"/>
  <c r="P1953" i="5"/>
  <c r="Q1953" i="5" s="1"/>
  <c r="P1954" i="5"/>
  <c r="Q1954" i="5" s="1"/>
  <c r="P1955" i="5"/>
  <c r="P1956" i="5"/>
  <c r="P1957" i="5"/>
  <c r="Q1957" i="5" s="1"/>
  <c r="P1960" i="5"/>
  <c r="Q1960" i="5" s="1"/>
  <c r="P1961" i="5"/>
  <c r="P1962" i="5"/>
  <c r="Q1962" i="5" s="1"/>
  <c r="P1963" i="5"/>
  <c r="Q1963" i="5" s="1"/>
  <c r="P1964" i="5"/>
  <c r="Q1964" i="5" s="1"/>
  <c r="P1965" i="5"/>
  <c r="Q1965" i="5" s="1"/>
  <c r="P1966" i="5"/>
  <c r="Q1966" i="5" s="1"/>
  <c r="P1967" i="5"/>
  <c r="Q1967" i="5" s="1"/>
  <c r="P1968" i="5"/>
  <c r="Q1968" i="5" s="1"/>
  <c r="P1969" i="5"/>
  <c r="P1970" i="5"/>
  <c r="Q1970" i="5" s="1"/>
  <c r="P1971" i="5"/>
  <c r="Q1971" i="5" s="1"/>
  <c r="P1972" i="5"/>
  <c r="Q1972" i="5" s="1"/>
  <c r="P1973" i="5"/>
  <c r="P1974" i="5"/>
  <c r="Q1974" i="5" s="1"/>
  <c r="P1975" i="5"/>
  <c r="Q1975" i="5" s="1"/>
  <c r="P1976" i="5"/>
  <c r="Q1976" i="5" s="1"/>
  <c r="P1977" i="5"/>
  <c r="P1978" i="5"/>
  <c r="Q1978" i="5" s="1"/>
  <c r="P1979" i="5"/>
  <c r="Q1979" i="5" s="1"/>
  <c r="P1980" i="5"/>
  <c r="Q1980" i="5" s="1"/>
  <c r="P1981" i="5"/>
  <c r="Q1981" i="5" s="1"/>
  <c r="P1982" i="5"/>
  <c r="Q1982" i="5" s="1"/>
  <c r="P1983" i="5"/>
  <c r="Q1983" i="5" s="1"/>
  <c r="P1984" i="5"/>
  <c r="Q1984" i="5" s="1"/>
  <c r="P1985" i="5"/>
  <c r="P1986" i="5"/>
  <c r="Q1986" i="5" s="1"/>
  <c r="P1988" i="5"/>
  <c r="Q1988" i="5" s="1"/>
  <c r="P1990" i="5"/>
  <c r="Q1990" i="5" s="1"/>
  <c r="P1992" i="5"/>
  <c r="P1993" i="5"/>
  <c r="P1994" i="5"/>
  <c r="Q1994" i="5" s="1"/>
  <c r="P1995" i="5"/>
  <c r="Q1995" i="5" s="1"/>
  <c r="P1996" i="5"/>
  <c r="Q1996" i="5" s="1"/>
  <c r="P1997" i="5"/>
  <c r="Q1997" i="5" s="1"/>
  <c r="P1998" i="5"/>
  <c r="Q1998" i="5" s="1"/>
  <c r="P1999" i="5"/>
  <c r="Q1999" i="5" s="1"/>
  <c r="P2000" i="5"/>
  <c r="P2001" i="5"/>
  <c r="Q2001" i="5" s="1"/>
  <c r="P2002" i="5"/>
  <c r="Q2002" i="5" s="1"/>
  <c r="P2003" i="5"/>
  <c r="Q2003" i="5" s="1"/>
  <c r="P2004" i="5"/>
  <c r="P2005" i="5"/>
  <c r="P2006" i="5"/>
  <c r="Q2006" i="5" s="1"/>
  <c r="P2007" i="5"/>
  <c r="Q2007" i="5" s="1"/>
  <c r="P2008" i="5"/>
  <c r="Q2008" i="5" s="1"/>
  <c r="P2009" i="5"/>
  <c r="Q2009" i="5" s="1"/>
  <c r="P2010" i="5"/>
  <c r="Q2010" i="5" s="1"/>
  <c r="P2011" i="5"/>
  <c r="Q2011" i="5" s="1"/>
  <c r="P2012" i="5"/>
  <c r="Q2012" i="5" s="1"/>
  <c r="P2013" i="5"/>
  <c r="Q2013" i="5" s="1"/>
  <c r="P2014" i="5"/>
  <c r="Q2014" i="5" s="1"/>
  <c r="P2015" i="5"/>
  <c r="Q2015" i="5" s="1"/>
  <c r="P2016" i="5"/>
  <c r="P2017" i="5"/>
  <c r="Q2017" i="5" s="1"/>
  <c r="P2018" i="5"/>
  <c r="Q2018" i="5" s="1"/>
  <c r="P2019" i="5"/>
  <c r="Q2019" i="5" s="1"/>
  <c r="P2020" i="5"/>
  <c r="P2021" i="5"/>
  <c r="Q2021" i="5" s="1"/>
  <c r="P2022" i="5"/>
  <c r="Q2022" i="5" s="1"/>
  <c r="P2023" i="5"/>
  <c r="Q2023" i="5" s="1"/>
  <c r="P2024" i="5"/>
  <c r="Q2024" i="5" s="1"/>
  <c r="P2025" i="5"/>
  <c r="Q2025" i="5" s="1"/>
  <c r="P2026" i="5"/>
  <c r="Q2026" i="5" s="1"/>
  <c r="P2027" i="5"/>
  <c r="Q2027" i="5" s="1"/>
  <c r="P2028" i="5"/>
  <c r="Q2028" i="5" s="1"/>
  <c r="P2029" i="5"/>
  <c r="Q2029" i="5" s="1"/>
  <c r="P2030" i="5"/>
  <c r="Q2030" i="5" s="1"/>
  <c r="P2031" i="5"/>
  <c r="Q2031" i="5" s="1"/>
  <c r="P2032" i="5"/>
  <c r="P2033" i="5"/>
  <c r="Q2033" i="5" s="1"/>
  <c r="P2034" i="5"/>
  <c r="Q2034" i="5" s="1"/>
  <c r="P2035" i="5"/>
  <c r="Q2035" i="5" s="1"/>
  <c r="P2036" i="5"/>
  <c r="Q2036" i="5" s="1"/>
  <c r="P2037" i="5"/>
  <c r="Q2037" i="5" s="1"/>
  <c r="P2038" i="5"/>
  <c r="Q2038" i="5" s="1"/>
  <c r="P2039" i="5"/>
  <c r="Q2039" i="5" s="1"/>
  <c r="P2040" i="5"/>
  <c r="Q2040" i="5" s="1"/>
  <c r="P2041" i="5"/>
  <c r="Q2041" i="5" s="1"/>
  <c r="P2042" i="5"/>
  <c r="Q2042" i="5" s="1"/>
  <c r="P2043" i="5"/>
  <c r="Q2043" i="5" s="1"/>
  <c r="P2044" i="5"/>
  <c r="Q2044" i="5" s="1"/>
  <c r="P2045" i="5"/>
  <c r="Q2045" i="5" s="1"/>
  <c r="P2046" i="5"/>
  <c r="Q2046" i="5" s="1"/>
  <c r="P2047" i="5"/>
  <c r="Q2047" i="5" s="1"/>
  <c r="P2048" i="5"/>
  <c r="P2049" i="5"/>
  <c r="Q2049" i="5" s="1"/>
  <c r="P2050" i="5"/>
  <c r="Q2050" i="5" s="1"/>
  <c r="P2051" i="5"/>
  <c r="Q2051" i="5" s="1"/>
  <c r="P2052" i="5"/>
  <c r="Q2052" i="5" s="1"/>
  <c r="P2053" i="5"/>
  <c r="Q2053" i="5" s="1"/>
  <c r="P2054" i="5"/>
  <c r="Q2054" i="5" s="1"/>
  <c r="P2055" i="5"/>
  <c r="Q2055" i="5" s="1"/>
  <c r="P2056" i="5"/>
  <c r="Q2056" i="5" s="1"/>
  <c r="P2057" i="5"/>
  <c r="Q2057" i="5" s="1"/>
  <c r="P2058" i="5"/>
  <c r="Q2058" i="5" s="1"/>
  <c r="P2059" i="5"/>
  <c r="Q2059" i="5" s="1"/>
  <c r="P2060" i="5"/>
  <c r="P2061" i="5"/>
  <c r="Q2061" i="5" s="1"/>
  <c r="P2062" i="5"/>
  <c r="Q2062" i="5" s="1"/>
  <c r="P2063" i="5"/>
  <c r="Q2063" i="5" s="1"/>
  <c r="P2064" i="5"/>
  <c r="P2065" i="5"/>
  <c r="Q2065" i="5" s="1"/>
  <c r="P2066" i="5"/>
  <c r="Q2066" i="5" s="1"/>
  <c r="P2067" i="5"/>
  <c r="Q2067" i="5" s="1"/>
  <c r="P2068" i="5"/>
  <c r="Q2068" i="5" s="1"/>
  <c r="P2069" i="5"/>
  <c r="P2070" i="5"/>
  <c r="Q2070" i="5" s="1"/>
  <c r="P2071" i="5"/>
  <c r="Q2071" i="5" s="1"/>
  <c r="P2072" i="5"/>
  <c r="Q2072" i="5" s="1"/>
  <c r="P2073" i="5"/>
  <c r="Q2073" i="5" s="1"/>
  <c r="P2074" i="5"/>
  <c r="Q2074" i="5" s="1"/>
  <c r="P2075" i="5"/>
  <c r="Q2075" i="5" s="1"/>
  <c r="P2076" i="5"/>
  <c r="Q2076" i="5" s="1"/>
  <c r="P2077" i="5"/>
  <c r="Q2077" i="5" s="1"/>
  <c r="P2078" i="5"/>
  <c r="Q2078" i="5" s="1"/>
  <c r="P2079" i="5"/>
  <c r="Q2079" i="5" s="1"/>
  <c r="P2080" i="5"/>
  <c r="P2081" i="5"/>
  <c r="Q2081" i="5" s="1"/>
  <c r="P2082" i="5"/>
  <c r="Q2082" i="5" s="1"/>
  <c r="P2083" i="5"/>
  <c r="Q2083" i="5" s="1"/>
  <c r="P2084" i="5"/>
  <c r="Q2084" i="5" s="1"/>
  <c r="P2085" i="5"/>
  <c r="P2086" i="5"/>
  <c r="Q2086" i="5" s="1"/>
  <c r="P2087" i="5"/>
  <c r="Q2087" i="5" s="1"/>
  <c r="P2088" i="5"/>
  <c r="Q2088" i="5" s="1"/>
  <c r="P2089" i="5"/>
  <c r="Q2089" i="5" s="1"/>
  <c r="P2090" i="5"/>
  <c r="Q2090" i="5" s="1"/>
  <c r="P2091" i="5"/>
  <c r="Q2091" i="5" s="1"/>
  <c r="P2092" i="5"/>
  <c r="Q2092" i="5" s="1"/>
  <c r="P2093" i="5"/>
  <c r="Q2093" i="5" s="1"/>
  <c r="P2094" i="5"/>
  <c r="Q2094" i="5" s="1"/>
  <c r="P2095" i="5"/>
  <c r="Q2095" i="5" s="1"/>
  <c r="P2096" i="5"/>
  <c r="Q2096" i="5" s="1"/>
  <c r="P2097" i="5"/>
  <c r="Q2097" i="5" s="1"/>
  <c r="P2098" i="5"/>
  <c r="Q2098" i="5" s="1"/>
  <c r="P2099" i="5"/>
  <c r="Q2099" i="5" s="1"/>
  <c r="P2100" i="5"/>
  <c r="Q2100" i="5" s="1"/>
  <c r="P2101" i="5"/>
  <c r="Q2101" i="5" s="1"/>
  <c r="P2102" i="5"/>
  <c r="Q2102" i="5" s="1"/>
  <c r="P2103" i="5"/>
  <c r="Q2103" i="5" s="1"/>
  <c r="P2104" i="5"/>
  <c r="Q2104" i="5" s="1"/>
  <c r="P2105" i="5"/>
  <c r="Q2105" i="5" s="1"/>
  <c r="P2106" i="5"/>
  <c r="Q2106" i="5" s="1"/>
  <c r="P2107" i="5"/>
  <c r="Q2107" i="5" s="1"/>
  <c r="P2108" i="5"/>
  <c r="Q2108" i="5" s="1"/>
  <c r="P2109" i="5"/>
  <c r="Q2109" i="5" s="1"/>
  <c r="P2110" i="5"/>
  <c r="Q2110" i="5" s="1"/>
  <c r="P2111" i="5"/>
  <c r="Q2111" i="5" s="1"/>
  <c r="P2112" i="5"/>
  <c r="Q2112" i="5" s="1"/>
  <c r="P2113" i="5"/>
  <c r="Q2113" i="5" s="1"/>
  <c r="P2114" i="5"/>
  <c r="Q2114" i="5" s="1"/>
  <c r="P2115" i="5"/>
  <c r="Q2115" i="5" s="1"/>
  <c r="P2116" i="5"/>
  <c r="Q2116" i="5" s="1"/>
  <c r="P2117" i="5"/>
  <c r="Q2117" i="5" s="1"/>
  <c r="P2118" i="5"/>
  <c r="Q2118" i="5" s="1"/>
  <c r="P2119" i="5"/>
  <c r="Q2119" i="5" s="1"/>
  <c r="P2120" i="5"/>
  <c r="Q2120" i="5" s="1"/>
  <c r="P2121" i="5"/>
  <c r="Q2121" i="5" s="1"/>
  <c r="P2122" i="5"/>
  <c r="Q2122" i="5" s="1"/>
  <c r="P2123" i="5"/>
  <c r="Q2123" i="5" s="1"/>
  <c r="P2124" i="5"/>
  <c r="Q2124" i="5" s="1"/>
  <c r="P2125" i="5"/>
  <c r="Q2125" i="5" s="1"/>
  <c r="P2126" i="5"/>
  <c r="Q2126" i="5" s="1"/>
  <c r="P2127" i="5"/>
  <c r="Q2127" i="5" s="1"/>
  <c r="P2128" i="5"/>
  <c r="Q2128" i="5" s="1"/>
  <c r="P2129" i="5"/>
  <c r="Q2129" i="5" s="1"/>
  <c r="P2130" i="5"/>
  <c r="Q2130" i="5" s="1"/>
  <c r="P2131" i="5"/>
  <c r="Q2131" i="5" s="1"/>
  <c r="P2132" i="5"/>
  <c r="Q2132" i="5" s="1"/>
  <c r="P2133" i="5"/>
  <c r="Q2133" i="5" s="1"/>
  <c r="P2134" i="5"/>
  <c r="Q2134" i="5" s="1"/>
  <c r="P2135" i="5"/>
  <c r="Q2135" i="5" s="1"/>
  <c r="P2136" i="5"/>
  <c r="P2137" i="5"/>
  <c r="Q2137" i="5" s="1"/>
  <c r="P2138" i="5"/>
  <c r="Q2138" i="5" s="1"/>
  <c r="P2139" i="5"/>
  <c r="Q2139" i="5" s="1"/>
  <c r="P2140" i="5"/>
  <c r="Q2140" i="5" s="1"/>
  <c r="P2141" i="5"/>
  <c r="Q2141" i="5" s="1"/>
  <c r="P2142" i="5"/>
  <c r="Q2142" i="5" s="1"/>
  <c r="P2143" i="5"/>
  <c r="Q2143" i="5" s="1"/>
  <c r="P2144" i="5"/>
  <c r="Q2144" i="5" s="1"/>
  <c r="P2145" i="5"/>
  <c r="Q2145" i="5" s="1"/>
  <c r="P2146" i="5"/>
  <c r="Q2146" i="5" s="1"/>
  <c r="P2147" i="5"/>
  <c r="Q2147" i="5" s="1"/>
  <c r="P2148" i="5"/>
  <c r="Q2148" i="5" s="1"/>
  <c r="P2149" i="5"/>
  <c r="Q2149" i="5" s="1"/>
  <c r="P2150" i="5"/>
  <c r="Q2150" i="5" s="1"/>
  <c r="P2151" i="5"/>
  <c r="Q2151" i="5" s="1"/>
  <c r="P2152" i="5"/>
  <c r="Q2152" i="5" s="1"/>
  <c r="P2153" i="5"/>
  <c r="Q2153" i="5" s="1"/>
  <c r="P2154" i="5"/>
  <c r="Q2154" i="5" s="1"/>
  <c r="P2155" i="5"/>
  <c r="Q2155" i="5" s="1"/>
  <c r="P2156" i="5"/>
  <c r="Q2156" i="5" s="1"/>
  <c r="P2157" i="5"/>
  <c r="Q2157" i="5" s="1"/>
  <c r="P2158" i="5"/>
  <c r="Q2158" i="5" s="1"/>
  <c r="P2159" i="5"/>
  <c r="Q2159" i="5" s="1"/>
  <c r="P2160" i="5"/>
  <c r="Q2160" i="5" s="1"/>
  <c r="P2161" i="5"/>
  <c r="Q2161" i="5" s="1"/>
  <c r="P2162" i="5"/>
  <c r="Q2162" i="5" s="1"/>
  <c r="P2163" i="5"/>
  <c r="Q2163" i="5" s="1"/>
  <c r="P2164" i="5"/>
  <c r="Q2164" i="5" s="1"/>
  <c r="P2165" i="5"/>
  <c r="Q2165" i="5" s="1"/>
  <c r="P2166" i="5"/>
  <c r="Q2166" i="5" s="1"/>
  <c r="P2167" i="5"/>
  <c r="Q2167" i="5" s="1"/>
  <c r="P2168" i="5"/>
  <c r="Q2168" i="5" s="1"/>
  <c r="P2169" i="5"/>
  <c r="Q2169" i="5" s="1"/>
  <c r="P2170" i="5"/>
  <c r="Q2170" i="5" s="1"/>
  <c r="P2171" i="5"/>
  <c r="Q2171" i="5" s="1"/>
  <c r="P2172" i="5"/>
  <c r="Q2172" i="5" s="1"/>
  <c r="P2173" i="5"/>
  <c r="Q2173" i="5" s="1"/>
  <c r="P2174" i="5"/>
  <c r="Q2174" i="5" s="1"/>
  <c r="P2175" i="5"/>
  <c r="Q2175" i="5" s="1"/>
  <c r="P2176" i="5"/>
  <c r="Q2176" i="5" s="1"/>
  <c r="P2177" i="5"/>
  <c r="Q2177" i="5" s="1"/>
  <c r="P2178" i="5"/>
  <c r="Q2178" i="5" s="1"/>
  <c r="P2179" i="5"/>
  <c r="Q2179" i="5" s="1"/>
  <c r="P2180" i="5"/>
  <c r="Q2180" i="5" s="1"/>
  <c r="P2181" i="5"/>
  <c r="Q2181" i="5" s="1"/>
  <c r="P2182" i="5"/>
  <c r="Q2182" i="5" s="1"/>
  <c r="P2183" i="5"/>
  <c r="Q2183" i="5" s="1"/>
  <c r="P2184" i="5"/>
  <c r="Q2184" i="5" s="1"/>
  <c r="P2185" i="5"/>
  <c r="Q2185" i="5" s="1"/>
  <c r="P2186" i="5"/>
  <c r="Q2186" i="5" s="1"/>
  <c r="P2187" i="5"/>
  <c r="Q2187" i="5" s="1"/>
  <c r="P2188" i="5"/>
  <c r="Q2188" i="5" s="1"/>
  <c r="P2189" i="5"/>
  <c r="Q2189" i="5" s="1"/>
  <c r="P2190" i="5"/>
  <c r="Q2190" i="5" s="1"/>
  <c r="P2191" i="5"/>
  <c r="Q2191" i="5" s="1"/>
  <c r="P2192" i="5"/>
  <c r="Q2192" i="5" s="1"/>
  <c r="P2193" i="5"/>
  <c r="Q2193" i="5" s="1"/>
  <c r="P2194" i="5"/>
  <c r="Q2194" i="5" s="1"/>
  <c r="P2195" i="5"/>
  <c r="Q2195" i="5" s="1"/>
  <c r="P2196" i="5"/>
  <c r="Q2196" i="5" s="1"/>
  <c r="P2197" i="5"/>
  <c r="Q2197" i="5" s="1"/>
  <c r="P2198" i="5"/>
  <c r="Q2198" i="5" s="1"/>
  <c r="P2199" i="5"/>
  <c r="Q2199" i="5" s="1"/>
  <c r="P2200" i="5"/>
  <c r="Q2200" i="5" s="1"/>
  <c r="P2201" i="5"/>
  <c r="Q2201" i="5" s="1"/>
  <c r="P2202" i="5"/>
  <c r="Q2202" i="5" s="1"/>
  <c r="P2203" i="5"/>
  <c r="Q2203" i="5" s="1"/>
  <c r="P2204" i="5"/>
  <c r="Q2204" i="5" s="1"/>
  <c r="P2205" i="5"/>
  <c r="Q2205" i="5" s="1"/>
  <c r="P2206" i="5"/>
  <c r="Q2206" i="5" s="1"/>
  <c r="P2207" i="5"/>
  <c r="Q2207" i="5" s="1"/>
  <c r="P2208" i="5"/>
  <c r="Q2208" i="5" s="1"/>
  <c r="P2209" i="5"/>
  <c r="Q2209" i="5" s="1"/>
  <c r="P2210" i="5"/>
  <c r="Q2210" i="5" s="1"/>
  <c r="P2211" i="5"/>
  <c r="Q2211" i="5" s="1"/>
  <c r="P2212" i="5"/>
  <c r="Q2212" i="5" s="1"/>
  <c r="P2213" i="5"/>
  <c r="Q2213" i="5" s="1"/>
  <c r="P2214" i="5"/>
  <c r="Q2214" i="5" s="1"/>
  <c r="P2215" i="5"/>
  <c r="Q2215" i="5" s="1"/>
  <c r="P2216" i="5"/>
  <c r="Q2216" i="5" s="1"/>
  <c r="P2217" i="5"/>
  <c r="Q2217" i="5" s="1"/>
  <c r="P2218" i="5"/>
  <c r="Q2218" i="5" s="1"/>
  <c r="P2219" i="5"/>
  <c r="Q2219" i="5" s="1"/>
  <c r="P2220" i="5"/>
  <c r="Q2220" i="5" s="1"/>
  <c r="P2221" i="5"/>
  <c r="Q2221" i="5" s="1"/>
  <c r="P2222" i="5"/>
  <c r="Q2222" i="5" s="1"/>
  <c r="P2223" i="5"/>
  <c r="Q2223" i="5" s="1"/>
  <c r="P2224" i="5"/>
  <c r="Q2224" i="5" s="1"/>
  <c r="P2225" i="5"/>
  <c r="Q2225" i="5" s="1"/>
  <c r="P2226" i="5"/>
  <c r="Q2226" i="5" s="1"/>
  <c r="P2227" i="5"/>
  <c r="Q2227" i="5" s="1"/>
  <c r="P2228" i="5"/>
  <c r="Q2228" i="5" s="1"/>
  <c r="P2229" i="5"/>
  <c r="Q2229" i="5" s="1"/>
  <c r="P2230" i="5"/>
  <c r="Q2230" i="5" s="1"/>
  <c r="P2231" i="5"/>
  <c r="Q2231" i="5" s="1"/>
  <c r="P2232" i="5"/>
  <c r="Q2232" i="5" s="1"/>
  <c r="P2233" i="5"/>
  <c r="Q2233" i="5" s="1"/>
  <c r="P2234" i="5"/>
  <c r="Q2234" i="5" s="1"/>
  <c r="P2235" i="5"/>
  <c r="Q2235" i="5" s="1"/>
  <c r="P2236" i="5"/>
  <c r="Q2236" i="5" s="1"/>
  <c r="P2237" i="5"/>
  <c r="Q2237" i="5" s="1"/>
  <c r="P2238" i="5"/>
  <c r="Q2238" i="5" s="1"/>
  <c r="P2239" i="5"/>
  <c r="Q2239" i="5" s="1"/>
  <c r="P2240" i="5"/>
  <c r="Q2240" i="5" s="1"/>
  <c r="P2241" i="5"/>
  <c r="Q2241" i="5" s="1"/>
  <c r="P2242" i="5"/>
  <c r="Q2242" i="5" s="1"/>
  <c r="P2243" i="5"/>
  <c r="Q2243" i="5" s="1"/>
  <c r="P2244" i="5"/>
  <c r="Q2244" i="5" s="1"/>
  <c r="P2245" i="5"/>
  <c r="Q2245" i="5" s="1"/>
  <c r="P2246" i="5"/>
  <c r="Q2246" i="5" s="1"/>
  <c r="P2247" i="5"/>
  <c r="Q2247" i="5" s="1"/>
  <c r="P2248" i="5"/>
  <c r="Q2248" i="5" s="1"/>
  <c r="P2249" i="5"/>
  <c r="Q2249" i="5" s="1"/>
  <c r="P2250" i="5"/>
  <c r="Q2250" i="5" s="1"/>
  <c r="P2251" i="5"/>
  <c r="Q2251" i="5" s="1"/>
  <c r="P2252" i="5"/>
  <c r="Q2252" i="5" s="1"/>
  <c r="P2253" i="5"/>
  <c r="Q2253" i="5" s="1"/>
  <c r="P2254" i="5"/>
  <c r="Q2254" i="5" s="1"/>
  <c r="P2255" i="5"/>
  <c r="Q2255" i="5" s="1"/>
  <c r="P2256" i="5"/>
  <c r="Q2256" i="5" s="1"/>
  <c r="P2257" i="5"/>
  <c r="Q2257" i="5" s="1"/>
  <c r="P2258" i="5"/>
  <c r="Q2258" i="5" s="1"/>
  <c r="P2259" i="5"/>
  <c r="Q2259" i="5" s="1"/>
  <c r="P2260" i="5"/>
  <c r="Q2260" i="5" s="1"/>
  <c r="P2261" i="5"/>
  <c r="Q2261" i="5" s="1"/>
  <c r="P2262" i="5"/>
  <c r="Q2262" i="5" s="1"/>
  <c r="P2263" i="5"/>
  <c r="Q2263" i="5" s="1"/>
  <c r="P2264" i="5"/>
  <c r="Q2264" i="5" s="1"/>
  <c r="P2265" i="5"/>
  <c r="Q2265" i="5" s="1"/>
  <c r="P2266" i="5"/>
  <c r="Q2266" i="5" s="1"/>
  <c r="P2267" i="5"/>
  <c r="Q2267" i="5" s="1"/>
  <c r="P2268" i="5"/>
  <c r="Q2268" i="5" s="1"/>
  <c r="P2269" i="5"/>
  <c r="Q2269" i="5" s="1"/>
  <c r="P2270" i="5"/>
  <c r="Q2270" i="5" s="1"/>
  <c r="P2271" i="5"/>
  <c r="Q2271" i="5" s="1"/>
  <c r="P2272" i="5"/>
  <c r="Q2272" i="5" s="1"/>
  <c r="P2273" i="5"/>
  <c r="Q2273" i="5" s="1"/>
  <c r="P2274" i="5"/>
  <c r="Q2274" i="5" s="1"/>
  <c r="P2275" i="5"/>
  <c r="Q2275" i="5" s="1"/>
  <c r="P2276" i="5"/>
  <c r="Q2276" i="5" s="1"/>
  <c r="P2277" i="5"/>
  <c r="Q2277" i="5" s="1"/>
  <c r="P2278" i="5"/>
  <c r="Q2278" i="5" s="1"/>
  <c r="P2279" i="5"/>
  <c r="Q2279" i="5" s="1"/>
  <c r="P2280" i="5"/>
  <c r="Q2280" i="5" s="1"/>
  <c r="P2281" i="5"/>
  <c r="Q2281" i="5" s="1"/>
  <c r="P2282" i="5"/>
  <c r="Q2282" i="5" s="1"/>
  <c r="P2283" i="5"/>
  <c r="Q2283" i="5" s="1"/>
  <c r="P2284" i="5"/>
  <c r="Q2284" i="5" s="1"/>
  <c r="P2285" i="5"/>
  <c r="Q2285" i="5" s="1"/>
  <c r="P2286" i="5"/>
  <c r="Q2286" i="5" s="1"/>
  <c r="P2287" i="5"/>
  <c r="Q2287" i="5" s="1"/>
  <c r="P2288" i="5"/>
  <c r="Q2288" i="5" s="1"/>
  <c r="P2289" i="5"/>
  <c r="Q2289" i="5" s="1"/>
  <c r="P2290" i="5"/>
  <c r="Q2290" i="5" s="1"/>
  <c r="P2291" i="5"/>
  <c r="Q2291" i="5" s="1"/>
  <c r="P2292" i="5"/>
  <c r="Q2292" i="5" s="1"/>
  <c r="P2293" i="5"/>
  <c r="Q2293" i="5" s="1"/>
  <c r="P2294" i="5"/>
  <c r="Q2294" i="5" s="1"/>
  <c r="P2295" i="5"/>
  <c r="Q2295" i="5" s="1"/>
  <c r="P2296" i="5"/>
  <c r="Q2296" i="5" s="1"/>
  <c r="P2297" i="5"/>
  <c r="Q2297" i="5" s="1"/>
  <c r="P2298" i="5"/>
  <c r="Q2298" i="5" s="1"/>
  <c r="P2299" i="5"/>
  <c r="Q2299" i="5" s="1"/>
  <c r="P2300" i="5"/>
  <c r="Q2300" i="5" s="1"/>
  <c r="P2301" i="5"/>
  <c r="Q2301" i="5" s="1"/>
  <c r="P2302" i="5"/>
  <c r="Q2302" i="5" s="1"/>
  <c r="P2303" i="5"/>
  <c r="Q2303" i="5" s="1"/>
  <c r="P2304" i="5"/>
  <c r="Q2304" i="5" s="1"/>
  <c r="P2305" i="5"/>
  <c r="Q2305" i="5" s="1"/>
  <c r="P2306" i="5"/>
  <c r="Q2306" i="5" s="1"/>
  <c r="P2307" i="5"/>
  <c r="Q2307" i="5" s="1"/>
  <c r="P2308" i="5"/>
  <c r="Q2308" i="5" s="1"/>
  <c r="P2309" i="5"/>
  <c r="Q2309" i="5" s="1"/>
  <c r="P2310" i="5"/>
  <c r="Q2310" i="5" s="1"/>
  <c r="P2311" i="5"/>
  <c r="Q2311" i="5" s="1"/>
  <c r="P2312" i="5"/>
  <c r="Q2312" i="5" s="1"/>
  <c r="P2313" i="5"/>
  <c r="Q2313" i="5" s="1"/>
  <c r="P2314" i="5"/>
  <c r="Q2314" i="5" s="1"/>
  <c r="P2315" i="5"/>
  <c r="Q2315" i="5" s="1"/>
  <c r="P2316" i="5"/>
  <c r="Q2316" i="5" s="1"/>
  <c r="P2317" i="5"/>
  <c r="Q2317" i="5" s="1"/>
  <c r="P2318" i="5"/>
  <c r="Q2318" i="5" s="1"/>
  <c r="P2319" i="5"/>
  <c r="Q2319" i="5" s="1"/>
  <c r="P2320" i="5"/>
  <c r="Q2320" i="5" s="1"/>
  <c r="P2321" i="5"/>
  <c r="Q2321" i="5" s="1"/>
  <c r="P2322" i="5"/>
  <c r="Q2322" i="5" s="1"/>
  <c r="P2323" i="5"/>
  <c r="Q2323" i="5" s="1"/>
  <c r="P2324" i="5"/>
  <c r="Q2324" i="5" s="1"/>
  <c r="P2325" i="5"/>
  <c r="Q2325" i="5" s="1"/>
  <c r="P2326" i="5"/>
  <c r="Q2326" i="5" s="1"/>
  <c r="P2327" i="5"/>
  <c r="Q2327" i="5" s="1"/>
  <c r="P2328" i="5"/>
  <c r="Q2328" i="5" s="1"/>
  <c r="P2329" i="5"/>
  <c r="Q2329" i="5" s="1"/>
  <c r="P2330" i="5"/>
  <c r="Q2330" i="5" s="1"/>
  <c r="P2331" i="5"/>
  <c r="Q2331" i="5" s="1"/>
  <c r="P2332" i="5"/>
  <c r="Q2332" i="5" s="1"/>
  <c r="P2333" i="5"/>
  <c r="Q2333" i="5" s="1"/>
  <c r="P2334" i="5"/>
  <c r="Q2334" i="5" s="1"/>
  <c r="P2335" i="5"/>
  <c r="Q2335" i="5" s="1"/>
  <c r="P2336" i="5"/>
  <c r="Q2336" i="5" s="1"/>
  <c r="P2337" i="5"/>
  <c r="Q2337" i="5" s="1"/>
  <c r="P2338" i="5"/>
  <c r="Q2338" i="5" s="1"/>
  <c r="P2339" i="5"/>
  <c r="Q2339" i="5" s="1"/>
  <c r="P2340" i="5"/>
  <c r="Q2340" i="5" s="1"/>
  <c r="P2341" i="5"/>
  <c r="Q2341" i="5" s="1"/>
  <c r="P2342" i="5"/>
  <c r="Q2342" i="5" s="1"/>
  <c r="P2343" i="5"/>
  <c r="Q2343" i="5" s="1"/>
  <c r="P2344" i="5"/>
  <c r="Q2344" i="5" s="1"/>
  <c r="P2345" i="5"/>
  <c r="Q2345" i="5" s="1"/>
  <c r="P2346" i="5"/>
  <c r="Q2346" i="5" s="1"/>
  <c r="P2347" i="5"/>
  <c r="Q2347" i="5" s="1"/>
  <c r="P2348" i="5"/>
  <c r="Q2348" i="5" s="1"/>
  <c r="P2349" i="5"/>
  <c r="Q2349" i="5" s="1"/>
  <c r="P2350" i="5"/>
  <c r="Q2350" i="5" s="1"/>
  <c r="P2351" i="5"/>
  <c r="Q2351" i="5" s="1"/>
  <c r="P2352" i="5"/>
  <c r="Q2352" i="5" s="1"/>
  <c r="P2353" i="5"/>
  <c r="Q2353" i="5" s="1"/>
  <c r="P2354" i="5"/>
  <c r="Q2354" i="5" s="1"/>
  <c r="P2355" i="5"/>
  <c r="Q2355" i="5" s="1"/>
  <c r="P2356" i="5"/>
  <c r="Q2356" i="5" s="1"/>
  <c r="P2357" i="5"/>
  <c r="Q2357" i="5" s="1"/>
  <c r="P2358" i="5"/>
  <c r="Q2358" i="5" s="1"/>
  <c r="P2359" i="5"/>
  <c r="Q2359" i="5" s="1"/>
  <c r="P2360" i="5"/>
  <c r="Q2360" i="5" s="1"/>
  <c r="P2361" i="5"/>
  <c r="Q2361" i="5" s="1"/>
  <c r="P2362" i="5"/>
  <c r="Q2362" i="5" s="1"/>
  <c r="P2363" i="5"/>
  <c r="Q2363" i="5" s="1"/>
  <c r="P2364" i="5"/>
  <c r="Q2364" i="5" s="1"/>
  <c r="P2365" i="5"/>
  <c r="Q2365" i="5" s="1"/>
  <c r="P2366" i="5"/>
  <c r="Q2366" i="5" s="1"/>
  <c r="P2367" i="5"/>
  <c r="Q2367" i="5" s="1"/>
  <c r="P2368" i="5"/>
  <c r="Q2368" i="5" s="1"/>
  <c r="P2369" i="5"/>
  <c r="Q2369" i="5" s="1"/>
  <c r="P2370" i="5"/>
  <c r="Q2370" i="5" s="1"/>
  <c r="P2371" i="5"/>
  <c r="Q2371" i="5" s="1"/>
  <c r="P2372" i="5"/>
  <c r="Q2372" i="5" s="1"/>
  <c r="P2373" i="5"/>
  <c r="Q2373" i="5" s="1"/>
  <c r="P2374" i="5"/>
  <c r="Q2374" i="5" s="1"/>
  <c r="P2375" i="5"/>
  <c r="Q2375" i="5" s="1"/>
  <c r="P2376" i="5"/>
  <c r="Q2376" i="5" s="1"/>
  <c r="P2377" i="5"/>
  <c r="Q2377" i="5" s="1"/>
  <c r="P2378" i="5"/>
  <c r="Q2378" i="5" s="1"/>
  <c r="P2379" i="5"/>
  <c r="Q2379" i="5" s="1"/>
  <c r="P2380" i="5"/>
  <c r="Q2380" i="5" s="1"/>
  <c r="P2381" i="5"/>
  <c r="Q2381" i="5" s="1"/>
  <c r="P2382" i="5"/>
  <c r="Q2382" i="5" s="1"/>
  <c r="P2383" i="5"/>
  <c r="Q2383" i="5" s="1"/>
  <c r="P2384" i="5"/>
  <c r="Q2384" i="5" s="1"/>
  <c r="P2385" i="5"/>
  <c r="Q2385" i="5" s="1"/>
  <c r="P2386" i="5"/>
  <c r="Q2386" i="5" s="1"/>
  <c r="P2387" i="5"/>
  <c r="Q2387" i="5" s="1"/>
  <c r="P2388" i="5"/>
  <c r="Q2388" i="5" s="1"/>
  <c r="P2389" i="5"/>
  <c r="Q2389" i="5" s="1"/>
  <c r="P2390" i="5"/>
  <c r="Q2390" i="5" s="1"/>
  <c r="P2391" i="5"/>
  <c r="Q2391" i="5" s="1"/>
  <c r="P2392" i="5"/>
  <c r="Q2392" i="5" s="1"/>
  <c r="P2393" i="5"/>
  <c r="Q2393" i="5" s="1"/>
  <c r="P2394" i="5"/>
  <c r="Q2394" i="5" s="1"/>
  <c r="P2395" i="5"/>
  <c r="Q2395" i="5" s="1"/>
  <c r="P2396" i="5"/>
  <c r="Q2396" i="5" s="1"/>
  <c r="P2397" i="5"/>
  <c r="Q2397" i="5" s="1"/>
  <c r="P2398" i="5"/>
  <c r="Q2398" i="5" s="1"/>
  <c r="P2399" i="5"/>
  <c r="Q2399" i="5" s="1"/>
  <c r="P2400" i="5"/>
  <c r="Q2400" i="5" s="1"/>
  <c r="P2401" i="5"/>
  <c r="Q2401" i="5" s="1"/>
  <c r="P2402" i="5"/>
  <c r="Q2402" i="5" s="1"/>
  <c r="P2403" i="5"/>
  <c r="Q2403" i="5" s="1"/>
  <c r="P2404" i="5"/>
  <c r="Q2404" i="5" s="1"/>
  <c r="P2405" i="5"/>
  <c r="Q2405" i="5" s="1"/>
  <c r="P2406" i="5"/>
  <c r="Q2406" i="5" s="1"/>
  <c r="P2407" i="5"/>
  <c r="Q2407" i="5" s="1"/>
  <c r="P2408" i="5"/>
  <c r="Q2408" i="5" s="1"/>
  <c r="P2409" i="5"/>
  <c r="Q2409" i="5" s="1"/>
  <c r="P2410" i="5"/>
  <c r="Q2410" i="5" s="1"/>
  <c r="P2411" i="5"/>
  <c r="Q2411" i="5" s="1"/>
  <c r="P2412" i="5"/>
  <c r="Q2412" i="5" s="1"/>
  <c r="P2413" i="5"/>
  <c r="Q2413" i="5" s="1"/>
  <c r="P2414" i="5"/>
  <c r="Q2414" i="5" s="1"/>
  <c r="P2415" i="5"/>
  <c r="Q2415" i="5" s="1"/>
  <c r="P2416" i="5"/>
  <c r="Q2416" i="5" s="1"/>
  <c r="P2417" i="5"/>
  <c r="Q2417" i="5" s="1"/>
  <c r="P2418" i="5"/>
  <c r="Q2418" i="5" s="1"/>
  <c r="P2419" i="5"/>
  <c r="Q2419" i="5" s="1"/>
  <c r="P2420" i="5"/>
  <c r="Q2420" i="5" s="1"/>
  <c r="P2421" i="5"/>
  <c r="Q2421" i="5" s="1"/>
  <c r="P2422" i="5"/>
  <c r="Q2422" i="5" s="1"/>
  <c r="P2423" i="5"/>
  <c r="Q2423" i="5" s="1"/>
  <c r="P2424" i="5"/>
  <c r="Q2424" i="5" s="1"/>
  <c r="P2425" i="5"/>
  <c r="Q2425" i="5" s="1"/>
  <c r="P2426" i="5"/>
  <c r="Q2426" i="5" s="1"/>
  <c r="P2427" i="5"/>
  <c r="Q2427" i="5" s="1"/>
  <c r="P2428" i="5"/>
  <c r="Q2428" i="5" s="1"/>
  <c r="P2429" i="5"/>
  <c r="Q2429" i="5" s="1"/>
  <c r="P2430" i="5"/>
  <c r="Q2430" i="5" s="1"/>
  <c r="P2431" i="5"/>
  <c r="Q2431" i="5" s="1"/>
  <c r="P2432" i="5"/>
  <c r="Q2432" i="5" s="1"/>
  <c r="P2433" i="5"/>
  <c r="Q2433" i="5" s="1"/>
  <c r="P2434" i="5"/>
  <c r="Q2434" i="5" s="1"/>
  <c r="P2435" i="5"/>
  <c r="Q2435" i="5" s="1"/>
  <c r="P2436" i="5"/>
  <c r="Q2436" i="5" s="1"/>
  <c r="P2437" i="5"/>
  <c r="Q2437" i="5" s="1"/>
  <c r="P2438" i="5"/>
  <c r="Q2438" i="5" s="1"/>
  <c r="P2439" i="5"/>
  <c r="Q2439" i="5" s="1"/>
  <c r="P2440" i="5"/>
  <c r="Q2440" i="5" s="1"/>
  <c r="P2441" i="5"/>
  <c r="Q2441" i="5" s="1"/>
  <c r="P2442" i="5"/>
  <c r="Q2442" i="5" s="1"/>
  <c r="P2443" i="5"/>
  <c r="Q2443" i="5" s="1"/>
  <c r="P2444" i="5"/>
  <c r="Q2444" i="5" s="1"/>
  <c r="P2445" i="5"/>
  <c r="Q2445" i="5" s="1"/>
  <c r="P2446" i="5"/>
  <c r="Q2446" i="5" s="1"/>
  <c r="P2447" i="5"/>
  <c r="Q2447" i="5" s="1"/>
  <c r="P2448" i="5"/>
  <c r="Q2448" i="5" s="1"/>
  <c r="P2449" i="5"/>
  <c r="Q2449" i="5" s="1"/>
  <c r="P2450" i="5"/>
  <c r="Q2450" i="5" s="1"/>
  <c r="P2451" i="5"/>
  <c r="Q2451" i="5" s="1"/>
  <c r="P2452" i="5"/>
  <c r="Q2452" i="5" s="1"/>
  <c r="P2453" i="5"/>
  <c r="Q2453" i="5" s="1"/>
  <c r="P2454" i="5"/>
  <c r="Q2454" i="5" s="1"/>
  <c r="P2455" i="5"/>
  <c r="Q2455" i="5" s="1"/>
  <c r="P2456" i="5"/>
  <c r="Q2456" i="5" s="1"/>
  <c r="P2457" i="5"/>
  <c r="Q2457" i="5" s="1"/>
  <c r="P2458" i="5"/>
  <c r="Q2458" i="5" s="1"/>
  <c r="P2459" i="5"/>
  <c r="Q2459" i="5" s="1"/>
  <c r="P2460" i="5"/>
  <c r="Q2460" i="5" s="1"/>
  <c r="P2461" i="5"/>
  <c r="Q2461" i="5" s="1"/>
  <c r="P2462" i="5"/>
  <c r="Q2462" i="5" s="1"/>
  <c r="P2463" i="5"/>
  <c r="Q2463" i="5" s="1"/>
  <c r="P2464" i="5"/>
  <c r="Q2464" i="5" s="1"/>
  <c r="P2465" i="5"/>
  <c r="Q2465" i="5" s="1"/>
  <c r="P2466" i="5"/>
  <c r="Q2466" i="5" s="1"/>
  <c r="P2467" i="5"/>
  <c r="Q2467" i="5" s="1"/>
  <c r="P2468" i="5"/>
  <c r="Q2468" i="5" s="1"/>
  <c r="P2469" i="5"/>
  <c r="Q2469" i="5" s="1"/>
  <c r="P2470" i="5"/>
  <c r="Q2470" i="5" s="1"/>
  <c r="P2471" i="5"/>
  <c r="Q2471" i="5" s="1"/>
  <c r="P2472" i="5"/>
  <c r="Q2472" i="5" s="1"/>
  <c r="P2473" i="5"/>
  <c r="Q2473" i="5" s="1"/>
  <c r="P2474" i="5"/>
  <c r="Q2474" i="5" s="1"/>
  <c r="P2475" i="5"/>
  <c r="Q2475" i="5" s="1"/>
  <c r="P2476" i="5"/>
  <c r="Q2476" i="5" s="1"/>
  <c r="P2477" i="5"/>
  <c r="Q2477" i="5" s="1"/>
  <c r="P2478" i="5"/>
  <c r="Q2478" i="5" s="1"/>
  <c r="P2479" i="5"/>
  <c r="Q2479" i="5" s="1"/>
  <c r="P2480" i="5"/>
  <c r="Q2480" i="5" s="1"/>
  <c r="P2481" i="5"/>
  <c r="Q2481" i="5" s="1"/>
  <c r="P2482" i="5"/>
  <c r="Q2482" i="5" s="1"/>
  <c r="P2483" i="5"/>
  <c r="Q2483" i="5" s="1"/>
  <c r="P2484" i="5"/>
  <c r="Q2484" i="5" s="1"/>
  <c r="P2485" i="5"/>
  <c r="Q2485" i="5" s="1"/>
  <c r="P2486" i="5"/>
  <c r="Q2486" i="5" s="1"/>
  <c r="P2487" i="5"/>
  <c r="Q2487" i="5" s="1"/>
  <c r="P2488" i="5"/>
  <c r="Q2488" i="5" s="1"/>
  <c r="P2489" i="5"/>
  <c r="Q2489" i="5" s="1"/>
  <c r="P2490" i="5"/>
  <c r="Q2490" i="5" s="1"/>
  <c r="P2491" i="5"/>
  <c r="Q2491" i="5" s="1"/>
  <c r="P2492" i="5"/>
  <c r="Q2492" i="5" s="1"/>
  <c r="P2493" i="5"/>
  <c r="Q2493" i="5" s="1"/>
  <c r="P2494" i="5"/>
  <c r="Q2494" i="5" s="1"/>
  <c r="P2495" i="5"/>
  <c r="Q2495" i="5" s="1"/>
  <c r="P2496" i="5"/>
  <c r="Q2496" i="5" s="1"/>
  <c r="P2497" i="5"/>
  <c r="Q2497" i="5" s="1"/>
  <c r="P2498" i="5"/>
  <c r="Q2498" i="5" s="1"/>
  <c r="P2499" i="5"/>
  <c r="Q2499" i="5" s="1"/>
  <c r="P2500" i="5"/>
  <c r="Q2500" i="5" s="1"/>
  <c r="P2501" i="5"/>
  <c r="Q2501" i="5" s="1"/>
  <c r="P2502" i="5"/>
  <c r="Q2502" i="5" s="1"/>
  <c r="P2503" i="5"/>
  <c r="Q2503" i="5" s="1"/>
  <c r="P2504" i="5"/>
  <c r="Q2504" i="5" s="1"/>
  <c r="P2505" i="5"/>
  <c r="Q2505" i="5" s="1"/>
  <c r="P2506" i="5"/>
  <c r="Q2506" i="5" s="1"/>
  <c r="P2507" i="5"/>
  <c r="Q2507" i="5" s="1"/>
  <c r="P2508" i="5"/>
  <c r="Q2508" i="5" s="1"/>
  <c r="P2509" i="5"/>
  <c r="Q2509" i="5" s="1"/>
  <c r="P2510" i="5"/>
  <c r="Q2510" i="5" s="1"/>
  <c r="P2511" i="5"/>
  <c r="Q2511" i="5" s="1"/>
  <c r="P2512" i="5"/>
  <c r="Q2512" i="5" s="1"/>
  <c r="P2513" i="5"/>
  <c r="Q2513" i="5" s="1"/>
  <c r="P2514" i="5"/>
  <c r="Q2514" i="5" s="1"/>
  <c r="P2515" i="5"/>
  <c r="Q2515" i="5" s="1"/>
  <c r="P2516" i="5"/>
  <c r="Q2516" i="5" s="1"/>
  <c r="P2517" i="5"/>
  <c r="Q2517" i="5" s="1"/>
  <c r="P2518" i="5"/>
  <c r="Q2518" i="5" s="1"/>
  <c r="P2519" i="5"/>
  <c r="Q2519" i="5" s="1"/>
  <c r="P2520" i="5"/>
  <c r="Q2520" i="5" s="1"/>
  <c r="P2521" i="5"/>
  <c r="Q2521" i="5" s="1"/>
  <c r="P2522" i="5"/>
  <c r="Q2522" i="5" s="1"/>
  <c r="P2523" i="5"/>
  <c r="Q2523" i="5" s="1"/>
  <c r="P2524" i="5"/>
  <c r="Q2524" i="5" s="1"/>
  <c r="P2525" i="5"/>
  <c r="Q2525" i="5" s="1"/>
  <c r="P2526" i="5"/>
  <c r="Q2526" i="5" s="1"/>
  <c r="P2527" i="5"/>
  <c r="Q2527" i="5" s="1"/>
  <c r="P2528" i="5"/>
  <c r="Q2528" i="5" s="1"/>
  <c r="P2529" i="5"/>
  <c r="Q2529" i="5" s="1"/>
  <c r="P2530" i="5"/>
  <c r="Q2530" i="5" s="1"/>
  <c r="P2531" i="5"/>
  <c r="Q2531" i="5" s="1"/>
  <c r="P2532" i="5"/>
  <c r="Q2532" i="5" s="1"/>
  <c r="P2533" i="5"/>
  <c r="Q2533" i="5" s="1"/>
  <c r="P2534" i="5"/>
  <c r="Q2534" i="5" s="1"/>
  <c r="P2535" i="5"/>
  <c r="Q2535" i="5" s="1"/>
  <c r="P2536" i="5"/>
  <c r="Q2536" i="5" s="1"/>
  <c r="P2537" i="5"/>
  <c r="Q2537" i="5" s="1"/>
  <c r="P2538" i="5"/>
  <c r="Q2538" i="5" s="1"/>
  <c r="P2539" i="5"/>
  <c r="Q2539" i="5" s="1"/>
  <c r="P2540" i="5"/>
  <c r="Q2540" i="5" s="1"/>
  <c r="P2541" i="5"/>
  <c r="Q2541" i="5" s="1"/>
  <c r="P2542" i="5"/>
  <c r="Q2542" i="5" s="1"/>
  <c r="P2543" i="5"/>
  <c r="Q2543" i="5" s="1"/>
  <c r="P2544" i="5"/>
  <c r="Q2544" i="5" s="1"/>
  <c r="P2545" i="5"/>
  <c r="Q2545" i="5" s="1"/>
  <c r="P2546" i="5"/>
  <c r="Q2546" i="5" s="1"/>
  <c r="P2547" i="5"/>
  <c r="Q2547" i="5" s="1"/>
  <c r="P2548" i="5"/>
  <c r="Q2548" i="5" s="1"/>
  <c r="P2549" i="5"/>
  <c r="Q2549" i="5" s="1"/>
  <c r="P2550" i="5"/>
  <c r="Q2550" i="5" s="1"/>
  <c r="P2551" i="5"/>
  <c r="Q2551" i="5" s="1"/>
  <c r="P2552" i="5"/>
  <c r="Q2552" i="5" s="1"/>
  <c r="P2553" i="5"/>
  <c r="Q2553" i="5" s="1"/>
  <c r="P2554" i="5"/>
  <c r="Q2554" i="5" s="1"/>
  <c r="P2555" i="5"/>
  <c r="Q2555" i="5" s="1"/>
  <c r="P2556" i="5"/>
  <c r="Q2556" i="5" s="1"/>
  <c r="P2557" i="5"/>
  <c r="Q2557" i="5" s="1"/>
  <c r="P2558" i="5"/>
  <c r="Q2558" i="5" s="1"/>
  <c r="P2559" i="5"/>
  <c r="Q2559" i="5" s="1"/>
  <c r="P2560" i="5"/>
  <c r="Q2560" i="5" s="1"/>
  <c r="P2561" i="5"/>
  <c r="Q2561" i="5" s="1"/>
  <c r="P2562" i="5"/>
  <c r="Q2562" i="5" s="1"/>
  <c r="P2563" i="5"/>
  <c r="Q2563" i="5" s="1"/>
  <c r="P2564" i="5"/>
  <c r="Q2564" i="5" s="1"/>
  <c r="P2565" i="5"/>
  <c r="Q2565" i="5" s="1"/>
  <c r="P2566" i="5"/>
  <c r="Q2566" i="5" s="1"/>
  <c r="P2567" i="5"/>
  <c r="Q2567" i="5" s="1"/>
  <c r="P2568" i="5"/>
  <c r="Q2568" i="5" s="1"/>
  <c r="P2569" i="5"/>
  <c r="Q2569" i="5" s="1"/>
  <c r="P2570" i="5"/>
  <c r="Q2570" i="5" s="1"/>
  <c r="P2571" i="5"/>
  <c r="Q2571" i="5" s="1"/>
  <c r="P2572" i="5"/>
  <c r="Q2572" i="5" s="1"/>
  <c r="P2573" i="5"/>
  <c r="Q2573" i="5" s="1"/>
  <c r="P2574" i="5"/>
  <c r="Q2574" i="5" s="1"/>
  <c r="P2575" i="5"/>
  <c r="Q2575" i="5" s="1"/>
  <c r="P2576" i="5"/>
  <c r="Q2576" i="5" s="1"/>
  <c r="P2577" i="5"/>
  <c r="Q2577" i="5" s="1"/>
  <c r="P2578" i="5"/>
  <c r="Q2578" i="5" s="1"/>
  <c r="P2579" i="5"/>
  <c r="Q2579" i="5" s="1"/>
  <c r="P2580" i="5"/>
  <c r="Q2580" i="5" s="1"/>
  <c r="P2581" i="5"/>
  <c r="Q2581" i="5" s="1"/>
  <c r="P2582" i="5"/>
  <c r="Q2582" i="5" s="1"/>
  <c r="P2583" i="5"/>
  <c r="Q2583" i="5" s="1"/>
  <c r="P2584" i="5"/>
  <c r="Q2584" i="5" s="1"/>
  <c r="P2585" i="5"/>
  <c r="Q2585" i="5" s="1"/>
  <c r="P2586" i="5"/>
  <c r="Q2586" i="5" s="1"/>
  <c r="P2587" i="5"/>
  <c r="Q2587" i="5" s="1"/>
  <c r="P2588" i="5"/>
  <c r="Q2588" i="5" s="1"/>
  <c r="P2589" i="5"/>
  <c r="Q2589" i="5" s="1"/>
  <c r="P2590" i="5"/>
  <c r="Q2590" i="5" s="1"/>
  <c r="P2591" i="5"/>
  <c r="Q2591" i="5" s="1"/>
  <c r="P2592" i="5"/>
  <c r="Q2592" i="5" s="1"/>
  <c r="P2593" i="5"/>
  <c r="Q2593" i="5" s="1"/>
  <c r="P2594" i="5"/>
  <c r="Q2594" i="5" s="1"/>
  <c r="P2595" i="5"/>
  <c r="Q2595" i="5" s="1"/>
  <c r="P2596" i="5"/>
  <c r="Q2596" i="5" s="1"/>
  <c r="P2597" i="5"/>
  <c r="Q2597" i="5" s="1"/>
  <c r="P2598" i="5"/>
  <c r="Q2598" i="5" s="1"/>
  <c r="P2599" i="5"/>
  <c r="Q2599" i="5" s="1"/>
  <c r="P2600" i="5"/>
  <c r="Q2600" i="5" s="1"/>
  <c r="P2601" i="5"/>
  <c r="Q2601" i="5" s="1"/>
  <c r="P2602" i="5"/>
  <c r="Q2602" i="5" s="1"/>
  <c r="P2603" i="5"/>
  <c r="Q2603" i="5" s="1"/>
  <c r="P2604" i="5"/>
  <c r="Q2604" i="5" s="1"/>
  <c r="P2605" i="5"/>
  <c r="Q2605" i="5" s="1"/>
  <c r="P2606" i="5"/>
  <c r="Q2606" i="5" s="1"/>
  <c r="P2607" i="5"/>
  <c r="Q2607" i="5" s="1"/>
  <c r="P2608" i="5"/>
  <c r="Q2608" i="5" s="1"/>
  <c r="P2609" i="5"/>
  <c r="Q2609" i="5" s="1"/>
  <c r="P2610" i="5"/>
  <c r="Q2610" i="5" s="1"/>
  <c r="P2611" i="5"/>
  <c r="Q2611" i="5" s="1"/>
  <c r="P2612" i="5"/>
  <c r="Q2612" i="5" s="1"/>
  <c r="P2613" i="5"/>
  <c r="Q2613" i="5" s="1"/>
  <c r="P2614" i="5"/>
  <c r="Q2614" i="5" s="1"/>
  <c r="P2615" i="5"/>
  <c r="Q2615" i="5" s="1"/>
  <c r="P2616" i="5"/>
  <c r="Q2616" i="5" s="1"/>
  <c r="P2617" i="5"/>
  <c r="Q2617" i="5" s="1"/>
  <c r="P2618" i="5"/>
  <c r="Q2618" i="5" s="1"/>
  <c r="P2619" i="5"/>
  <c r="Q2619" i="5" s="1"/>
  <c r="P2620" i="5"/>
  <c r="Q2620" i="5" s="1"/>
  <c r="P2621" i="5"/>
  <c r="Q2621" i="5" s="1"/>
  <c r="P2622" i="5"/>
  <c r="Q2622" i="5" s="1"/>
  <c r="P2623" i="5"/>
  <c r="Q2623" i="5" s="1"/>
  <c r="P2624" i="5"/>
  <c r="Q2624" i="5" s="1"/>
  <c r="P2625" i="5"/>
  <c r="Q2625" i="5" s="1"/>
  <c r="P2626" i="5"/>
  <c r="Q2626" i="5" s="1"/>
  <c r="P2627" i="5"/>
  <c r="Q2627" i="5" s="1"/>
  <c r="P2628" i="5"/>
  <c r="Q2628" i="5" s="1"/>
  <c r="P2629" i="5"/>
  <c r="Q2629" i="5" s="1"/>
  <c r="P2630" i="5"/>
  <c r="Q2630" i="5" s="1"/>
  <c r="P2631" i="5"/>
  <c r="Q2631" i="5" s="1"/>
  <c r="P2632" i="5"/>
  <c r="Q2632" i="5" s="1"/>
  <c r="P2633" i="5"/>
  <c r="Q2633" i="5" s="1"/>
  <c r="P2634" i="5"/>
  <c r="Q2634" i="5" s="1"/>
  <c r="P2635" i="5"/>
  <c r="Q2635" i="5" s="1"/>
  <c r="P2636" i="5"/>
  <c r="Q2636" i="5" s="1"/>
  <c r="P2637" i="5"/>
  <c r="Q2637" i="5" s="1"/>
  <c r="P2638" i="5"/>
  <c r="Q2638" i="5" s="1"/>
  <c r="P2639" i="5"/>
  <c r="Q2639" i="5" s="1"/>
  <c r="P2640" i="5"/>
  <c r="Q2640" i="5" s="1"/>
  <c r="Q407" i="5"/>
  <c r="Q408" i="5"/>
  <c r="Q409" i="5"/>
  <c r="Q410" i="5"/>
  <c r="Q411" i="5"/>
  <c r="Q540" i="5"/>
  <c r="Q541" i="5"/>
  <c r="Q542" i="5"/>
  <c r="Q569" i="5"/>
  <c r="Q570" i="5"/>
  <c r="Q574" i="5"/>
  <c r="Q575" i="5"/>
  <c r="Q588" i="5"/>
  <c r="Q589" i="5"/>
  <c r="Q597" i="5"/>
  <c r="Q598" i="5"/>
  <c r="Q599" i="5"/>
  <c r="Q605" i="5"/>
  <c r="Q606" i="5"/>
  <c r="Q610" i="5"/>
  <c r="Q611" i="5"/>
  <c r="Q630" i="5"/>
  <c r="Q631" i="5"/>
  <c r="Q632" i="5"/>
  <c r="Q635" i="5"/>
  <c r="Q636" i="5"/>
  <c r="Q637" i="5"/>
  <c r="Q655" i="5"/>
  <c r="Q656" i="5"/>
  <c r="Q662" i="5"/>
  <c r="Q663" i="5"/>
  <c r="Q664" i="5"/>
  <c r="Q670" i="5"/>
  <c r="Q671" i="5"/>
  <c r="Q672" i="5"/>
  <c r="Q682" i="5"/>
  <c r="Q683" i="5"/>
  <c r="Q692" i="5"/>
  <c r="Q697" i="5"/>
  <c r="Q708" i="5"/>
  <c r="Q709" i="5"/>
  <c r="Q711" i="5"/>
  <c r="Q712" i="5"/>
  <c r="Q723" i="5"/>
  <c r="Q726" i="5"/>
  <c r="Q727" i="5"/>
  <c r="Q728" i="5"/>
  <c r="Q736" i="5"/>
  <c r="Q737" i="5"/>
  <c r="Q740" i="5"/>
  <c r="Q741" i="5"/>
  <c r="Q742" i="5"/>
  <c r="Q756" i="5"/>
  <c r="Q757" i="5"/>
  <c r="Q758" i="5"/>
  <c r="Q759" i="5"/>
  <c r="Q760" i="5"/>
  <c r="Q769" i="5"/>
  <c r="Q770" i="5"/>
  <c r="Q773" i="5"/>
  <c r="Q774" i="5"/>
  <c r="Q796" i="5"/>
  <c r="Q798" i="5"/>
  <c r="Q805" i="5"/>
  <c r="Q815" i="5"/>
  <c r="Q823" i="5"/>
  <c r="Q824" i="5"/>
  <c r="Q828" i="5"/>
  <c r="Q840" i="5"/>
  <c r="Q841" i="5"/>
  <c r="Q853" i="5"/>
  <c r="Q856" i="5"/>
  <c r="Q859" i="5"/>
  <c r="Q865" i="5"/>
  <c r="Q866" i="5"/>
  <c r="Q872" i="5"/>
  <c r="Q878" i="5"/>
  <c r="Q879" i="5"/>
  <c r="Q898" i="5"/>
  <c r="Q899" i="5"/>
  <c r="Q903" i="5"/>
  <c r="Q911" i="5"/>
  <c r="Q924" i="5"/>
  <c r="Q925" i="5"/>
  <c r="Q929" i="5"/>
  <c r="Q940" i="5"/>
  <c r="Q947" i="5"/>
  <c r="Q965" i="5"/>
  <c r="Q966" i="5"/>
  <c r="Q982" i="5"/>
  <c r="Q983" i="5"/>
  <c r="Q998" i="5"/>
  <c r="Q1006" i="5"/>
  <c r="Q1012" i="5"/>
  <c r="Q1021" i="5"/>
  <c r="Q1024" i="5"/>
  <c r="Q1036" i="5"/>
  <c r="Q1037" i="5"/>
  <c r="Q1049" i="5"/>
  <c r="Q1059" i="5"/>
  <c r="Q1060" i="5"/>
  <c r="Q1070" i="5"/>
  <c r="Q1077" i="5"/>
  <c r="Q1078" i="5"/>
  <c r="Q1095" i="5"/>
  <c r="Q1098" i="5"/>
  <c r="Q1112" i="5"/>
  <c r="Q1140" i="5"/>
  <c r="Q1141" i="5"/>
  <c r="Q1154" i="5"/>
  <c r="Q1156" i="5"/>
  <c r="Q1183" i="5"/>
  <c r="Q1184" i="5"/>
  <c r="Q1186" i="5"/>
  <c r="Q1188" i="5"/>
  <c r="Q1190" i="5"/>
  <c r="Q1235" i="5"/>
  <c r="Q1248" i="5"/>
  <c r="Q1249" i="5"/>
  <c r="Q1258" i="5"/>
  <c r="Q1259" i="5"/>
  <c r="Q1262" i="5"/>
  <c r="Q1266" i="5"/>
  <c r="Q1274" i="5"/>
  <c r="Q1284" i="5"/>
  <c r="Q1285" i="5"/>
  <c r="Q1294" i="5"/>
  <c r="Q1295" i="5"/>
  <c r="Q1300" i="5"/>
  <c r="Q1301" i="5"/>
  <c r="Q1305" i="5"/>
  <c r="Q1312" i="5"/>
  <c r="Q1316" i="5"/>
  <c r="Q1318" i="5"/>
  <c r="Q1327" i="5"/>
  <c r="Q1331" i="5"/>
  <c r="Q1334" i="5"/>
  <c r="Q1342" i="5"/>
  <c r="Q1345" i="5"/>
  <c r="Q1349" i="5"/>
  <c r="Q1359" i="5"/>
  <c r="Q1360" i="5"/>
  <c r="Q1367" i="5"/>
  <c r="Q1371" i="5"/>
  <c r="Q1379" i="5"/>
  <c r="Q1380" i="5"/>
  <c r="Q1385" i="5"/>
  <c r="Q1400" i="5"/>
  <c r="Q1407" i="5"/>
  <c r="Q1411" i="5"/>
  <c r="Q1412" i="5"/>
  <c r="Q1416" i="5"/>
  <c r="Q1420" i="5"/>
  <c r="Q1424" i="5"/>
  <c r="Q1432" i="5"/>
  <c r="Q1434" i="5"/>
  <c r="Q1439" i="5"/>
  <c r="Q1440" i="5"/>
  <c r="Q1446" i="5"/>
  <c r="Q1447" i="5"/>
  <c r="Q1451" i="5"/>
  <c r="Q1457" i="5"/>
  <c r="Q1469" i="5"/>
  <c r="Q1470" i="5"/>
  <c r="Q1474" i="5"/>
  <c r="Q1490" i="5"/>
  <c r="Q1495" i="5"/>
  <c r="Q1496" i="5"/>
  <c r="Q1498" i="5"/>
  <c r="Q1502" i="5"/>
  <c r="Q1507" i="5"/>
  <c r="Q1508" i="5"/>
  <c r="Q1511" i="5"/>
  <c r="Q1517" i="5"/>
  <c r="Q1520" i="5"/>
  <c r="Q1525" i="5"/>
  <c r="Q1531" i="5"/>
  <c r="Q1533" i="5"/>
  <c r="Q1539" i="5"/>
  <c r="Q1542" i="5"/>
  <c r="Q1548" i="5"/>
  <c r="Q1549" i="5"/>
  <c r="Q1551" i="5"/>
  <c r="Q1553" i="5"/>
  <c r="Q1558" i="5"/>
  <c r="Q1559" i="5"/>
  <c r="Q1565" i="5"/>
  <c r="Q1566" i="5"/>
  <c r="Q1575" i="5"/>
  <c r="Q1577" i="5"/>
  <c r="Q1584" i="5"/>
  <c r="Q1595" i="5"/>
  <c r="Q1600" i="5"/>
  <c r="Q1602" i="5"/>
  <c r="Q1605" i="5"/>
  <c r="Q1615" i="5"/>
  <c r="Q1622" i="5"/>
  <c r="Q1623" i="5"/>
  <c r="Q1628" i="5"/>
  <c r="Q1631" i="5"/>
  <c r="Q1633" i="5"/>
  <c r="Q1634" i="5"/>
  <c r="Q1638" i="5"/>
  <c r="Q1647" i="5"/>
  <c r="Q1648" i="5"/>
  <c r="Q1656" i="5"/>
  <c r="Q1658" i="5"/>
  <c r="Q1661" i="5"/>
  <c r="Q1662" i="5"/>
  <c r="Q1665" i="5"/>
  <c r="Q1673" i="5"/>
  <c r="Q1674" i="5"/>
  <c r="Q1678" i="5"/>
  <c r="Q1682" i="5"/>
  <c r="Q1684" i="5"/>
  <c r="Q1685" i="5"/>
  <c r="Q1690" i="5"/>
  <c r="Q1696" i="5"/>
  <c r="Q1698" i="5"/>
  <c r="Q1702" i="5"/>
  <c r="Q1707" i="5"/>
  <c r="Q1708" i="5"/>
  <c r="Q1713" i="5"/>
  <c r="Q1718" i="5"/>
  <c r="Q1719" i="5"/>
  <c r="Q1722" i="5"/>
  <c r="Q1723" i="5"/>
  <c r="Q1729" i="5"/>
  <c r="Q1734" i="5"/>
  <c r="Q1738" i="5"/>
  <c r="Q1739" i="5"/>
  <c r="Q1742" i="5"/>
  <c r="Q1744" i="5"/>
  <c r="Q1747" i="5"/>
  <c r="Q1752" i="5"/>
  <c r="Q1758" i="5"/>
  <c r="Q1759" i="5"/>
  <c r="Q1762" i="5"/>
  <c r="Q1763" i="5"/>
  <c r="Q1767" i="5"/>
  <c r="Q1775" i="5"/>
  <c r="Q1779" i="5"/>
  <c r="Q1780" i="5"/>
  <c r="Q1784" i="5"/>
  <c r="Q1785" i="5"/>
  <c r="Q1792" i="5"/>
  <c r="Q1797" i="5"/>
  <c r="Q1802" i="5"/>
  <c r="Q1803" i="5"/>
  <c r="Q1806" i="5"/>
  <c r="Q1807" i="5"/>
  <c r="Q1813" i="5"/>
  <c r="Q1817" i="5"/>
  <c r="Q1824" i="5"/>
  <c r="Q1825" i="5"/>
  <c r="Q1828" i="5"/>
  <c r="Q1832" i="5"/>
  <c r="Q1837" i="5"/>
  <c r="Q1845" i="5"/>
  <c r="Q1849" i="5"/>
  <c r="Q1851" i="5"/>
  <c r="Q1856" i="5"/>
  <c r="Q1860" i="5"/>
  <c r="Q1865" i="5"/>
  <c r="Q1866" i="5"/>
  <c r="Q1870" i="5"/>
  <c r="Q1874" i="5"/>
  <c r="Q1878" i="5"/>
  <c r="Q1883" i="5"/>
  <c r="Q1887" i="5"/>
  <c r="Q1891" i="5"/>
  <c r="Q1895" i="5"/>
  <c r="Q1899" i="5"/>
  <c r="Q1903" i="5"/>
  <c r="Q1907" i="5"/>
  <c r="Q1911" i="5"/>
  <c r="Q1915" i="5"/>
  <c r="Q1919" i="5"/>
  <c r="Q1920" i="5"/>
  <c r="Q1923" i="5"/>
  <c r="Q1927" i="5"/>
  <c r="Q1931" i="5"/>
  <c r="Q1932" i="5"/>
  <c r="Q1937" i="5"/>
  <c r="Q1942" i="5"/>
  <c r="Q1947" i="5"/>
  <c r="Q1955" i="5"/>
  <c r="Q1956" i="5"/>
  <c r="Q1961" i="5"/>
  <c r="Q1969" i="5"/>
  <c r="Q1973" i="5"/>
  <c r="Q1977" i="5"/>
  <c r="Q1985" i="5"/>
  <c r="Q1992" i="5"/>
  <c r="Q1993" i="5"/>
  <c r="Q2000" i="5"/>
  <c r="Q2004" i="5"/>
  <c r="Q2005" i="5"/>
  <c r="Q2016" i="5"/>
  <c r="Q2020" i="5"/>
  <c r="Q2032" i="5"/>
  <c r="Q2048" i="5"/>
  <c r="Q2060" i="5"/>
  <c r="Q2064" i="5"/>
  <c r="Q2069" i="5"/>
  <c r="Q2080" i="5"/>
  <c r="Q2085" i="5"/>
  <c r="Q2136" i="5"/>
  <c r="C173" i="2"/>
  <c r="G173" i="2" s="1"/>
  <c r="D173" i="2"/>
  <c r="E173" i="2"/>
  <c r="N173" i="2" s="1"/>
  <c r="F173" i="2"/>
  <c r="I173" i="2"/>
  <c r="J173" i="2"/>
  <c r="O173" i="2"/>
  <c r="P173" i="2"/>
  <c r="Q173" i="2"/>
  <c r="C174" i="2"/>
  <c r="G174" i="2" s="1"/>
  <c r="D174" i="2"/>
  <c r="E174" i="2"/>
  <c r="N174" i="2" s="1"/>
  <c r="F174" i="2"/>
  <c r="I174" i="2"/>
  <c r="J174" i="2"/>
  <c r="O174" i="2"/>
  <c r="P174" i="2"/>
  <c r="Q174" i="2"/>
  <c r="Q168" i="2"/>
  <c r="P168" i="2"/>
  <c r="O168" i="2"/>
  <c r="J168" i="2"/>
  <c r="I168" i="2"/>
  <c r="F168" i="2"/>
  <c r="E168" i="2"/>
  <c r="N168" i="2" s="1"/>
  <c r="D168" i="2"/>
  <c r="C168" i="2"/>
  <c r="G168" i="2" s="1"/>
  <c r="C169" i="2"/>
  <c r="H169" i="2" s="1"/>
  <c r="D169" i="2"/>
  <c r="E169" i="2"/>
  <c r="N169" i="2" s="1"/>
  <c r="F169" i="2"/>
  <c r="I169" i="2"/>
  <c r="J169" i="2"/>
  <c r="O169" i="2"/>
  <c r="P169" i="2"/>
  <c r="Q169" i="2"/>
  <c r="C170" i="2"/>
  <c r="G170" i="2" s="1"/>
  <c r="D170" i="2"/>
  <c r="E170" i="2"/>
  <c r="N170" i="2" s="1"/>
  <c r="F170" i="2"/>
  <c r="I170" i="2"/>
  <c r="J170" i="2"/>
  <c r="O170" i="2"/>
  <c r="P170" i="2"/>
  <c r="Q170" i="2"/>
  <c r="C171" i="2"/>
  <c r="H171" i="2" s="1"/>
  <c r="D171" i="2"/>
  <c r="E171" i="2"/>
  <c r="N171" i="2" s="1"/>
  <c r="F171" i="2"/>
  <c r="I171" i="2"/>
  <c r="J171" i="2"/>
  <c r="O171" i="2"/>
  <c r="P171" i="2"/>
  <c r="Q171" i="2"/>
  <c r="C147" i="2"/>
  <c r="H147" i="2" s="1"/>
  <c r="D147" i="2"/>
  <c r="E147" i="2"/>
  <c r="N147" i="2" s="1"/>
  <c r="F147" i="2"/>
  <c r="I147" i="2"/>
  <c r="J147" i="2"/>
  <c r="O147" i="2"/>
  <c r="P147" i="2"/>
  <c r="Q147" i="2"/>
  <c r="J7" i="5" l="1"/>
  <c r="K7" i="5" s="1"/>
  <c r="N7" i="5" s="1"/>
  <c r="P7" i="5"/>
  <c r="Q7" i="5" s="1"/>
  <c r="J161" i="5"/>
  <c r="K161" i="5" s="1"/>
  <c r="N161" i="5" s="1"/>
  <c r="P161" i="5"/>
  <c r="Q161" i="5" s="1"/>
  <c r="P169" i="5"/>
  <c r="Q169" i="5" s="1"/>
  <c r="J169" i="5"/>
  <c r="K169" i="5" s="1"/>
  <c r="N169" i="5" s="1"/>
  <c r="J37" i="5"/>
  <c r="K37" i="5" s="1"/>
  <c r="N37" i="5" s="1"/>
  <c r="P37" i="5"/>
  <c r="Q37" i="5" s="1"/>
  <c r="J12" i="5"/>
  <c r="K12" i="5" s="1"/>
  <c r="N12" i="5" s="1"/>
  <c r="P9" i="5"/>
  <c r="Q9" i="5" s="1"/>
  <c r="P13" i="5"/>
  <c r="Q13" i="5" s="1"/>
  <c r="P18" i="5"/>
  <c r="Q18" i="5" s="1"/>
  <c r="P22" i="5"/>
  <c r="Q22" i="5" s="1"/>
  <c r="P26" i="5"/>
  <c r="Q26" i="5" s="1"/>
  <c r="P30" i="5"/>
  <c r="Q30" i="5" s="1"/>
  <c r="J34" i="5"/>
  <c r="K34" i="5" s="1"/>
  <c r="N34" i="5" s="1"/>
  <c r="P10" i="5"/>
  <c r="Q10" i="5" s="1"/>
  <c r="P14" i="5"/>
  <c r="Q14" i="5" s="1"/>
  <c r="P19" i="5"/>
  <c r="Q19" i="5" s="1"/>
  <c r="P23" i="5"/>
  <c r="Q23" i="5" s="1"/>
  <c r="P27" i="5"/>
  <c r="Q27" i="5" s="1"/>
  <c r="P31" i="5"/>
  <c r="Q31" i="5" s="1"/>
  <c r="P11" i="5"/>
  <c r="Q11" i="5" s="1"/>
  <c r="P16" i="5"/>
  <c r="Q16" i="5" s="1"/>
  <c r="P20" i="5"/>
  <c r="Q20" i="5" s="1"/>
  <c r="P24" i="5"/>
  <c r="Q24" i="5" s="1"/>
  <c r="P28" i="5"/>
  <c r="Q28" i="5" s="1"/>
  <c r="P32" i="5"/>
  <c r="Q32" i="5" s="1"/>
  <c r="P12" i="5"/>
  <c r="Q12" i="5" s="1"/>
  <c r="P17" i="5"/>
  <c r="Q17" i="5" s="1"/>
  <c r="P21" i="5"/>
  <c r="Q21" i="5" s="1"/>
  <c r="P25" i="5"/>
  <c r="Q25" i="5" s="1"/>
  <c r="P29" i="5"/>
  <c r="Q29" i="5" s="1"/>
  <c r="P34" i="5"/>
  <c r="Q34" i="5" s="1"/>
  <c r="P39" i="5"/>
  <c r="Q39" i="5" s="1"/>
  <c r="P6" i="5"/>
  <c r="Q6" i="5" s="1"/>
  <c r="J40" i="5"/>
  <c r="K40" i="5" s="1"/>
  <c r="N40" i="5" s="1"/>
  <c r="P38" i="5"/>
  <c r="Q38" i="5" s="1"/>
  <c r="P40" i="5"/>
  <c r="Q40" i="5" s="1"/>
  <c r="J5" i="5"/>
  <c r="K5" i="5" s="1"/>
  <c r="N5" i="5" s="1"/>
  <c r="P5" i="5"/>
  <c r="Q5" i="5" s="1"/>
  <c r="J25" i="5"/>
  <c r="K25" i="5" s="1"/>
  <c r="N25" i="5" s="1"/>
  <c r="J21" i="5"/>
  <c r="K21" i="5" s="1"/>
  <c r="N21" i="5" s="1"/>
  <c r="J17" i="5"/>
  <c r="K17" i="5" s="1"/>
  <c r="N17" i="5" s="1"/>
  <c r="J38" i="5"/>
  <c r="K38" i="5" s="1"/>
  <c r="N38" i="5" s="1"/>
  <c r="J29" i="5"/>
  <c r="K29" i="5" s="1"/>
  <c r="N29" i="5" s="1"/>
  <c r="J9" i="5"/>
  <c r="K9" i="5" s="1"/>
  <c r="N9" i="5" s="1"/>
  <c r="J13" i="5"/>
  <c r="K13" i="5" s="1"/>
  <c r="N13" i="5" s="1"/>
  <c r="J18" i="5"/>
  <c r="K18" i="5" s="1"/>
  <c r="N18" i="5" s="1"/>
  <c r="J22" i="5"/>
  <c r="K22" i="5" s="1"/>
  <c r="N22" i="5" s="1"/>
  <c r="J26" i="5"/>
  <c r="K26" i="5" s="1"/>
  <c r="N26" i="5" s="1"/>
  <c r="J30" i="5"/>
  <c r="K30" i="5" s="1"/>
  <c r="N30" i="5" s="1"/>
  <c r="J10" i="5"/>
  <c r="K10" i="5" s="1"/>
  <c r="N10" i="5" s="1"/>
  <c r="J14" i="5"/>
  <c r="K14" i="5" s="1"/>
  <c r="N14" i="5" s="1"/>
  <c r="J19" i="5"/>
  <c r="K19" i="5" s="1"/>
  <c r="N19" i="5" s="1"/>
  <c r="J23" i="5"/>
  <c r="K23" i="5" s="1"/>
  <c r="N23" i="5" s="1"/>
  <c r="J27" i="5"/>
  <c r="K27" i="5" s="1"/>
  <c r="N27" i="5" s="1"/>
  <c r="J31" i="5"/>
  <c r="K31" i="5" s="1"/>
  <c r="N31" i="5" s="1"/>
  <c r="J11" i="5"/>
  <c r="K11" i="5" s="1"/>
  <c r="N11" i="5" s="1"/>
  <c r="J16" i="5"/>
  <c r="K16" i="5" s="1"/>
  <c r="N16" i="5" s="1"/>
  <c r="J20" i="5"/>
  <c r="K20" i="5" s="1"/>
  <c r="N20" i="5" s="1"/>
  <c r="J24" i="5"/>
  <c r="K24" i="5" s="1"/>
  <c r="N24" i="5" s="1"/>
  <c r="J28" i="5"/>
  <c r="K28" i="5" s="1"/>
  <c r="N28" i="5" s="1"/>
  <c r="J32" i="5"/>
  <c r="K32" i="5" s="1"/>
  <c r="N32" i="5" s="1"/>
  <c r="J6" i="5"/>
  <c r="K6" i="5" s="1"/>
  <c r="N6" i="5" s="1"/>
  <c r="J39" i="5"/>
  <c r="K39" i="5" s="1"/>
  <c r="N39" i="5" s="1"/>
  <c r="J47" i="5"/>
  <c r="K47" i="5" s="1"/>
  <c r="N47" i="5" s="1"/>
  <c r="J115" i="5"/>
  <c r="K115" i="5" s="1"/>
  <c r="N115" i="5" s="1"/>
  <c r="J119" i="5"/>
  <c r="K119" i="5" s="1"/>
  <c r="N119" i="5" s="1"/>
  <c r="J195" i="5"/>
  <c r="K195" i="5" s="1"/>
  <c r="N195" i="5" s="1"/>
  <c r="J207" i="5"/>
  <c r="K207" i="5" s="1"/>
  <c r="N207" i="5" s="1"/>
  <c r="J116" i="5"/>
  <c r="K116" i="5" s="1"/>
  <c r="N116" i="5" s="1"/>
  <c r="J120" i="5"/>
  <c r="K120" i="5" s="1"/>
  <c r="N120" i="5" s="1"/>
  <c r="J117" i="5"/>
  <c r="K117" i="5" s="1"/>
  <c r="N117" i="5" s="1"/>
  <c r="J46" i="5"/>
  <c r="K46" i="5" s="1"/>
  <c r="N46" i="5" s="1"/>
  <c r="J118" i="5"/>
  <c r="K118" i="5" s="1"/>
  <c r="N118" i="5" s="1"/>
  <c r="P46" i="5"/>
  <c r="Q46" i="5" s="1"/>
  <c r="P118" i="5"/>
  <c r="Q118" i="5" s="1"/>
  <c r="P47" i="5"/>
  <c r="Q47" i="5" s="1"/>
  <c r="P115" i="5"/>
  <c r="Q115" i="5" s="1"/>
  <c r="P119" i="5"/>
  <c r="Q119" i="5" s="1"/>
  <c r="P116" i="5"/>
  <c r="Q116" i="5" s="1"/>
  <c r="P117" i="5"/>
  <c r="Q117" i="5" s="1"/>
  <c r="P195" i="5"/>
  <c r="Q195" i="5" s="1"/>
  <c r="P207" i="5"/>
  <c r="Q207" i="5" s="1"/>
  <c r="P120" i="5"/>
  <c r="Q120" i="5" s="1"/>
  <c r="J51" i="5"/>
  <c r="K51" i="5" s="1"/>
  <c r="N51" i="5" s="1"/>
  <c r="P51" i="5"/>
  <c r="Q51" i="5" s="1"/>
  <c r="H173" i="2"/>
  <c r="H170" i="2"/>
  <c r="H174" i="2"/>
  <c r="G169" i="2"/>
  <c r="H168" i="2"/>
  <c r="G171" i="2"/>
  <c r="G147" i="2"/>
  <c r="D2" i="2" l="1"/>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127" i="2"/>
  <c r="D128" i="2"/>
  <c r="D129" i="2"/>
  <c r="D130" i="2"/>
  <c r="D131" i="2"/>
  <c r="D132" i="2"/>
  <c r="D133" i="2"/>
  <c r="D134" i="2"/>
  <c r="D135" i="2"/>
  <c r="D136" i="2"/>
  <c r="D137" i="2"/>
  <c r="D138" i="2"/>
  <c r="D139" i="2"/>
  <c r="D140" i="2"/>
  <c r="D141" i="2"/>
  <c r="D142" i="2"/>
  <c r="D143" i="2"/>
  <c r="D144" i="2"/>
  <c r="D145" i="2"/>
  <c r="D146" i="2"/>
  <c r="D148" i="2"/>
  <c r="D149" i="2"/>
  <c r="D150" i="2"/>
  <c r="D151" i="2"/>
  <c r="D152" i="2"/>
  <c r="D153" i="2"/>
  <c r="D154" i="2"/>
  <c r="D155" i="2"/>
  <c r="D156" i="2"/>
  <c r="D157" i="2"/>
  <c r="D158" i="2"/>
  <c r="D159" i="2"/>
  <c r="D160" i="2"/>
  <c r="D161" i="2"/>
  <c r="D162" i="2"/>
  <c r="D163" i="2"/>
  <c r="D164" i="2"/>
  <c r="D165" i="2"/>
  <c r="D166" i="2"/>
  <c r="D167" i="2"/>
  <c r="D172" i="2"/>
  <c r="D175" i="2"/>
  <c r="D176" i="2"/>
  <c r="D177" i="2"/>
  <c r="C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8" i="2"/>
  <c r="C149" i="2"/>
  <c r="C150" i="2"/>
  <c r="C151" i="2"/>
  <c r="C152" i="2"/>
  <c r="C153" i="2"/>
  <c r="C154" i="2"/>
  <c r="C155" i="2"/>
  <c r="C156" i="2"/>
  <c r="C157" i="2"/>
  <c r="C158" i="2"/>
  <c r="C159" i="2"/>
  <c r="C160" i="2"/>
  <c r="C161" i="2"/>
  <c r="C162" i="2"/>
  <c r="C163" i="2"/>
  <c r="C164" i="2"/>
  <c r="C165" i="2"/>
  <c r="C166" i="2"/>
  <c r="C167" i="2"/>
  <c r="C172" i="2"/>
  <c r="C175" i="2"/>
  <c r="C176" i="2"/>
  <c r="C177" i="2"/>
  <c r="J2" i="2"/>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8" i="2"/>
  <c r="J149" i="2"/>
  <c r="J150" i="2"/>
  <c r="J151" i="2"/>
  <c r="J152" i="2"/>
  <c r="J153" i="2"/>
  <c r="J154" i="2"/>
  <c r="J155" i="2"/>
  <c r="J156" i="2"/>
  <c r="J157" i="2"/>
  <c r="J158" i="2"/>
  <c r="J159" i="2"/>
  <c r="J160" i="2"/>
  <c r="J161" i="2"/>
  <c r="J162" i="2"/>
  <c r="J163" i="2"/>
  <c r="J164" i="2"/>
  <c r="J165" i="2"/>
  <c r="J166" i="2"/>
  <c r="J167" i="2"/>
  <c r="J172" i="2"/>
  <c r="J175" i="2"/>
  <c r="J176" i="2"/>
  <c r="J177" i="2"/>
  <c r="I2" i="2"/>
  <c r="I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8" i="2"/>
  <c r="I149" i="2"/>
  <c r="I150" i="2"/>
  <c r="I151" i="2"/>
  <c r="I152" i="2"/>
  <c r="I153" i="2"/>
  <c r="I154" i="2"/>
  <c r="I155" i="2"/>
  <c r="I156" i="2"/>
  <c r="I157" i="2"/>
  <c r="I158" i="2"/>
  <c r="I159" i="2"/>
  <c r="I160" i="2"/>
  <c r="I161" i="2"/>
  <c r="I162" i="2"/>
  <c r="I163" i="2"/>
  <c r="I164" i="2"/>
  <c r="I165" i="2"/>
  <c r="I166" i="2"/>
  <c r="I167" i="2"/>
  <c r="I172" i="2"/>
  <c r="I175" i="2"/>
  <c r="I176" i="2"/>
  <c r="I177" i="2"/>
  <c r="F2" i="2"/>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8" i="2"/>
  <c r="F149" i="2"/>
  <c r="F150" i="2"/>
  <c r="F151" i="2"/>
  <c r="F152" i="2"/>
  <c r="F153" i="2"/>
  <c r="F154" i="2"/>
  <c r="F155" i="2"/>
  <c r="F156" i="2"/>
  <c r="F157" i="2"/>
  <c r="F158" i="2"/>
  <c r="F159" i="2"/>
  <c r="F160" i="2"/>
  <c r="F161" i="2"/>
  <c r="F162" i="2"/>
  <c r="F163" i="2"/>
  <c r="F164" i="2"/>
  <c r="F165" i="2"/>
  <c r="F166" i="2"/>
  <c r="F167" i="2"/>
  <c r="F172" i="2"/>
  <c r="F175" i="2"/>
  <c r="F176" i="2"/>
  <c r="F177" i="2"/>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8" i="2"/>
  <c r="E149" i="2"/>
  <c r="E150" i="2"/>
  <c r="E151" i="2"/>
  <c r="E152" i="2"/>
  <c r="E153" i="2"/>
  <c r="E154" i="2"/>
  <c r="E155" i="2"/>
  <c r="E156" i="2"/>
  <c r="E157" i="2"/>
  <c r="E158" i="2"/>
  <c r="E159" i="2"/>
  <c r="E160" i="2"/>
  <c r="E161" i="2"/>
  <c r="E162" i="2"/>
  <c r="E163" i="2"/>
  <c r="E164" i="2"/>
  <c r="E165" i="2"/>
  <c r="E166" i="2"/>
  <c r="E167" i="2"/>
  <c r="E172" i="2"/>
  <c r="E175" i="2"/>
  <c r="E176" i="2"/>
  <c r="E177" i="2"/>
  <c r="E2"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P138" i="2"/>
  <c r="P139" i="2"/>
  <c r="P140" i="2"/>
  <c r="P141" i="2"/>
  <c r="P142" i="2"/>
  <c r="P143" i="2"/>
  <c r="P144" i="2"/>
  <c r="P145" i="2"/>
  <c r="P146" i="2"/>
  <c r="P148" i="2"/>
  <c r="P149" i="2"/>
  <c r="P150" i="2"/>
  <c r="P151" i="2"/>
  <c r="P152" i="2"/>
  <c r="P153" i="2"/>
  <c r="P154" i="2"/>
  <c r="P155" i="2"/>
  <c r="P156" i="2"/>
  <c r="P157" i="2"/>
  <c r="P158" i="2"/>
  <c r="P159" i="2"/>
  <c r="P160" i="2"/>
  <c r="P161" i="2"/>
  <c r="P162" i="2"/>
  <c r="P163" i="2"/>
  <c r="P164" i="2"/>
  <c r="P165" i="2"/>
  <c r="P166" i="2"/>
  <c r="P167" i="2"/>
  <c r="P172" i="2"/>
  <c r="P175" i="2"/>
  <c r="P176" i="2"/>
  <c r="P177" i="2"/>
  <c r="P2" i="2"/>
  <c r="O176" i="2" l="1"/>
  <c r="O177" i="2"/>
  <c r="N146" i="2"/>
  <c r="N148" i="2"/>
  <c r="N149" i="2"/>
  <c r="N150" i="2"/>
  <c r="N151" i="2"/>
  <c r="N152" i="2"/>
  <c r="N153" i="2"/>
  <c r="N154" i="2"/>
  <c r="N155" i="2"/>
  <c r="N156" i="2"/>
  <c r="N157" i="2"/>
  <c r="N158" i="2"/>
  <c r="N159" i="2"/>
  <c r="N160" i="2"/>
  <c r="N161" i="2"/>
  <c r="N162" i="2"/>
  <c r="N163" i="2"/>
  <c r="N164" i="2"/>
  <c r="N165" i="2"/>
  <c r="N166" i="2"/>
  <c r="N167" i="2"/>
  <c r="N172" i="2"/>
  <c r="N175" i="2"/>
  <c r="N176" i="2"/>
  <c r="H2" i="2"/>
  <c r="H3" i="2"/>
  <c r="H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8" i="2"/>
  <c r="H149" i="2"/>
  <c r="H150" i="2"/>
  <c r="H151" i="2"/>
  <c r="H152" i="2"/>
  <c r="H153" i="2"/>
  <c r="H154" i="2"/>
  <c r="H155" i="2"/>
  <c r="H156" i="2"/>
  <c r="H157" i="2"/>
  <c r="H158" i="2"/>
  <c r="H159" i="2"/>
  <c r="H160" i="2"/>
  <c r="H161" i="2"/>
  <c r="H162" i="2"/>
  <c r="H163" i="2"/>
  <c r="H164" i="2"/>
  <c r="H165" i="2"/>
  <c r="H166" i="2"/>
  <c r="H167" i="2"/>
  <c r="H172" i="2"/>
  <c r="H175" i="2"/>
  <c r="H176" i="2"/>
  <c r="H177" i="2"/>
  <c r="G2" i="2"/>
  <c r="G3" i="2"/>
  <c r="G4" i="2"/>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8" i="2"/>
  <c r="G149" i="2"/>
  <c r="G150" i="2"/>
  <c r="G151" i="2"/>
  <c r="G152" i="2"/>
  <c r="G153" i="2"/>
  <c r="G154" i="2"/>
  <c r="G155" i="2"/>
  <c r="G156" i="2"/>
  <c r="G157" i="2"/>
  <c r="G158" i="2"/>
  <c r="G159" i="2"/>
  <c r="G160" i="2"/>
  <c r="G161" i="2"/>
  <c r="G162" i="2"/>
  <c r="G163" i="2"/>
  <c r="G164" i="2"/>
  <c r="G165" i="2"/>
  <c r="G166" i="2"/>
  <c r="G167" i="2"/>
  <c r="G172" i="2"/>
  <c r="G175" i="2"/>
  <c r="G176" i="2"/>
  <c r="G177" i="2"/>
  <c r="N177" i="2"/>
  <c r="Q177" i="2"/>
  <c r="O2" i="2"/>
  <c r="O3" i="2"/>
  <c r="O4" i="2"/>
  <c r="O5" i="2"/>
  <c r="O6" i="2"/>
  <c r="O7" i="2"/>
  <c r="O8" i="2"/>
  <c r="O9" i="2"/>
  <c r="O10" i="2"/>
  <c r="O11" i="2"/>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108" i="2"/>
  <c r="O109" i="2"/>
  <c r="O110" i="2"/>
  <c r="O111"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48" i="2"/>
  <c r="O149" i="2"/>
  <c r="O150" i="2"/>
  <c r="O151" i="2"/>
  <c r="O152" i="2"/>
  <c r="O153" i="2"/>
  <c r="O154" i="2"/>
  <c r="O155" i="2"/>
  <c r="O156" i="2"/>
  <c r="O157" i="2"/>
  <c r="O158" i="2"/>
  <c r="O159" i="2"/>
  <c r="O160" i="2"/>
  <c r="O161" i="2"/>
  <c r="O162" i="2"/>
  <c r="O163" i="2"/>
  <c r="O164" i="2"/>
  <c r="O165" i="2"/>
  <c r="O166" i="2"/>
  <c r="O167" i="2"/>
  <c r="O172" i="2"/>
  <c r="O175" i="2"/>
  <c r="Q2" i="2"/>
  <c r="Q3" i="2"/>
  <c r="Q4"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8" i="2"/>
  <c r="Q149" i="2"/>
  <c r="Q150" i="2"/>
  <c r="Q151" i="2"/>
  <c r="Q152" i="2"/>
  <c r="Q153" i="2"/>
  <c r="Q154" i="2"/>
  <c r="Q155" i="2"/>
  <c r="Q156" i="2"/>
  <c r="Q157" i="2"/>
  <c r="Q158" i="2"/>
  <c r="Q159" i="2"/>
  <c r="Q160" i="2"/>
  <c r="Q161" i="2"/>
  <c r="Q162" i="2"/>
  <c r="Q163" i="2"/>
  <c r="Q164" i="2"/>
  <c r="Q165" i="2"/>
  <c r="Q166" i="2"/>
  <c r="Q167" i="2"/>
  <c r="Q172" i="2"/>
  <c r="Q175" i="2"/>
  <c r="Q176" i="2"/>
  <c r="N145" i="2"/>
  <c r="N144" i="2"/>
  <c r="N143" i="2"/>
  <c r="N142" i="2"/>
  <c r="N141" i="2"/>
  <c r="N140"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2" i="2"/>
  <c r="N3"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 i="6"/>
  <c r="M6" i="6"/>
  <c r="AJ7" i="6"/>
  <c r="AO7" i="6"/>
  <c r="AN7" i="6"/>
  <c r="AM7" i="6"/>
  <c r="AL7" i="6"/>
  <c r="AK7" i="6"/>
  <c r="AP7" i="6"/>
  <c r="AI7" i="6"/>
  <c r="AL3" i="6"/>
  <c r="AL1" i="6"/>
  <c r="C23" i="3"/>
  <c r="E23" i="3" s="1"/>
  <c r="AA3" i="6"/>
  <c r="AA1" i="6"/>
  <c r="B24" i="3"/>
  <c r="B25" i="3" s="1"/>
  <c r="B26" i="3" s="1"/>
  <c r="B27" i="3" s="1"/>
  <c r="B28" i="3" s="1"/>
  <c r="B29" i="3" s="1"/>
  <c r="B30" i="3" s="1"/>
  <c r="C30" i="3" s="1"/>
  <c r="F30" i="3" s="1"/>
  <c r="K10" i="3"/>
  <c r="C10" i="3"/>
  <c r="I10" i="3" s="1"/>
  <c r="R5" i="6"/>
  <c r="S5" i="6" s="1"/>
  <c r="J336" i="5" l="1"/>
  <c r="K336" i="5" s="1"/>
  <c r="N336" i="5" s="1"/>
  <c r="J389" i="5"/>
  <c r="K389" i="5" s="1"/>
  <c r="N389" i="5" s="1"/>
  <c r="J430" i="5"/>
  <c r="K430" i="5" s="1"/>
  <c r="N430" i="5" s="1"/>
  <c r="J458" i="5"/>
  <c r="K458" i="5" s="1"/>
  <c r="N458" i="5" s="1"/>
  <c r="J482" i="5"/>
  <c r="K482" i="5" s="1"/>
  <c r="N482" i="5" s="1"/>
  <c r="P430" i="5"/>
  <c r="Q430" i="5" s="1"/>
  <c r="P458" i="5"/>
  <c r="Q458" i="5" s="1"/>
  <c r="P482" i="5"/>
  <c r="Q482" i="5" s="1"/>
  <c r="P336" i="5"/>
  <c r="Q336" i="5" s="1"/>
  <c r="P389" i="5"/>
  <c r="Q389" i="5" s="1"/>
  <c r="J1000" i="5"/>
  <c r="K1000" i="5" s="1"/>
  <c r="N1000" i="5" s="1"/>
  <c r="J937" i="5"/>
  <c r="K937" i="5" s="1"/>
  <c r="N937" i="5" s="1"/>
  <c r="J969" i="5"/>
  <c r="K969" i="5" s="1"/>
  <c r="N969" i="5" s="1"/>
  <c r="P1000" i="5"/>
  <c r="Q1000" i="5" s="1"/>
  <c r="P937" i="5"/>
  <c r="Q937" i="5" s="1"/>
  <c r="P969" i="5"/>
  <c r="Q969" i="5" s="1"/>
  <c r="J1242" i="5"/>
  <c r="K1242" i="5" s="1"/>
  <c r="N1242" i="5" s="1"/>
  <c r="J1152" i="5"/>
  <c r="K1152" i="5" s="1"/>
  <c r="N1152" i="5" s="1"/>
  <c r="J1200" i="5"/>
  <c r="K1200" i="5" s="1"/>
  <c r="N1200" i="5" s="1"/>
  <c r="P1242" i="5"/>
  <c r="Q1242" i="5" s="1"/>
  <c r="P1152" i="5"/>
  <c r="Q1152" i="5" s="1"/>
  <c r="P1200" i="5"/>
  <c r="Q1200" i="5" s="1"/>
  <c r="J1053" i="5"/>
  <c r="K1053" i="5" s="1"/>
  <c r="N1053" i="5" s="1"/>
  <c r="J1061" i="5"/>
  <c r="K1061" i="5" s="1"/>
  <c r="N1061" i="5" s="1"/>
  <c r="J999" i="5"/>
  <c r="K999" i="5" s="1"/>
  <c r="N999" i="5" s="1"/>
  <c r="P999" i="5"/>
  <c r="Q999" i="5" s="1"/>
  <c r="P1053" i="5"/>
  <c r="Q1053" i="5" s="1"/>
  <c r="P1061" i="5"/>
  <c r="Q1061" i="5" s="1"/>
  <c r="J1064" i="5"/>
  <c r="K1064" i="5" s="1"/>
  <c r="N1064" i="5" s="1"/>
  <c r="J1068" i="5"/>
  <c r="K1068" i="5" s="1"/>
  <c r="N1068" i="5" s="1"/>
  <c r="J1041" i="5"/>
  <c r="K1041" i="5" s="1"/>
  <c r="N1041" i="5" s="1"/>
  <c r="J1062" i="5"/>
  <c r="K1062" i="5" s="1"/>
  <c r="N1062" i="5" s="1"/>
  <c r="P1062" i="5"/>
  <c r="Q1062" i="5" s="1"/>
  <c r="P1064" i="5"/>
  <c r="Q1064" i="5" s="1"/>
  <c r="P1068" i="5"/>
  <c r="Q1068" i="5" s="1"/>
  <c r="P1041" i="5"/>
  <c r="Q1041" i="5" s="1"/>
  <c r="J529" i="5"/>
  <c r="K529" i="5" s="1"/>
  <c r="N529" i="5" s="1"/>
  <c r="J613" i="5"/>
  <c r="K613" i="5" s="1"/>
  <c r="N613" i="5" s="1"/>
  <c r="J666" i="5"/>
  <c r="K666" i="5" s="1"/>
  <c r="N666" i="5" s="1"/>
  <c r="J764" i="5"/>
  <c r="K764" i="5" s="1"/>
  <c r="N764" i="5" s="1"/>
  <c r="J800" i="5"/>
  <c r="K800" i="5" s="1"/>
  <c r="N800" i="5" s="1"/>
  <c r="J880" i="5"/>
  <c r="K880" i="5" s="1"/>
  <c r="N880" i="5" s="1"/>
  <c r="J1088" i="5"/>
  <c r="K1088" i="5" s="1"/>
  <c r="N1088" i="5" s="1"/>
  <c r="J1100" i="5"/>
  <c r="K1100" i="5" s="1"/>
  <c r="N1100" i="5" s="1"/>
  <c r="J1136" i="5"/>
  <c r="K1136" i="5" s="1"/>
  <c r="N1136" i="5" s="1"/>
  <c r="J981" i="5"/>
  <c r="K981" i="5" s="1"/>
  <c r="N981" i="5" s="1"/>
  <c r="J1033" i="5"/>
  <c r="K1033" i="5" s="1"/>
  <c r="N1033" i="5" s="1"/>
  <c r="J1069" i="5"/>
  <c r="K1069" i="5" s="1"/>
  <c r="N1069" i="5" s="1"/>
  <c r="J894" i="5"/>
  <c r="K894" i="5" s="1"/>
  <c r="N894" i="5" s="1"/>
  <c r="J1030" i="5"/>
  <c r="K1030" i="5" s="1"/>
  <c r="N1030" i="5" s="1"/>
  <c r="J731" i="5"/>
  <c r="K731" i="5" s="1"/>
  <c r="N731" i="5" s="1"/>
  <c r="J1159" i="5"/>
  <c r="K1159" i="5" s="1"/>
  <c r="N1159" i="5" s="1"/>
  <c r="J1167" i="5"/>
  <c r="K1167" i="5" s="1"/>
  <c r="N1167" i="5" s="1"/>
  <c r="P666" i="5"/>
  <c r="Q666" i="5" s="1"/>
  <c r="P894" i="5"/>
  <c r="Q894" i="5" s="1"/>
  <c r="P1030" i="5"/>
  <c r="Q1030" i="5" s="1"/>
  <c r="P731" i="5"/>
  <c r="Q731" i="5" s="1"/>
  <c r="P1159" i="5"/>
  <c r="Q1159" i="5" s="1"/>
  <c r="P1167" i="5"/>
  <c r="Q1167" i="5" s="1"/>
  <c r="P764" i="5"/>
  <c r="Q764" i="5" s="1"/>
  <c r="P800" i="5"/>
  <c r="Q800" i="5" s="1"/>
  <c r="P880" i="5"/>
  <c r="Q880" i="5" s="1"/>
  <c r="P1088" i="5"/>
  <c r="Q1088" i="5" s="1"/>
  <c r="P1100" i="5"/>
  <c r="Q1100" i="5" s="1"/>
  <c r="P1136" i="5"/>
  <c r="Q1136" i="5" s="1"/>
  <c r="P529" i="5"/>
  <c r="Q529" i="5" s="1"/>
  <c r="P613" i="5"/>
  <c r="Q613" i="5" s="1"/>
  <c r="P981" i="5"/>
  <c r="Q981" i="5" s="1"/>
  <c r="P1033" i="5"/>
  <c r="Q1033" i="5" s="1"/>
  <c r="P1069" i="5"/>
  <c r="Q1069" i="5" s="1"/>
  <c r="J1370" i="5"/>
  <c r="K1370" i="5" s="1"/>
  <c r="N1370" i="5" s="1"/>
  <c r="J1343" i="5"/>
  <c r="K1343" i="5" s="1"/>
  <c r="N1343" i="5" s="1"/>
  <c r="P1370" i="5"/>
  <c r="Q1370" i="5" s="1"/>
  <c r="P1343" i="5"/>
  <c r="Q1343" i="5" s="1"/>
  <c r="J1296" i="5"/>
  <c r="K1296" i="5" s="1"/>
  <c r="N1296" i="5" s="1"/>
  <c r="J1368" i="5"/>
  <c r="K1368" i="5" s="1"/>
  <c r="N1368" i="5" s="1"/>
  <c r="P1296" i="5"/>
  <c r="Q1296" i="5" s="1"/>
  <c r="P1368" i="5"/>
  <c r="Q1368" i="5" s="1"/>
  <c r="J1373" i="5"/>
  <c r="K1373" i="5" s="1"/>
  <c r="N1373" i="5" s="1"/>
  <c r="P1373" i="5"/>
  <c r="Q1373" i="5" s="1"/>
  <c r="J1337" i="5"/>
  <c r="K1337" i="5" s="1"/>
  <c r="N1337" i="5" s="1"/>
  <c r="J1332" i="5"/>
  <c r="K1332" i="5" s="1"/>
  <c r="N1332" i="5" s="1"/>
  <c r="J1348" i="5"/>
  <c r="K1348" i="5" s="1"/>
  <c r="N1348" i="5" s="1"/>
  <c r="J1356" i="5"/>
  <c r="K1356" i="5" s="1"/>
  <c r="N1356" i="5" s="1"/>
  <c r="P1332" i="5"/>
  <c r="Q1332" i="5" s="1"/>
  <c r="P1348" i="5"/>
  <c r="Q1348" i="5" s="1"/>
  <c r="P1356" i="5"/>
  <c r="Q1356" i="5" s="1"/>
  <c r="P1337" i="5"/>
  <c r="Q1337" i="5" s="1"/>
  <c r="J167" i="5"/>
  <c r="K167" i="5" s="1"/>
  <c r="N167" i="5" s="1"/>
  <c r="J124" i="5"/>
  <c r="K124" i="5" s="1"/>
  <c r="N124" i="5" s="1"/>
  <c r="J240" i="5"/>
  <c r="K240" i="5" s="1"/>
  <c r="N240" i="5" s="1"/>
  <c r="J181" i="5"/>
  <c r="K181" i="5" s="1"/>
  <c r="N181" i="5" s="1"/>
  <c r="J325" i="5"/>
  <c r="K325" i="5" s="1"/>
  <c r="N325" i="5" s="1"/>
  <c r="J531" i="5"/>
  <c r="K531" i="5" s="1"/>
  <c r="N531" i="5" s="1"/>
  <c r="J448" i="5"/>
  <c r="K448" i="5" s="1"/>
  <c r="N448" i="5" s="1"/>
  <c r="J592" i="5"/>
  <c r="K592" i="5" s="1"/>
  <c r="N592" i="5" s="1"/>
  <c r="J368" i="5"/>
  <c r="K368" i="5" s="1"/>
  <c r="N368" i="5" s="1"/>
  <c r="J509" i="5"/>
  <c r="K509" i="5" s="1"/>
  <c r="N509" i="5" s="1"/>
  <c r="J565" i="5"/>
  <c r="K565" i="5" s="1"/>
  <c r="N565" i="5" s="1"/>
  <c r="J403" i="5"/>
  <c r="K403" i="5" s="1"/>
  <c r="N403" i="5" s="1"/>
  <c r="J652" i="5"/>
  <c r="K652" i="5" s="1"/>
  <c r="N652" i="5" s="1"/>
  <c r="P167" i="5"/>
  <c r="Q167" i="5" s="1"/>
  <c r="P403" i="5"/>
  <c r="Q403" i="5" s="1"/>
  <c r="P240" i="5"/>
  <c r="Q240" i="5" s="1"/>
  <c r="P368" i="5"/>
  <c r="Q368" i="5" s="1"/>
  <c r="P531" i="5"/>
  <c r="Q531" i="5" s="1"/>
  <c r="P181" i="5"/>
  <c r="Q181" i="5" s="1"/>
  <c r="P325" i="5"/>
  <c r="Q325" i="5" s="1"/>
  <c r="P448" i="5"/>
  <c r="Q448" i="5" s="1"/>
  <c r="P592" i="5"/>
  <c r="Q592" i="5" s="1"/>
  <c r="P652" i="5"/>
  <c r="Q652" i="5" s="1"/>
  <c r="P124" i="5"/>
  <c r="Q124" i="5" s="1"/>
  <c r="P509" i="5"/>
  <c r="Q509" i="5" s="1"/>
  <c r="P565" i="5"/>
  <c r="Q565" i="5" s="1"/>
  <c r="J1093" i="5"/>
  <c r="K1093" i="5" s="1"/>
  <c r="N1093" i="5" s="1"/>
  <c r="J1082" i="5"/>
  <c r="K1082" i="5" s="1"/>
  <c r="N1082" i="5" s="1"/>
  <c r="J1094" i="5"/>
  <c r="K1094" i="5" s="1"/>
  <c r="N1094" i="5" s="1"/>
  <c r="P1082" i="5"/>
  <c r="Q1082" i="5" s="1"/>
  <c r="P1094" i="5"/>
  <c r="Q1094" i="5" s="1"/>
  <c r="P1093" i="5"/>
  <c r="Q1093" i="5" s="1"/>
  <c r="J463" i="5"/>
  <c r="K463" i="5" s="1"/>
  <c r="N463" i="5" s="1"/>
  <c r="J503" i="5"/>
  <c r="K503" i="5" s="1"/>
  <c r="N503" i="5" s="1"/>
  <c r="J511" i="5"/>
  <c r="K511" i="5" s="1"/>
  <c r="N511" i="5" s="1"/>
  <c r="J519" i="5"/>
  <c r="K519" i="5" s="1"/>
  <c r="N519" i="5" s="1"/>
  <c r="J523" i="5"/>
  <c r="K523" i="5" s="1"/>
  <c r="N523" i="5" s="1"/>
  <c r="J559" i="5"/>
  <c r="K559" i="5" s="1"/>
  <c r="N559" i="5" s="1"/>
  <c r="J583" i="5"/>
  <c r="K583" i="5" s="1"/>
  <c r="N583" i="5" s="1"/>
  <c r="J591" i="5"/>
  <c r="K591" i="5" s="1"/>
  <c r="N591" i="5" s="1"/>
  <c r="J607" i="5"/>
  <c r="K607" i="5" s="1"/>
  <c r="N607" i="5" s="1"/>
  <c r="J623" i="5"/>
  <c r="K623" i="5" s="1"/>
  <c r="N623" i="5" s="1"/>
  <c r="J468" i="5"/>
  <c r="K468" i="5" s="1"/>
  <c r="N468" i="5" s="1"/>
  <c r="J508" i="5"/>
  <c r="K508" i="5" s="1"/>
  <c r="N508" i="5" s="1"/>
  <c r="J524" i="5"/>
  <c r="K524" i="5" s="1"/>
  <c r="N524" i="5" s="1"/>
  <c r="J556" i="5"/>
  <c r="K556" i="5" s="1"/>
  <c r="N556" i="5" s="1"/>
  <c r="J564" i="5"/>
  <c r="K564" i="5" s="1"/>
  <c r="N564" i="5" s="1"/>
  <c r="J580" i="5"/>
  <c r="K580" i="5" s="1"/>
  <c r="N580" i="5" s="1"/>
  <c r="J640" i="5"/>
  <c r="K640" i="5" s="1"/>
  <c r="N640" i="5" s="1"/>
  <c r="J461" i="5"/>
  <c r="K461" i="5" s="1"/>
  <c r="N461" i="5" s="1"/>
  <c r="J469" i="5"/>
  <c r="K469" i="5" s="1"/>
  <c r="N469" i="5" s="1"/>
  <c r="J481" i="5"/>
  <c r="K481" i="5" s="1"/>
  <c r="N481" i="5" s="1"/>
  <c r="J489" i="5"/>
  <c r="K489" i="5" s="1"/>
  <c r="N489" i="5" s="1"/>
  <c r="J561" i="5"/>
  <c r="K561" i="5" s="1"/>
  <c r="N561" i="5" s="1"/>
  <c r="J577" i="5"/>
  <c r="K577" i="5" s="1"/>
  <c r="N577" i="5" s="1"/>
  <c r="J581" i="5"/>
  <c r="K581" i="5" s="1"/>
  <c r="N581" i="5" s="1"/>
  <c r="J593" i="5"/>
  <c r="K593" i="5" s="1"/>
  <c r="N593" i="5" s="1"/>
  <c r="J669" i="5"/>
  <c r="K669" i="5" s="1"/>
  <c r="N669" i="5" s="1"/>
  <c r="J673" i="5"/>
  <c r="K673" i="5" s="1"/>
  <c r="N673" i="5" s="1"/>
  <c r="J470" i="5"/>
  <c r="K470" i="5" s="1"/>
  <c r="N470" i="5" s="1"/>
  <c r="J534" i="5"/>
  <c r="K534" i="5" s="1"/>
  <c r="N534" i="5" s="1"/>
  <c r="J546" i="5"/>
  <c r="K546" i="5" s="1"/>
  <c r="N546" i="5" s="1"/>
  <c r="J550" i="5"/>
  <c r="K550" i="5" s="1"/>
  <c r="N550" i="5" s="1"/>
  <c r="J578" i="5"/>
  <c r="K578" i="5" s="1"/>
  <c r="N578" i="5" s="1"/>
  <c r="J590" i="5"/>
  <c r="K590" i="5" s="1"/>
  <c r="N590" i="5" s="1"/>
  <c r="J618" i="5"/>
  <c r="K618" i="5" s="1"/>
  <c r="N618" i="5" s="1"/>
  <c r="J638" i="5"/>
  <c r="K638" i="5" s="1"/>
  <c r="N638" i="5" s="1"/>
  <c r="J650" i="5"/>
  <c r="K650" i="5" s="1"/>
  <c r="N650" i="5" s="1"/>
  <c r="J804" i="5"/>
  <c r="K804" i="5" s="1"/>
  <c r="N804" i="5" s="1"/>
  <c r="J844" i="5"/>
  <c r="K844" i="5" s="1"/>
  <c r="N844" i="5" s="1"/>
  <c r="J896" i="5"/>
  <c r="K896" i="5" s="1"/>
  <c r="N896" i="5" s="1"/>
  <c r="J1056" i="5"/>
  <c r="K1056" i="5" s="1"/>
  <c r="N1056" i="5" s="1"/>
  <c r="J1108" i="5"/>
  <c r="K1108" i="5" s="1"/>
  <c r="N1108" i="5" s="1"/>
  <c r="J765" i="5"/>
  <c r="K765" i="5" s="1"/>
  <c r="N765" i="5" s="1"/>
  <c r="J1101" i="5"/>
  <c r="K1101" i="5" s="1"/>
  <c r="N1101" i="5" s="1"/>
  <c r="J747" i="5"/>
  <c r="K747" i="5" s="1"/>
  <c r="N747" i="5" s="1"/>
  <c r="J975" i="5"/>
  <c r="K975" i="5" s="1"/>
  <c r="N975" i="5" s="1"/>
  <c r="J1019" i="5"/>
  <c r="K1019" i="5" s="1"/>
  <c r="N1019" i="5" s="1"/>
  <c r="J1079" i="5"/>
  <c r="K1079" i="5" s="1"/>
  <c r="N1079" i="5" s="1"/>
  <c r="J1289" i="5"/>
  <c r="K1289" i="5" s="1"/>
  <c r="N1289" i="5" s="1"/>
  <c r="J1174" i="5"/>
  <c r="K1174" i="5" s="1"/>
  <c r="N1174" i="5" s="1"/>
  <c r="J1355" i="5"/>
  <c r="K1355" i="5" s="1"/>
  <c r="N1355" i="5" s="1"/>
  <c r="J1130" i="5"/>
  <c r="K1130" i="5" s="1"/>
  <c r="N1130" i="5" s="1"/>
  <c r="J1135" i="5"/>
  <c r="K1135" i="5" s="1"/>
  <c r="N1135" i="5" s="1"/>
  <c r="J1236" i="5"/>
  <c r="K1236" i="5" s="1"/>
  <c r="N1236" i="5" s="1"/>
  <c r="J1320" i="5"/>
  <c r="K1320" i="5" s="1"/>
  <c r="N1320" i="5" s="1"/>
  <c r="P470" i="5"/>
  <c r="Q470" i="5" s="1"/>
  <c r="P534" i="5"/>
  <c r="Q534" i="5" s="1"/>
  <c r="P546" i="5"/>
  <c r="Q546" i="5" s="1"/>
  <c r="P550" i="5"/>
  <c r="Q550" i="5" s="1"/>
  <c r="P578" i="5"/>
  <c r="Q578" i="5" s="1"/>
  <c r="P590" i="5"/>
  <c r="Q590" i="5" s="1"/>
  <c r="P618" i="5"/>
  <c r="Q618" i="5" s="1"/>
  <c r="P638" i="5"/>
  <c r="Q638" i="5" s="1"/>
  <c r="P650" i="5"/>
  <c r="Q650" i="5" s="1"/>
  <c r="P1130" i="5"/>
  <c r="Q1130" i="5" s="1"/>
  <c r="P1174" i="5"/>
  <c r="Q1174" i="5" s="1"/>
  <c r="P463" i="5"/>
  <c r="Q463" i="5" s="1"/>
  <c r="P503" i="5"/>
  <c r="Q503" i="5" s="1"/>
  <c r="P511" i="5"/>
  <c r="Q511" i="5" s="1"/>
  <c r="P519" i="5"/>
  <c r="Q519" i="5" s="1"/>
  <c r="P523" i="5"/>
  <c r="Q523" i="5" s="1"/>
  <c r="P559" i="5"/>
  <c r="Q559" i="5" s="1"/>
  <c r="P583" i="5"/>
  <c r="Q583" i="5" s="1"/>
  <c r="P591" i="5"/>
  <c r="Q591" i="5" s="1"/>
  <c r="P607" i="5"/>
  <c r="Q607" i="5" s="1"/>
  <c r="P623" i="5"/>
  <c r="Q623" i="5" s="1"/>
  <c r="P747" i="5"/>
  <c r="Q747" i="5" s="1"/>
  <c r="P975" i="5"/>
  <c r="Q975" i="5" s="1"/>
  <c r="P1019" i="5"/>
  <c r="Q1019" i="5" s="1"/>
  <c r="P1079" i="5"/>
  <c r="Q1079" i="5" s="1"/>
  <c r="P1135" i="5"/>
  <c r="Q1135" i="5" s="1"/>
  <c r="P1355" i="5"/>
  <c r="Q1355" i="5" s="1"/>
  <c r="P468" i="5"/>
  <c r="Q468" i="5" s="1"/>
  <c r="P508" i="5"/>
  <c r="Q508" i="5" s="1"/>
  <c r="P524" i="5"/>
  <c r="Q524" i="5" s="1"/>
  <c r="P556" i="5"/>
  <c r="Q556" i="5" s="1"/>
  <c r="P564" i="5"/>
  <c r="Q564" i="5" s="1"/>
  <c r="P580" i="5"/>
  <c r="Q580" i="5" s="1"/>
  <c r="P640" i="5"/>
  <c r="Q640" i="5" s="1"/>
  <c r="P804" i="5"/>
  <c r="Q804" i="5" s="1"/>
  <c r="P844" i="5"/>
  <c r="Q844" i="5" s="1"/>
  <c r="P896" i="5"/>
  <c r="Q896" i="5" s="1"/>
  <c r="P1056" i="5"/>
  <c r="Q1056" i="5" s="1"/>
  <c r="P1108" i="5"/>
  <c r="Q1108" i="5" s="1"/>
  <c r="P1236" i="5"/>
  <c r="Q1236" i="5" s="1"/>
  <c r="P1320" i="5"/>
  <c r="Q1320" i="5" s="1"/>
  <c r="P461" i="5"/>
  <c r="Q461" i="5" s="1"/>
  <c r="P469" i="5"/>
  <c r="Q469" i="5" s="1"/>
  <c r="P481" i="5"/>
  <c r="Q481" i="5" s="1"/>
  <c r="P489" i="5"/>
  <c r="Q489" i="5" s="1"/>
  <c r="P561" i="5"/>
  <c r="Q561" i="5" s="1"/>
  <c r="P577" i="5"/>
  <c r="Q577" i="5" s="1"/>
  <c r="P581" i="5"/>
  <c r="Q581" i="5" s="1"/>
  <c r="P593" i="5"/>
  <c r="Q593" i="5" s="1"/>
  <c r="P669" i="5"/>
  <c r="Q669" i="5" s="1"/>
  <c r="P673" i="5"/>
  <c r="Q673" i="5" s="1"/>
  <c r="P765" i="5"/>
  <c r="Q765" i="5" s="1"/>
  <c r="P1101" i="5"/>
  <c r="Q1101" i="5" s="1"/>
  <c r="P1289" i="5"/>
  <c r="Q1289" i="5" s="1"/>
  <c r="J1609" i="5"/>
  <c r="K1609" i="5" s="1"/>
  <c r="N1609" i="5" s="1"/>
  <c r="J1435" i="5"/>
  <c r="K1435" i="5" s="1"/>
  <c r="N1435" i="5" s="1"/>
  <c r="J1527" i="5"/>
  <c r="K1527" i="5" s="1"/>
  <c r="N1527" i="5" s="1"/>
  <c r="P1435" i="5"/>
  <c r="Q1435" i="5" s="1"/>
  <c r="P1527" i="5"/>
  <c r="Q1527" i="5" s="1"/>
  <c r="P1609" i="5"/>
  <c r="Q1609" i="5" s="1"/>
  <c r="J1257" i="5"/>
  <c r="K1257" i="5" s="1"/>
  <c r="N1257" i="5" s="1"/>
  <c r="J1341" i="5"/>
  <c r="K1341" i="5" s="1"/>
  <c r="N1341" i="5" s="1"/>
  <c r="J1365" i="5"/>
  <c r="K1365" i="5" s="1"/>
  <c r="N1365" i="5" s="1"/>
  <c r="J1397" i="5"/>
  <c r="K1397" i="5" s="1"/>
  <c r="N1397" i="5" s="1"/>
  <c r="J1401" i="5"/>
  <c r="K1401" i="5" s="1"/>
  <c r="N1401" i="5" s="1"/>
  <c r="J1433" i="5"/>
  <c r="K1433" i="5" s="1"/>
  <c r="N1433" i="5" s="1"/>
  <c r="J1461" i="5"/>
  <c r="K1461" i="5" s="1"/>
  <c r="N1461" i="5" s="1"/>
  <c r="J1573" i="5"/>
  <c r="K1573" i="5" s="1"/>
  <c r="N1573" i="5" s="1"/>
  <c r="J1326" i="5"/>
  <c r="K1326" i="5" s="1"/>
  <c r="N1326" i="5" s="1"/>
  <c r="J1378" i="5"/>
  <c r="K1378" i="5" s="1"/>
  <c r="N1378" i="5" s="1"/>
  <c r="J1402" i="5"/>
  <c r="K1402" i="5" s="1"/>
  <c r="N1402" i="5" s="1"/>
  <c r="J1418" i="5"/>
  <c r="K1418" i="5" s="1"/>
  <c r="N1418" i="5" s="1"/>
  <c r="J1518" i="5"/>
  <c r="K1518" i="5" s="1"/>
  <c r="N1518" i="5" s="1"/>
  <c r="J1534" i="5"/>
  <c r="K1534" i="5" s="1"/>
  <c r="N1534" i="5" s="1"/>
  <c r="J1570" i="5"/>
  <c r="K1570" i="5" s="1"/>
  <c r="N1570" i="5" s="1"/>
  <c r="J1578" i="5"/>
  <c r="K1578" i="5" s="1"/>
  <c r="N1578" i="5" s="1"/>
  <c r="J1594" i="5"/>
  <c r="K1594" i="5" s="1"/>
  <c r="N1594" i="5" s="1"/>
  <c r="J1610" i="5"/>
  <c r="K1610" i="5" s="1"/>
  <c r="N1610" i="5" s="1"/>
  <c r="J1630" i="5"/>
  <c r="K1630" i="5" s="1"/>
  <c r="N1630" i="5" s="1"/>
  <c r="J1666" i="5"/>
  <c r="K1666" i="5" s="1"/>
  <c r="N1666" i="5" s="1"/>
  <c r="J1179" i="5"/>
  <c r="K1179" i="5" s="1"/>
  <c r="N1179" i="5" s="1"/>
  <c r="J1315" i="5"/>
  <c r="K1315" i="5" s="1"/>
  <c r="N1315" i="5" s="1"/>
  <c r="J1419" i="5"/>
  <c r="K1419" i="5" s="1"/>
  <c r="N1419" i="5" s="1"/>
  <c r="J1463" i="5"/>
  <c r="K1463" i="5" s="1"/>
  <c r="N1463" i="5" s="1"/>
  <c r="J1627" i="5"/>
  <c r="K1627" i="5" s="1"/>
  <c r="N1627" i="5" s="1"/>
  <c r="J1643" i="5"/>
  <c r="K1643" i="5" s="1"/>
  <c r="N1643" i="5" s="1"/>
  <c r="J1252" i="5"/>
  <c r="K1252" i="5" s="1"/>
  <c r="N1252" i="5" s="1"/>
  <c r="J1552" i="5"/>
  <c r="K1552" i="5" s="1"/>
  <c r="N1552" i="5" s="1"/>
  <c r="J1668" i="5"/>
  <c r="K1668" i="5" s="1"/>
  <c r="N1668" i="5" s="1"/>
  <c r="J1691" i="5"/>
  <c r="K1691" i="5" s="1"/>
  <c r="N1691" i="5" s="1"/>
  <c r="J1715" i="5"/>
  <c r="K1715" i="5" s="1"/>
  <c r="N1715" i="5" s="1"/>
  <c r="J1751" i="5"/>
  <c r="K1751" i="5" s="1"/>
  <c r="N1751" i="5" s="1"/>
  <c r="J1791" i="5"/>
  <c r="K1791" i="5" s="1"/>
  <c r="N1791" i="5" s="1"/>
  <c r="J1839" i="5"/>
  <c r="K1839" i="5" s="1"/>
  <c r="N1839" i="5" s="1"/>
  <c r="J1943" i="5"/>
  <c r="K1943" i="5" s="1"/>
  <c r="N1943" i="5" s="1"/>
  <c r="J1959" i="5"/>
  <c r="K1959" i="5" s="1"/>
  <c r="N1959" i="5" s="1"/>
  <c r="J1683" i="5"/>
  <c r="K1683" i="5" s="1"/>
  <c r="N1683" i="5" s="1"/>
  <c r="J1868" i="5"/>
  <c r="K1868" i="5" s="1"/>
  <c r="N1868" i="5" s="1"/>
  <c r="J1697" i="5"/>
  <c r="K1697" i="5" s="1"/>
  <c r="N1697" i="5" s="1"/>
  <c r="J1753" i="5"/>
  <c r="K1753" i="5" s="1"/>
  <c r="N1753" i="5" s="1"/>
  <c r="J1801" i="5"/>
  <c r="K1801" i="5" s="1"/>
  <c r="N1801" i="5" s="1"/>
  <c r="J1821" i="5"/>
  <c r="K1821" i="5" s="1"/>
  <c r="N1821" i="5" s="1"/>
  <c r="J1841" i="5"/>
  <c r="K1841" i="5" s="1"/>
  <c r="N1841" i="5" s="1"/>
  <c r="J1766" i="5"/>
  <c r="K1766" i="5" s="1"/>
  <c r="N1766" i="5" s="1"/>
  <c r="J1818" i="5"/>
  <c r="K1818" i="5" s="1"/>
  <c r="N1818" i="5" s="1"/>
  <c r="J1882" i="5"/>
  <c r="K1882" i="5" s="1"/>
  <c r="N1882" i="5" s="1"/>
  <c r="J1934" i="5"/>
  <c r="K1934" i="5" s="1"/>
  <c r="N1934" i="5" s="1"/>
  <c r="P1326" i="5"/>
  <c r="Q1326" i="5" s="1"/>
  <c r="P1378" i="5"/>
  <c r="Q1378" i="5" s="1"/>
  <c r="P1402" i="5"/>
  <c r="Q1402" i="5" s="1"/>
  <c r="P1418" i="5"/>
  <c r="Q1418" i="5" s="1"/>
  <c r="P1518" i="5"/>
  <c r="Q1518" i="5" s="1"/>
  <c r="P1534" i="5"/>
  <c r="Q1534" i="5" s="1"/>
  <c r="P1570" i="5"/>
  <c r="Q1570" i="5" s="1"/>
  <c r="P1578" i="5"/>
  <c r="Q1578" i="5" s="1"/>
  <c r="P1594" i="5"/>
  <c r="Q1594" i="5" s="1"/>
  <c r="P1610" i="5"/>
  <c r="Q1610" i="5" s="1"/>
  <c r="P1630" i="5"/>
  <c r="Q1630" i="5" s="1"/>
  <c r="P1666" i="5"/>
  <c r="Q1666" i="5" s="1"/>
  <c r="P1766" i="5"/>
  <c r="Q1766" i="5" s="1"/>
  <c r="P1818" i="5"/>
  <c r="Q1818" i="5" s="1"/>
  <c r="P1882" i="5"/>
  <c r="Q1882" i="5" s="1"/>
  <c r="P1934" i="5"/>
  <c r="Q1934" i="5" s="1"/>
  <c r="P1179" i="5"/>
  <c r="Q1179" i="5" s="1"/>
  <c r="P1315" i="5"/>
  <c r="Q1315" i="5" s="1"/>
  <c r="P1419" i="5"/>
  <c r="Q1419" i="5" s="1"/>
  <c r="P1463" i="5"/>
  <c r="Q1463" i="5" s="1"/>
  <c r="P1627" i="5"/>
  <c r="Q1627" i="5" s="1"/>
  <c r="P1643" i="5"/>
  <c r="Q1643" i="5" s="1"/>
  <c r="P1683" i="5"/>
  <c r="Q1683" i="5" s="1"/>
  <c r="P1691" i="5"/>
  <c r="Q1691" i="5" s="1"/>
  <c r="P1715" i="5"/>
  <c r="Q1715" i="5" s="1"/>
  <c r="P1751" i="5"/>
  <c r="Q1751" i="5" s="1"/>
  <c r="P1791" i="5"/>
  <c r="Q1791" i="5" s="1"/>
  <c r="P1839" i="5"/>
  <c r="Q1839" i="5" s="1"/>
  <c r="P1943" i="5"/>
  <c r="Q1943" i="5" s="1"/>
  <c r="P1959" i="5"/>
  <c r="Q1959" i="5" s="1"/>
  <c r="P1252" i="5"/>
  <c r="Q1252" i="5" s="1"/>
  <c r="P1552" i="5"/>
  <c r="Q1552" i="5" s="1"/>
  <c r="P1668" i="5"/>
  <c r="Q1668" i="5" s="1"/>
  <c r="P1868" i="5"/>
  <c r="Q1868" i="5" s="1"/>
  <c r="P1257" i="5"/>
  <c r="Q1257" i="5" s="1"/>
  <c r="P1341" i="5"/>
  <c r="Q1341" i="5" s="1"/>
  <c r="P1365" i="5"/>
  <c r="Q1365" i="5" s="1"/>
  <c r="P1397" i="5"/>
  <c r="Q1397" i="5" s="1"/>
  <c r="P1401" i="5"/>
  <c r="Q1401" i="5" s="1"/>
  <c r="P1433" i="5"/>
  <c r="Q1433" i="5" s="1"/>
  <c r="P1461" i="5"/>
  <c r="Q1461" i="5" s="1"/>
  <c r="P1573" i="5"/>
  <c r="Q1573" i="5" s="1"/>
  <c r="P1697" i="5"/>
  <c r="Q1697" i="5" s="1"/>
  <c r="P1753" i="5"/>
  <c r="Q1753" i="5" s="1"/>
  <c r="P1801" i="5"/>
  <c r="Q1801" i="5" s="1"/>
  <c r="P1821" i="5"/>
  <c r="Q1821" i="5" s="1"/>
  <c r="P1841" i="5"/>
  <c r="Q1841" i="5" s="1"/>
  <c r="J459" i="5"/>
  <c r="K459" i="5" s="1"/>
  <c r="N459" i="5" s="1"/>
  <c r="J475" i="5"/>
  <c r="K475" i="5" s="1"/>
  <c r="N475" i="5" s="1"/>
  <c r="P459" i="5"/>
  <c r="Q459" i="5" s="1"/>
  <c r="P475" i="5"/>
  <c r="Q475" i="5" s="1"/>
  <c r="J121" i="5"/>
  <c r="K121" i="5" s="1"/>
  <c r="N121" i="5" s="1"/>
  <c r="J153" i="5"/>
  <c r="K153" i="5" s="1"/>
  <c r="N153" i="5" s="1"/>
  <c r="J42" i="5"/>
  <c r="K42" i="5" s="1"/>
  <c r="N42" i="5" s="1"/>
  <c r="P42" i="5"/>
  <c r="Q42" i="5" s="1"/>
  <c r="P121" i="5"/>
  <c r="Q121" i="5" s="1"/>
  <c r="P153" i="5"/>
  <c r="Q153" i="5" s="1"/>
  <c r="J4" i="5"/>
  <c r="K4" i="5" s="1"/>
  <c r="N4" i="5" s="1"/>
  <c r="P4" i="5"/>
  <c r="Q4" i="5" s="1"/>
  <c r="J563" i="5"/>
  <c r="K563" i="5" s="1"/>
  <c r="N563" i="5" s="1"/>
  <c r="J621" i="5"/>
  <c r="K621" i="5" s="1"/>
  <c r="N621" i="5" s="1"/>
  <c r="J554" i="5"/>
  <c r="K554" i="5" s="1"/>
  <c r="N554" i="5" s="1"/>
  <c r="J562" i="5"/>
  <c r="K562" i="5" s="1"/>
  <c r="N562" i="5" s="1"/>
  <c r="P554" i="5"/>
  <c r="Q554" i="5" s="1"/>
  <c r="P562" i="5"/>
  <c r="Q562" i="5" s="1"/>
  <c r="P563" i="5"/>
  <c r="Q563" i="5" s="1"/>
  <c r="P621" i="5"/>
  <c r="Q621" i="5" s="1"/>
  <c r="J705" i="5"/>
  <c r="K705" i="5" s="1"/>
  <c r="N705" i="5" s="1"/>
  <c r="J674" i="5"/>
  <c r="K674" i="5" s="1"/>
  <c r="N674" i="5" s="1"/>
  <c r="J702" i="5"/>
  <c r="K702" i="5" s="1"/>
  <c r="N702" i="5" s="1"/>
  <c r="J717" i="5"/>
  <c r="K717" i="5" s="1"/>
  <c r="N717" i="5" s="1"/>
  <c r="J690" i="5"/>
  <c r="K690" i="5" s="1"/>
  <c r="N690" i="5" s="1"/>
  <c r="P674" i="5"/>
  <c r="Q674" i="5" s="1"/>
  <c r="P690" i="5"/>
  <c r="Q690" i="5" s="1"/>
  <c r="P702" i="5"/>
  <c r="Q702" i="5" s="1"/>
  <c r="P705" i="5"/>
  <c r="Q705" i="5" s="1"/>
  <c r="P717" i="5"/>
  <c r="Q717" i="5" s="1"/>
  <c r="J818" i="5"/>
  <c r="K818" i="5" s="1"/>
  <c r="N818" i="5" s="1"/>
  <c r="J855" i="5"/>
  <c r="K855" i="5" s="1"/>
  <c r="N855" i="5" s="1"/>
  <c r="P818" i="5"/>
  <c r="Q818" i="5" s="1"/>
  <c r="P855" i="5"/>
  <c r="Q855" i="5" s="1"/>
  <c r="J473" i="5"/>
  <c r="K473" i="5" s="1"/>
  <c r="N473" i="5" s="1"/>
  <c r="J517" i="5"/>
  <c r="K517" i="5" s="1"/>
  <c r="N517" i="5" s="1"/>
  <c r="J533" i="5"/>
  <c r="K533" i="5" s="1"/>
  <c r="N533" i="5" s="1"/>
  <c r="P473" i="5"/>
  <c r="Q473" i="5" s="1"/>
  <c r="P517" i="5"/>
  <c r="Q517" i="5" s="1"/>
  <c r="P533" i="5"/>
  <c r="Q533" i="5" s="1"/>
  <c r="J455" i="5"/>
  <c r="K455" i="5" s="1"/>
  <c r="N455" i="5" s="1"/>
  <c r="J491" i="5"/>
  <c r="K491" i="5" s="1"/>
  <c r="N491" i="5" s="1"/>
  <c r="P455" i="5"/>
  <c r="Q455" i="5" s="1"/>
  <c r="P491" i="5"/>
  <c r="Q491" i="5" s="1"/>
  <c r="J60" i="5"/>
  <c r="K60" i="5" s="1"/>
  <c r="N60" i="5" s="1"/>
  <c r="J64" i="5"/>
  <c r="K64" i="5" s="1"/>
  <c r="N64" i="5" s="1"/>
  <c r="P60" i="5"/>
  <c r="Q60" i="5" s="1"/>
  <c r="P64" i="5"/>
  <c r="Q64" i="5" s="1"/>
  <c r="J187" i="5"/>
  <c r="K187" i="5" s="1"/>
  <c r="N187" i="5" s="1"/>
  <c r="J205" i="5"/>
  <c r="K205" i="5" s="1"/>
  <c r="N205" i="5" s="1"/>
  <c r="P187" i="5"/>
  <c r="Q187" i="5" s="1"/>
  <c r="P205" i="5"/>
  <c r="Q205" i="5" s="1"/>
  <c r="J792" i="5"/>
  <c r="K792" i="5" s="1"/>
  <c r="N792" i="5" s="1"/>
  <c r="J779" i="5"/>
  <c r="K779" i="5" s="1"/>
  <c r="N779" i="5" s="1"/>
  <c r="J839" i="5"/>
  <c r="K839" i="5" s="1"/>
  <c r="N839" i="5" s="1"/>
  <c r="P779" i="5"/>
  <c r="Q779" i="5" s="1"/>
  <c r="P839" i="5"/>
  <c r="Q839" i="5" s="1"/>
  <c r="P792" i="5"/>
  <c r="Q792" i="5" s="1"/>
  <c r="J952" i="5"/>
  <c r="K952" i="5" s="1"/>
  <c r="N952" i="5" s="1"/>
  <c r="J931" i="5"/>
  <c r="K931" i="5" s="1"/>
  <c r="N931" i="5" s="1"/>
  <c r="P931" i="5"/>
  <c r="Q931" i="5" s="1"/>
  <c r="P952" i="5"/>
  <c r="Q952" i="5" s="1"/>
  <c r="J123" i="5"/>
  <c r="K123" i="5" s="1"/>
  <c r="N123" i="5" s="1"/>
  <c r="J127" i="5"/>
  <c r="K127" i="5" s="1"/>
  <c r="N127" i="5" s="1"/>
  <c r="J196" i="5"/>
  <c r="K196" i="5" s="1"/>
  <c r="N196" i="5" s="1"/>
  <c r="J200" i="5"/>
  <c r="K200" i="5" s="1"/>
  <c r="N200" i="5" s="1"/>
  <c r="J344" i="5"/>
  <c r="K344" i="5" s="1"/>
  <c r="N344" i="5" s="1"/>
  <c r="J177" i="5"/>
  <c r="K177" i="5" s="1"/>
  <c r="N177" i="5" s="1"/>
  <c r="J189" i="5"/>
  <c r="K189" i="5" s="1"/>
  <c r="N189" i="5" s="1"/>
  <c r="J110" i="5"/>
  <c r="K110" i="5" s="1"/>
  <c r="N110" i="5" s="1"/>
  <c r="J376" i="5"/>
  <c r="K376" i="5" s="1"/>
  <c r="N376" i="5" s="1"/>
  <c r="J419" i="5"/>
  <c r="K419" i="5" s="1"/>
  <c r="N419" i="5" s="1"/>
  <c r="J547" i="5"/>
  <c r="K547" i="5" s="1"/>
  <c r="N547" i="5" s="1"/>
  <c r="J579" i="5"/>
  <c r="K579" i="5" s="1"/>
  <c r="N579" i="5" s="1"/>
  <c r="J627" i="5"/>
  <c r="K627" i="5" s="1"/>
  <c r="N627" i="5" s="1"/>
  <c r="J643" i="5"/>
  <c r="K643" i="5" s="1"/>
  <c r="N643" i="5" s="1"/>
  <c r="J691" i="5"/>
  <c r="K691" i="5" s="1"/>
  <c r="N691" i="5" s="1"/>
  <c r="J703" i="5"/>
  <c r="K703" i="5" s="1"/>
  <c r="N703" i="5" s="1"/>
  <c r="J560" i="5"/>
  <c r="K560" i="5" s="1"/>
  <c r="N560" i="5" s="1"/>
  <c r="J584" i="5"/>
  <c r="K584" i="5" s="1"/>
  <c r="N584" i="5" s="1"/>
  <c r="J617" i="5"/>
  <c r="K617" i="5" s="1"/>
  <c r="N617" i="5" s="1"/>
  <c r="J677" i="5"/>
  <c r="K677" i="5" s="1"/>
  <c r="N677" i="5" s="1"/>
  <c r="J223" i="5"/>
  <c r="K223" i="5" s="1"/>
  <c r="N223" i="5" s="1"/>
  <c r="J239" i="5"/>
  <c r="K239" i="5" s="1"/>
  <c r="N239" i="5" s="1"/>
  <c r="J518" i="5"/>
  <c r="K518" i="5" s="1"/>
  <c r="N518" i="5" s="1"/>
  <c r="J658" i="5"/>
  <c r="K658" i="5" s="1"/>
  <c r="N658" i="5" s="1"/>
  <c r="J732" i="5"/>
  <c r="K732" i="5" s="1"/>
  <c r="N732" i="5" s="1"/>
  <c r="J784" i="5"/>
  <c r="K784" i="5" s="1"/>
  <c r="N784" i="5" s="1"/>
  <c r="J788" i="5"/>
  <c r="K788" i="5" s="1"/>
  <c r="N788" i="5" s="1"/>
  <c r="J816" i="5"/>
  <c r="K816" i="5" s="1"/>
  <c r="N816" i="5" s="1"/>
  <c r="J864" i="5"/>
  <c r="K864" i="5" s="1"/>
  <c r="N864" i="5" s="1"/>
  <c r="J972" i="5"/>
  <c r="K972" i="5" s="1"/>
  <c r="N972" i="5" s="1"/>
  <c r="J992" i="5"/>
  <c r="K992" i="5" s="1"/>
  <c r="N992" i="5" s="1"/>
  <c r="J1016" i="5"/>
  <c r="K1016" i="5" s="1"/>
  <c r="N1016" i="5" s="1"/>
  <c r="J881" i="5"/>
  <c r="K881" i="5" s="1"/>
  <c r="N881" i="5" s="1"/>
  <c r="J985" i="5"/>
  <c r="K985" i="5" s="1"/>
  <c r="N985" i="5" s="1"/>
  <c r="J1005" i="5"/>
  <c r="K1005" i="5" s="1"/>
  <c r="N1005" i="5" s="1"/>
  <c r="J1017" i="5"/>
  <c r="K1017" i="5" s="1"/>
  <c r="N1017" i="5" s="1"/>
  <c r="J750" i="5"/>
  <c r="K750" i="5" s="1"/>
  <c r="N750" i="5" s="1"/>
  <c r="J794" i="5"/>
  <c r="K794" i="5" s="1"/>
  <c r="N794" i="5" s="1"/>
  <c r="J882" i="5"/>
  <c r="K882" i="5" s="1"/>
  <c r="N882" i="5" s="1"/>
  <c r="J906" i="5"/>
  <c r="K906" i="5" s="1"/>
  <c r="N906" i="5" s="1"/>
  <c r="J970" i="5"/>
  <c r="K970" i="5" s="1"/>
  <c r="N970" i="5" s="1"/>
  <c r="J974" i="5"/>
  <c r="K974" i="5" s="1"/>
  <c r="N974" i="5" s="1"/>
  <c r="J994" i="5"/>
  <c r="K994" i="5" s="1"/>
  <c r="N994" i="5" s="1"/>
  <c r="J1014" i="5"/>
  <c r="K1014" i="5" s="1"/>
  <c r="N1014" i="5" s="1"/>
  <c r="J1026" i="5"/>
  <c r="K1026" i="5" s="1"/>
  <c r="N1026" i="5" s="1"/>
  <c r="J1042" i="5"/>
  <c r="K1042" i="5" s="1"/>
  <c r="N1042" i="5" s="1"/>
  <c r="J706" i="5"/>
  <c r="K706" i="5" s="1"/>
  <c r="N706" i="5" s="1"/>
  <c r="J719" i="5"/>
  <c r="K719" i="5" s="1"/>
  <c r="N719" i="5" s="1"/>
  <c r="J767" i="5"/>
  <c r="K767" i="5" s="1"/>
  <c r="N767" i="5" s="1"/>
  <c r="J847" i="5"/>
  <c r="K847" i="5" s="1"/>
  <c r="N847" i="5" s="1"/>
  <c r="J959" i="5"/>
  <c r="K959" i="5" s="1"/>
  <c r="N959" i="5" s="1"/>
  <c r="J979" i="5"/>
  <c r="K979" i="5" s="1"/>
  <c r="N979" i="5" s="1"/>
  <c r="J991" i="5"/>
  <c r="K991" i="5" s="1"/>
  <c r="N991" i="5" s="1"/>
  <c r="J995" i="5"/>
  <c r="K995" i="5" s="1"/>
  <c r="N995" i="5" s="1"/>
  <c r="J1035" i="5"/>
  <c r="K1035" i="5" s="1"/>
  <c r="N1035" i="5" s="1"/>
  <c r="P110" i="5"/>
  <c r="Q110" i="5" s="1"/>
  <c r="P123" i="5"/>
  <c r="Q123" i="5" s="1"/>
  <c r="P127" i="5"/>
  <c r="Q127" i="5" s="1"/>
  <c r="P223" i="5"/>
  <c r="Q223" i="5" s="1"/>
  <c r="P239" i="5"/>
  <c r="Q239" i="5" s="1"/>
  <c r="P518" i="5"/>
  <c r="Q518" i="5" s="1"/>
  <c r="P658" i="5"/>
  <c r="Q658" i="5" s="1"/>
  <c r="P706" i="5"/>
  <c r="Q706" i="5" s="1"/>
  <c r="P750" i="5"/>
  <c r="Q750" i="5" s="1"/>
  <c r="P794" i="5"/>
  <c r="Q794" i="5" s="1"/>
  <c r="P882" i="5"/>
  <c r="Q882" i="5" s="1"/>
  <c r="P906" i="5"/>
  <c r="Q906" i="5" s="1"/>
  <c r="P970" i="5"/>
  <c r="Q970" i="5" s="1"/>
  <c r="P974" i="5"/>
  <c r="Q974" i="5" s="1"/>
  <c r="P994" i="5"/>
  <c r="Q994" i="5" s="1"/>
  <c r="P1014" i="5"/>
  <c r="Q1014" i="5" s="1"/>
  <c r="P1026" i="5"/>
  <c r="Q1026" i="5" s="1"/>
  <c r="P1042" i="5"/>
  <c r="Q1042" i="5" s="1"/>
  <c r="P196" i="5"/>
  <c r="Q196" i="5" s="1"/>
  <c r="P200" i="5"/>
  <c r="Q200" i="5" s="1"/>
  <c r="P344" i="5"/>
  <c r="Q344" i="5" s="1"/>
  <c r="P376" i="5"/>
  <c r="Q376" i="5" s="1"/>
  <c r="P419" i="5"/>
  <c r="Q419" i="5" s="1"/>
  <c r="P547" i="5"/>
  <c r="Q547" i="5" s="1"/>
  <c r="P579" i="5"/>
  <c r="Q579" i="5" s="1"/>
  <c r="P627" i="5"/>
  <c r="Q627" i="5" s="1"/>
  <c r="P643" i="5"/>
  <c r="Q643" i="5" s="1"/>
  <c r="P691" i="5"/>
  <c r="Q691" i="5" s="1"/>
  <c r="P703" i="5"/>
  <c r="Q703" i="5" s="1"/>
  <c r="P719" i="5"/>
  <c r="Q719" i="5" s="1"/>
  <c r="P767" i="5"/>
  <c r="Q767" i="5" s="1"/>
  <c r="P847" i="5"/>
  <c r="Q847" i="5" s="1"/>
  <c r="P959" i="5"/>
  <c r="Q959" i="5" s="1"/>
  <c r="P979" i="5"/>
  <c r="Q979" i="5" s="1"/>
  <c r="P991" i="5"/>
  <c r="Q991" i="5" s="1"/>
  <c r="P995" i="5"/>
  <c r="Q995" i="5" s="1"/>
  <c r="P1035" i="5"/>
  <c r="Q1035" i="5" s="1"/>
  <c r="P177" i="5"/>
  <c r="Q177" i="5" s="1"/>
  <c r="P189" i="5"/>
  <c r="Q189" i="5" s="1"/>
  <c r="P560" i="5"/>
  <c r="Q560" i="5" s="1"/>
  <c r="P584" i="5"/>
  <c r="Q584" i="5" s="1"/>
  <c r="P732" i="5"/>
  <c r="Q732" i="5" s="1"/>
  <c r="P784" i="5"/>
  <c r="Q784" i="5" s="1"/>
  <c r="P788" i="5"/>
  <c r="Q788" i="5" s="1"/>
  <c r="P816" i="5"/>
  <c r="Q816" i="5" s="1"/>
  <c r="P864" i="5"/>
  <c r="Q864" i="5" s="1"/>
  <c r="P972" i="5"/>
  <c r="Q972" i="5" s="1"/>
  <c r="P992" i="5"/>
  <c r="Q992" i="5" s="1"/>
  <c r="P1016" i="5"/>
  <c r="Q1016" i="5" s="1"/>
  <c r="P617" i="5"/>
  <c r="Q617" i="5" s="1"/>
  <c r="P677" i="5"/>
  <c r="Q677" i="5" s="1"/>
  <c r="P881" i="5"/>
  <c r="Q881" i="5" s="1"/>
  <c r="P985" i="5"/>
  <c r="Q985" i="5" s="1"/>
  <c r="P1005" i="5"/>
  <c r="Q1005" i="5" s="1"/>
  <c r="P1017" i="5"/>
  <c r="Q1017" i="5" s="1"/>
  <c r="J253" i="5"/>
  <c r="K253" i="5" s="1"/>
  <c r="N253" i="5" s="1"/>
  <c r="J322" i="5"/>
  <c r="K322" i="5" s="1"/>
  <c r="N322" i="5" s="1"/>
  <c r="P253" i="5"/>
  <c r="Q253" i="5" s="1"/>
  <c r="P322" i="5"/>
  <c r="Q322" i="5" s="1"/>
  <c r="J213" i="5"/>
  <c r="K213" i="5" s="1"/>
  <c r="N213" i="5" s="1"/>
  <c r="J254" i="5"/>
  <c r="K254" i="5" s="1"/>
  <c r="N254" i="5" s="1"/>
  <c r="P213" i="5"/>
  <c r="Q213" i="5" s="1"/>
  <c r="P254" i="5"/>
  <c r="Q254" i="5" s="1"/>
  <c r="J132" i="5"/>
  <c r="K132" i="5" s="1"/>
  <c r="N132" i="5" s="1"/>
  <c r="J113" i="5"/>
  <c r="K113" i="5" s="1"/>
  <c r="N113" i="5" s="1"/>
  <c r="P113" i="5"/>
  <c r="Q113" i="5" s="1"/>
  <c r="P132" i="5"/>
  <c r="Q132" i="5" s="1"/>
  <c r="J35" i="5"/>
  <c r="K35" i="5" s="1"/>
  <c r="N35" i="5" s="1"/>
  <c r="J59" i="5"/>
  <c r="K59" i="5" s="1"/>
  <c r="N59" i="5" s="1"/>
  <c r="J107" i="5"/>
  <c r="K107" i="5" s="1"/>
  <c r="N107" i="5" s="1"/>
  <c r="J175" i="5"/>
  <c r="K175" i="5" s="1"/>
  <c r="N175" i="5" s="1"/>
  <c r="J100" i="5"/>
  <c r="K100" i="5" s="1"/>
  <c r="N100" i="5" s="1"/>
  <c r="J45" i="5"/>
  <c r="K45" i="5" s="1"/>
  <c r="N45" i="5" s="1"/>
  <c r="J97" i="5"/>
  <c r="K97" i="5" s="1"/>
  <c r="N97" i="5" s="1"/>
  <c r="J101" i="5"/>
  <c r="K101" i="5" s="1"/>
  <c r="N101" i="5" s="1"/>
  <c r="J102" i="5"/>
  <c r="K102" i="5" s="1"/>
  <c r="N102" i="5" s="1"/>
  <c r="J126" i="5"/>
  <c r="K126" i="5" s="1"/>
  <c r="N126" i="5" s="1"/>
  <c r="J174" i="5"/>
  <c r="K174" i="5" s="1"/>
  <c r="N174" i="5" s="1"/>
  <c r="J186" i="5"/>
  <c r="K186" i="5" s="1"/>
  <c r="N186" i="5" s="1"/>
  <c r="P102" i="5"/>
  <c r="Q102" i="5" s="1"/>
  <c r="P126" i="5"/>
  <c r="Q126" i="5" s="1"/>
  <c r="P35" i="5"/>
  <c r="Q35" i="5" s="1"/>
  <c r="P59" i="5"/>
  <c r="Q59" i="5" s="1"/>
  <c r="P107" i="5"/>
  <c r="Q107" i="5" s="1"/>
  <c r="P100" i="5"/>
  <c r="Q100" i="5" s="1"/>
  <c r="P101" i="5"/>
  <c r="Q101" i="5" s="1"/>
  <c r="P175" i="5"/>
  <c r="Q175" i="5" s="1"/>
  <c r="P45" i="5"/>
  <c r="Q45" i="5" s="1"/>
  <c r="P97" i="5"/>
  <c r="Q97" i="5" s="1"/>
  <c r="P174" i="5"/>
  <c r="Q174" i="5" s="1"/>
  <c r="P186" i="5"/>
  <c r="Q186" i="5" s="1"/>
  <c r="J644" i="5"/>
  <c r="K644" i="5" s="1"/>
  <c r="N644" i="5" s="1"/>
  <c r="J693" i="5"/>
  <c r="K693" i="5" s="1"/>
  <c r="N693" i="5" s="1"/>
  <c r="J668" i="5"/>
  <c r="K668" i="5" s="1"/>
  <c r="N668" i="5" s="1"/>
  <c r="J746" i="5"/>
  <c r="K746" i="5" s="1"/>
  <c r="N746" i="5" s="1"/>
  <c r="P746" i="5"/>
  <c r="Q746" i="5" s="1"/>
  <c r="P644" i="5"/>
  <c r="Q644" i="5" s="1"/>
  <c r="P668" i="5"/>
  <c r="Q668" i="5" s="1"/>
  <c r="P693" i="5"/>
  <c r="Q693" i="5" s="1"/>
  <c r="J420" i="5"/>
  <c r="K420" i="5" s="1"/>
  <c r="N420" i="5" s="1"/>
  <c r="J436" i="5"/>
  <c r="K436" i="5" s="1"/>
  <c r="N436" i="5" s="1"/>
  <c r="J444" i="5"/>
  <c r="K444" i="5" s="1"/>
  <c r="N444" i="5" s="1"/>
  <c r="J460" i="5"/>
  <c r="K460" i="5" s="1"/>
  <c r="N460" i="5" s="1"/>
  <c r="J315" i="5"/>
  <c r="K315" i="5" s="1"/>
  <c r="N315" i="5" s="1"/>
  <c r="J386" i="5"/>
  <c r="K386" i="5" s="1"/>
  <c r="N386" i="5" s="1"/>
  <c r="J370" i="5"/>
  <c r="K370" i="5" s="1"/>
  <c r="N370" i="5" s="1"/>
  <c r="J383" i="5"/>
  <c r="K383" i="5" s="1"/>
  <c r="N383" i="5" s="1"/>
  <c r="J502" i="5"/>
  <c r="K502" i="5" s="1"/>
  <c r="N502" i="5" s="1"/>
  <c r="P315" i="5"/>
  <c r="Q315" i="5" s="1"/>
  <c r="P383" i="5"/>
  <c r="Q383" i="5" s="1"/>
  <c r="P502" i="5"/>
  <c r="Q502" i="5" s="1"/>
  <c r="P420" i="5"/>
  <c r="Q420" i="5" s="1"/>
  <c r="P436" i="5"/>
  <c r="Q436" i="5" s="1"/>
  <c r="P444" i="5"/>
  <c r="Q444" i="5" s="1"/>
  <c r="P460" i="5"/>
  <c r="Q460" i="5" s="1"/>
  <c r="P370" i="5"/>
  <c r="Q370" i="5" s="1"/>
  <c r="P386" i="5"/>
  <c r="Q386" i="5" s="1"/>
  <c r="J659" i="5"/>
  <c r="K659" i="5" s="1"/>
  <c r="N659" i="5" s="1"/>
  <c r="J480" i="5"/>
  <c r="K480" i="5" s="1"/>
  <c r="N480" i="5" s="1"/>
  <c r="J600" i="5"/>
  <c r="K600" i="5" s="1"/>
  <c r="N600" i="5" s="1"/>
  <c r="J612" i="5"/>
  <c r="K612" i="5" s="1"/>
  <c r="N612" i="5" s="1"/>
  <c r="J641" i="5"/>
  <c r="K641" i="5" s="1"/>
  <c r="N641" i="5" s="1"/>
  <c r="J454" i="5"/>
  <c r="K454" i="5" s="1"/>
  <c r="N454" i="5" s="1"/>
  <c r="J634" i="5"/>
  <c r="K634" i="5" s="1"/>
  <c r="N634" i="5" s="1"/>
  <c r="J724" i="5"/>
  <c r="K724" i="5" s="1"/>
  <c r="N724" i="5" s="1"/>
  <c r="J696" i="5"/>
  <c r="K696" i="5" s="1"/>
  <c r="N696" i="5" s="1"/>
  <c r="J761" i="5"/>
  <c r="K761" i="5" s="1"/>
  <c r="N761" i="5" s="1"/>
  <c r="J873" i="5"/>
  <c r="K873" i="5" s="1"/>
  <c r="N873" i="5" s="1"/>
  <c r="J718" i="5"/>
  <c r="K718" i="5" s="1"/>
  <c r="N718" i="5" s="1"/>
  <c r="J766" i="5"/>
  <c r="K766" i="5" s="1"/>
  <c r="N766" i="5" s="1"/>
  <c r="J826" i="5"/>
  <c r="K826" i="5" s="1"/>
  <c r="N826" i="5" s="1"/>
  <c r="J851" i="5"/>
  <c r="K851" i="5" s="1"/>
  <c r="N851" i="5" s="1"/>
  <c r="J875" i="5"/>
  <c r="K875" i="5" s="1"/>
  <c r="N875" i="5" s="1"/>
  <c r="P454" i="5"/>
  <c r="Q454" i="5" s="1"/>
  <c r="P634" i="5"/>
  <c r="Q634" i="5" s="1"/>
  <c r="P718" i="5"/>
  <c r="Q718" i="5" s="1"/>
  <c r="P766" i="5"/>
  <c r="Q766" i="5" s="1"/>
  <c r="P826" i="5"/>
  <c r="Q826" i="5" s="1"/>
  <c r="P659" i="5"/>
  <c r="Q659" i="5" s="1"/>
  <c r="P851" i="5"/>
  <c r="Q851" i="5" s="1"/>
  <c r="P875" i="5"/>
  <c r="Q875" i="5" s="1"/>
  <c r="P480" i="5"/>
  <c r="Q480" i="5" s="1"/>
  <c r="P600" i="5"/>
  <c r="Q600" i="5" s="1"/>
  <c r="P612" i="5"/>
  <c r="Q612" i="5" s="1"/>
  <c r="P696" i="5"/>
  <c r="Q696" i="5" s="1"/>
  <c r="P724" i="5"/>
  <c r="Q724" i="5" s="1"/>
  <c r="P641" i="5"/>
  <c r="Q641" i="5" s="1"/>
  <c r="P761" i="5"/>
  <c r="Q761" i="5" s="1"/>
  <c r="P873" i="5"/>
  <c r="Q873" i="5" s="1"/>
  <c r="J772" i="5"/>
  <c r="K772" i="5" s="1"/>
  <c r="N772" i="5" s="1"/>
  <c r="J745" i="5"/>
  <c r="K745" i="5" s="1"/>
  <c r="N745" i="5" s="1"/>
  <c r="J825" i="5"/>
  <c r="K825" i="5" s="1"/>
  <c r="N825" i="5" s="1"/>
  <c r="J782" i="5"/>
  <c r="K782" i="5" s="1"/>
  <c r="N782" i="5" s="1"/>
  <c r="J850" i="5"/>
  <c r="K850" i="5" s="1"/>
  <c r="N850" i="5" s="1"/>
  <c r="J791" i="5"/>
  <c r="K791" i="5" s="1"/>
  <c r="N791" i="5" s="1"/>
  <c r="P782" i="5"/>
  <c r="Q782" i="5" s="1"/>
  <c r="P850" i="5"/>
  <c r="Q850" i="5" s="1"/>
  <c r="P791" i="5"/>
  <c r="Q791" i="5" s="1"/>
  <c r="P772" i="5"/>
  <c r="Q772" i="5" s="1"/>
  <c r="P745" i="5"/>
  <c r="Q745" i="5" s="1"/>
  <c r="P825" i="5"/>
  <c r="Q825" i="5" s="1"/>
  <c r="J1072" i="5"/>
  <c r="K1072" i="5" s="1"/>
  <c r="N1072" i="5" s="1"/>
  <c r="J1105" i="5"/>
  <c r="K1105" i="5" s="1"/>
  <c r="N1105" i="5" s="1"/>
  <c r="J1317" i="5"/>
  <c r="K1317" i="5" s="1"/>
  <c r="N1317" i="5" s="1"/>
  <c r="J1142" i="5"/>
  <c r="K1142" i="5" s="1"/>
  <c r="N1142" i="5" s="1"/>
  <c r="J1155" i="5"/>
  <c r="K1155" i="5" s="1"/>
  <c r="N1155" i="5" s="1"/>
  <c r="J1272" i="5"/>
  <c r="K1272" i="5" s="1"/>
  <c r="N1272" i="5" s="1"/>
  <c r="J1324" i="5"/>
  <c r="K1324" i="5" s="1"/>
  <c r="N1324" i="5" s="1"/>
  <c r="P1142" i="5"/>
  <c r="Q1142" i="5" s="1"/>
  <c r="P1155" i="5"/>
  <c r="Q1155" i="5" s="1"/>
  <c r="P1072" i="5"/>
  <c r="Q1072" i="5" s="1"/>
  <c r="P1272" i="5"/>
  <c r="Q1272" i="5" s="1"/>
  <c r="P1324" i="5"/>
  <c r="Q1324" i="5" s="1"/>
  <c r="P1105" i="5"/>
  <c r="Q1105" i="5" s="1"/>
  <c r="P1317" i="5"/>
  <c r="Q1317" i="5" s="1"/>
  <c r="J487" i="5"/>
  <c r="K487" i="5" s="1"/>
  <c r="N487" i="5" s="1"/>
  <c r="J527" i="5"/>
  <c r="K527" i="5" s="1"/>
  <c r="N527" i="5" s="1"/>
  <c r="J604" i="5"/>
  <c r="K604" i="5" s="1"/>
  <c r="N604" i="5" s="1"/>
  <c r="J549" i="5"/>
  <c r="K549" i="5" s="1"/>
  <c r="N549" i="5" s="1"/>
  <c r="J661" i="5"/>
  <c r="K661" i="5" s="1"/>
  <c r="N661" i="5" s="1"/>
  <c r="J506" i="5"/>
  <c r="K506" i="5" s="1"/>
  <c r="N506" i="5" s="1"/>
  <c r="J582" i="5"/>
  <c r="K582" i="5" s="1"/>
  <c r="N582" i="5" s="1"/>
  <c r="J686" i="5"/>
  <c r="K686" i="5" s="1"/>
  <c r="N686" i="5" s="1"/>
  <c r="J752" i="5"/>
  <c r="K752" i="5" s="1"/>
  <c r="N752" i="5" s="1"/>
  <c r="J836" i="5"/>
  <c r="K836" i="5" s="1"/>
  <c r="N836" i="5" s="1"/>
  <c r="J980" i="5"/>
  <c r="K980" i="5" s="1"/>
  <c r="N980" i="5" s="1"/>
  <c r="J1084" i="5"/>
  <c r="K1084" i="5" s="1"/>
  <c r="N1084" i="5" s="1"/>
  <c r="J713" i="5"/>
  <c r="K713" i="5" s="1"/>
  <c r="N713" i="5" s="1"/>
  <c r="J801" i="5"/>
  <c r="K801" i="5" s="1"/>
  <c r="N801" i="5" s="1"/>
  <c r="J918" i="5"/>
  <c r="K918" i="5" s="1"/>
  <c r="N918" i="5" s="1"/>
  <c r="J883" i="5"/>
  <c r="K883" i="5" s="1"/>
  <c r="N883" i="5" s="1"/>
  <c r="J1003" i="5"/>
  <c r="K1003" i="5" s="1"/>
  <c r="N1003" i="5" s="1"/>
  <c r="J1165" i="5"/>
  <c r="K1165" i="5" s="1"/>
  <c r="N1165" i="5" s="1"/>
  <c r="J1219" i="5"/>
  <c r="K1219" i="5" s="1"/>
  <c r="N1219" i="5" s="1"/>
  <c r="P506" i="5"/>
  <c r="Q506" i="5" s="1"/>
  <c r="P582" i="5"/>
  <c r="Q582" i="5" s="1"/>
  <c r="P686" i="5"/>
  <c r="Q686" i="5" s="1"/>
  <c r="P918" i="5"/>
  <c r="Q918" i="5" s="1"/>
  <c r="P487" i="5"/>
  <c r="Q487" i="5" s="1"/>
  <c r="P527" i="5"/>
  <c r="Q527" i="5" s="1"/>
  <c r="P883" i="5"/>
  <c r="Q883" i="5" s="1"/>
  <c r="P1003" i="5"/>
  <c r="Q1003" i="5" s="1"/>
  <c r="P1219" i="5"/>
  <c r="Q1219" i="5" s="1"/>
  <c r="P604" i="5"/>
  <c r="Q604" i="5" s="1"/>
  <c r="P752" i="5"/>
  <c r="Q752" i="5" s="1"/>
  <c r="P836" i="5"/>
  <c r="Q836" i="5" s="1"/>
  <c r="P980" i="5"/>
  <c r="Q980" i="5" s="1"/>
  <c r="P1084" i="5"/>
  <c r="Q1084" i="5" s="1"/>
  <c r="P549" i="5"/>
  <c r="Q549" i="5" s="1"/>
  <c r="P661" i="5"/>
  <c r="Q661" i="5" s="1"/>
  <c r="P713" i="5"/>
  <c r="Q713" i="5" s="1"/>
  <c r="P801" i="5"/>
  <c r="Q801" i="5" s="1"/>
  <c r="P1165" i="5"/>
  <c r="Q1165" i="5" s="1"/>
  <c r="J159" i="5"/>
  <c r="K159" i="5" s="1"/>
  <c r="N159" i="5" s="1"/>
  <c r="J172" i="5"/>
  <c r="K172" i="5" s="1"/>
  <c r="N172" i="5" s="1"/>
  <c r="J105" i="5"/>
  <c r="K105" i="5" s="1"/>
  <c r="N105" i="5" s="1"/>
  <c r="J50" i="5"/>
  <c r="K50" i="5" s="1"/>
  <c r="N50" i="5" s="1"/>
  <c r="J543" i="5"/>
  <c r="K543" i="5" s="1"/>
  <c r="N543" i="5" s="1"/>
  <c r="J576" i="5"/>
  <c r="K576" i="5" s="1"/>
  <c r="N576" i="5" s="1"/>
  <c r="J219" i="5"/>
  <c r="K219" i="5" s="1"/>
  <c r="N219" i="5" s="1"/>
  <c r="J251" i="5"/>
  <c r="K251" i="5" s="1"/>
  <c r="N251" i="5" s="1"/>
  <c r="J331" i="5"/>
  <c r="K331" i="5" s="1"/>
  <c r="N331" i="5" s="1"/>
  <c r="J390" i="5"/>
  <c r="K390" i="5" s="1"/>
  <c r="N390" i="5" s="1"/>
  <c r="J521" i="5"/>
  <c r="K521" i="5" s="1"/>
  <c r="N521" i="5" s="1"/>
  <c r="J434" i="5"/>
  <c r="K434" i="5" s="1"/>
  <c r="N434" i="5" s="1"/>
  <c r="J494" i="5"/>
  <c r="K494" i="5" s="1"/>
  <c r="N494" i="5" s="1"/>
  <c r="J622" i="5"/>
  <c r="K622" i="5" s="1"/>
  <c r="N622" i="5" s="1"/>
  <c r="P50" i="5"/>
  <c r="Q50" i="5" s="1"/>
  <c r="P159" i="5"/>
  <c r="Q159" i="5" s="1"/>
  <c r="P219" i="5"/>
  <c r="Q219" i="5" s="1"/>
  <c r="P251" i="5"/>
  <c r="Q251" i="5" s="1"/>
  <c r="P331" i="5"/>
  <c r="Q331" i="5" s="1"/>
  <c r="P434" i="5"/>
  <c r="Q434" i="5" s="1"/>
  <c r="P494" i="5"/>
  <c r="Q494" i="5" s="1"/>
  <c r="P622" i="5"/>
  <c r="Q622" i="5" s="1"/>
  <c r="P105" i="5"/>
  <c r="Q105" i="5" s="1"/>
  <c r="P172" i="5"/>
  <c r="Q172" i="5" s="1"/>
  <c r="P543" i="5"/>
  <c r="Q543" i="5" s="1"/>
  <c r="P576" i="5"/>
  <c r="Q576" i="5" s="1"/>
  <c r="P390" i="5"/>
  <c r="Q390" i="5" s="1"/>
  <c r="P521" i="5"/>
  <c r="Q521" i="5" s="1"/>
  <c r="J61" i="5"/>
  <c r="K61" i="5" s="1"/>
  <c r="N61" i="5" s="1"/>
  <c r="J507" i="5"/>
  <c r="K507" i="5" s="1"/>
  <c r="N507" i="5" s="1"/>
  <c r="J571" i="5"/>
  <c r="K571" i="5" s="1"/>
  <c r="N571" i="5" s="1"/>
  <c r="J401" i="5"/>
  <c r="K401" i="5" s="1"/>
  <c r="N401" i="5" s="1"/>
  <c r="J378" i="5"/>
  <c r="K378" i="5" s="1"/>
  <c r="N378" i="5" s="1"/>
  <c r="J525" i="5"/>
  <c r="K525" i="5" s="1"/>
  <c r="N525" i="5" s="1"/>
  <c r="J657" i="5"/>
  <c r="K657" i="5" s="1"/>
  <c r="N657" i="5" s="1"/>
  <c r="J602" i="5"/>
  <c r="K602" i="5" s="1"/>
  <c r="N602" i="5" s="1"/>
  <c r="J808" i="5"/>
  <c r="K808" i="5" s="1"/>
  <c r="N808" i="5" s="1"/>
  <c r="J832" i="5"/>
  <c r="K832" i="5" s="1"/>
  <c r="N832" i="5" s="1"/>
  <c r="J888" i="5"/>
  <c r="K888" i="5" s="1"/>
  <c r="N888" i="5" s="1"/>
  <c r="J1040" i="5"/>
  <c r="K1040" i="5" s="1"/>
  <c r="N1040" i="5" s="1"/>
  <c r="J861" i="5"/>
  <c r="K861" i="5" s="1"/>
  <c r="N861" i="5" s="1"/>
  <c r="J953" i="5"/>
  <c r="K953" i="5" s="1"/>
  <c r="N953" i="5" s="1"/>
  <c r="J1073" i="5"/>
  <c r="K1073" i="5" s="1"/>
  <c r="N1073" i="5" s="1"/>
  <c r="J714" i="5"/>
  <c r="K714" i="5" s="1"/>
  <c r="N714" i="5" s="1"/>
  <c r="J762" i="5"/>
  <c r="K762" i="5" s="1"/>
  <c r="N762" i="5" s="1"/>
  <c r="J914" i="5"/>
  <c r="K914" i="5" s="1"/>
  <c r="N914" i="5" s="1"/>
  <c r="J1018" i="5"/>
  <c r="K1018" i="5" s="1"/>
  <c r="N1018" i="5" s="1"/>
  <c r="P602" i="5"/>
  <c r="Q602" i="5" s="1"/>
  <c r="P714" i="5"/>
  <c r="Q714" i="5" s="1"/>
  <c r="P762" i="5"/>
  <c r="Q762" i="5" s="1"/>
  <c r="P914" i="5"/>
  <c r="Q914" i="5" s="1"/>
  <c r="P1018" i="5"/>
  <c r="Q1018" i="5" s="1"/>
  <c r="P507" i="5"/>
  <c r="Q507" i="5" s="1"/>
  <c r="P571" i="5"/>
  <c r="Q571" i="5" s="1"/>
  <c r="P61" i="5"/>
  <c r="Q61" i="5" s="1"/>
  <c r="P401" i="5"/>
  <c r="Q401" i="5" s="1"/>
  <c r="P808" i="5"/>
  <c r="Q808" i="5" s="1"/>
  <c r="P832" i="5"/>
  <c r="Q832" i="5" s="1"/>
  <c r="P888" i="5"/>
  <c r="Q888" i="5" s="1"/>
  <c r="P1040" i="5"/>
  <c r="Q1040" i="5" s="1"/>
  <c r="P378" i="5"/>
  <c r="Q378" i="5" s="1"/>
  <c r="P525" i="5"/>
  <c r="Q525" i="5" s="1"/>
  <c r="P657" i="5"/>
  <c r="Q657" i="5" s="1"/>
  <c r="P861" i="5"/>
  <c r="Q861" i="5" s="1"/>
  <c r="P953" i="5"/>
  <c r="Q953" i="5" s="1"/>
  <c r="P1073" i="5"/>
  <c r="Q1073" i="5" s="1"/>
  <c r="J168" i="5"/>
  <c r="K168" i="5" s="1"/>
  <c r="N168" i="5" s="1"/>
  <c r="J220" i="5"/>
  <c r="K220" i="5" s="1"/>
  <c r="N220" i="5" s="1"/>
  <c r="J353" i="5"/>
  <c r="K353" i="5" s="1"/>
  <c r="N353" i="5" s="1"/>
  <c r="J170" i="5"/>
  <c r="K170" i="5" s="1"/>
  <c r="N170" i="5" s="1"/>
  <c r="J405" i="5"/>
  <c r="K405" i="5" s="1"/>
  <c r="N405" i="5" s="1"/>
  <c r="J648" i="5"/>
  <c r="K648" i="5" s="1"/>
  <c r="N648" i="5" s="1"/>
  <c r="J1032" i="5"/>
  <c r="K1032" i="5" s="1"/>
  <c r="N1032" i="5" s="1"/>
  <c r="J1104" i="5"/>
  <c r="K1104" i="5" s="1"/>
  <c r="N1104" i="5" s="1"/>
  <c r="J933" i="5"/>
  <c r="K933" i="5" s="1"/>
  <c r="N933" i="5" s="1"/>
  <c r="J811" i="5"/>
  <c r="K811" i="5" s="1"/>
  <c r="N811" i="5" s="1"/>
  <c r="J963" i="5"/>
  <c r="K963" i="5" s="1"/>
  <c r="N963" i="5" s="1"/>
  <c r="J1119" i="5"/>
  <c r="K1119" i="5" s="1"/>
  <c r="N1119" i="5" s="1"/>
  <c r="J1170" i="5"/>
  <c r="K1170" i="5" s="1"/>
  <c r="N1170" i="5" s="1"/>
  <c r="P1170" i="5"/>
  <c r="Q1170" i="5" s="1"/>
  <c r="P168" i="5"/>
  <c r="Q168" i="5" s="1"/>
  <c r="P220" i="5"/>
  <c r="Q220" i="5" s="1"/>
  <c r="P811" i="5"/>
  <c r="Q811" i="5" s="1"/>
  <c r="P963" i="5"/>
  <c r="Q963" i="5" s="1"/>
  <c r="P1119" i="5"/>
  <c r="Q1119" i="5" s="1"/>
  <c r="P353" i="5"/>
  <c r="Q353" i="5" s="1"/>
  <c r="P405" i="5"/>
  <c r="Q405" i="5" s="1"/>
  <c r="P648" i="5"/>
  <c r="Q648" i="5" s="1"/>
  <c r="P1032" i="5"/>
  <c r="Q1032" i="5" s="1"/>
  <c r="P1104" i="5"/>
  <c r="Q1104" i="5" s="1"/>
  <c r="P170" i="5"/>
  <c r="Q170" i="5" s="1"/>
  <c r="P933" i="5"/>
  <c r="Q933" i="5" s="1"/>
  <c r="J203" i="5"/>
  <c r="K203" i="5" s="1"/>
  <c r="N203" i="5" s="1"/>
  <c r="J236" i="5"/>
  <c r="K236" i="5" s="1"/>
  <c r="N236" i="5" s="1"/>
  <c r="J348" i="5"/>
  <c r="K348" i="5" s="1"/>
  <c r="N348" i="5" s="1"/>
  <c r="J536" i="5"/>
  <c r="K536" i="5" s="1"/>
  <c r="N536" i="5" s="1"/>
  <c r="J960" i="5"/>
  <c r="K960" i="5" s="1"/>
  <c r="N960" i="5" s="1"/>
  <c r="J807" i="5"/>
  <c r="K807" i="5" s="1"/>
  <c r="N807" i="5" s="1"/>
  <c r="P203" i="5"/>
  <c r="Q203" i="5" s="1"/>
  <c r="P236" i="5"/>
  <c r="Q236" i="5" s="1"/>
  <c r="P348" i="5"/>
  <c r="Q348" i="5" s="1"/>
  <c r="P807" i="5"/>
  <c r="Q807" i="5" s="1"/>
  <c r="P536" i="5"/>
  <c r="Q536" i="5" s="1"/>
  <c r="P960" i="5"/>
  <c r="Q960" i="5" s="1"/>
  <c r="J345" i="5"/>
  <c r="K345" i="5" s="1"/>
  <c r="N345" i="5" s="1"/>
  <c r="J373" i="5"/>
  <c r="K373" i="5" s="1"/>
  <c r="N373" i="5" s="1"/>
  <c r="J270" i="5"/>
  <c r="K270" i="5" s="1"/>
  <c r="N270" i="5" s="1"/>
  <c r="J330" i="5"/>
  <c r="K330" i="5" s="1"/>
  <c r="N330" i="5" s="1"/>
  <c r="J338" i="5"/>
  <c r="K338" i="5" s="1"/>
  <c r="N338" i="5" s="1"/>
  <c r="J400" i="5"/>
  <c r="K400" i="5" s="1"/>
  <c r="N400" i="5" s="1"/>
  <c r="J423" i="5"/>
  <c r="K423" i="5" s="1"/>
  <c r="N423" i="5" s="1"/>
  <c r="J467" i="5"/>
  <c r="K467" i="5" s="1"/>
  <c r="N467" i="5" s="1"/>
  <c r="J567" i="5"/>
  <c r="K567" i="5" s="1"/>
  <c r="N567" i="5" s="1"/>
  <c r="J639" i="5"/>
  <c r="K639" i="5" s="1"/>
  <c r="N639" i="5" s="1"/>
  <c r="J424" i="5"/>
  <c r="K424" i="5" s="1"/>
  <c r="N424" i="5" s="1"/>
  <c r="J428" i="5"/>
  <c r="K428" i="5" s="1"/>
  <c r="N428" i="5" s="1"/>
  <c r="J432" i="5"/>
  <c r="K432" i="5" s="1"/>
  <c r="N432" i="5" s="1"/>
  <c r="J616" i="5"/>
  <c r="K616" i="5" s="1"/>
  <c r="N616" i="5" s="1"/>
  <c r="J267" i="5"/>
  <c r="K267" i="5" s="1"/>
  <c r="N267" i="5" s="1"/>
  <c r="J649" i="5"/>
  <c r="K649" i="5" s="1"/>
  <c r="N649" i="5" s="1"/>
  <c r="J685" i="5"/>
  <c r="K685" i="5" s="1"/>
  <c r="N685" i="5" s="1"/>
  <c r="J379" i="5"/>
  <c r="K379" i="5" s="1"/>
  <c r="N379" i="5" s="1"/>
  <c r="J391" i="5"/>
  <c r="K391" i="5" s="1"/>
  <c r="N391" i="5" s="1"/>
  <c r="J860" i="5"/>
  <c r="K860" i="5" s="1"/>
  <c r="N860" i="5" s="1"/>
  <c r="J904" i="5"/>
  <c r="K904" i="5" s="1"/>
  <c r="N904" i="5" s="1"/>
  <c r="J928" i="5"/>
  <c r="K928" i="5" s="1"/>
  <c r="N928" i="5" s="1"/>
  <c r="J944" i="5"/>
  <c r="K944" i="5" s="1"/>
  <c r="N944" i="5" s="1"/>
  <c r="J984" i="5"/>
  <c r="K984" i="5" s="1"/>
  <c r="N984" i="5" s="1"/>
  <c r="J988" i="5"/>
  <c r="K988" i="5" s="1"/>
  <c r="N988" i="5" s="1"/>
  <c r="J1004" i="5"/>
  <c r="K1004" i="5" s="1"/>
  <c r="N1004" i="5" s="1"/>
  <c r="J1052" i="5"/>
  <c r="K1052" i="5" s="1"/>
  <c r="N1052" i="5" s="1"/>
  <c r="J721" i="5"/>
  <c r="K721" i="5" s="1"/>
  <c r="N721" i="5" s="1"/>
  <c r="J793" i="5"/>
  <c r="K793" i="5" s="1"/>
  <c r="N793" i="5" s="1"/>
  <c r="J829" i="5"/>
  <c r="K829" i="5" s="1"/>
  <c r="N829" i="5" s="1"/>
  <c r="J885" i="5"/>
  <c r="K885" i="5" s="1"/>
  <c r="N885" i="5" s="1"/>
  <c r="J957" i="5"/>
  <c r="K957" i="5" s="1"/>
  <c r="N957" i="5" s="1"/>
  <c r="J1057" i="5"/>
  <c r="K1057" i="5" s="1"/>
  <c r="N1057" i="5" s="1"/>
  <c r="J1081" i="5"/>
  <c r="K1081" i="5" s="1"/>
  <c r="N1081" i="5" s="1"/>
  <c r="J1089" i="5"/>
  <c r="K1089" i="5" s="1"/>
  <c r="N1089" i="5" s="1"/>
  <c r="J710" i="5"/>
  <c r="K710" i="5" s="1"/>
  <c r="N710" i="5" s="1"/>
  <c r="J738" i="5"/>
  <c r="K738" i="5" s="1"/>
  <c r="N738" i="5" s="1"/>
  <c r="J954" i="5"/>
  <c r="K954" i="5" s="1"/>
  <c r="N954" i="5" s="1"/>
  <c r="J990" i="5"/>
  <c r="K990" i="5" s="1"/>
  <c r="N990" i="5" s="1"/>
  <c r="J1054" i="5"/>
  <c r="K1054" i="5" s="1"/>
  <c r="N1054" i="5" s="1"/>
  <c r="J1102" i="5"/>
  <c r="K1102" i="5" s="1"/>
  <c r="N1102" i="5" s="1"/>
  <c r="J1106" i="5"/>
  <c r="K1106" i="5" s="1"/>
  <c r="N1106" i="5" s="1"/>
  <c r="J763" i="5"/>
  <c r="K763" i="5" s="1"/>
  <c r="N763" i="5" s="1"/>
  <c r="J923" i="5"/>
  <c r="K923" i="5" s="1"/>
  <c r="N923" i="5" s="1"/>
  <c r="J927" i="5"/>
  <c r="K927" i="5" s="1"/>
  <c r="N927" i="5" s="1"/>
  <c r="J1015" i="5"/>
  <c r="K1015" i="5" s="1"/>
  <c r="N1015" i="5" s="1"/>
  <c r="J1055" i="5"/>
  <c r="K1055" i="5" s="1"/>
  <c r="N1055" i="5" s="1"/>
  <c r="J1087" i="5"/>
  <c r="K1087" i="5" s="1"/>
  <c r="N1087" i="5" s="1"/>
  <c r="J1111" i="5"/>
  <c r="K1111" i="5" s="1"/>
  <c r="N1111" i="5" s="1"/>
  <c r="J1103" i="5"/>
  <c r="K1103" i="5" s="1"/>
  <c r="N1103" i="5" s="1"/>
  <c r="J1107" i="5"/>
  <c r="K1107" i="5" s="1"/>
  <c r="N1107" i="5" s="1"/>
  <c r="J1115" i="5"/>
  <c r="K1115" i="5" s="1"/>
  <c r="N1115" i="5" s="1"/>
  <c r="P267" i="5"/>
  <c r="Q267" i="5" s="1"/>
  <c r="P379" i="5"/>
  <c r="Q379" i="5" s="1"/>
  <c r="P391" i="5"/>
  <c r="Q391" i="5" s="1"/>
  <c r="P710" i="5"/>
  <c r="Q710" i="5" s="1"/>
  <c r="P738" i="5"/>
  <c r="Q738" i="5" s="1"/>
  <c r="P954" i="5"/>
  <c r="Q954" i="5" s="1"/>
  <c r="P990" i="5"/>
  <c r="Q990" i="5" s="1"/>
  <c r="P1054" i="5"/>
  <c r="Q1054" i="5" s="1"/>
  <c r="P1102" i="5"/>
  <c r="Q1102" i="5" s="1"/>
  <c r="P1106" i="5"/>
  <c r="Q1106" i="5" s="1"/>
  <c r="P400" i="5"/>
  <c r="Q400" i="5" s="1"/>
  <c r="P423" i="5"/>
  <c r="Q423" i="5" s="1"/>
  <c r="P467" i="5"/>
  <c r="Q467" i="5" s="1"/>
  <c r="P567" i="5"/>
  <c r="Q567" i="5" s="1"/>
  <c r="P639" i="5"/>
  <c r="Q639" i="5" s="1"/>
  <c r="P763" i="5"/>
  <c r="Q763" i="5" s="1"/>
  <c r="P923" i="5"/>
  <c r="Q923" i="5" s="1"/>
  <c r="P927" i="5"/>
  <c r="Q927" i="5" s="1"/>
  <c r="P1015" i="5"/>
  <c r="Q1015" i="5" s="1"/>
  <c r="P1055" i="5"/>
  <c r="Q1055" i="5" s="1"/>
  <c r="P1087" i="5"/>
  <c r="Q1087" i="5" s="1"/>
  <c r="P1103" i="5"/>
  <c r="Q1103" i="5" s="1"/>
  <c r="P1107" i="5"/>
  <c r="Q1107" i="5" s="1"/>
  <c r="P1111" i="5"/>
  <c r="Q1111" i="5" s="1"/>
  <c r="P1115" i="5"/>
  <c r="Q1115" i="5" s="1"/>
  <c r="P345" i="5"/>
  <c r="Q345" i="5" s="1"/>
  <c r="P373" i="5"/>
  <c r="Q373" i="5" s="1"/>
  <c r="P424" i="5"/>
  <c r="Q424" i="5" s="1"/>
  <c r="P428" i="5"/>
  <c r="Q428" i="5" s="1"/>
  <c r="P432" i="5"/>
  <c r="Q432" i="5" s="1"/>
  <c r="P616" i="5"/>
  <c r="Q616" i="5" s="1"/>
  <c r="P860" i="5"/>
  <c r="Q860" i="5" s="1"/>
  <c r="P904" i="5"/>
  <c r="Q904" i="5" s="1"/>
  <c r="P928" i="5"/>
  <c r="Q928" i="5" s="1"/>
  <c r="P944" i="5"/>
  <c r="Q944" i="5" s="1"/>
  <c r="P984" i="5"/>
  <c r="Q984" i="5" s="1"/>
  <c r="P988" i="5"/>
  <c r="Q988" i="5" s="1"/>
  <c r="P1004" i="5"/>
  <c r="Q1004" i="5" s="1"/>
  <c r="P1052" i="5"/>
  <c r="Q1052" i="5" s="1"/>
  <c r="P270" i="5"/>
  <c r="Q270" i="5" s="1"/>
  <c r="P330" i="5"/>
  <c r="Q330" i="5" s="1"/>
  <c r="P338" i="5"/>
  <c r="Q338" i="5" s="1"/>
  <c r="P649" i="5"/>
  <c r="Q649" i="5" s="1"/>
  <c r="P685" i="5"/>
  <c r="Q685" i="5" s="1"/>
  <c r="P721" i="5"/>
  <c r="Q721" i="5" s="1"/>
  <c r="P793" i="5"/>
  <c r="Q793" i="5" s="1"/>
  <c r="P829" i="5"/>
  <c r="Q829" i="5" s="1"/>
  <c r="P885" i="5"/>
  <c r="Q885" i="5" s="1"/>
  <c r="P957" i="5"/>
  <c r="Q957" i="5" s="1"/>
  <c r="P1057" i="5"/>
  <c r="Q1057" i="5" s="1"/>
  <c r="P1081" i="5"/>
  <c r="Q1081" i="5" s="1"/>
  <c r="P1089" i="5"/>
  <c r="Q1089" i="5" s="1"/>
  <c r="J1405" i="5"/>
  <c r="K1405" i="5" s="1"/>
  <c r="N1405" i="5" s="1"/>
  <c r="J1441" i="5"/>
  <c r="K1441" i="5" s="1"/>
  <c r="N1441" i="5" s="1"/>
  <c r="J1449" i="5"/>
  <c r="K1449" i="5" s="1"/>
  <c r="N1449" i="5" s="1"/>
  <c r="J1465" i="5"/>
  <c r="K1465" i="5" s="1"/>
  <c r="N1465" i="5" s="1"/>
  <c r="J1477" i="5"/>
  <c r="K1477" i="5" s="1"/>
  <c r="N1477" i="5" s="1"/>
  <c r="J1481" i="5"/>
  <c r="K1481" i="5" s="1"/>
  <c r="N1481" i="5" s="1"/>
  <c r="J1485" i="5"/>
  <c r="K1485" i="5" s="1"/>
  <c r="N1485" i="5" s="1"/>
  <c r="J1617" i="5"/>
  <c r="K1617" i="5" s="1"/>
  <c r="N1617" i="5" s="1"/>
  <c r="J1629" i="5"/>
  <c r="K1629" i="5" s="1"/>
  <c r="N1629" i="5" s="1"/>
  <c r="J1641" i="5"/>
  <c r="K1641" i="5" s="1"/>
  <c r="N1641" i="5" s="1"/>
  <c r="J1354" i="5"/>
  <c r="K1354" i="5" s="1"/>
  <c r="N1354" i="5" s="1"/>
  <c r="J1386" i="5"/>
  <c r="K1386" i="5" s="1"/>
  <c r="N1386" i="5" s="1"/>
  <c r="J1410" i="5"/>
  <c r="K1410" i="5" s="1"/>
  <c r="N1410" i="5" s="1"/>
  <c r="J1450" i="5"/>
  <c r="K1450" i="5" s="1"/>
  <c r="N1450" i="5" s="1"/>
  <c r="J1462" i="5"/>
  <c r="K1462" i="5" s="1"/>
  <c r="N1462" i="5" s="1"/>
  <c r="J1466" i="5"/>
  <c r="K1466" i="5" s="1"/>
  <c r="N1466" i="5" s="1"/>
  <c r="J1478" i="5"/>
  <c r="K1478" i="5" s="1"/>
  <c r="N1478" i="5" s="1"/>
  <c r="J1486" i="5"/>
  <c r="K1486" i="5" s="1"/>
  <c r="N1486" i="5" s="1"/>
  <c r="J1650" i="5"/>
  <c r="K1650" i="5" s="1"/>
  <c r="N1650" i="5" s="1"/>
  <c r="J1427" i="5"/>
  <c r="K1427" i="5" s="1"/>
  <c r="N1427" i="5" s="1"/>
  <c r="J1471" i="5"/>
  <c r="K1471" i="5" s="1"/>
  <c r="N1471" i="5" s="1"/>
  <c r="J1483" i="5"/>
  <c r="K1483" i="5" s="1"/>
  <c r="N1483" i="5" s="1"/>
  <c r="J1579" i="5"/>
  <c r="K1579" i="5" s="1"/>
  <c r="N1579" i="5" s="1"/>
  <c r="J1591" i="5"/>
  <c r="K1591" i="5" s="1"/>
  <c r="N1591" i="5" s="1"/>
  <c r="J1444" i="5"/>
  <c r="K1444" i="5" s="1"/>
  <c r="N1444" i="5" s="1"/>
  <c r="J1464" i="5"/>
  <c r="K1464" i="5" s="1"/>
  <c r="N1464" i="5" s="1"/>
  <c r="J1472" i="5"/>
  <c r="K1472" i="5" s="1"/>
  <c r="N1472" i="5" s="1"/>
  <c r="J1480" i="5"/>
  <c r="K1480" i="5" s="1"/>
  <c r="N1480" i="5" s="1"/>
  <c r="J1524" i="5"/>
  <c r="K1524" i="5" s="1"/>
  <c r="N1524" i="5" s="1"/>
  <c r="J1672" i="5"/>
  <c r="K1672" i="5" s="1"/>
  <c r="N1672" i="5" s="1"/>
  <c r="J1676" i="5"/>
  <c r="K1676" i="5" s="1"/>
  <c r="N1676" i="5" s="1"/>
  <c r="P1354" i="5"/>
  <c r="Q1354" i="5" s="1"/>
  <c r="P1386" i="5"/>
  <c r="Q1386" i="5" s="1"/>
  <c r="P1410" i="5"/>
  <c r="Q1410" i="5" s="1"/>
  <c r="P1450" i="5"/>
  <c r="Q1450" i="5" s="1"/>
  <c r="P1462" i="5"/>
  <c r="Q1462" i="5" s="1"/>
  <c r="P1466" i="5"/>
  <c r="Q1466" i="5" s="1"/>
  <c r="P1478" i="5"/>
  <c r="Q1478" i="5" s="1"/>
  <c r="P1486" i="5"/>
  <c r="Q1486" i="5" s="1"/>
  <c r="P1650" i="5"/>
  <c r="Q1650" i="5" s="1"/>
  <c r="P1427" i="5"/>
  <c r="Q1427" i="5" s="1"/>
  <c r="P1471" i="5"/>
  <c r="Q1471" i="5" s="1"/>
  <c r="P1483" i="5"/>
  <c r="Q1483" i="5" s="1"/>
  <c r="P1579" i="5"/>
  <c r="Q1579" i="5" s="1"/>
  <c r="P1591" i="5"/>
  <c r="Q1591" i="5" s="1"/>
  <c r="P1444" i="5"/>
  <c r="Q1444" i="5" s="1"/>
  <c r="P1464" i="5"/>
  <c r="Q1464" i="5" s="1"/>
  <c r="P1472" i="5"/>
  <c r="Q1472" i="5" s="1"/>
  <c r="P1480" i="5"/>
  <c r="Q1480" i="5" s="1"/>
  <c r="P1524" i="5"/>
  <c r="Q1524" i="5" s="1"/>
  <c r="P1672" i="5"/>
  <c r="Q1672" i="5" s="1"/>
  <c r="P1676" i="5"/>
  <c r="Q1676" i="5" s="1"/>
  <c r="P1405" i="5"/>
  <c r="Q1405" i="5" s="1"/>
  <c r="P1441" i="5"/>
  <c r="Q1441" i="5" s="1"/>
  <c r="P1449" i="5"/>
  <c r="Q1449" i="5" s="1"/>
  <c r="P1465" i="5"/>
  <c r="Q1465" i="5" s="1"/>
  <c r="P1477" i="5"/>
  <c r="Q1477" i="5" s="1"/>
  <c r="P1481" i="5"/>
  <c r="Q1481" i="5" s="1"/>
  <c r="P1485" i="5"/>
  <c r="Q1485" i="5" s="1"/>
  <c r="P1617" i="5"/>
  <c r="Q1617" i="5" s="1"/>
  <c r="P1629" i="5"/>
  <c r="Q1629" i="5" s="1"/>
  <c r="P1641" i="5"/>
  <c r="Q1641" i="5" s="1"/>
  <c r="J1398" i="5"/>
  <c r="K1398" i="5" s="1"/>
  <c r="N1398" i="5" s="1"/>
  <c r="J1406" i="5"/>
  <c r="K1406" i="5" s="1"/>
  <c r="N1406" i="5" s="1"/>
  <c r="J1514" i="5"/>
  <c r="K1514" i="5" s="1"/>
  <c r="N1514" i="5" s="1"/>
  <c r="J1543" i="5"/>
  <c r="K1543" i="5" s="1"/>
  <c r="N1543" i="5" s="1"/>
  <c r="J1571" i="5"/>
  <c r="K1571" i="5" s="1"/>
  <c r="N1571" i="5" s="1"/>
  <c r="J1592" i="5"/>
  <c r="K1592" i="5" s="1"/>
  <c r="N1592" i="5" s="1"/>
  <c r="J1855" i="5"/>
  <c r="K1855" i="5" s="1"/>
  <c r="N1855" i="5" s="1"/>
  <c r="J1863" i="5"/>
  <c r="K1863" i="5" s="1"/>
  <c r="N1863" i="5" s="1"/>
  <c r="J1773" i="5"/>
  <c r="K1773" i="5" s="1"/>
  <c r="N1773" i="5" s="1"/>
  <c r="P1398" i="5"/>
  <c r="Q1398" i="5" s="1"/>
  <c r="P1406" i="5"/>
  <c r="Q1406" i="5" s="1"/>
  <c r="P1514" i="5"/>
  <c r="Q1514" i="5" s="1"/>
  <c r="P1543" i="5"/>
  <c r="Q1543" i="5" s="1"/>
  <c r="P1571" i="5"/>
  <c r="Q1571" i="5" s="1"/>
  <c r="P1855" i="5"/>
  <c r="Q1855" i="5" s="1"/>
  <c r="P1863" i="5"/>
  <c r="Q1863" i="5" s="1"/>
  <c r="P1592" i="5"/>
  <c r="Q1592" i="5" s="1"/>
  <c r="P1773" i="5"/>
  <c r="Q1773" i="5" s="1"/>
  <c r="J535" i="5"/>
  <c r="K535" i="5" s="1"/>
  <c r="N535" i="5" s="1"/>
  <c r="J667" i="5"/>
  <c r="K667" i="5" s="1"/>
  <c r="N667" i="5" s="1"/>
  <c r="J585" i="5"/>
  <c r="K585" i="5" s="1"/>
  <c r="N585" i="5" s="1"/>
  <c r="J614" i="5"/>
  <c r="K614" i="5" s="1"/>
  <c r="N614" i="5" s="1"/>
  <c r="J725" i="5"/>
  <c r="K725" i="5" s="1"/>
  <c r="N725" i="5" s="1"/>
  <c r="J777" i="5"/>
  <c r="K777" i="5" s="1"/>
  <c r="N777" i="5" s="1"/>
  <c r="J1013" i="5"/>
  <c r="K1013" i="5" s="1"/>
  <c r="N1013" i="5" s="1"/>
  <c r="J1043" i="5"/>
  <c r="K1043" i="5" s="1"/>
  <c r="N1043" i="5" s="1"/>
  <c r="J1177" i="5"/>
  <c r="K1177" i="5" s="1"/>
  <c r="N1177" i="5" s="1"/>
  <c r="J1601" i="5"/>
  <c r="K1601" i="5" s="1"/>
  <c r="N1601" i="5" s="1"/>
  <c r="J1138" i="5"/>
  <c r="K1138" i="5" s="1"/>
  <c r="N1138" i="5" s="1"/>
  <c r="J1210" i="5"/>
  <c r="K1210" i="5" s="1"/>
  <c r="N1210" i="5" s="1"/>
  <c r="J1214" i="5"/>
  <c r="K1214" i="5" s="1"/>
  <c r="N1214" i="5" s="1"/>
  <c r="J1254" i="5"/>
  <c r="K1254" i="5" s="1"/>
  <c r="N1254" i="5" s="1"/>
  <c r="J1330" i="5"/>
  <c r="K1330" i="5" s="1"/>
  <c r="N1330" i="5" s="1"/>
  <c r="J1227" i="5"/>
  <c r="K1227" i="5" s="1"/>
  <c r="N1227" i="5" s="1"/>
  <c r="J1351" i="5"/>
  <c r="K1351" i="5" s="1"/>
  <c r="N1351" i="5" s="1"/>
  <c r="J1391" i="5"/>
  <c r="K1391" i="5" s="1"/>
  <c r="N1391" i="5" s="1"/>
  <c r="J1599" i="5"/>
  <c r="K1599" i="5" s="1"/>
  <c r="N1599" i="5" s="1"/>
  <c r="J1288" i="5"/>
  <c r="K1288" i="5" s="1"/>
  <c r="N1288" i="5" s="1"/>
  <c r="J1488" i="5"/>
  <c r="K1488" i="5" s="1"/>
  <c r="N1488" i="5" s="1"/>
  <c r="J1536" i="5"/>
  <c r="K1536" i="5" s="1"/>
  <c r="N1536" i="5" s="1"/>
  <c r="J1560" i="5"/>
  <c r="K1560" i="5" s="1"/>
  <c r="N1560" i="5" s="1"/>
  <c r="J1576" i="5"/>
  <c r="K1576" i="5" s="1"/>
  <c r="N1576" i="5" s="1"/>
  <c r="J1588" i="5"/>
  <c r="K1588" i="5" s="1"/>
  <c r="N1588" i="5" s="1"/>
  <c r="J1680" i="5"/>
  <c r="K1680" i="5" s="1"/>
  <c r="N1680" i="5" s="1"/>
  <c r="J1727" i="5"/>
  <c r="K1727" i="5" s="1"/>
  <c r="N1727" i="5" s="1"/>
  <c r="J1771" i="5"/>
  <c r="K1771" i="5" s="1"/>
  <c r="N1771" i="5" s="1"/>
  <c r="P614" i="5"/>
  <c r="Q614" i="5" s="1"/>
  <c r="P1138" i="5"/>
  <c r="Q1138" i="5" s="1"/>
  <c r="P1210" i="5"/>
  <c r="Q1210" i="5" s="1"/>
  <c r="P1214" i="5"/>
  <c r="Q1214" i="5" s="1"/>
  <c r="P1254" i="5"/>
  <c r="Q1254" i="5" s="1"/>
  <c r="P1330" i="5"/>
  <c r="Q1330" i="5" s="1"/>
  <c r="P535" i="5"/>
  <c r="Q535" i="5" s="1"/>
  <c r="P667" i="5"/>
  <c r="Q667" i="5" s="1"/>
  <c r="P1043" i="5"/>
  <c r="Q1043" i="5" s="1"/>
  <c r="P1227" i="5"/>
  <c r="Q1227" i="5" s="1"/>
  <c r="P1351" i="5"/>
  <c r="Q1351" i="5" s="1"/>
  <c r="P1391" i="5"/>
  <c r="Q1391" i="5" s="1"/>
  <c r="P1599" i="5"/>
  <c r="Q1599" i="5" s="1"/>
  <c r="P1727" i="5"/>
  <c r="Q1727" i="5" s="1"/>
  <c r="P1771" i="5"/>
  <c r="Q1771" i="5" s="1"/>
  <c r="P1288" i="5"/>
  <c r="Q1288" i="5" s="1"/>
  <c r="P1488" i="5"/>
  <c r="Q1488" i="5" s="1"/>
  <c r="P1536" i="5"/>
  <c r="Q1536" i="5" s="1"/>
  <c r="P1560" i="5"/>
  <c r="Q1560" i="5" s="1"/>
  <c r="P1576" i="5"/>
  <c r="Q1576" i="5" s="1"/>
  <c r="P1588" i="5"/>
  <c r="Q1588" i="5" s="1"/>
  <c r="P1680" i="5"/>
  <c r="Q1680" i="5" s="1"/>
  <c r="P585" i="5"/>
  <c r="Q585" i="5" s="1"/>
  <c r="P725" i="5"/>
  <c r="Q725" i="5" s="1"/>
  <c r="P777" i="5"/>
  <c r="Q777" i="5" s="1"/>
  <c r="P1013" i="5"/>
  <c r="Q1013" i="5" s="1"/>
  <c r="P1177" i="5"/>
  <c r="Q1177" i="5" s="1"/>
  <c r="P1601" i="5"/>
  <c r="Q1601" i="5" s="1"/>
  <c r="J237" i="5"/>
  <c r="K237" i="5" s="1"/>
  <c r="N237" i="5" s="1"/>
  <c r="J326" i="5"/>
  <c r="K326" i="5" s="1"/>
  <c r="N326" i="5" s="1"/>
  <c r="J367" i="5"/>
  <c r="K367" i="5" s="1"/>
  <c r="N367" i="5" s="1"/>
  <c r="P367" i="5"/>
  <c r="Q367" i="5" s="1"/>
  <c r="P237" i="5"/>
  <c r="Q237" i="5" s="1"/>
  <c r="P326" i="5"/>
  <c r="Q326" i="5" s="1"/>
  <c r="J366" i="5"/>
  <c r="K366" i="5" s="1"/>
  <c r="N366" i="5" s="1"/>
  <c r="J433" i="5"/>
  <c r="K433" i="5" s="1"/>
  <c r="N433" i="5" s="1"/>
  <c r="J453" i="5"/>
  <c r="K453" i="5" s="1"/>
  <c r="N453" i="5" s="1"/>
  <c r="P366" i="5"/>
  <c r="Q366" i="5" s="1"/>
  <c r="P433" i="5"/>
  <c r="Q433" i="5" s="1"/>
  <c r="P453" i="5"/>
  <c r="Q453" i="5" s="1"/>
  <c r="J514" i="5"/>
  <c r="K514" i="5" s="1"/>
  <c r="N514" i="5" s="1"/>
  <c r="J538" i="5"/>
  <c r="K538" i="5" s="1"/>
  <c r="N538" i="5" s="1"/>
  <c r="P514" i="5"/>
  <c r="Q514" i="5" s="1"/>
  <c r="P538" i="5"/>
  <c r="Q538" i="5" s="1"/>
  <c r="J67" i="5"/>
  <c r="K67" i="5" s="1"/>
  <c r="N67" i="5" s="1"/>
  <c r="J155" i="5"/>
  <c r="K155" i="5" s="1"/>
  <c r="N155" i="5" s="1"/>
  <c r="J36" i="5"/>
  <c r="K36" i="5" s="1"/>
  <c r="N36" i="5" s="1"/>
  <c r="J44" i="5"/>
  <c r="K44" i="5" s="1"/>
  <c r="N44" i="5" s="1"/>
  <c r="J184" i="5"/>
  <c r="K184" i="5" s="1"/>
  <c r="N184" i="5" s="1"/>
  <c r="J260" i="5"/>
  <c r="K260" i="5" s="1"/>
  <c r="N260" i="5" s="1"/>
  <c r="J57" i="5"/>
  <c r="K57" i="5" s="1"/>
  <c r="N57" i="5" s="1"/>
  <c r="J109" i="5"/>
  <c r="K109" i="5" s="1"/>
  <c r="N109" i="5" s="1"/>
  <c r="J201" i="5"/>
  <c r="K201" i="5" s="1"/>
  <c r="N201" i="5" s="1"/>
  <c r="J178" i="5"/>
  <c r="K178" i="5" s="1"/>
  <c r="N178" i="5" s="1"/>
  <c r="J210" i="5"/>
  <c r="K210" i="5" s="1"/>
  <c r="N210" i="5" s="1"/>
  <c r="J222" i="5"/>
  <c r="K222" i="5" s="1"/>
  <c r="N222" i="5" s="1"/>
  <c r="P67" i="5"/>
  <c r="Q67" i="5" s="1"/>
  <c r="P36" i="5"/>
  <c r="Q36" i="5" s="1"/>
  <c r="P44" i="5"/>
  <c r="Q44" i="5" s="1"/>
  <c r="P155" i="5"/>
  <c r="Q155" i="5" s="1"/>
  <c r="P57" i="5"/>
  <c r="Q57" i="5" s="1"/>
  <c r="P184" i="5"/>
  <c r="Q184" i="5" s="1"/>
  <c r="P260" i="5"/>
  <c r="Q260" i="5" s="1"/>
  <c r="P109" i="5"/>
  <c r="Q109" i="5" s="1"/>
  <c r="P201" i="5"/>
  <c r="Q201" i="5" s="1"/>
  <c r="P178" i="5"/>
  <c r="Q178" i="5" s="1"/>
  <c r="P210" i="5"/>
  <c r="Q210" i="5" s="1"/>
  <c r="P222" i="5"/>
  <c r="Q222" i="5" s="1"/>
  <c r="J499" i="5"/>
  <c r="K499" i="5" s="1"/>
  <c r="N499" i="5" s="1"/>
  <c r="J555" i="5"/>
  <c r="K555" i="5" s="1"/>
  <c r="N555" i="5" s="1"/>
  <c r="J452" i="5"/>
  <c r="K452" i="5" s="1"/>
  <c r="N452" i="5" s="1"/>
  <c r="J516" i="5"/>
  <c r="K516" i="5" s="1"/>
  <c r="N516" i="5" s="1"/>
  <c r="J548" i="5"/>
  <c r="K548" i="5" s="1"/>
  <c r="N548" i="5" s="1"/>
  <c r="J493" i="5"/>
  <c r="K493" i="5" s="1"/>
  <c r="N493" i="5" s="1"/>
  <c r="J478" i="5"/>
  <c r="K478" i="5" s="1"/>
  <c r="N478" i="5" s="1"/>
  <c r="P478" i="5"/>
  <c r="Q478" i="5" s="1"/>
  <c r="P499" i="5"/>
  <c r="Q499" i="5" s="1"/>
  <c r="P555" i="5"/>
  <c r="Q555" i="5" s="1"/>
  <c r="P452" i="5"/>
  <c r="Q452" i="5" s="1"/>
  <c r="P516" i="5"/>
  <c r="Q516" i="5" s="1"/>
  <c r="P548" i="5"/>
  <c r="Q548" i="5" s="1"/>
  <c r="P493" i="5"/>
  <c r="Q493" i="5" s="1"/>
  <c r="J191" i="5"/>
  <c r="K191" i="5" s="1"/>
  <c r="N191" i="5" s="1"/>
  <c r="J199" i="5"/>
  <c r="K199" i="5" s="1"/>
  <c r="N199" i="5" s="1"/>
  <c r="J224" i="5"/>
  <c r="K224" i="5" s="1"/>
  <c r="N224" i="5" s="1"/>
  <c r="J252" i="5"/>
  <c r="K252" i="5" s="1"/>
  <c r="N252" i="5" s="1"/>
  <c r="J264" i="5"/>
  <c r="K264" i="5" s="1"/>
  <c r="N264" i="5" s="1"/>
  <c r="J320" i="5"/>
  <c r="K320" i="5" s="1"/>
  <c r="N320" i="5" s="1"/>
  <c r="J324" i="5"/>
  <c r="K324" i="5" s="1"/>
  <c r="N324" i="5" s="1"/>
  <c r="J332" i="5"/>
  <c r="K332" i="5" s="1"/>
  <c r="N332" i="5" s="1"/>
  <c r="J340" i="5"/>
  <c r="K340" i="5" s="1"/>
  <c r="N340" i="5" s="1"/>
  <c r="J352" i="5"/>
  <c r="K352" i="5" s="1"/>
  <c r="N352" i="5" s="1"/>
  <c r="J356" i="5"/>
  <c r="K356" i="5" s="1"/>
  <c r="N356" i="5" s="1"/>
  <c r="J185" i="5"/>
  <c r="K185" i="5" s="1"/>
  <c r="N185" i="5" s="1"/>
  <c r="J229" i="5"/>
  <c r="K229" i="5" s="1"/>
  <c r="N229" i="5" s="1"/>
  <c r="J261" i="5"/>
  <c r="K261" i="5" s="1"/>
  <c r="N261" i="5" s="1"/>
  <c r="J269" i="5"/>
  <c r="K269" i="5" s="1"/>
  <c r="N269" i="5" s="1"/>
  <c r="J341" i="5"/>
  <c r="K341" i="5" s="1"/>
  <c r="N341" i="5" s="1"/>
  <c r="J226" i="5"/>
  <c r="K226" i="5" s="1"/>
  <c r="N226" i="5" s="1"/>
  <c r="J250" i="5"/>
  <c r="K250" i="5" s="1"/>
  <c r="N250" i="5" s="1"/>
  <c r="J266" i="5"/>
  <c r="K266" i="5" s="1"/>
  <c r="N266" i="5" s="1"/>
  <c r="J314" i="5"/>
  <c r="K314" i="5" s="1"/>
  <c r="N314" i="5" s="1"/>
  <c r="J354" i="5"/>
  <c r="K354" i="5" s="1"/>
  <c r="N354" i="5" s="1"/>
  <c r="J362" i="5"/>
  <c r="K362" i="5" s="1"/>
  <c r="N362" i="5" s="1"/>
  <c r="J355" i="5"/>
  <c r="K355" i="5" s="1"/>
  <c r="N355" i="5" s="1"/>
  <c r="J415" i="5"/>
  <c r="K415" i="5" s="1"/>
  <c r="N415" i="5" s="1"/>
  <c r="J427" i="5"/>
  <c r="K427" i="5" s="1"/>
  <c r="N427" i="5" s="1"/>
  <c r="J431" i="5"/>
  <c r="K431" i="5" s="1"/>
  <c r="N431" i="5" s="1"/>
  <c r="J439" i="5"/>
  <c r="K439" i="5" s="1"/>
  <c r="N439" i="5" s="1"/>
  <c r="J311" i="5"/>
  <c r="K311" i="5" s="1"/>
  <c r="N311" i="5" s="1"/>
  <c r="J359" i="5"/>
  <c r="K359" i="5" s="1"/>
  <c r="N359" i="5" s="1"/>
  <c r="J372" i="5"/>
  <c r="K372" i="5" s="1"/>
  <c r="N372" i="5" s="1"/>
  <c r="J397" i="5"/>
  <c r="K397" i="5" s="1"/>
  <c r="N397" i="5" s="1"/>
  <c r="J412" i="5"/>
  <c r="K412" i="5" s="1"/>
  <c r="N412" i="5" s="1"/>
  <c r="J235" i="5"/>
  <c r="K235" i="5" s="1"/>
  <c r="N235" i="5" s="1"/>
  <c r="J374" i="5"/>
  <c r="K374" i="5" s="1"/>
  <c r="N374" i="5" s="1"/>
  <c r="J425" i="5"/>
  <c r="K425" i="5" s="1"/>
  <c r="N425" i="5" s="1"/>
  <c r="J437" i="5"/>
  <c r="K437" i="5" s="1"/>
  <c r="N437" i="5" s="1"/>
  <c r="J387" i="5"/>
  <c r="K387" i="5" s="1"/>
  <c r="N387" i="5" s="1"/>
  <c r="J422" i="5"/>
  <c r="K422" i="5" s="1"/>
  <c r="N422" i="5" s="1"/>
  <c r="J462" i="5"/>
  <c r="K462" i="5" s="1"/>
  <c r="N462" i="5" s="1"/>
  <c r="P191" i="5"/>
  <c r="Q191" i="5" s="1"/>
  <c r="P199" i="5"/>
  <c r="Q199" i="5" s="1"/>
  <c r="P235" i="5"/>
  <c r="Q235" i="5" s="1"/>
  <c r="P311" i="5"/>
  <c r="Q311" i="5" s="1"/>
  <c r="P355" i="5"/>
  <c r="Q355" i="5" s="1"/>
  <c r="P359" i="5"/>
  <c r="Q359" i="5" s="1"/>
  <c r="P387" i="5"/>
  <c r="Q387" i="5" s="1"/>
  <c r="P422" i="5"/>
  <c r="Q422" i="5" s="1"/>
  <c r="P462" i="5"/>
  <c r="Q462" i="5" s="1"/>
  <c r="P224" i="5"/>
  <c r="Q224" i="5" s="1"/>
  <c r="P252" i="5"/>
  <c r="Q252" i="5" s="1"/>
  <c r="P264" i="5"/>
  <c r="Q264" i="5" s="1"/>
  <c r="P320" i="5"/>
  <c r="Q320" i="5" s="1"/>
  <c r="P324" i="5"/>
  <c r="Q324" i="5" s="1"/>
  <c r="P332" i="5"/>
  <c r="Q332" i="5" s="1"/>
  <c r="P340" i="5"/>
  <c r="Q340" i="5" s="1"/>
  <c r="P352" i="5"/>
  <c r="Q352" i="5" s="1"/>
  <c r="P356" i="5"/>
  <c r="Q356" i="5" s="1"/>
  <c r="P372" i="5"/>
  <c r="Q372" i="5" s="1"/>
  <c r="P415" i="5"/>
  <c r="Q415" i="5" s="1"/>
  <c r="P427" i="5"/>
  <c r="Q427" i="5" s="1"/>
  <c r="P431" i="5"/>
  <c r="Q431" i="5" s="1"/>
  <c r="P439" i="5"/>
  <c r="Q439" i="5" s="1"/>
  <c r="P185" i="5"/>
  <c r="Q185" i="5" s="1"/>
  <c r="P229" i="5"/>
  <c r="Q229" i="5" s="1"/>
  <c r="P261" i="5"/>
  <c r="Q261" i="5" s="1"/>
  <c r="P269" i="5"/>
  <c r="Q269" i="5" s="1"/>
  <c r="P341" i="5"/>
  <c r="Q341" i="5" s="1"/>
  <c r="P397" i="5"/>
  <c r="Q397" i="5" s="1"/>
  <c r="P412" i="5"/>
  <c r="Q412" i="5" s="1"/>
  <c r="P226" i="5"/>
  <c r="Q226" i="5" s="1"/>
  <c r="P250" i="5"/>
  <c r="Q250" i="5" s="1"/>
  <c r="P266" i="5"/>
  <c r="Q266" i="5" s="1"/>
  <c r="P314" i="5"/>
  <c r="Q314" i="5" s="1"/>
  <c r="P354" i="5"/>
  <c r="Q354" i="5" s="1"/>
  <c r="P362" i="5"/>
  <c r="Q362" i="5" s="1"/>
  <c r="P374" i="5"/>
  <c r="Q374" i="5" s="1"/>
  <c r="P425" i="5"/>
  <c r="Q425" i="5" s="1"/>
  <c r="P437" i="5"/>
  <c r="Q437" i="5" s="1"/>
  <c r="J416" i="5"/>
  <c r="K416" i="5" s="1"/>
  <c r="N416" i="5" s="1"/>
  <c r="J456" i="5"/>
  <c r="K456" i="5" s="1"/>
  <c r="N456" i="5" s="1"/>
  <c r="P416" i="5"/>
  <c r="Q416" i="5" s="1"/>
  <c r="P456" i="5"/>
  <c r="Q456" i="5" s="1"/>
  <c r="J675" i="5"/>
  <c r="K675" i="5" s="1"/>
  <c r="N675" i="5" s="1"/>
  <c r="J620" i="5"/>
  <c r="K620" i="5" s="1"/>
  <c r="N620" i="5" s="1"/>
  <c r="J653" i="5"/>
  <c r="K653" i="5" s="1"/>
  <c r="N653" i="5" s="1"/>
  <c r="J626" i="5"/>
  <c r="K626" i="5" s="1"/>
  <c r="N626" i="5" s="1"/>
  <c r="P626" i="5"/>
  <c r="Q626" i="5" s="1"/>
  <c r="P675" i="5"/>
  <c r="Q675" i="5" s="1"/>
  <c r="P620" i="5"/>
  <c r="Q620" i="5" s="1"/>
  <c r="P653" i="5"/>
  <c r="Q653" i="5" s="1"/>
  <c r="J360" i="5"/>
  <c r="K360" i="5" s="1"/>
  <c r="N360" i="5" s="1"/>
  <c r="P360" i="5"/>
  <c r="Q360" i="5" s="1"/>
  <c r="J152" i="5"/>
  <c r="K152" i="5" s="1"/>
  <c r="N152" i="5" s="1"/>
  <c r="J188" i="5"/>
  <c r="K188" i="5" s="1"/>
  <c r="N188" i="5" s="1"/>
  <c r="P152" i="5"/>
  <c r="Q152" i="5" s="1"/>
  <c r="P188" i="5"/>
  <c r="Q188" i="5" s="1"/>
  <c r="J694" i="5"/>
  <c r="K694" i="5" s="1"/>
  <c r="N694" i="5" s="1"/>
  <c r="J749" i="5"/>
  <c r="K749" i="5" s="1"/>
  <c r="N749" i="5" s="1"/>
  <c r="P694" i="5"/>
  <c r="Q694" i="5" s="1"/>
  <c r="P749" i="5"/>
  <c r="Q749" i="5" s="1"/>
  <c r="J989" i="5"/>
  <c r="K989" i="5" s="1"/>
  <c r="N989" i="5" s="1"/>
  <c r="J993" i="5"/>
  <c r="K993" i="5" s="1"/>
  <c r="N993" i="5" s="1"/>
  <c r="J1009" i="5"/>
  <c r="K1009" i="5" s="1"/>
  <c r="N1009" i="5" s="1"/>
  <c r="J962" i="5"/>
  <c r="K962" i="5" s="1"/>
  <c r="N962" i="5" s="1"/>
  <c r="P962" i="5"/>
  <c r="Q962" i="5" s="1"/>
  <c r="P989" i="5"/>
  <c r="Q989" i="5" s="1"/>
  <c r="P993" i="5"/>
  <c r="Q993" i="5" s="1"/>
  <c r="P1009" i="5"/>
  <c r="Q1009" i="5" s="1"/>
  <c r="J2" i="5"/>
  <c r="K2" i="5" s="1"/>
  <c r="N2" i="5" s="1"/>
  <c r="J108" i="5"/>
  <c r="K108" i="5" s="1"/>
  <c r="N108" i="5" s="1"/>
  <c r="J8" i="5"/>
  <c r="K8" i="5" s="1"/>
  <c r="N8" i="5" s="1"/>
  <c r="J53" i="5"/>
  <c r="K53" i="5" s="1"/>
  <c r="N53" i="5" s="1"/>
  <c r="P2" i="5"/>
  <c r="Q2" i="5" s="1"/>
  <c r="P108" i="5"/>
  <c r="Q108" i="5" s="1"/>
  <c r="P8" i="5"/>
  <c r="Q8" i="5" s="1"/>
  <c r="P53" i="5"/>
  <c r="Q53" i="5" s="1"/>
  <c r="J1066" i="5"/>
  <c r="K1066" i="5" s="1"/>
  <c r="N1066" i="5" s="1"/>
  <c r="P1066" i="5"/>
  <c r="Q1066" i="5" s="1"/>
  <c r="J231" i="5"/>
  <c r="K231" i="5" s="1"/>
  <c r="N231" i="5" s="1"/>
  <c r="J247" i="5"/>
  <c r="K247" i="5" s="1"/>
  <c r="N247" i="5" s="1"/>
  <c r="P231" i="5"/>
  <c r="Q231" i="5" s="1"/>
  <c r="P247" i="5"/>
  <c r="Q247" i="5" s="1"/>
  <c r="J171" i="5"/>
  <c r="K171" i="5" s="1"/>
  <c r="N171" i="5" s="1"/>
  <c r="J98" i="5"/>
  <c r="K98" i="5" s="1"/>
  <c r="N98" i="5" s="1"/>
  <c r="P98" i="5"/>
  <c r="Q98" i="5" s="1"/>
  <c r="P171" i="5"/>
  <c r="Q171" i="5" s="1"/>
  <c r="J204" i="5"/>
  <c r="K204" i="5" s="1"/>
  <c r="N204" i="5" s="1"/>
  <c r="J214" i="5"/>
  <c r="K214" i="5" s="1"/>
  <c r="N214" i="5" s="1"/>
  <c r="P204" i="5"/>
  <c r="Q204" i="5" s="1"/>
  <c r="P214" i="5"/>
  <c r="Q214" i="5" s="1"/>
  <c r="J244" i="5"/>
  <c r="K244" i="5" s="1"/>
  <c r="N244" i="5" s="1"/>
  <c r="J256" i="5"/>
  <c r="K256" i="5" s="1"/>
  <c r="N256" i="5" s="1"/>
  <c r="J272" i="5"/>
  <c r="K272" i="5" s="1"/>
  <c r="N272" i="5" s="1"/>
  <c r="J276" i="5"/>
  <c r="K276" i="5" s="1"/>
  <c r="N276" i="5" s="1"/>
  <c r="J280" i="5"/>
  <c r="K280" i="5" s="1"/>
  <c r="N280" i="5" s="1"/>
  <c r="J284" i="5"/>
  <c r="K284" i="5" s="1"/>
  <c r="N284" i="5" s="1"/>
  <c r="J241" i="5"/>
  <c r="K241" i="5" s="1"/>
  <c r="N241" i="5" s="1"/>
  <c r="J245" i="5"/>
  <c r="K245" i="5" s="1"/>
  <c r="N245" i="5" s="1"/>
  <c r="J257" i="5"/>
  <c r="K257" i="5" s="1"/>
  <c r="N257" i="5" s="1"/>
  <c r="J273" i="5"/>
  <c r="K273" i="5" s="1"/>
  <c r="N273" i="5" s="1"/>
  <c r="J277" i="5"/>
  <c r="K277" i="5" s="1"/>
  <c r="N277" i="5" s="1"/>
  <c r="J281" i="5"/>
  <c r="K281" i="5" s="1"/>
  <c r="N281" i="5" s="1"/>
  <c r="J162" i="5"/>
  <c r="K162" i="5" s="1"/>
  <c r="N162" i="5" s="1"/>
  <c r="J234" i="5"/>
  <c r="K234" i="5" s="1"/>
  <c r="N234" i="5" s="1"/>
  <c r="J242" i="5"/>
  <c r="K242" i="5" s="1"/>
  <c r="N242" i="5" s="1"/>
  <c r="J258" i="5"/>
  <c r="K258" i="5" s="1"/>
  <c r="N258" i="5" s="1"/>
  <c r="J274" i="5"/>
  <c r="K274" i="5" s="1"/>
  <c r="N274" i="5" s="1"/>
  <c r="J278" i="5"/>
  <c r="K278" i="5" s="1"/>
  <c r="N278" i="5" s="1"/>
  <c r="J282" i="5"/>
  <c r="K282" i="5" s="1"/>
  <c r="N282" i="5" s="1"/>
  <c r="J286" i="5"/>
  <c r="K286" i="5" s="1"/>
  <c r="N286" i="5" s="1"/>
  <c r="J243" i="5"/>
  <c r="K243" i="5" s="1"/>
  <c r="N243" i="5" s="1"/>
  <c r="J275" i="5"/>
  <c r="K275" i="5" s="1"/>
  <c r="N275" i="5" s="1"/>
  <c r="J279" i="5"/>
  <c r="K279" i="5" s="1"/>
  <c r="N279" i="5" s="1"/>
  <c r="J283" i="5"/>
  <c r="K283" i="5" s="1"/>
  <c r="N283" i="5" s="1"/>
  <c r="J271" i="5"/>
  <c r="K271" i="5" s="1"/>
  <c r="N271" i="5" s="1"/>
  <c r="P243" i="5"/>
  <c r="Q243" i="5" s="1"/>
  <c r="P271" i="5"/>
  <c r="Q271" i="5" s="1"/>
  <c r="P275" i="5"/>
  <c r="Q275" i="5" s="1"/>
  <c r="P279" i="5"/>
  <c r="Q279" i="5" s="1"/>
  <c r="P283" i="5"/>
  <c r="Q283" i="5" s="1"/>
  <c r="P244" i="5"/>
  <c r="Q244" i="5" s="1"/>
  <c r="P256" i="5"/>
  <c r="Q256" i="5" s="1"/>
  <c r="P272" i="5"/>
  <c r="Q272" i="5" s="1"/>
  <c r="P276" i="5"/>
  <c r="Q276" i="5" s="1"/>
  <c r="P280" i="5"/>
  <c r="Q280" i="5" s="1"/>
  <c r="P284" i="5"/>
  <c r="Q284" i="5" s="1"/>
  <c r="P241" i="5"/>
  <c r="Q241" i="5" s="1"/>
  <c r="P245" i="5"/>
  <c r="Q245" i="5" s="1"/>
  <c r="P257" i="5"/>
  <c r="Q257" i="5" s="1"/>
  <c r="P273" i="5"/>
  <c r="Q273" i="5" s="1"/>
  <c r="P277" i="5"/>
  <c r="Q277" i="5" s="1"/>
  <c r="P281" i="5"/>
  <c r="Q281" i="5" s="1"/>
  <c r="P162" i="5"/>
  <c r="Q162" i="5" s="1"/>
  <c r="P234" i="5"/>
  <c r="Q234" i="5" s="1"/>
  <c r="P242" i="5"/>
  <c r="Q242" i="5" s="1"/>
  <c r="P258" i="5"/>
  <c r="Q258" i="5" s="1"/>
  <c r="P274" i="5"/>
  <c r="Q274" i="5" s="1"/>
  <c r="P278" i="5"/>
  <c r="Q278" i="5" s="1"/>
  <c r="P282" i="5"/>
  <c r="Q282" i="5" s="1"/>
  <c r="P286" i="5"/>
  <c r="Q286" i="5" s="1"/>
  <c r="J56" i="5"/>
  <c r="K56" i="5" s="1"/>
  <c r="N56" i="5" s="1"/>
  <c r="P56" i="5"/>
  <c r="Q56" i="5" s="1"/>
  <c r="J15" i="5"/>
  <c r="K15" i="5" s="1"/>
  <c r="N15" i="5" s="1"/>
  <c r="P15" i="5"/>
  <c r="Q15" i="5" s="1"/>
  <c r="J961" i="5"/>
  <c r="K961" i="5" s="1"/>
  <c r="N961" i="5" s="1"/>
  <c r="J951" i="5"/>
  <c r="K951" i="5" s="1"/>
  <c r="N951" i="5" s="1"/>
  <c r="P951" i="5"/>
  <c r="Q951" i="5" s="1"/>
  <c r="P961" i="5"/>
  <c r="Q961" i="5" s="1"/>
  <c r="J48" i="5"/>
  <c r="K48" i="5" s="1"/>
  <c r="N48" i="5" s="1"/>
  <c r="P48" i="5"/>
  <c r="Q48" i="5" s="1"/>
  <c r="J55" i="5"/>
  <c r="K55" i="5" s="1"/>
  <c r="N55" i="5" s="1"/>
  <c r="J63" i="5"/>
  <c r="K63" i="5" s="1"/>
  <c r="N63" i="5" s="1"/>
  <c r="J99" i="5"/>
  <c r="K99" i="5" s="1"/>
  <c r="N99" i="5" s="1"/>
  <c r="J103" i="5"/>
  <c r="K103" i="5" s="1"/>
  <c r="N103" i="5" s="1"/>
  <c r="J111" i="5"/>
  <c r="K111" i="5" s="1"/>
  <c r="N111" i="5" s="1"/>
  <c r="J52" i="5"/>
  <c r="K52" i="5" s="1"/>
  <c r="N52" i="5" s="1"/>
  <c r="J68" i="5"/>
  <c r="K68" i="5" s="1"/>
  <c r="N68" i="5" s="1"/>
  <c r="J104" i="5"/>
  <c r="K104" i="5" s="1"/>
  <c r="N104" i="5" s="1"/>
  <c r="J228" i="5"/>
  <c r="K228" i="5" s="1"/>
  <c r="N228" i="5" s="1"/>
  <c r="J268" i="5"/>
  <c r="K268" i="5" s="1"/>
  <c r="N268" i="5" s="1"/>
  <c r="J125" i="5"/>
  <c r="K125" i="5" s="1"/>
  <c r="N125" i="5" s="1"/>
  <c r="J165" i="5"/>
  <c r="K165" i="5" s="1"/>
  <c r="N165" i="5" s="1"/>
  <c r="J58" i="5"/>
  <c r="K58" i="5" s="1"/>
  <c r="N58" i="5" s="1"/>
  <c r="J66" i="5"/>
  <c r="K66" i="5" s="1"/>
  <c r="N66" i="5" s="1"/>
  <c r="J106" i="5"/>
  <c r="K106" i="5" s="1"/>
  <c r="N106" i="5" s="1"/>
  <c r="J122" i="5"/>
  <c r="K122" i="5" s="1"/>
  <c r="N122" i="5" s="1"/>
  <c r="J182" i="5"/>
  <c r="K182" i="5" s="1"/>
  <c r="N182" i="5" s="1"/>
  <c r="J194" i="5"/>
  <c r="K194" i="5" s="1"/>
  <c r="N194" i="5" s="1"/>
  <c r="J198" i="5"/>
  <c r="K198" i="5" s="1"/>
  <c r="N198" i="5" s="1"/>
  <c r="J346" i="5"/>
  <c r="K346" i="5" s="1"/>
  <c r="N346" i="5" s="1"/>
  <c r="J396" i="5"/>
  <c r="K396" i="5" s="1"/>
  <c r="N396" i="5" s="1"/>
  <c r="J707" i="5"/>
  <c r="K707" i="5" s="1"/>
  <c r="N707" i="5" s="1"/>
  <c r="J568" i="5"/>
  <c r="K568" i="5" s="1"/>
  <c r="N568" i="5" s="1"/>
  <c r="J624" i="5"/>
  <c r="K624" i="5" s="1"/>
  <c r="N624" i="5" s="1"/>
  <c r="J633" i="5"/>
  <c r="K633" i="5" s="1"/>
  <c r="N633" i="5" s="1"/>
  <c r="J665" i="5"/>
  <c r="K665" i="5" s="1"/>
  <c r="N665" i="5" s="1"/>
  <c r="J701" i="5"/>
  <c r="K701" i="5" s="1"/>
  <c r="N701" i="5" s="1"/>
  <c r="J558" i="5"/>
  <c r="K558" i="5" s="1"/>
  <c r="N558" i="5" s="1"/>
  <c r="J820" i="5"/>
  <c r="K820" i="5" s="1"/>
  <c r="N820" i="5" s="1"/>
  <c r="J848" i="5"/>
  <c r="K848" i="5" s="1"/>
  <c r="N848" i="5" s="1"/>
  <c r="J920" i="5"/>
  <c r="K920" i="5" s="1"/>
  <c r="N920" i="5" s="1"/>
  <c r="J956" i="5"/>
  <c r="K956" i="5" s="1"/>
  <c r="N956" i="5" s="1"/>
  <c r="J1120" i="5"/>
  <c r="K1120" i="5" s="1"/>
  <c r="N1120" i="5" s="1"/>
  <c r="J1124" i="5"/>
  <c r="K1124" i="5" s="1"/>
  <c r="N1124" i="5" s="1"/>
  <c r="J680" i="5"/>
  <c r="K680" i="5" s="1"/>
  <c r="N680" i="5" s="1"/>
  <c r="J733" i="5"/>
  <c r="K733" i="5" s="1"/>
  <c r="N733" i="5" s="1"/>
  <c r="J785" i="5"/>
  <c r="K785" i="5" s="1"/>
  <c r="N785" i="5" s="1"/>
  <c r="J857" i="5"/>
  <c r="K857" i="5" s="1"/>
  <c r="N857" i="5" s="1"/>
  <c r="J901" i="5"/>
  <c r="K901" i="5" s="1"/>
  <c r="N901" i="5" s="1"/>
  <c r="J921" i="5"/>
  <c r="K921" i="5" s="1"/>
  <c r="N921" i="5" s="1"/>
  <c r="J945" i="5"/>
  <c r="K945" i="5" s="1"/>
  <c r="N945" i="5" s="1"/>
  <c r="J1121" i="5"/>
  <c r="K1121" i="5" s="1"/>
  <c r="N1121" i="5" s="1"/>
  <c r="J846" i="5"/>
  <c r="K846" i="5" s="1"/>
  <c r="N846" i="5" s="1"/>
  <c r="J922" i="5"/>
  <c r="K922" i="5" s="1"/>
  <c r="N922" i="5" s="1"/>
  <c r="J934" i="5"/>
  <c r="K934" i="5" s="1"/>
  <c r="N934" i="5" s="1"/>
  <c r="J946" i="5"/>
  <c r="K946" i="5" s="1"/>
  <c r="N946" i="5" s="1"/>
  <c r="J1118" i="5"/>
  <c r="K1118" i="5" s="1"/>
  <c r="N1118" i="5" s="1"/>
  <c r="J735" i="5"/>
  <c r="K735" i="5" s="1"/>
  <c r="N735" i="5" s="1"/>
  <c r="J771" i="5"/>
  <c r="K771" i="5" s="1"/>
  <c r="N771" i="5" s="1"/>
  <c r="J803" i="5"/>
  <c r="K803" i="5" s="1"/>
  <c r="N803" i="5" s="1"/>
  <c r="J867" i="5"/>
  <c r="K867" i="5" s="1"/>
  <c r="N867" i="5" s="1"/>
  <c r="J887" i="5"/>
  <c r="K887" i="5" s="1"/>
  <c r="N887" i="5" s="1"/>
  <c r="J943" i="5"/>
  <c r="K943" i="5" s="1"/>
  <c r="N943" i="5" s="1"/>
  <c r="J955" i="5"/>
  <c r="K955" i="5" s="1"/>
  <c r="N955" i="5" s="1"/>
  <c r="J1122" i="5"/>
  <c r="K1122" i="5" s="1"/>
  <c r="N1122" i="5" s="1"/>
  <c r="P58" i="5"/>
  <c r="Q58" i="5" s="1"/>
  <c r="P66" i="5"/>
  <c r="Q66" i="5" s="1"/>
  <c r="P106" i="5"/>
  <c r="Q106" i="5" s="1"/>
  <c r="P122" i="5"/>
  <c r="Q122" i="5" s="1"/>
  <c r="P55" i="5"/>
  <c r="Q55" i="5" s="1"/>
  <c r="P63" i="5"/>
  <c r="Q63" i="5" s="1"/>
  <c r="P99" i="5"/>
  <c r="Q99" i="5" s="1"/>
  <c r="P103" i="5"/>
  <c r="Q103" i="5" s="1"/>
  <c r="P111" i="5"/>
  <c r="Q111" i="5" s="1"/>
  <c r="P52" i="5"/>
  <c r="Q52" i="5" s="1"/>
  <c r="P68" i="5"/>
  <c r="Q68" i="5" s="1"/>
  <c r="P104" i="5"/>
  <c r="Q104" i="5" s="1"/>
  <c r="P125" i="5"/>
  <c r="Q125" i="5" s="1"/>
  <c r="P558" i="5"/>
  <c r="Q558" i="5" s="1"/>
  <c r="P846" i="5"/>
  <c r="Q846" i="5" s="1"/>
  <c r="P922" i="5"/>
  <c r="Q922" i="5" s="1"/>
  <c r="P934" i="5"/>
  <c r="Q934" i="5" s="1"/>
  <c r="P946" i="5"/>
  <c r="Q946" i="5" s="1"/>
  <c r="P1118" i="5"/>
  <c r="Q1118" i="5" s="1"/>
  <c r="P1122" i="5"/>
  <c r="Q1122" i="5" s="1"/>
  <c r="P228" i="5"/>
  <c r="Q228" i="5" s="1"/>
  <c r="P268" i="5"/>
  <c r="Q268" i="5" s="1"/>
  <c r="P396" i="5"/>
  <c r="Q396" i="5" s="1"/>
  <c r="P707" i="5"/>
  <c r="Q707" i="5" s="1"/>
  <c r="P735" i="5"/>
  <c r="Q735" i="5" s="1"/>
  <c r="P771" i="5"/>
  <c r="Q771" i="5" s="1"/>
  <c r="P803" i="5"/>
  <c r="Q803" i="5" s="1"/>
  <c r="P867" i="5"/>
  <c r="Q867" i="5" s="1"/>
  <c r="P887" i="5"/>
  <c r="Q887" i="5" s="1"/>
  <c r="P943" i="5"/>
  <c r="Q943" i="5" s="1"/>
  <c r="P955" i="5"/>
  <c r="Q955" i="5" s="1"/>
  <c r="P165" i="5"/>
  <c r="Q165" i="5" s="1"/>
  <c r="P568" i="5"/>
  <c r="Q568" i="5" s="1"/>
  <c r="P624" i="5"/>
  <c r="Q624" i="5" s="1"/>
  <c r="P680" i="5"/>
  <c r="Q680" i="5" s="1"/>
  <c r="P820" i="5"/>
  <c r="Q820" i="5" s="1"/>
  <c r="P848" i="5"/>
  <c r="Q848" i="5" s="1"/>
  <c r="P920" i="5"/>
  <c r="Q920" i="5" s="1"/>
  <c r="P956" i="5"/>
  <c r="Q956" i="5" s="1"/>
  <c r="P1120" i="5"/>
  <c r="Q1120" i="5" s="1"/>
  <c r="P1124" i="5"/>
  <c r="Q1124" i="5" s="1"/>
  <c r="P182" i="5"/>
  <c r="Q182" i="5" s="1"/>
  <c r="P194" i="5"/>
  <c r="Q194" i="5" s="1"/>
  <c r="P198" i="5"/>
  <c r="Q198" i="5" s="1"/>
  <c r="P346" i="5"/>
  <c r="Q346" i="5" s="1"/>
  <c r="P633" i="5"/>
  <c r="Q633" i="5" s="1"/>
  <c r="P665" i="5"/>
  <c r="Q665" i="5" s="1"/>
  <c r="P701" i="5"/>
  <c r="Q701" i="5" s="1"/>
  <c r="P733" i="5"/>
  <c r="Q733" i="5" s="1"/>
  <c r="P785" i="5"/>
  <c r="Q785" i="5" s="1"/>
  <c r="P857" i="5"/>
  <c r="Q857" i="5" s="1"/>
  <c r="P901" i="5"/>
  <c r="Q901" i="5" s="1"/>
  <c r="P921" i="5"/>
  <c r="Q921" i="5" s="1"/>
  <c r="P945" i="5"/>
  <c r="Q945" i="5" s="1"/>
  <c r="P1121" i="5"/>
  <c r="Q1121" i="5" s="1"/>
  <c r="J776" i="5"/>
  <c r="K776" i="5" s="1"/>
  <c r="N776" i="5" s="1"/>
  <c r="J786" i="5"/>
  <c r="K786" i="5" s="1"/>
  <c r="N786" i="5" s="1"/>
  <c r="P786" i="5"/>
  <c r="Q786" i="5" s="1"/>
  <c r="P776" i="5"/>
  <c r="Q776" i="5" s="1"/>
  <c r="J464" i="5"/>
  <c r="K464" i="5" s="1"/>
  <c r="N464" i="5" s="1"/>
  <c r="J472" i="5"/>
  <c r="K472" i="5" s="1"/>
  <c r="N472" i="5" s="1"/>
  <c r="J476" i="5"/>
  <c r="K476" i="5" s="1"/>
  <c r="N476" i="5" s="1"/>
  <c r="J445" i="5"/>
  <c r="K445" i="5" s="1"/>
  <c r="N445" i="5" s="1"/>
  <c r="J485" i="5"/>
  <c r="K485" i="5" s="1"/>
  <c r="N485" i="5" s="1"/>
  <c r="P464" i="5"/>
  <c r="Q464" i="5" s="1"/>
  <c r="P472" i="5"/>
  <c r="Q472" i="5" s="1"/>
  <c r="P476" i="5"/>
  <c r="Q476" i="5" s="1"/>
  <c r="P445" i="5"/>
  <c r="Q445" i="5" s="1"/>
  <c r="P485" i="5"/>
  <c r="Q485" i="5" s="1"/>
  <c r="J912" i="5"/>
  <c r="K912" i="5" s="1"/>
  <c r="N912" i="5" s="1"/>
  <c r="J905" i="5"/>
  <c r="K905" i="5" s="1"/>
  <c r="N905" i="5" s="1"/>
  <c r="J917" i="5"/>
  <c r="K917" i="5" s="1"/>
  <c r="N917" i="5" s="1"/>
  <c r="J915" i="5"/>
  <c r="K915" i="5" s="1"/>
  <c r="N915" i="5" s="1"/>
  <c r="P915" i="5"/>
  <c r="Q915" i="5" s="1"/>
  <c r="P912" i="5"/>
  <c r="Q912" i="5" s="1"/>
  <c r="P905" i="5"/>
  <c r="Q905" i="5" s="1"/>
  <c r="P917" i="5"/>
  <c r="Q917" i="5" s="1"/>
  <c r="J884" i="5"/>
  <c r="K884" i="5" s="1"/>
  <c r="N884" i="5" s="1"/>
  <c r="J932" i="5"/>
  <c r="K932" i="5" s="1"/>
  <c r="N932" i="5" s="1"/>
  <c r="J909" i="5"/>
  <c r="K909" i="5" s="1"/>
  <c r="N909" i="5" s="1"/>
  <c r="J834" i="5"/>
  <c r="K834" i="5" s="1"/>
  <c r="N834" i="5" s="1"/>
  <c r="P834" i="5"/>
  <c r="Q834" i="5" s="1"/>
  <c r="P884" i="5"/>
  <c r="Q884" i="5" s="1"/>
  <c r="P932" i="5"/>
  <c r="Q932" i="5" s="1"/>
  <c r="P909" i="5"/>
  <c r="Q909" i="5" s="1"/>
  <c r="J1369" i="5"/>
  <c r="K1369" i="5" s="1"/>
  <c r="N1369" i="5" s="1"/>
  <c r="J1425" i="5"/>
  <c r="K1425" i="5" s="1"/>
  <c r="N1425" i="5" s="1"/>
  <c r="J1454" i="5"/>
  <c r="K1454" i="5" s="1"/>
  <c r="N1454" i="5" s="1"/>
  <c r="J1503" i="5"/>
  <c r="K1503" i="5" s="1"/>
  <c r="N1503" i="5" s="1"/>
  <c r="J1404" i="5"/>
  <c r="K1404" i="5" s="1"/>
  <c r="N1404" i="5" s="1"/>
  <c r="P1454" i="5"/>
  <c r="Q1454" i="5" s="1"/>
  <c r="P1503" i="5"/>
  <c r="Q1503" i="5" s="1"/>
  <c r="P1404" i="5"/>
  <c r="Q1404" i="5" s="1"/>
  <c r="P1369" i="5"/>
  <c r="Q1369" i="5" s="1"/>
  <c r="P1425" i="5"/>
  <c r="Q1425" i="5" s="1"/>
  <c r="J179" i="5"/>
  <c r="K179" i="5" s="1"/>
  <c r="N179" i="5" s="1"/>
  <c r="J233" i="5"/>
  <c r="K233" i="5" s="1"/>
  <c r="N233" i="5" s="1"/>
  <c r="J333" i="5"/>
  <c r="K333" i="5" s="1"/>
  <c r="N333" i="5" s="1"/>
  <c r="J371" i="5"/>
  <c r="K371" i="5" s="1"/>
  <c r="N371" i="5" s="1"/>
  <c r="J443" i="5"/>
  <c r="K443" i="5" s="1"/>
  <c r="N443" i="5" s="1"/>
  <c r="J539" i="5"/>
  <c r="K539" i="5" s="1"/>
  <c r="N539" i="5" s="1"/>
  <c r="J215" i="5"/>
  <c r="K215" i="5" s="1"/>
  <c r="N215" i="5" s="1"/>
  <c r="J477" i="5"/>
  <c r="K477" i="5" s="1"/>
  <c r="N477" i="5" s="1"/>
  <c r="J505" i="5"/>
  <c r="K505" i="5" s="1"/>
  <c r="N505" i="5" s="1"/>
  <c r="J601" i="5"/>
  <c r="K601" i="5" s="1"/>
  <c r="N601" i="5" s="1"/>
  <c r="J395" i="5"/>
  <c r="K395" i="5" s="1"/>
  <c r="N395" i="5" s="1"/>
  <c r="J968" i="5"/>
  <c r="K968" i="5" s="1"/>
  <c r="N968" i="5" s="1"/>
  <c r="J1080" i="5"/>
  <c r="K1080" i="5" s="1"/>
  <c r="N1080" i="5" s="1"/>
  <c r="J809" i="5"/>
  <c r="K809" i="5" s="1"/>
  <c r="N809" i="5" s="1"/>
  <c r="J869" i="5"/>
  <c r="K869" i="5" s="1"/>
  <c r="N869" i="5" s="1"/>
  <c r="J897" i="5"/>
  <c r="K897" i="5" s="1"/>
  <c r="N897" i="5" s="1"/>
  <c r="J778" i="5"/>
  <c r="K778" i="5" s="1"/>
  <c r="N778" i="5" s="1"/>
  <c r="J802" i="5"/>
  <c r="K802" i="5" s="1"/>
  <c r="N802" i="5" s="1"/>
  <c r="J830" i="5"/>
  <c r="K830" i="5" s="1"/>
  <c r="N830" i="5" s="1"/>
  <c r="J698" i="5"/>
  <c r="K698" i="5" s="1"/>
  <c r="N698" i="5" s="1"/>
  <c r="J919" i="5"/>
  <c r="K919" i="5" s="1"/>
  <c r="N919" i="5" s="1"/>
  <c r="J935" i="5"/>
  <c r="K935" i="5" s="1"/>
  <c r="N935" i="5" s="1"/>
  <c r="J1131" i="5"/>
  <c r="K1131" i="5" s="1"/>
  <c r="N1131" i="5" s="1"/>
  <c r="J1150" i="5"/>
  <c r="K1150" i="5" s="1"/>
  <c r="N1150" i="5" s="1"/>
  <c r="J1199" i="5"/>
  <c r="K1199" i="5" s="1"/>
  <c r="N1199" i="5" s="1"/>
  <c r="P179" i="5"/>
  <c r="Q179" i="5" s="1"/>
  <c r="P215" i="5"/>
  <c r="Q215" i="5" s="1"/>
  <c r="P371" i="5"/>
  <c r="Q371" i="5" s="1"/>
  <c r="P395" i="5"/>
  <c r="Q395" i="5" s="1"/>
  <c r="P698" i="5"/>
  <c r="Q698" i="5" s="1"/>
  <c r="P778" i="5"/>
  <c r="Q778" i="5" s="1"/>
  <c r="P802" i="5"/>
  <c r="Q802" i="5" s="1"/>
  <c r="P830" i="5"/>
  <c r="Q830" i="5" s="1"/>
  <c r="P1150" i="5"/>
  <c r="Q1150" i="5" s="1"/>
  <c r="P443" i="5"/>
  <c r="Q443" i="5" s="1"/>
  <c r="P539" i="5"/>
  <c r="Q539" i="5" s="1"/>
  <c r="P919" i="5"/>
  <c r="Q919" i="5" s="1"/>
  <c r="P935" i="5"/>
  <c r="Q935" i="5" s="1"/>
  <c r="P1131" i="5"/>
  <c r="Q1131" i="5" s="1"/>
  <c r="P1199" i="5"/>
  <c r="Q1199" i="5" s="1"/>
  <c r="P233" i="5"/>
  <c r="Q233" i="5" s="1"/>
  <c r="P333" i="5"/>
  <c r="Q333" i="5" s="1"/>
  <c r="P968" i="5"/>
  <c r="Q968" i="5" s="1"/>
  <c r="P1080" i="5"/>
  <c r="Q1080" i="5" s="1"/>
  <c r="P477" i="5"/>
  <c r="Q477" i="5" s="1"/>
  <c r="P505" i="5"/>
  <c r="Q505" i="5" s="1"/>
  <c r="P601" i="5"/>
  <c r="Q601" i="5" s="1"/>
  <c r="P809" i="5"/>
  <c r="Q809" i="5" s="1"/>
  <c r="P869" i="5"/>
  <c r="Q869" i="5" s="1"/>
  <c r="P897" i="5"/>
  <c r="Q897" i="5" s="1"/>
  <c r="J1126" i="5"/>
  <c r="K1126" i="5" s="1"/>
  <c r="N1126" i="5" s="1"/>
  <c r="J1213" i="5"/>
  <c r="K1213" i="5" s="1"/>
  <c r="N1213" i="5" s="1"/>
  <c r="J1221" i="5"/>
  <c r="K1221" i="5" s="1"/>
  <c r="N1221" i="5" s="1"/>
  <c r="J1225" i="5"/>
  <c r="K1225" i="5" s="1"/>
  <c r="N1225" i="5" s="1"/>
  <c r="J1133" i="5"/>
  <c r="K1133" i="5" s="1"/>
  <c r="N1133" i="5" s="1"/>
  <c r="J1222" i="5"/>
  <c r="K1222" i="5" s="1"/>
  <c r="N1222" i="5" s="1"/>
  <c r="J1123" i="5"/>
  <c r="K1123" i="5" s="1"/>
  <c r="N1123" i="5" s="1"/>
  <c r="J1134" i="5"/>
  <c r="K1134" i="5" s="1"/>
  <c r="N1134" i="5" s="1"/>
  <c r="J1163" i="5"/>
  <c r="K1163" i="5" s="1"/>
  <c r="N1163" i="5" s="1"/>
  <c r="J1195" i="5"/>
  <c r="K1195" i="5" s="1"/>
  <c r="N1195" i="5" s="1"/>
  <c r="J1203" i="5"/>
  <c r="K1203" i="5" s="1"/>
  <c r="N1203" i="5" s="1"/>
  <c r="J1164" i="5"/>
  <c r="K1164" i="5" s="1"/>
  <c r="N1164" i="5" s="1"/>
  <c r="J1172" i="5"/>
  <c r="K1172" i="5" s="1"/>
  <c r="N1172" i="5" s="1"/>
  <c r="J1192" i="5"/>
  <c r="K1192" i="5" s="1"/>
  <c r="N1192" i="5" s="1"/>
  <c r="J1196" i="5"/>
  <c r="K1196" i="5" s="1"/>
  <c r="N1196" i="5" s="1"/>
  <c r="J1216" i="5"/>
  <c r="K1216" i="5" s="1"/>
  <c r="N1216" i="5" s="1"/>
  <c r="J1224" i="5"/>
  <c r="K1224" i="5" s="1"/>
  <c r="N1224" i="5" s="1"/>
  <c r="P1126" i="5"/>
  <c r="Q1126" i="5" s="1"/>
  <c r="P1134" i="5"/>
  <c r="Q1134" i="5" s="1"/>
  <c r="P1222" i="5"/>
  <c r="Q1222" i="5" s="1"/>
  <c r="P1123" i="5"/>
  <c r="Q1123" i="5" s="1"/>
  <c r="P1163" i="5"/>
  <c r="Q1163" i="5" s="1"/>
  <c r="P1195" i="5"/>
  <c r="Q1195" i="5" s="1"/>
  <c r="P1203" i="5"/>
  <c r="Q1203" i="5" s="1"/>
  <c r="P1164" i="5"/>
  <c r="Q1164" i="5" s="1"/>
  <c r="P1172" i="5"/>
  <c r="Q1172" i="5" s="1"/>
  <c r="P1192" i="5"/>
  <c r="Q1192" i="5" s="1"/>
  <c r="P1196" i="5"/>
  <c r="Q1196" i="5" s="1"/>
  <c r="P1216" i="5"/>
  <c r="Q1216" i="5" s="1"/>
  <c r="P1224" i="5"/>
  <c r="Q1224" i="5" s="1"/>
  <c r="P1133" i="5"/>
  <c r="Q1133" i="5" s="1"/>
  <c r="P1213" i="5"/>
  <c r="Q1213" i="5" s="1"/>
  <c r="P1221" i="5"/>
  <c r="Q1221" i="5" s="1"/>
  <c r="P1225" i="5"/>
  <c r="Q1225" i="5" s="1"/>
  <c r="J232" i="5"/>
  <c r="K232" i="5" s="1"/>
  <c r="N232" i="5" s="1"/>
  <c r="J65" i="5"/>
  <c r="K65" i="5" s="1"/>
  <c r="N65" i="5" s="1"/>
  <c r="J209" i="5"/>
  <c r="K209" i="5" s="1"/>
  <c r="N209" i="5" s="1"/>
  <c r="J255" i="5"/>
  <c r="K255" i="5" s="1"/>
  <c r="N255" i="5" s="1"/>
  <c r="P255" i="5"/>
  <c r="Q255" i="5" s="1"/>
  <c r="P232" i="5"/>
  <c r="Q232" i="5" s="1"/>
  <c r="P209" i="5"/>
  <c r="Q209" i="5" s="1"/>
  <c r="P65" i="5"/>
  <c r="Q65" i="5" s="1"/>
  <c r="J1275" i="5"/>
  <c r="K1275" i="5" s="1"/>
  <c r="N1275" i="5" s="1"/>
  <c r="P1275" i="5"/>
  <c r="Q1275" i="5" s="1"/>
  <c r="J1166" i="5"/>
  <c r="K1166" i="5" s="1"/>
  <c r="N1166" i="5" s="1"/>
  <c r="J1187" i="5"/>
  <c r="K1187" i="5" s="1"/>
  <c r="N1187" i="5" s="1"/>
  <c r="J1204" i="5"/>
  <c r="K1204" i="5" s="1"/>
  <c r="N1204" i="5" s="1"/>
  <c r="J1256" i="5"/>
  <c r="K1256" i="5" s="1"/>
  <c r="N1256" i="5" s="1"/>
  <c r="P1166" i="5"/>
  <c r="Q1166" i="5" s="1"/>
  <c r="P1187" i="5"/>
  <c r="Q1187" i="5" s="1"/>
  <c r="P1204" i="5"/>
  <c r="Q1204" i="5" s="1"/>
  <c r="P1256" i="5"/>
  <c r="Q1256" i="5" s="1"/>
  <c r="J1390" i="5"/>
  <c r="K1390" i="5" s="1"/>
  <c r="N1390" i="5" s="1"/>
  <c r="J1255" i="5"/>
  <c r="K1255" i="5" s="1"/>
  <c r="N1255" i="5" s="1"/>
  <c r="J1263" i="5"/>
  <c r="K1263" i="5" s="1"/>
  <c r="N1263" i="5" s="1"/>
  <c r="J1291" i="5"/>
  <c r="K1291" i="5" s="1"/>
  <c r="N1291" i="5" s="1"/>
  <c r="J1523" i="5"/>
  <c r="K1523" i="5" s="1"/>
  <c r="N1523" i="5" s="1"/>
  <c r="J1532" i="5"/>
  <c r="K1532" i="5" s="1"/>
  <c r="N1532" i="5" s="1"/>
  <c r="P1390" i="5"/>
  <c r="Q1390" i="5" s="1"/>
  <c r="P1255" i="5"/>
  <c r="Q1255" i="5" s="1"/>
  <c r="P1263" i="5"/>
  <c r="Q1263" i="5" s="1"/>
  <c r="P1291" i="5"/>
  <c r="Q1291" i="5" s="1"/>
  <c r="P1523" i="5"/>
  <c r="Q1523" i="5" s="1"/>
  <c r="P1532" i="5"/>
  <c r="Q1532" i="5" s="1"/>
  <c r="J1233" i="5"/>
  <c r="K1233" i="5" s="1"/>
  <c r="N1233" i="5" s="1"/>
  <c r="J1277" i="5"/>
  <c r="K1277" i="5" s="1"/>
  <c r="N1277" i="5" s="1"/>
  <c r="J1545" i="5"/>
  <c r="K1545" i="5" s="1"/>
  <c r="N1545" i="5" s="1"/>
  <c r="J1653" i="5"/>
  <c r="K1653" i="5" s="1"/>
  <c r="N1653" i="5" s="1"/>
  <c r="J1198" i="5"/>
  <c r="K1198" i="5" s="1"/>
  <c r="N1198" i="5" s="1"/>
  <c r="J1207" i="5"/>
  <c r="K1207" i="5" s="1"/>
  <c r="N1207" i="5" s="1"/>
  <c r="J1387" i="5"/>
  <c r="K1387" i="5" s="1"/>
  <c r="N1387" i="5" s="1"/>
  <c r="J1292" i="5"/>
  <c r="K1292" i="5" s="1"/>
  <c r="N1292" i="5" s="1"/>
  <c r="J1568" i="5"/>
  <c r="K1568" i="5" s="1"/>
  <c r="N1568" i="5" s="1"/>
  <c r="J1572" i="5"/>
  <c r="K1572" i="5" s="1"/>
  <c r="N1572" i="5" s="1"/>
  <c r="J1612" i="5"/>
  <c r="K1612" i="5" s="1"/>
  <c r="N1612" i="5" s="1"/>
  <c r="J1624" i="5"/>
  <c r="K1624" i="5" s="1"/>
  <c r="N1624" i="5" s="1"/>
  <c r="J1686" i="5"/>
  <c r="K1686" i="5" s="1"/>
  <c r="N1686" i="5" s="1"/>
  <c r="J1699" i="5"/>
  <c r="K1699" i="5" s="1"/>
  <c r="N1699" i="5" s="1"/>
  <c r="J1711" i="5"/>
  <c r="K1711" i="5" s="1"/>
  <c r="N1711" i="5" s="1"/>
  <c r="J1731" i="5"/>
  <c r="K1731" i="5" s="1"/>
  <c r="N1731" i="5" s="1"/>
  <c r="J1743" i="5"/>
  <c r="K1743" i="5" s="1"/>
  <c r="N1743" i="5" s="1"/>
  <c r="J1772" i="5"/>
  <c r="K1772" i="5" s="1"/>
  <c r="N1772" i="5" s="1"/>
  <c r="J1796" i="5"/>
  <c r="K1796" i="5" s="1"/>
  <c r="N1796" i="5" s="1"/>
  <c r="J1820" i="5"/>
  <c r="K1820" i="5" s="1"/>
  <c r="N1820" i="5" s="1"/>
  <c r="J1725" i="5"/>
  <c r="K1725" i="5" s="1"/>
  <c r="N1725" i="5" s="1"/>
  <c r="J1790" i="5"/>
  <c r="K1790" i="5" s="1"/>
  <c r="N1790" i="5" s="1"/>
  <c r="J1850" i="5"/>
  <c r="K1850" i="5" s="1"/>
  <c r="N1850" i="5" s="1"/>
  <c r="P1198" i="5"/>
  <c r="Q1198" i="5" s="1"/>
  <c r="P1686" i="5"/>
  <c r="Q1686" i="5" s="1"/>
  <c r="P1790" i="5"/>
  <c r="Q1790" i="5" s="1"/>
  <c r="P1850" i="5"/>
  <c r="Q1850" i="5" s="1"/>
  <c r="P1207" i="5"/>
  <c r="Q1207" i="5" s="1"/>
  <c r="P1387" i="5"/>
  <c r="Q1387" i="5" s="1"/>
  <c r="P1699" i="5"/>
  <c r="Q1699" i="5" s="1"/>
  <c r="P1711" i="5"/>
  <c r="Q1711" i="5" s="1"/>
  <c r="P1731" i="5"/>
  <c r="Q1731" i="5" s="1"/>
  <c r="P1743" i="5"/>
  <c r="Q1743" i="5" s="1"/>
  <c r="P1292" i="5"/>
  <c r="Q1292" i="5" s="1"/>
  <c r="P1568" i="5"/>
  <c r="Q1568" i="5" s="1"/>
  <c r="P1572" i="5"/>
  <c r="Q1572" i="5" s="1"/>
  <c r="P1612" i="5"/>
  <c r="Q1612" i="5" s="1"/>
  <c r="P1624" i="5"/>
  <c r="Q1624" i="5" s="1"/>
  <c r="P1772" i="5"/>
  <c r="Q1772" i="5" s="1"/>
  <c r="P1796" i="5"/>
  <c r="Q1796" i="5" s="1"/>
  <c r="P1820" i="5"/>
  <c r="Q1820" i="5" s="1"/>
  <c r="P1233" i="5"/>
  <c r="Q1233" i="5" s="1"/>
  <c r="P1277" i="5"/>
  <c r="Q1277" i="5" s="1"/>
  <c r="P1545" i="5"/>
  <c r="Q1545" i="5" s="1"/>
  <c r="P1653" i="5"/>
  <c r="Q1653" i="5" s="1"/>
  <c r="P1725" i="5"/>
  <c r="Q1725" i="5" s="1"/>
  <c r="J1145" i="5"/>
  <c r="K1145" i="5" s="1"/>
  <c r="N1145" i="5" s="1"/>
  <c r="J1161" i="5"/>
  <c r="K1161" i="5" s="1"/>
  <c r="N1161" i="5" s="1"/>
  <c r="J1189" i="5"/>
  <c r="K1189" i="5" s="1"/>
  <c r="N1189" i="5" s="1"/>
  <c r="J1193" i="5"/>
  <c r="K1193" i="5" s="1"/>
  <c r="N1193" i="5" s="1"/>
  <c r="J1245" i="5"/>
  <c r="K1245" i="5" s="1"/>
  <c r="N1245" i="5" s="1"/>
  <c r="J1253" i="5"/>
  <c r="K1253" i="5" s="1"/>
  <c r="N1253" i="5" s="1"/>
  <c r="J1265" i="5"/>
  <c r="K1265" i="5" s="1"/>
  <c r="N1265" i="5" s="1"/>
  <c r="J1281" i="5"/>
  <c r="K1281" i="5" s="1"/>
  <c r="N1281" i="5" s="1"/>
  <c r="J1321" i="5"/>
  <c r="K1321" i="5" s="1"/>
  <c r="N1321" i="5" s="1"/>
  <c r="J1421" i="5"/>
  <c r="K1421" i="5" s="1"/>
  <c r="N1421" i="5" s="1"/>
  <c r="J1501" i="5"/>
  <c r="K1501" i="5" s="1"/>
  <c r="N1501" i="5" s="1"/>
  <c r="J1561" i="5"/>
  <c r="K1561" i="5" s="1"/>
  <c r="N1561" i="5" s="1"/>
  <c r="J1569" i="5"/>
  <c r="K1569" i="5" s="1"/>
  <c r="N1569" i="5" s="1"/>
  <c r="J1589" i="5"/>
  <c r="K1589" i="5" s="1"/>
  <c r="N1589" i="5" s="1"/>
  <c r="J1649" i="5"/>
  <c r="K1649" i="5" s="1"/>
  <c r="N1649" i="5" s="1"/>
  <c r="J1206" i="5"/>
  <c r="K1206" i="5" s="1"/>
  <c r="N1206" i="5" s="1"/>
  <c r="J1298" i="5"/>
  <c r="K1298" i="5" s="1"/>
  <c r="N1298" i="5" s="1"/>
  <c r="J1362" i="5"/>
  <c r="K1362" i="5" s="1"/>
  <c r="N1362" i="5" s="1"/>
  <c r="J1426" i="5"/>
  <c r="K1426" i="5" s="1"/>
  <c r="N1426" i="5" s="1"/>
  <c r="J1482" i="5"/>
  <c r="K1482" i="5" s="1"/>
  <c r="N1482" i="5" s="1"/>
  <c r="J1143" i="5"/>
  <c r="K1143" i="5" s="1"/>
  <c r="N1143" i="5" s="1"/>
  <c r="J1147" i="5"/>
  <c r="K1147" i="5" s="1"/>
  <c r="N1147" i="5" s="1"/>
  <c r="J1211" i="5"/>
  <c r="K1211" i="5" s="1"/>
  <c r="N1211" i="5" s="1"/>
  <c r="J1231" i="5"/>
  <c r="K1231" i="5" s="1"/>
  <c r="N1231" i="5" s="1"/>
  <c r="J1311" i="5"/>
  <c r="K1311" i="5" s="1"/>
  <c r="N1311" i="5" s="1"/>
  <c r="J1403" i="5"/>
  <c r="K1403" i="5" s="1"/>
  <c r="N1403" i="5" s="1"/>
  <c r="J1487" i="5"/>
  <c r="K1487" i="5" s="1"/>
  <c r="N1487" i="5" s="1"/>
  <c r="J1499" i="5"/>
  <c r="K1499" i="5" s="1"/>
  <c r="N1499" i="5" s="1"/>
  <c r="J1607" i="5"/>
  <c r="K1607" i="5" s="1"/>
  <c r="N1607" i="5" s="1"/>
  <c r="J1340" i="5"/>
  <c r="K1340" i="5" s="1"/>
  <c r="N1340" i="5" s="1"/>
  <c r="J1364" i="5"/>
  <c r="K1364" i="5" s="1"/>
  <c r="N1364" i="5" s="1"/>
  <c r="J1376" i="5"/>
  <c r="K1376" i="5" s="1"/>
  <c r="N1376" i="5" s="1"/>
  <c r="J1388" i="5"/>
  <c r="K1388" i="5" s="1"/>
  <c r="N1388" i="5" s="1"/>
  <c r="J1528" i="5"/>
  <c r="K1528" i="5" s="1"/>
  <c r="N1528" i="5" s="1"/>
  <c r="J1540" i="5"/>
  <c r="K1540" i="5" s="1"/>
  <c r="N1540" i="5" s="1"/>
  <c r="J1644" i="5"/>
  <c r="K1644" i="5" s="1"/>
  <c r="N1644" i="5" s="1"/>
  <c r="J1688" i="5"/>
  <c r="K1688" i="5" s="1"/>
  <c r="N1688" i="5" s="1"/>
  <c r="J1811" i="5"/>
  <c r="K1811" i="5" s="1"/>
  <c r="N1811" i="5" s="1"/>
  <c r="J1935" i="5"/>
  <c r="K1935" i="5" s="1"/>
  <c r="N1935" i="5" s="1"/>
  <c r="J1987" i="5"/>
  <c r="K1987" i="5" s="1"/>
  <c r="N1987" i="5" s="1"/>
  <c r="J1991" i="5"/>
  <c r="K1991" i="5" s="1"/>
  <c r="N1991" i="5" s="1"/>
  <c r="J1808" i="5"/>
  <c r="K1808" i="5" s="1"/>
  <c r="N1808" i="5" s="1"/>
  <c r="J1812" i="5"/>
  <c r="K1812" i="5" s="1"/>
  <c r="N1812" i="5" s="1"/>
  <c r="J1840" i="5"/>
  <c r="K1840" i="5" s="1"/>
  <c r="N1840" i="5" s="1"/>
  <c r="J1769" i="5"/>
  <c r="K1769" i="5" s="1"/>
  <c r="N1769" i="5" s="1"/>
  <c r="J1789" i="5"/>
  <c r="K1789" i="5" s="1"/>
  <c r="N1789" i="5" s="1"/>
  <c r="J1989" i="5"/>
  <c r="K1989" i="5" s="1"/>
  <c r="N1989" i="5" s="1"/>
  <c r="J1706" i="5"/>
  <c r="K1706" i="5" s="1"/>
  <c r="N1706" i="5" s="1"/>
  <c r="J1726" i="5"/>
  <c r="K1726" i="5" s="1"/>
  <c r="N1726" i="5" s="1"/>
  <c r="J1782" i="5"/>
  <c r="K1782" i="5" s="1"/>
  <c r="N1782" i="5" s="1"/>
  <c r="J1786" i="5"/>
  <c r="K1786" i="5" s="1"/>
  <c r="N1786" i="5" s="1"/>
  <c r="J1834" i="5"/>
  <c r="K1834" i="5" s="1"/>
  <c r="N1834" i="5" s="1"/>
  <c r="J1842" i="5"/>
  <c r="K1842" i="5" s="1"/>
  <c r="N1842" i="5" s="1"/>
  <c r="J1854" i="5"/>
  <c r="K1854" i="5" s="1"/>
  <c r="N1854" i="5" s="1"/>
  <c r="J1938" i="5"/>
  <c r="K1938" i="5" s="1"/>
  <c r="N1938" i="5" s="1"/>
  <c r="J1958" i="5"/>
  <c r="K1958" i="5" s="1"/>
  <c r="N1958" i="5" s="1"/>
  <c r="P1206" i="5"/>
  <c r="Q1206" i="5" s="1"/>
  <c r="P1298" i="5"/>
  <c r="Q1298" i="5" s="1"/>
  <c r="P1362" i="5"/>
  <c r="Q1362" i="5" s="1"/>
  <c r="P1426" i="5"/>
  <c r="Q1426" i="5" s="1"/>
  <c r="P1482" i="5"/>
  <c r="Q1482" i="5" s="1"/>
  <c r="P1706" i="5"/>
  <c r="Q1706" i="5" s="1"/>
  <c r="P1726" i="5"/>
  <c r="Q1726" i="5" s="1"/>
  <c r="P1782" i="5"/>
  <c r="Q1782" i="5" s="1"/>
  <c r="P1786" i="5"/>
  <c r="Q1786" i="5" s="1"/>
  <c r="P1834" i="5"/>
  <c r="Q1834" i="5" s="1"/>
  <c r="P1842" i="5"/>
  <c r="Q1842" i="5" s="1"/>
  <c r="P1854" i="5"/>
  <c r="Q1854" i="5" s="1"/>
  <c r="P1938" i="5"/>
  <c r="Q1938" i="5" s="1"/>
  <c r="P1958" i="5"/>
  <c r="Q1958" i="5" s="1"/>
  <c r="P1143" i="5"/>
  <c r="Q1143" i="5" s="1"/>
  <c r="P1147" i="5"/>
  <c r="Q1147" i="5" s="1"/>
  <c r="P1211" i="5"/>
  <c r="Q1211" i="5" s="1"/>
  <c r="P1231" i="5"/>
  <c r="Q1231" i="5" s="1"/>
  <c r="P1311" i="5"/>
  <c r="Q1311" i="5" s="1"/>
  <c r="P1403" i="5"/>
  <c r="Q1403" i="5" s="1"/>
  <c r="P1487" i="5"/>
  <c r="Q1487" i="5" s="1"/>
  <c r="P1499" i="5"/>
  <c r="Q1499" i="5" s="1"/>
  <c r="P1607" i="5"/>
  <c r="Q1607" i="5" s="1"/>
  <c r="P1811" i="5"/>
  <c r="Q1811" i="5" s="1"/>
  <c r="P1935" i="5"/>
  <c r="Q1935" i="5" s="1"/>
  <c r="P1987" i="5"/>
  <c r="Q1987" i="5" s="1"/>
  <c r="P1991" i="5"/>
  <c r="Q1991" i="5" s="1"/>
  <c r="P1340" i="5"/>
  <c r="Q1340" i="5" s="1"/>
  <c r="P1364" i="5"/>
  <c r="Q1364" i="5" s="1"/>
  <c r="P1376" i="5"/>
  <c r="Q1376" i="5" s="1"/>
  <c r="P1388" i="5"/>
  <c r="Q1388" i="5" s="1"/>
  <c r="P1528" i="5"/>
  <c r="Q1528" i="5" s="1"/>
  <c r="P1540" i="5"/>
  <c r="Q1540" i="5" s="1"/>
  <c r="P1644" i="5"/>
  <c r="Q1644" i="5" s="1"/>
  <c r="P1688" i="5"/>
  <c r="Q1688" i="5" s="1"/>
  <c r="P1808" i="5"/>
  <c r="Q1808" i="5" s="1"/>
  <c r="P1812" i="5"/>
  <c r="Q1812" i="5" s="1"/>
  <c r="P1840" i="5"/>
  <c r="Q1840" i="5" s="1"/>
  <c r="P1145" i="5"/>
  <c r="Q1145" i="5" s="1"/>
  <c r="P1161" i="5"/>
  <c r="Q1161" i="5" s="1"/>
  <c r="P1189" i="5"/>
  <c r="Q1189" i="5" s="1"/>
  <c r="P1193" i="5"/>
  <c r="Q1193" i="5" s="1"/>
  <c r="P1245" i="5"/>
  <c r="Q1245" i="5" s="1"/>
  <c r="P1253" i="5"/>
  <c r="Q1253" i="5" s="1"/>
  <c r="P1265" i="5"/>
  <c r="Q1265" i="5" s="1"/>
  <c r="P1281" i="5"/>
  <c r="Q1281" i="5" s="1"/>
  <c r="P1321" i="5"/>
  <c r="Q1321" i="5" s="1"/>
  <c r="P1421" i="5"/>
  <c r="Q1421" i="5" s="1"/>
  <c r="P1501" i="5"/>
  <c r="Q1501" i="5" s="1"/>
  <c r="P1561" i="5"/>
  <c r="Q1561" i="5" s="1"/>
  <c r="P1569" i="5"/>
  <c r="Q1569" i="5" s="1"/>
  <c r="P1589" i="5"/>
  <c r="Q1589" i="5" s="1"/>
  <c r="P1649" i="5"/>
  <c r="Q1649" i="5" s="1"/>
  <c r="P1769" i="5"/>
  <c r="Q1769" i="5" s="1"/>
  <c r="P1789" i="5"/>
  <c r="Q1789" i="5" s="1"/>
  <c r="P1989" i="5"/>
  <c r="Q1989" i="5" s="1"/>
  <c r="J176" i="5"/>
  <c r="K176" i="5" s="1"/>
  <c r="N176" i="5" s="1"/>
  <c r="J212" i="5"/>
  <c r="K212" i="5" s="1"/>
  <c r="N212" i="5" s="1"/>
  <c r="J69" i="5"/>
  <c r="K69" i="5" s="1"/>
  <c r="N69" i="5" s="1"/>
  <c r="J129" i="5"/>
  <c r="K129" i="5" s="1"/>
  <c r="N129" i="5" s="1"/>
  <c r="J265" i="5"/>
  <c r="K265" i="5" s="1"/>
  <c r="N265" i="5" s="1"/>
  <c r="J329" i="5"/>
  <c r="K329" i="5" s="1"/>
  <c r="N329" i="5" s="1"/>
  <c r="J349" i="5"/>
  <c r="K349" i="5" s="1"/>
  <c r="N349" i="5" s="1"/>
  <c r="J350" i="5"/>
  <c r="K350" i="5" s="1"/>
  <c r="N350" i="5" s="1"/>
  <c r="J263" i="5"/>
  <c r="K263" i="5" s="1"/>
  <c r="N263" i="5" s="1"/>
  <c r="J377" i="5"/>
  <c r="K377" i="5" s="1"/>
  <c r="N377" i="5" s="1"/>
  <c r="J393" i="5"/>
  <c r="K393" i="5" s="1"/>
  <c r="N393" i="5" s="1"/>
  <c r="J488" i="5"/>
  <c r="K488" i="5" s="1"/>
  <c r="N488" i="5" s="1"/>
  <c r="J449" i="5"/>
  <c r="K449" i="5" s="1"/>
  <c r="N449" i="5" s="1"/>
  <c r="J465" i="5"/>
  <c r="K465" i="5" s="1"/>
  <c r="N465" i="5" s="1"/>
  <c r="J418" i="5"/>
  <c r="K418" i="5" s="1"/>
  <c r="N418" i="5" s="1"/>
  <c r="J438" i="5"/>
  <c r="K438" i="5" s="1"/>
  <c r="N438" i="5" s="1"/>
  <c r="J486" i="5"/>
  <c r="K486" i="5" s="1"/>
  <c r="N486" i="5" s="1"/>
  <c r="P69" i="5"/>
  <c r="Q69" i="5" s="1"/>
  <c r="P263" i="5"/>
  <c r="Q263" i="5" s="1"/>
  <c r="P418" i="5"/>
  <c r="Q418" i="5" s="1"/>
  <c r="P438" i="5"/>
  <c r="Q438" i="5" s="1"/>
  <c r="P486" i="5"/>
  <c r="Q486" i="5" s="1"/>
  <c r="P176" i="5"/>
  <c r="Q176" i="5" s="1"/>
  <c r="P212" i="5"/>
  <c r="Q212" i="5" s="1"/>
  <c r="P129" i="5"/>
  <c r="Q129" i="5" s="1"/>
  <c r="P265" i="5"/>
  <c r="Q265" i="5" s="1"/>
  <c r="P329" i="5"/>
  <c r="Q329" i="5" s="1"/>
  <c r="P349" i="5"/>
  <c r="Q349" i="5" s="1"/>
  <c r="P377" i="5"/>
  <c r="Q377" i="5" s="1"/>
  <c r="P393" i="5"/>
  <c r="Q393" i="5" s="1"/>
  <c r="P488" i="5"/>
  <c r="Q488" i="5" s="1"/>
  <c r="P350" i="5"/>
  <c r="Q350" i="5" s="1"/>
  <c r="P449" i="5"/>
  <c r="Q449" i="5" s="1"/>
  <c r="P465" i="5"/>
  <c r="Q465" i="5" s="1"/>
  <c r="J321" i="5"/>
  <c r="K321" i="5" s="1"/>
  <c r="N321" i="5" s="1"/>
  <c r="J365" i="5"/>
  <c r="K365" i="5" s="1"/>
  <c r="N365" i="5" s="1"/>
  <c r="J417" i="5"/>
  <c r="K417" i="5" s="1"/>
  <c r="N417" i="5" s="1"/>
  <c r="P321" i="5"/>
  <c r="Q321" i="5" s="1"/>
  <c r="P365" i="5"/>
  <c r="Q365" i="5" s="1"/>
  <c r="P417" i="5"/>
  <c r="Q417" i="5" s="1"/>
  <c r="J515" i="5"/>
  <c r="K515" i="5" s="1"/>
  <c r="N515" i="5" s="1"/>
  <c r="J501" i="5"/>
  <c r="K501" i="5" s="1"/>
  <c r="N501" i="5" s="1"/>
  <c r="P515" i="5"/>
  <c r="Q515" i="5" s="1"/>
  <c r="P501" i="5"/>
  <c r="Q501" i="5" s="1"/>
  <c r="J587" i="5"/>
  <c r="K587" i="5" s="1"/>
  <c r="N587" i="5" s="1"/>
  <c r="J512" i="5"/>
  <c r="K512" i="5" s="1"/>
  <c r="N512" i="5" s="1"/>
  <c r="J457" i="5"/>
  <c r="K457" i="5" s="1"/>
  <c r="N457" i="5" s="1"/>
  <c r="J530" i="5"/>
  <c r="K530" i="5" s="1"/>
  <c r="N530" i="5" s="1"/>
  <c r="P530" i="5"/>
  <c r="Q530" i="5" s="1"/>
  <c r="P587" i="5"/>
  <c r="Q587" i="5" s="1"/>
  <c r="P512" i="5"/>
  <c r="Q512" i="5" s="1"/>
  <c r="P457" i="5"/>
  <c r="Q457" i="5" s="1"/>
  <c r="J183" i="5"/>
  <c r="K183" i="5" s="1"/>
  <c r="N183" i="5" s="1"/>
  <c r="J211" i="5"/>
  <c r="K211" i="5" s="1"/>
  <c r="N211" i="5" s="1"/>
  <c r="J96" i="5"/>
  <c r="K96" i="5" s="1"/>
  <c r="N96" i="5" s="1"/>
  <c r="J128" i="5"/>
  <c r="K128" i="5" s="1"/>
  <c r="N128" i="5" s="1"/>
  <c r="J164" i="5"/>
  <c r="K164" i="5" s="1"/>
  <c r="N164" i="5" s="1"/>
  <c r="J41" i="5"/>
  <c r="K41" i="5" s="1"/>
  <c r="N41" i="5" s="1"/>
  <c r="J49" i="5"/>
  <c r="K49" i="5" s="1"/>
  <c r="N49" i="5" s="1"/>
  <c r="J225" i="5"/>
  <c r="K225" i="5" s="1"/>
  <c r="N225" i="5" s="1"/>
  <c r="J62" i="5"/>
  <c r="K62" i="5" s="1"/>
  <c r="N62" i="5" s="1"/>
  <c r="J190" i="5"/>
  <c r="K190" i="5" s="1"/>
  <c r="N190" i="5" s="1"/>
  <c r="J262" i="5"/>
  <c r="K262" i="5" s="1"/>
  <c r="N262" i="5" s="1"/>
  <c r="J259" i="5"/>
  <c r="K259" i="5" s="1"/>
  <c r="N259" i="5" s="1"/>
  <c r="P62" i="5"/>
  <c r="Q62" i="5" s="1"/>
  <c r="P96" i="5"/>
  <c r="Q96" i="5" s="1"/>
  <c r="P183" i="5"/>
  <c r="Q183" i="5" s="1"/>
  <c r="P211" i="5"/>
  <c r="Q211" i="5" s="1"/>
  <c r="P259" i="5"/>
  <c r="Q259" i="5" s="1"/>
  <c r="P41" i="5"/>
  <c r="Q41" i="5" s="1"/>
  <c r="P128" i="5"/>
  <c r="Q128" i="5" s="1"/>
  <c r="P164" i="5"/>
  <c r="Q164" i="5" s="1"/>
  <c r="P225" i="5"/>
  <c r="Q225" i="5" s="1"/>
  <c r="P49" i="5"/>
  <c r="Q49" i="5" s="1"/>
  <c r="P190" i="5"/>
  <c r="Q190" i="5" s="1"/>
  <c r="P262" i="5"/>
  <c r="Q262" i="5" s="1"/>
  <c r="J647" i="5"/>
  <c r="K647" i="5" s="1"/>
  <c r="N647" i="5" s="1"/>
  <c r="J722" i="5"/>
  <c r="K722" i="5" s="1"/>
  <c r="N722" i="5" s="1"/>
  <c r="P722" i="5"/>
  <c r="Q722" i="5" s="1"/>
  <c r="P647" i="5"/>
  <c r="Q647" i="5" s="1"/>
  <c r="J347" i="5"/>
  <c r="K347" i="5" s="1"/>
  <c r="N347" i="5" s="1"/>
  <c r="J399" i="5"/>
  <c r="K399" i="5" s="1"/>
  <c r="N399" i="5" s="1"/>
  <c r="P347" i="5"/>
  <c r="Q347" i="5" s="1"/>
  <c r="P399" i="5"/>
  <c r="Q399" i="5" s="1"/>
  <c r="J695" i="5"/>
  <c r="K695" i="5" s="1"/>
  <c r="N695" i="5" s="1"/>
  <c r="J628" i="5"/>
  <c r="K628" i="5" s="1"/>
  <c r="N628" i="5" s="1"/>
  <c r="P695" i="5"/>
  <c r="Q695" i="5" s="1"/>
  <c r="P628" i="5"/>
  <c r="Q628" i="5" s="1"/>
  <c r="J926" i="5"/>
  <c r="K926" i="5" s="1"/>
  <c r="N926" i="5" s="1"/>
  <c r="P926" i="5"/>
  <c r="Q926" i="5" s="1"/>
  <c r="J780" i="5"/>
  <c r="K780" i="5" s="1"/>
  <c r="N780" i="5" s="1"/>
  <c r="J729" i="5"/>
  <c r="K729" i="5" s="1"/>
  <c r="N729" i="5" s="1"/>
  <c r="J755" i="5"/>
  <c r="K755" i="5" s="1"/>
  <c r="N755" i="5" s="1"/>
  <c r="P755" i="5"/>
  <c r="Q755" i="5" s="1"/>
  <c r="P780" i="5"/>
  <c r="Q780" i="5" s="1"/>
  <c r="P729" i="5"/>
  <c r="Q729" i="5" s="1"/>
  <c r="J716" i="5"/>
  <c r="K716" i="5" s="1"/>
  <c r="N716" i="5" s="1"/>
  <c r="J730" i="5"/>
  <c r="K730" i="5" s="1"/>
  <c r="N730" i="5" s="1"/>
  <c r="P730" i="5"/>
  <c r="Q730" i="5" s="1"/>
  <c r="P716" i="5"/>
  <c r="Q716" i="5" s="1"/>
  <c r="J748" i="5"/>
  <c r="K748" i="5" s="1"/>
  <c r="N748" i="5" s="1"/>
  <c r="J783" i="5"/>
  <c r="K783" i="5" s="1"/>
  <c r="N783" i="5" s="1"/>
  <c r="J835" i="5"/>
  <c r="K835" i="5" s="1"/>
  <c r="N835" i="5" s="1"/>
  <c r="P783" i="5"/>
  <c r="Q783" i="5" s="1"/>
  <c r="P835" i="5"/>
  <c r="Q835" i="5" s="1"/>
  <c r="P748" i="5"/>
  <c r="Q748" i="5" s="1"/>
  <c r="J1001" i="5"/>
  <c r="K1001" i="5" s="1"/>
  <c r="N1001" i="5" s="1"/>
  <c r="J1025" i="5"/>
  <c r="K1025" i="5" s="1"/>
  <c r="N1025" i="5" s="1"/>
  <c r="J1029" i="5"/>
  <c r="K1029" i="5" s="1"/>
  <c r="N1029" i="5" s="1"/>
  <c r="P1001" i="5"/>
  <c r="Q1001" i="5" s="1"/>
  <c r="P1025" i="5"/>
  <c r="Q1025" i="5" s="1"/>
  <c r="P1029" i="5"/>
  <c r="Q1029" i="5" s="1"/>
  <c r="J1065" i="5"/>
  <c r="K1065" i="5" s="1"/>
  <c r="N1065" i="5" s="1"/>
  <c r="J1031" i="5"/>
  <c r="K1031" i="5" s="1"/>
  <c r="N1031" i="5" s="1"/>
  <c r="P1031" i="5"/>
  <c r="Q1031" i="5" s="1"/>
  <c r="P1065" i="5"/>
  <c r="Q1065" i="5" s="1"/>
  <c r="J892" i="5"/>
  <c r="K892" i="5" s="1"/>
  <c r="N892" i="5" s="1"/>
  <c r="J877" i="5"/>
  <c r="K877" i="5" s="1"/>
  <c r="N877" i="5" s="1"/>
  <c r="J838" i="5"/>
  <c r="K838" i="5" s="1"/>
  <c r="N838" i="5" s="1"/>
  <c r="P838" i="5"/>
  <c r="Q838" i="5" s="1"/>
  <c r="P892" i="5"/>
  <c r="Q892" i="5" s="1"/>
  <c r="P877" i="5"/>
  <c r="Q877" i="5" s="1"/>
  <c r="J166" i="5"/>
  <c r="K166" i="5" s="1"/>
  <c r="N166" i="5" s="1"/>
  <c r="P166" i="5"/>
  <c r="Q166" i="5" s="1"/>
  <c r="J43" i="5"/>
  <c r="K43" i="5" s="1"/>
  <c r="N43" i="5" s="1"/>
  <c r="P43" i="5"/>
  <c r="Q43" i="5" s="1"/>
  <c r="J135" i="5"/>
  <c r="K135" i="5" s="1"/>
  <c r="N135" i="5" s="1"/>
  <c r="J139" i="5"/>
  <c r="K139" i="5" s="1"/>
  <c r="N139" i="5" s="1"/>
  <c r="J143" i="5"/>
  <c r="K143" i="5" s="1"/>
  <c r="N143" i="5" s="1"/>
  <c r="J147" i="5"/>
  <c r="K147" i="5" s="1"/>
  <c r="N147" i="5" s="1"/>
  <c r="J151" i="5"/>
  <c r="K151" i="5" s="1"/>
  <c r="N151" i="5" s="1"/>
  <c r="J163" i="5"/>
  <c r="K163" i="5" s="1"/>
  <c r="N163" i="5" s="1"/>
  <c r="J136" i="5"/>
  <c r="K136" i="5" s="1"/>
  <c r="N136" i="5" s="1"/>
  <c r="J140" i="5"/>
  <c r="K140" i="5" s="1"/>
  <c r="N140" i="5" s="1"/>
  <c r="J144" i="5"/>
  <c r="K144" i="5" s="1"/>
  <c r="N144" i="5" s="1"/>
  <c r="J148" i="5"/>
  <c r="K148" i="5" s="1"/>
  <c r="N148" i="5" s="1"/>
  <c r="J156" i="5"/>
  <c r="K156" i="5" s="1"/>
  <c r="N156" i="5" s="1"/>
  <c r="J160" i="5"/>
  <c r="K160" i="5" s="1"/>
  <c r="N160" i="5" s="1"/>
  <c r="J133" i="5"/>
  <c r="K133" i="5" s="1"/>
  <c r="N133" i="5" s="1"/>
  <c r="J137" i="5"/>
  <c r="K137" i="5" s="1"/>
  <c r="N137" i="5" s="1"/>
  <c r="J141" i="5"/>
  <c r="K141" i="5" s="1"/>
  <c r="N141" i="5" s="1"/>
  <c r="J145" i="5"/>
  <c r="K145" i="5" s="1"/>
  <c r="N145" i="5" s="1"/>
  <c r="J149" i="5"/>
  <c r="K149" i="5" s="1"/>
  <c r="N149" i="5" s="1"/>
  <c r="J157" i="5"/>
  <c r="K157" i="5" s="1"/>
  <c r="N157" i="5" s="1"/>
  <c r="J94" i="5"/>
  <c r="K94" i="5" s="1"/>
  <c r="N94" i="5" s="1"/>
  <c r="J134" i="5"/>
  <c r="K134" i="5" s="1"/>
  <c r="N134" i="5" s="1"/>
  <c r="J138" i="5"/>
  <c r="K138" i="5" s="1"/>
  <c r="N138" i="5" s="1"/>
  <c r="J142" i="5"/>
  <c r="K142" i="5" s="1"/>
  <c r="N142" i="5" s="1"/>
  <c r="J146" i="5"/>
  <c r="K146" i="5" s="1"/>
  <c r="N146" i="5" s="1"/>
  <c r="J150" i="5"/>
  <c r="K150" i="5" s="1"/>
  <c r="N150" i="5" s="1"/>
  <c r="J154" i="5"/>
  <c r="K154" i="5" s="1"/>
  <c r="N154" i="5" s="1"/>
  <c r="P94" i="5"/>
  <c r="Q94" i="5" s="1"/>
  <c r="P134" i="5"/>
  <c r="Q134" i="5" s="1"/>
  <c r="P135" i="5"/>
  <c r="Q135" i="5" s="1"/>
  <c r="P133" i="5"/>
  <c r="Q133" i="5" s="1"/>
  <c r="P139" i="5"/>
  <c r="Q139" i="5" s="1"/>
  <c r="P143" i="5"/>
  <c r="Q143" i="5" s="1"/>
  <c r="P147" i="5"/>
  <c r="Q147" i="5" s="1"/>
  <c r="P151" i="5"/>
  <c r="Q151" i="5" s="1"/>
  <c r="P163" i="5"/>
  <c r="Q163" i="5" s="1"/>
  <c r="P136" i="5"/>
  <c r="Q136" i="5" s="1"/>
  <c r="P140" i="5"/>
  <c r="Q140" i="5" s="1"/>
  <c r="P144" i="5"/>
  <c r="Q144" i="5" s="1"/>
  <c r="P148" i="5"/>
  <c r="Q148" i="5" s="1"/>
  <c r="P156" i="5"/>
  <c r="Q156" i="5" s="1"/>
  <c r="P160" i="5"/>
  <c r="Q160" i="5" s="1"/>
  <c r="P137" i="5"/>
  <c r="Q137" i="5" s="1"/>
  <c r="P141" i="5"/>
  <c r="Q141" i="5" s="1"/>
  <c r="P145" i="5"/>
  <c r="Q145" i="5" s="1"/>
  <c r="P149" i="5"/>
  <c r="Q149" i="5" s="1"/>
  <c r="P157" i="5"/>
  <c r="Q157" i="5" s="1"/>
  <c r="P138" i="5"/>
  <c r="Q138" i="5" s="1"/>
  <c r="P142" i="5"/>
  <c r="Q142" i="5" s="1"/>
  <c r="P146" i="5"/>
  <c r="Q146" i="5" s="1"/>
  <c r="P150" i="5"/>
  <c r="Q150" i="5" s="1"/>
  <c r="P154" i="5"/>
  <c r="Q154" i="5" s="1"/>
  <c r="J173" i="5"/>
  <c r="K173" i="5" s="1"/>
  <c r="N173" i="5" s="1"/>
  <c r="P173" i="5"/>
  <c r="Q173" i="5" s="1"/>
  <c r="J112" i="5"/>
  <c r="K112" i="5" s="1"/>
  <c r="N112" i="5" s="1"/>
  <c r="J114" i="5"/>
  <c r="K114" i="5" s="1"/>
  <c r="N114" i="5" s="1"/>
  <c r="P114" i="5"/>
  <c r="Q114" i="5" s="1"/>
  <c r="P112" i="5"/>
  <c r="Q112" i="5" s="1"/>
  <c r="J288" i="5"/>
  <c r="K288" i="5" s="1"/>
  <c r="N288" i="5" s="1"/>
  <c r="J292" i="5"/>
  <c r="K292" i="5" s="1"/>
  <c r="N292" i="5" s="1"/>
  <c r="J296" i="5"/>
  <c r="K296" i="5" s="1"/>
  <c r="N296" i="5" s="1"/>
  <c r="J300" i="5"/>
  <c r="K300" i="5" s="1"/>
  <c r="N300" i="5" s="1"/>
  <c r="J304" i="5"/>
  <c r="K304" i="5" s="1"/>
  <c r="N304" i="5" s="1"/>
  <c r="J308" i="5"/>
  <c r="K308" i="5" s="1"/>
  <c r="N308" i="5" s="1"/>
  <c r="J285" i="5"/>
  <c r="K285" i="5" s="1"/>
  <c r="N285" i="5" s="1"/>
  <c r="J289" i="5"/>
  <c r="K289" i="5" s="1"/>
  <c r="N289" i="5" s="1"/>
  <c r="J293" i="5"/>
  <c r="K293" i="5" s="1"/>
  <c r="N293" i="5" s="1"/>
  <c r="J297" i="5"/>
  <c r="K297" i="5" s="1"/>
  <c r="N297" i="5" s="1"/>
  <c r="J301" i="5"/>
  <c r="K301" i="5" s="1"/>
  <c r="N301" i="5" s="1"/>
  <c r="J305" i="5"/>
  <c r="K305" i="5" s="1"/>
  <c r="N305" i="5" s="1"/>
  <c r="J309" i="5"/>
  <c r="K309" i="5" s="1"/>
  <c r="N309" i="5" s="1"/>
  <c r="J290" i="5"/>
  <c r="K290" i="5" s="1"/>
  <c r="N290" i="5" s="1"/>
  <c r="J294" i="5"/>
  <c r="K294" i="5" s="1"/>
  <c r="N294" i="5" s="1"/>
  <c r="J298" i="5"/>
  <c r="K298" i="5" s="1"/>
  <c r="N298" i="5" s="1"/>
  <c r="J302" i="5"/>
  <c r="K302" i="5" s="1"/>
  <c r="N302" i="5" s="1"/>
  <c r="J306" i="5"/>
  <c r="K306" i="5" s="1"/>
  <c r="N306" i="5" s="1"/>
  <c r="J310" i="5"/>
  <c r="K310" i="5" s="1"/>
  <c r="N310" i="5" s="1"/>
  <c r="J291" i="5"/>
  <c r="K291" i="5" s="1"/>
  <c r="N291" i="5" s="1"/>
  <c r="J307" i="5"/>
  <c r="K307" i="5" s="1"/>
  <c r="N307" i="5" s="1"/>
  <c r="J295" i="5"/>
  <c r="K295" i="5" s="1"/>
  <c r="N295" i="5" s="1"/>
  <c r="J299" i="5"/>
  <c r="K299" i="5" s="1"/>
  <c r="N299" i="5" s="1"/>
  <c r="J287" i="5"/>
  <c r="K287" i="5" s="1"/>
  <c r="N287" i="5" s="1"/>
  <c r="J303" i="5"/>
  <c r="K303" i="5" s="1"/>
  <c r="N303" i="5" s="1"/>
  <c r="P287" i="5"/>
  <c r="Q287" i="5" s="1"/>
  <c r="P291" i="5"/>
  <c r="Q291" i="5" s="1"/>
  <c r="P295" i="5"/>
  <c r="Q295" i="5" s="1"/>
  <c r="P299" i="5"/>
  <c r="Q299" i="5" s="1"/>
  <c r="P303" i="5"/>
  <c r="Q303" i="5" s="1"/>
  <c r="P307" i="5"/>
  <c r="Q307" i="5" s="1"/>
  <c r="P288" i="5"/>
  <c r="Q288" i="5" s="1"/>
  <c r="P292" i="5"/>
  <c r="Q292" i="5" s="1"/>
  <c r="P296" i="5"/>
  <c r="Q296" i="5" s="1"/>
  <c r="P300" i="5"/>
  <c r="Q300" i="5" s="1"/>
  <c r="P304" i="5"/>
  <c r="Q304" i="5" s="1"/>
  <c r="P308" i="5"/>
  <c r="Q308" i="5" s="1"/>
  <c r="P285" i="5"/>
  <c r="Q285" i="5" s="1"/>
  <c r="P289" i="5"/>
  <c r="Q289" i="5" s="1"/>
  <c r="P293" i="5"/>
  <c r="Q293" i="5" s="1"/>
  <c r="P297" i="5"/>
  <c r="Q297" i="5" s="1"/>
  <c r="P301" i="5"/>
  <c r="Q301" i="5" s="1"/>
  <c r="P305" i="5"/>
  <c r="Q305" i="5" s="1"/>
  <c r="P309" i="5"/>
  <c r="Q309" i="5" s="1"/>
  <c r="P290" i="5"/>
  <c r="Q290" i="5" s="1"/>
  <c r="P294" i="5"/>
  <c r="Q294" i="5" s="1"/>
  <c r="P298" i="5"/>
  <c r="Q298" i="5" s="1"/>
  <c r="P302" i="5"/>
  <c r="Q302" i="5" s="1"/>
  <c r="P306" i="5"/>
  <c r="Q306" i="5" s="1"/>
  <c r="P310" i="5"/>
  <c r="Q310" i="5" s="1"/>
  <c r="J131" i="5"/>
  <c r="K131" i="5" s="1"/>
  <c r="N131" i="5" s="1"/>
  <c r="J180" i="5"/>
  <c r="K180" i="5" s="1"/>
  <c r="N180" i="5" s="1"/>
  <c r="J193" i="5"/>
  <c r="K193" i="5" s="1"/>
  <c r="N193" i="5" s="1"/>
  <c r="J197" i="5"/>
  <c r="K197" i="5" s="1"/>
  <c r="N197" i="5" s="1"/>
  <c r="J217" i="5"/>
  <c r="K217" i="5" s="1"/>
  <c r="N217" i="5" s="1"/>
  <c r="J238" i="5"/>
  <c r="K238" i="5" s="1"/>
  <c r="N238" i="5" s="1"/>
  <c r="P131" i="5"/>
  <c r="Q131" i="5" s="1"/>
  <c r="P180" i="5"/>
  <c r="Q180" i="5" s="1"/>
  <c r="P193" i="5"/>
  <c r="Q193" i="5" s="1"/>
  <c r="P197" i="5"/>
  <c r="Q197" i="5" s="1"/>
  <c r="P217" i="5"/>
  <c r="Q217" i="5" s="1"/>
  <c r="P238" i="5"/>
  <c r="Q238" i="5" s="1"/>
  <c r="J1028" i="5"/>
  <c r="K1028" i="5" s="1"/>
  <c r="N1028" i="5" s="1"/>
  <c r="J1086" i="5"/>
  <c r="K1086" i="5" s="1"/>
  <c r="N1086" i="5" s="1"/>
  <c r="P1086" i="5"/>
  <c r="Q1086" i="5" s="1"/>
  <c r="P1028" i="5"/>
  <c r="Q1028" i="5" s="1"/>
  <c r="J316" i="5"/>
  <c r="K316" i="5" s="1"/>
  <c r="N316" i="5" s="1"/>
  <c r="J382" i="5"/>
  <c r="K382" i="5" s="1"/>
  <c r="N382" i="5" s="1"/>
  <c r="J335" i="5"/>
  <c r="K335" i="5" s="1"/>
  <c r="N335" i="5" s="1"/>
  <c r="J442" i="5"/>
  <c r="K442" i="5" s="1"/>
  <c r="N442" i="5" s="1"/>
  <c r="J474" i="5"/>
  <c r="K474" i="5" s="1"/>
  <c r="N474" i="5" s="1"/>
  <c r="P335" i="5"/>
  <c r="Q335" i="5" s="1"/>
  <c r="P442" i="5"/>
  <c r="Q442" i="5" s="1"/>
  <c r="P474" i="5"/>
  <c r="Q474" i="5" s="1"/>
  <c r="P316" i="5"/>
  <c r="Q316" i="5" s="1"/>
  <c r="P382" i="5"/>
  <c r="Q382" i="5" s="1"/>
  <c r="J479" i="5"/>
  <c r="K479" i="5" s="1"/>
  <c r="N479" i="5" s="1"/>
  <c r="J520" i="5"/>
  <c r="K520" i="5" s="1"/>
  <c r="N520" i="5" s="1"/>
  <c r="J398" i="5"/>
  <c r="K398" i="5" s="1"/>
  <c r="N398" i="5" s="1"/>
  <c r="J429" i="5"/>
  <c r="K429" i="5" s="1"/>
  <c r="N429" i="5" s="1"/>
  <c r="P479" i="5"/>
  <c r="Q479" i="5" s="1"/>
  <c r="P520" i="5"/>
  <c r="Q520" i="5" s="1"/>
  <c r="P398" i="5"/>
  <c r="Q398" i="5" s="1"/>
  <c r="P429" i="5"/>
  <c r="Q429" i="5" s="1"/>
  <c r="J1085" i="5"/>
  <c r="K1085" i="5" s="1"/>
  <c r="N1085" i="5" s="1"/>
  <c r="J1110" i="5"/>
  <c r="K1110" i="5" s="1"/>
  <c r="N1110" i="5" s="1"/>
  <c r="P1110" i="5"/>
  <c r="Q1110" i="5" s="1"/>
  <c r="P1085" i="5"/>
  <c r="Q1085" i="5" s="1"/>
  <c r="J1109" i="5"/>
  <c r="K1109" i="5" s="1"/>
  <c r="N1109" i="5" s="1"/>
  <c r="J1282" i="5"/>
  <c r="K1282" i="5" s="1"/>
  <c r="N1282" i="5" s="1"/>
  <c r="J1151" i="5"/>
  <c r="K1151" i="5" s="1"/>
  <c r="N1151" i="5" s="1"/>
  <c r="P1282" i="5"/>
  <c r="Q1282" i="5" s="1"/>
  <c r="P1151" i="5"/>
  <c r="Q1151" i="5" s="1"/>
  <c r="P1109" i="5"/>
  <c r="Q1109" i="5" s="1"/>
  <c r="J1310" i="5"/>
  <c r="K1310" i="5" s="1"/>
  <c r="N1310" i="5" s="1"/>
  <c r="J1283" i="5"/>
  <c r="K1283" i="5" s="1"/>
  <c r="N1283" i="5" s="1"/>
  <c r="J1344" i="5"/>
  <c r="K1344" i="5" s="1"/>
  <c r="N1344" i="5" s="1"/>
  <c r="P1310" i="5"/>
  <c r="Q1310" i="5" s="1"/>
  <c r="P1283" i="5"/>
  <c r="Q1283" i="5" s="1"/>
  <c r="P1344" i="5"/>
  <c r="Q1344" i="5" s="1"/>
  <c r="J1067" i="5"/>
  <c r="K1067" i="5" s="1"/>
  <c r="N1067" i="5" s="1"/>
  <c r="J1075" i="5"/>
  <c r="K1075" i="5" s="1"/>
  <c r="N1075" i="5" s="1"/>
  <c r="J1083" i="5"/>
  <c r="K1083" i="5" s="1"/>
  <c r="N1083" i="5" s="1"/>
  <c r="P1067" i="5"/>
  <c r="Q1067" i="5" s="1"/>
  <c r="P1075" i="5"/>
  <c r="Q1075" i="5" s="1"/>
  <c r="P1083" i="5"/>
  <c r="Q1083" i="5" s="1"/>
  <c r="J908" i="5"/>
  <c r="K908" i="5" s="1"/>
  <c r="N908" i="5" s="1"/>
  <c r="J849" i="5"/>
  <c r="K849" i="5" s="1"/>
  <c r="N849" i="5" s="1"/>
  <c r="J941" i="5"/>
  <c r="K941" i="5" s="1"/>
  <c r="N941" i="5" s="1"/>
  <c r="J973" i="5"/>
  <c r="K973" i="5" s="1"/>
  <c r="N973" i="5" s="1"/>
  <c r="J874" i="5"/>
  <c r="K874" i="5" s="1"/>
  <c r="N874" i="5" s="1"/>
  <c r="J1002" i="5"/>
  <c r="K1002" i="5" s="1"/>
  <c r="N1002" i="5" s="1"/>
  <c r="P874" i="5"/>
  <c r="Q874" i="5" s="1"/>
  <c r="P1002" i="5"/>
  <c r="Q1002" i="5" s="1"/>
  <c r="P908" i="5"/>
  <c r="Q908" i="5" s="1"/>
  <c r="P849" i="5"/>
  <c r="Q849" i="5" s="1"/>
  <c r="P941" i="5"/>
  <c r="Q941" i="5" s="1"/>
  <c r="P973" i="5"/>
  <c r="Q973" i="5" s="1"/>
  <c r="J221" i="5"/>
  <c r="K221" i="5" s="1"/>
  <c r="N221" i="5" s="1"/>
  <c r="J545" i="5"/>
  <c r="K545" i="5" s="1"/>
  <c r="N545" i="5" s="1"/>
  <c r="J646" i="5"/>
  <c r="K646" i="5" s="1"/>
  <c r="N646" i="5" s="1"/>
  <c r="J814" i="5"/>
  <c r="K814" i="5" s="1"/>
  <c r="N814" i="5" s="1"/>
  <c r="J938" i="5"/>
  <c r="K938" i="5" s="1"/>
  <c r="N938" i="5" s="1"/>
  <c r="J1158" i="5"/>
  <c r="K1158" i="5" s="1"/>
  <c r="N1158" i="5" s="1"/>
  <c r="P646" i="5"/>
  <c r="Q646" i="5" s="1"/>
  <c r="P814" i="5"/>
  <c r="Q814" i="5" s="1"/>
  <c r="P938" i="5"/>
  <c r="Q938" i="5" s="1"/>
  <c r="P1158" i="5"/>
  <c r="Q1158" i="5" s="1"/>
  <c r="P221" i="5"/>
  <c r="Q221" i="5" s="1"/>
  <c r="P545" i="5"/>
  <c r="Q545" i="5" s="1"/>
  <c r="J208" i="5"/>
  <c r="K208" i="5" s="1"/>
  <c r="N208" i="5" s="1"/>
  <c r="J328" i="5"/>
  <c r="K328" i="5" s="1"/>
  <c r="N328" i="5" s="1"/>
  <c r="J358" i="5"/>
  <c r="K358" i="5" s="1"/>
  <c r="N358" i="5" s="1"/>
  <c r="J339" i="5"/>
  <c r="K339" i="5" s="1"/>
  <c r="N339" i="5" s="1"/>
  <c r="J380" i="5"/>
  <c r="K380" i="5" s="1"/>
  <c r="N380" i="5" s="1"/>
  <c r="J388" i="5"/>
  <c r="K388" i="5" s="1"/>
  <c r="N388" i="5" s="1"/>
  <c r="J615" i="5"/>
  <c r="K615" i="5" s="1"/>
  <c r="N615" i="5" s="1"/>
  <c r="J619" i="5"/>
  <c r="K619" i="5" s="1"/>
  <c r="N619" i="5" s="1"/>
  <c r="J679" i="5"/>
  <c r="K679" i="5" s="1"/>
  <c r="N679" i="5" s="1"/>
  <c r="J699" i="5"/>
  <c r="K699" i="5" s="1"/>
  <c r="N699" i="5" s="1"/>
  <c r="J496" i="5"/>
  <c r="K496" i="5" s="1"/>
  <c r="N496" i="5" s="1"/>
  <c r="J528" i="5"/>
  <c r="K528" i="5" s="1"/>
  <c r="N528" i="5" s="1"/>
  <c r="J413" i="5"/>
  <c r="K413" i="5" s="1"/>
  <c r="N413" i="5" s="1"/>
  <c r="J498" i="5"/>
  <c r="K498" i="5" s="1"/>
  <c r="N498" i="5" s="1"/>
  <c r="J642" i="5"/>
  <c r="K642" i="5" s="1"/>
  <c r="N642" i="5" s="1"/>
  <c r="J744" i="5"/>
  <c r="K744" i="5" s="1"/>
  <c r="N744" i="5" s="1"/>
  <c r="J852" i="5"/>
  <c r="K852" i="5" s="1"/>
  <c r="N852" i="5" s="1"/>
  <c r="J916" i="5"/>
  <c r="K916" i="5" s="1"/>
  <c r="N916" i="5" s="1"/>
  <c r="J936" i="5"/>
  <c r="K936" i="5" s="1"/>
  <c r="N936" i="5" s="1"/>
  <c r="J1076" i="5"/>
  <c r="K1076" i="5" s="1"/>
  <c r="N1076" i="5" s="1"/>
  <c r="J1128" i="5"/>
  <c r="K1128" i="5" s="1"/>
  <c r="N1128" i="5" s="1"/>
  <c r="J1132" i="5"/>
  <c r="K1132" i="5" s="1"/>
  <c r="N1132" i="5" s="1"/>
  <c r="J821" i="5"/>
  <c r="K821" i="5" s="1"/>
  <c r="N821" i="5" s="1"/>
  <c r="J1045" i="5"/>
  <c r="K1045" i="5" s="1"/>
  <c r="N1045" i="5" s="1"/>
  <c r="J942" i="5"/>
  <c r="K942" i="5" s="1"/>
  <c r="N942" i="5" s="1"/>
  <c r="J950" i="5"/>
  <c r="K950" i="5" s="1"/>
  <c r="N950" i="5" s="1"/>
  <c r="J958" i="5"/>
  <c r="K958" i="5" s="1"/>
  <c r="N958" i="5" s="1"/>
  <c r="J1046" i="5"/>
  <c r="K1046" i="5" s="1"/>
  <c r="N1046" i="5" s="1"/>
  <c r="J1074" i="5"/>
  <c r="K1074" i="5" s="1"/>
  <c r="N1074" i="5" s="1"/>
  <c r="J1090" i="5"/>
  <c r="K1090" i="5" s="1"/>
  <c r="N1090" i="5" s="1"/>
  <c r="J739" i="5"/>
  <c r="K739" i="5" s="1"/>
  <c r="N739" i="5" s="1"/>
  <c r="J775" i="5"/>
  <c r="K775" i="5" s="1"/>
  <c r="N775" i="5" s="1"/>
  <c r="J891" i="5"/>
  <c r="K891" i="5" s="1"/>
  <c r="N891" i="5" s="1"/>
  <c r="J987" i="5"/>
  <c r="K987" i="5" s="1"/>
  <c r="N987" i="5" s="1"/>
  <c r="J1023" i="5"/>
  <c r="K1023" i="5" s="1"/>
  <c r="N1023" i="5" s="1"/>
  <c r="J1051" i="5"/>
  <c r="K1051" i="5" s="1"/>
  <c r="N1051" i="5" s="1"/>
  <c r="J1173" i="5"/>
  <c r="K1173" i="5" s="1"/>
  <c r="N1173" i="5" s="1"/>
  <c r="J1127" i="5"/>
  <c r="K1127" i="5" s="1"/>
  <c r="N1127" i="5" s="1"/>
  <c r="J1162" i="5"/>
  <c r="K1162" i="5" s="1"/>
  <c r="N1162" i="5" s="1"/>
  <c r="J1182" i="5"/>
  <c r="K1182" i="5" s="1"/>
  <c r="N1182" i="5" s="1"/>
  <c r="J1194" i="5"/>
  <c r="K1194" i="5" s="1"/>
  <c r="N1194" i="5" s="1"/>
  <c r="J1139" i="5"/>
  <c r="K1139" i="5" s="1"/>
  <c r="N1139" i="5" s="1"/>
  <c r="J1125" i="5"/>
  <c r="K1125" i="5" s="1"/>
  <c r="N1125" i="5" s="1"/>
  <c r="J1144" i="5"/>
  <c r="K1144" i="5" s="1"/>
  <c r="N1144" i="5" s="1"/>
  <c r="J1148" i="5"/>
  <c r="K1148" i="5" s="1"/>
  <c r="N1148" i="5" s="1"/>
  <c r="J1180" i="5"/>
  <c r="K1180" i="5" s="1"/>
  <c r="N1180" i="5" s="1"/>
  <c r="J1208" i="5"/>
  <c r="K1208" i="5" s="1"/>
  <c r="N1208" i="5" s="1"/>
  <c r="J1212" i="5"/>
  <c r="K1212" i="5" s="1"/>
  <c r="N1212" i="5" s="1"/>
  <c r="J1220" i="5"/>
  <c r="K1220" i="5" s="1"/>
  <c r="N1220" i="5" s="1"/>
  <c r="P339" i="5"/>
  <c r="Q339" i="5" s="1"/>
  <c r="P498" i="5"/>
  <c r="Q498" i="5" s="1"/>
  <c r="P642" i="5"/>
  <c r="Q642" i="5" s="1"/>
  <c r="P942" i="5"/>
  <c r="Q942" i="5" s="1"/>
  <c r="P950" i="5"/>
  <c r="Q950" i="5" s="1"/>
  <c r="P958" i="5"/>
  <c r="Q958" i="5" s="1"/>
  <c r="P1046" i="5"/>
  <c r="Q1046" i="5" s="1"/>
  <c r="P1074" i="5"/>
  <c r="Q1074" i="5" s="1"/>
  <c r="P1090" i="5"/>
  <c r="Q1090" i="5" s="1"/>
  <c r="P1162" i="5"/>
  <c r="Q1162" i="5" s="1"/>
  <c r="P1182" i="5"/>
  <c r="Q1182" i="5" s="1"/>
  <c r="P1194" i="5"/>
  <c r="Q1194" i="5" s="1"/>
  <c r="P208" i="5"/>
  <c r="Q208" i="5" s="1"/>
  <c r="P328" i="5"/>
  <c r="Q328" i="5" s="1"/>
  <c r="P380" i="5"/>
  <c r="Q380" i="5" s="1"/>
  <c r="P388" i="5"/>
  <c r="Q388" i="5" s="1"/>
  <c r="P615" i="5"/>
  <c r="Q615" i="5" s="1"/>
  <c r="P619" i="5"/>
  <c r="Q619" i="5" s="1"/>
  <c r="P679" i="5"/>
  <c r="Q679" i="5" s="1"/>
  <c r="P699" i="5"/>
  <c r="Q699" i="5" s="1"/>
  <c r="P739" i="5"/>
  <c r="Q739" i="5" s="1"/>
  <c r="P775" i="5"/>
  <c r="Q775" i="5" s="1"/>
  <c r="P891" i="5"/>
  <c r="Q891" i="5" s="1"/>
  <c r="P987" i="5"/>
  <c r="Q987" i="5" s="1"/>
  <c r="P1023" i="5"/>
  <c r="Q1023" i="5" s="1"/>
  <c r="P1051" i="5"/>
  <c r="Q1051" i="5" s="1"/>
  <c r="P1127" i="5"/>
  <c r="Q1127" i="5" s="1"/>
  <c r="P1139" i="5"/>
  <c r="Q1139" i="5" s="1"/>
  <c r="P496" i="5"/>
  <c r="Q496" i="5" s="1"/>
  <c r="P528" i="5"/>
  <c r="Q528" i="5" s="1"/>
  <c r="P744" i="5"/>
  <c r="Q744" i="5" s="1"/>
  <c r="P852" i="5"/>
  <c r="Q852" i="5" s="1"/>
  <c r="P916" i="5"/>
  <c r="Q916" i="5" s="1"/>
  <c r="P936" i="5"/>
  <c r="Q936" i="5" s="1"/>
  <c r="P1076" i="5"/>
  <c r="Q1076" i="5" s="1"/>
  <c r="P1128" i="5"/>
  <c r="Q1128" i="5" s="1"/>
  <c r="P1132" i="5"/>
  <c r="Q1132" i="5" s="1"/>
  <c r="P1144" i="5"/>
  <c r="Q1144" i="5" s="1"/>
  <c r="P1148" i="5"/>
  <c r="Q1148" i="5" s="1"/>
  <c r="P1180" i="5"/>
  <c r="Q1180" i="5" s="1"/>
  <c r="P1208" i="5"/>
  <c r="Q1208" i="5" s="1"/>
  <c r="P1212" i="5"/>
  <c r="Q1212" i="5" s="1"/>
  <c r="P1220" i="5"/>
  <c r="Q1220" i="5" s="1"/>
  <c r="P358" i="5"/>
  <c r="Q358" i="5" s="1"/>
  <c r="P413" i="5"/>
  <c r="Q413" i="5" s="1"/>
  <c r="P821" i="5"/>
  <c r="Q821" i="5" s="1"/>
  <c r="P1045" i="5"/>
  <c r="Q1045" i="5" s="1"/>
  <c r="P1125" i="5"/>
  <c r="Q1125" i="5" s="1"/>
  <c r="P1173" i="5"/>
  <c r="Q1173" i="5" s="1"/>
  <c r="J216" i="5"/>
  <c r="K216" i="5" s="1"/>
  <c r="N216" i="5" s="1"/>
  <c r="J249" i="5"/>
  <c r="K249" i="5" s="1"/>
  <c r="N249" i="5" s="1"/>
  <c r="J313" i="5"/>
  <c r="K313" i="5" s="1"/>
  <c r="N313" i="5" s="1"/>
  <c r="J357" i="5"/>
  <c r="K357" i="5" s="1"/>
  <c r="N357" i="5" s="1"/>
  <c r="J361" i="5"/>
  <c r="K361" i="5" s="1"/>
  <c r="N361" i="5" s="1"/>
  <c r="J54" i="5"/>
  <c r="K54" i="5" s="1"/>
  <c r="N54" i="5" s="1"/>
  <c r="J130" i="5"/>
  <c r="K130" i="5" s="1"/>
  <c r="N130" i="5" s="1"/>
  <c r="J158" i="5"/>
  <c r="K158" i="5" s="1"/>
  <c r="N158" i="5" s="1"/>
  <c r="J334" i="5"/>
  <c r="K334" i="5" s="1"/>
  <c r="N334" i="5" s="1"/>
  <c r="J342" i="5"/>
  <c r="K342" i="5" s="1"/>
  <c r="N342" i="5" s="1"/>
  <c r="J227" i="5"/>
  <c r="K227" i="5" s="1"/>
  <c r="N227" i="5" s="1"/>
  <c r="J384" i="5"/>
  <c r="K384" i="5" s="1"/>
  <c r="N384" i="5" s="1"/>
  <c r="J392" i="5"/>
  <c r="K392" i="5" s="1"/>
  <c r="N392" i="5" s="1"/>
  <c r="J447" i="5"/>
  <c r="K447" i="5" s="1"/>
  <c r="N447" i="5" s="1"/>
  <c r="J595" i="5"/>
  <c r="K595" i="5" s="1"/>
  <c r="N595" i="5" s="1"/>
  <c r="J327" i="5"/>
  <c r="K327" i="5" s="1"/>
  <c r="N327" i="5" s="1"/>
  <c r="J381" i="5"/>
  <c r="K381" i="5" s="1"/>
  <c r="N381" i="5" s="1"/>
  <c r="J504" i="5"/>
  <c r="K504" i="5" s="1"/>
  <c r="N504" i="5" s="1"/>
  <c r="J552" i="5"/>
  <c r="K552" i="5" s="1"/>
  <c r="N552" i="5" s="1"/>
  <c r="J441" i="5"/>
  <c r="K441" i="5" s="1"/>
  <c r="N441" i="5" s="1"/>
  <c r="J625" i="5"/>
  <c r="K625" i="5" s="1"/>
  <c r="N625" i="5" s="1"/>
  <c r="J319" i="5"/>
  <c r="K319" i="5" s="1"/>
  <c r="N319" i="5" s="1"/>
  <c r="J351" i="5"/>
  <c r="K351" i="5" s="1"/>
  <c r="N351" i="5" s="1"/>
  <c r="J414" i="5"/>
  <c r="K414" i="5" s="1"/>
  <c r="N414" i="5" s="1"/>
  <c r="J466" i="5"/>
  <c r="K466" i="5" s="1"/>
  <c r="N466" i="5" s="1"/>
  <c r="J510" i="5"/>
  <c r="K510" i="5" s="1"/>
  <c r="N510" i="5" s="1"/>
  <c r="J522" i="5"/>
  <c r="K522" i="5" s="1"/>
  <c r="N522" i="5" s="1"/>
  <c r="J526" i="5"/>
  <c r="K526" i="5" s="1"/>
  <c r="N526" i="5" s="1"/>
  <c r="J654" i="5"/>
  <c r="K654" i="5" s="1"/>
  <c r="N654" i="5" s="1"/>
  <c r="J678" i="5"/>
  <c r="K678" i="5" s="1"/>
  <c r="N678" i="5" s="1"/>
  <c r="J812" i="5"/>
  <c r="K812" i="5" s="1"/>
  <c r="N812" i="5" s="1"/>
  <c r="J868" i="5"/>
  <c r="K868" i="5" s="1"/>
  <c r="N868" i="5" s="1"/>
  <c r="J1020" i="5"/>
  <c r="K1020" i="5" s="1"/>
  <c r="N1020" i="5" s="1"/>
  <c r="J1048" i="5"/>
  <c r="K1048" i="5" s="1"/>
  <c r="N1048" i="5" s="1"/>
  <c r="J1092" i="5"/>
  <c r="K1092" i="5" s="1"/>
  <c r="N1092" i="5" s="1"/>
  <c r="J781" i="5"/>
  <c r="K781" i="5" s="1"/>
  <c r="N781" i="5" s="1"/>
  <c r="J813" i="5"/>
  <c r="K813" i="5" s="1"/>
  <c r="N813" i="5" s="1"/>
  <c r="J833" i="5"/>
  <c r="K833" i="5" s="1"/>
  <c r="N833" i="5" s="1"/>
  <c r="J837" i="5"/>
  <c r="K837" i="5" s="1"/>
  <c r="N837" i="5" s="1"/>
  <c r="J704" i="5"/>
  <c r="K704" i="5" s="1"/>
  <c r="N704" i="5" s="1"/>
  <c r="J790" i="5"/>
  <c r="K790" i="5" s="1"/>
  <c r="N790" i="5" s="1"/>
  <c r="J862" i="5"/>
  <c r="K862" i="5" s="1"/>
  <c r="N862" i="5" s="1"/>
  <c r="J910" i="5"/>
  <c r="K910" i="5" s="1"/>
  <c r="N910" i="5" s="1"/>
  <c r="J978" i="5"/>
  <c r="K978" i="5" s="1"/>
  <c r="N978" i="5" s="1"/>
  <c r="J986" i="5"/>
  <c r="K986" i="5" s="1"/>
  <c r="N986" i="5" s="1"/>
  <c r="J751" i="5"/>
  <c r="K751" i="5" s="1"/>
  <c r="N751" i="5" s="1"/>
  <c r="J831" i="5"/>
  <c r="K831" i="5" s="1"/>
  <c r="N831" i="5" s="1"/>
  <c r="J907" i="5"/>
  <c r="K907" i="5" s="1"/>
  <c r="N907" i="5" s="1"/>
  <c r="J1047" i="5"/>
  <c r="K1047" i="5" s="1"/>
  <c r="N1047" i="5" s="1"/>
  <c r="J1063" i="5"/>
  <c r="K1063" i="5" s="1"/>
  <c r="N1063" i="5" s="1"/>
  <c r="J1091" i="5"/>
  <c r="K1091" i="5" s="1"/>
  <c r="N1091" i="5" s="1"/>
  <c r="J1157" i="5"/>
  <c r="K1157" i="5" s="1"/>
  <c r="N1157" i="5" s="1"/>
  <c r="J1201" i="5"/>
  <c r="K1201" i="5" s="1"/>
  <c r="N1201" i="5" s="1"/>
  <c r="J1205" i="5"/>
  <c r="K1205" i="5" s="1"/>
  <c r="N1205" i="5" s="1"/>
  <c r="J1178" i="5"/>
  <c r="K1178" i="5" s="1"/>
  <c r="N1178" i="5" s="1"/>
  <c r="J1202" i="5"/>
  <c r="K1202" i="5" s="1"/>
  <c r="N1202" i="5" s="1"/>
  <c r="J1226" i="5"/>
  <c r="K1226" i="5" s="1"/>
  <c r="N1226" i="5" s="1"/>
  <c r="J1230" i="5"/>
  <c r="K1230" i="5" s="1"/>
  <c r="N1230" i="5" s="1"/>
  <c r="J1171" i="5"/>
  <c r="K1171" i="5" s="1"/>
  <c r="N1171" i="5" s="1"/>
  <c r="J1175" i="5"/>
  <c r="K1175" i="5" s="1"/>
  <c r="N1175" i="5" s="1"/>
  <c r="J1215" i="5"/>
  <c r="K1215" i="5" s="1"/>
  <c r="N1215" i="5" s="1"/>
  <c r="J1223" i="5"/>
  <c r="K1223" i="5" s="1"/>
  <c r="N1223" i="5" s="1"/>
  <c r="J1176" i="5"/>
  <c r="K1176" i="5" s="1"/>
  <c r="N1176" i="5" s="1"/>
  <c r="P54" i="5"/>
  <c r="Q54" i="5" s="1"/>
  <c r="P130" i="5"/>
  <c r="Q130" i="5" s="1"/>
  <c r="P227" i="5"/>
  <c r="Q227" i="5" s="1"/>
  <c r="P319" i="5"/>
  <c r="Q319" i="5" s="1"/>
  <c r="P327" i="5"/>
  <c r="Q327" i="5" s="1"/>
  <c r="P351" i="5"/>
  <c r="Q351" i="5" s="1"/>
  <c r="P414" i="5"/>
  <c r="Q414" i="5" s="1"/>
  <c r="P466" i="5"/>
  <c r="Q466" i="5" s="1"/>
  <c r="P510" i="5"/>
  <c r="Q510" i="5" s="1"/>
  <c r="P522" i="5"/>
  <c r="Q522" i="5" s="1"/>
  <c r="P526" i="5"/>
  <c r="Q526" i="5" s="1"/>
  <c r="P654" i="5"/>
  <c r="Q654" i="5" s="1"/>
  <c r="P678" i="5"/>
  <c r="Q678" i="5" s="1"/>
  <c r="P790" i="5"/>
  <c r="Q790" i="5" s="1"/>
  <c r="P862" i="5"/>
  <c r="Q862" i="5" s="1"/>
  <c r="P910" i="5"/>
  <c r="Q910" i="5" s="1"/>
  <c r="P978" i="5"/>
  <c r="Q978" i="5" s="1"/>
  <c r="P986" i="5"/>
  <c r="Q986" i="5" s="1"/>
  <c r="P1178" i="5"/>
  <c r="Q1178" i="5" s="1"/>
  <c r="P1202" i="5"/>
  <c r="Q1202" i="5" s="1"/>
  <c r="P1226" i="5"/>
  <c r="Q1226" i="5" s="1"/>
  <c r="P1230" i="5"/>
  <c r="Q1230" i="5" s="1"/>
  <c r="P216" i="5"/>
  <c r="Q216" i="5" s="1"/>
  <c r="P384" i="5"/>
  <c r="Q384" i="5" s="1"/>
  <c r="P392" i="5"/>
  <c r="Q392" i="5" s="1"/>
  <c r="P447" i="5"/>
  <c r="Q447" i="5" s="1"/>
  <c r="P595" i="5"/>
  <c r="Q595" i="5" s="1"/>
  <c r="P751" i="5"/>
  <c r="Q751" i="5" s="1"/>
  <c r="P831" i="5"/>
  <c r="Q831" i="5" s="1"/>
  <c r="P907" i="5"/>
  <c r="Q907" i="5" s="1"/>
  <c r="P1047" i="5"/>
  <c r="Q1047" i="5" s="1"/>
  <c r="P1063" i="5"/>
  <c r="Q1063" i="5" s="1"/>
  <c r="P1091" i="5"/>
  <c r="Q1091" i="5" s="1"/>
  <c r="P1171" i="5"/>
  <c r="Q1171" i="5" s="1"/>
  <c r="P1175" i="5"/>
  <c r="Q1175" i="5" s="1"/>
  <c r="P1215" i="5"/>
  <c r="Q1215" i="5" s="1"/>
  <c r="P1223" i="5"/>
  <c r="Q1223" i="5" s="1"/>
  <c r="P249" i="5"/>
  <c r="Q249" i="5" s="1"/>
  <c r="P313" i="5"/>
  <c r="Q313" i="5" s="1"/>
  <c r="P357" i="5"/>
  <c r="Q357" i="5" s="1"/>
  <c r="P361" i="5"/>
  <c r="Q361" i="5" s="1"/>
  <c r="P381" i="5"/>
  <c r="Q381" i="5" s="1"/>
  <c r="P504" i="5"/>
  <c r="Q504" i="5" s="1"/>
  <c r="P552" i="5"/>
  <c r="Q552" i="5" s="1"/>
  <c r="P704" i="5"/>
  <c r="Q704" i="5" s="1"/>
  <c r="P812" i="5"/>
  <c r="Q812" i="5" s="1"/>
  <c r="P868" i="5"/>
  <c r="Q868" i="5" s="1"/>
  <c r="P1020" i="5"/>
  <c r="Q1020" i="5" s="1"/>
  <c r="P1048" i="5"/>
  <c r="Q1048" i="5" s="1"/>
  <c r="P1092" i="5"/>
  <c r="Q1092" i="5" s="1"/>
  <c r="P1176" i="5"/>
  <c r="Q1176" i="5" s="1"/>
  <c r="P158" i="5"/>
  <c r="Q158" i="5" s="1"/>
  <c r="P334" i="5"/>
  <c r="Q334" i="5" s="1"/>
  <c r="P342" i="5"/>
  <c r="Q342" i="5" s="1"/>
  <c r="P441" i="5"/>
  <c r="Q441" i="5" s="1"/>
  <c r="P625" i="5"/>
  <c r="Q625" i="5" s="1"/>
  <c r="P781" i="5"/>
  <c r="Q781" i="5" s="1"/>
  <c r="P813" i="5"/>
  <c r="Q813" i="5" s="1"/>
  <c r="P833" i="5"/>
  <c r="Q833" i="5" s="1"/>
  <c r="P837" i="5"/>
  <c r="Q837" i="5" s="1"/>
  <c r="P1157" i="5"/>
  <c r="Q1157" i="5" s="1"/>
  <c r="P1201" i="5"/>
  <c r="Q1201" i="5" s="1"/>
  <c r="P1205" i="5"/>
  <c r="Q1205" i="5" s="1"/>
  <c r="J202" i="5"/>
  <c r="K202" i="5" s="1"/>
  <c r="N202" i="5" s="1"/>
  <c r="J218" i="5"/>
  <c r="K218" i="5" s="1"/>
  <c r="N218" i="5" s="1"/>
  <c r="J323" i="5"/>
  <c r="K323" i="5" s="1"/>
  <c r="N323" i="5" s="1"/>
  <c r="J483" i="5"/>
  <c r="K483" i="5" s="1"/>
  <c r="N483" i="5" s="1"/>
  <c r="J551" i="5"/>
  <c r="K551" i="5" s="1"/>
  <c r="N551" i="5" s="1"/>
  <c r="J603" i="5"/>
  <c r="K603" i="5" s="1"/>
  <c r="N603" i="5" s="1"/>
  <c r="J687" i="5"/>
  <c r="K687" i="5" s="1"/>
  <c r="N687" i="5" s="1"/>
  <c r="J343" i="5"/>
  <c r="K343" i="5" s="1"/>
  <c r="N343" i="5" s="1"/>
  <c r="J385" i="5"/>
  <c r="K385" i="5" s="1"/>
  <c r="N385" i="5" s="1"/>
  <c r="J440" i="5"/>
  <c r="K440" i="5" s="1"/>
  <c r="N440" i="5" s="1"/>
  <c r="J544" i="5"/>
  <c r="K544" i="5" s="1"/>
  <c r="N544" i="5" s="1"/>
  <c r="J394" i="5"/>
  <c r="K394" i="5" s="1"/>
  <c r="N394" i="5" s="1"/>
  <c r="J402" i="5"/>
  <c r="K402" i="5" s="1"/>
  <c r="N402" i="5" s="1"/>
  <c r="J497" i="5"/>
  <c r="K497" i="5" s="1"/>
  <c r="N497" i="5" s="1"/>
  <c r="J363" i="5"/>
  <c r="K363" i="5" s="1"/>
  <c r="N363" i="5" s="1"/>
  <c r="J426" i="5"/>
  <c r="K426" i="5" s="1"/>
  <c r="N426" i="5" s="1"/>
  <c r="J450" i="5"/>
  <c r="K450" i="5" s="1"/>
  <c r="N450" i="5" s="1"/>
  <c r="J700" i="5"/>
  <c r="K700" i="5" s="1"/>
  <c r="N700" i="5" s="1"/>
  <c r="J720" i="5"/>
  <c r="K720" i="5" s="1"/>
  <c r="N720" i="5" s="1"/>
  <c r="J845" i="5"/>
  <c r="K845" i="5" s="1"/>
  <c r="N845" i="5" s="1"/>
  <c r="J754" i="5"/>
  <c r="K754" i="5" s="1"/>
  <c r="N754" i="5" s="1"/>
  <c r="J870" i="5"/>
  <c r="K870" i="5" s="1"/>
  <c r="N870" i="5" s="1"/>
  <c r="J1034" i="5"/>
  <c r="K1034" i="5" s="1"/>
  <c r="N1034" i="5" s="1"/>
  <c r="J743" i="5"/>
  <c r="K743" i="5" s="1"/>
  <c r="N743" i="5" s="1"/>
  <c r="J1218" i="5"/>
  <c r="K1218" i="5" s="1"/>
  <c r="N1218" i="5" s="1"/>
  <c r="J1243" i="5"/>
  <c r="K1243" i="5" s="1"/>
  <c r="N1243" i="5" s="1"/>
  <c r="P323" i="5"/>
  <c r="Q323" i="5" s="1"/>
  <c r="P343" i="5"/>
  <c r="Q343" i="5" s="1"/>
  <c r="P363" i="5"/>
  <c r="Q363" i="5" s="1"/>
  <c r="P426" i="5"/>
  <c r="Q426" i="5" s="1"/>
  <c r="P450" i="5"/>
  <c r="Q450" i="5" s="1"/>
  <c r="P754" i="5"/>
  <c r="Q754" i="5" s="1"/>
  <c r="P870" i="5"/>
  <c r="Q870" i="5" s="1"/>
  <c r="P1034" i="5"/>
  <c r="Q1034" i="5" s="1"/>
  <c r="P1218" i="5"/>
  <c r="Q1218" i="5" s="1"/>
  <c r="P483" i="5"/>
  <c r="Q483" i="5" s="1"/>
  <c r="P551" i="5"/>
  <c r="Q551" i="5" s="1"/>
  <c r="P603" i="5"/>
  <c r="Q603" i="5" s="1"/>
  <c r="P687" i="5"/>
  <c r="Q687" i="5" s="1"/>
  <c r="P743" i="5"/>
  <c r="Q743" i="5" s="1"/>
  <c r="P1243" i="5"/>
  <c r="Q1243" i="5" s="1"/>
  <c r="P385" i="5"/>
  <c r="Q385" i="5" s="1"/>
  <c r="P440" i="5"/>
  <c r="Q440" i="5" s="1"/>
  <c r="P544" i="5"/>
  <c r="Q544" i="5" s="1"/>
  <c r="P700" i="5"/>
  <c r="Q700" i="5" s="1"/>
  <c r="P720" i="5"/>
  <c r="Q720" i="5" s="1"/>
  <c r="P202" i="5"/>
  <c r="Q202" i="5" s="1"/>
  <c r="P218" i="5"/>
  <c r="Q218" i="5" s="1"/>
  <c r="P394" i="5"/>
  <c r="Q394" i="5" s="1"/>
  <c r="P402" i="5"/>
  <c r="Q402" i="5" s="1"/>
  <c r="P497" i="5"/>
  <c r="Q497" i="5" s="1"/>
  <c r="P845" i="5"/>
  <c r="Q845" i="5" s="1"/>
  <c r="J312" i="5"/>
  <c r="K312" i="5" s="1"/>
  <c r="N312" i="5" s="1"/>
  <c r="J369" i="5"/>
  <c r="K369" i="5" s="1"/>
  <c r="N369" i="5" s="1"/>
  <c r="J206" i="5"/>
  <c r="K206" i="5" s="1"/>
  <c r="N206" i="5" s="1"/>
  <c r="J435" i="5"/>
  <c r="K435" i="5" s="1"/>
  <c r="N435" i="5" s="1"/>
  <c r="J492" i="5"/>
  <c r="K492" i="5" s="1"/>
  <c r="N492" i="5" s="1"/>
  <c r="J500" i="5"/>
  <c r="K500" i="5" s="1"/>
  <c r="N500" i="5" s="1"/>
  <c r="J596" i="5"/>
  <c r="K596" i="5" s="1"/>
  <c r="N596" i="5" s="1"/>
  <c r="J557" i="5"/>
  <c r="K557" i="5" s="1"/>
  <c r="N557" i="5" s="1"/>
  <c r="J681" i="5"/>
  <c r="K681" i="5" s="1"/>
  <c r="N681" i="5" s="1"/>
  <c r="J1008" i="5"/>
  <c r="K1008" i="5" s="1"/>
  <c r="N1008" i="5" s="1"/>
  <c r="J1116" i="5"/>
  <c r="K1116" i="5" s="1"/>
  <c r="N1116" i="5" s="1"/>
  <c r="J817" i="5"/>
  <c r="K817" i="5" s="1"/>
  <c r="N817" i="5" s="1"/>
  <c r="J1114" i="5"/>
  <c r="K1114" i="5" s="1"/>
  <c r="N1114" i="5" s="1"/>
  <c r="J795" i="5"/>
  <c r="K795" i="5" s="1"/>
  <c r="N795" i="5" s="1"/>
  <c r="J967" i="5"/>
  <c r="K967" i="5" s="1"/>
  <c r="N967" i="5" s="1"/>
  <c r="J1027" i="5"/>
  <c r="K1027" i="5" s="1"/>
  <c r="N1027" i="5" s="1"/>
  <c r="J1273" i="5"/>
  <c r="K1273" i="5" s="1"/>
  <c r="N1273" i="5" s="1"/>
  <c r="J1238" i="5"/>
  <c r="K1238" i="5" s="1"/>
  <c r="N1238" i="5" s="1"/>
  <c r="J1322" i="5"/>
  <c r="K1322" i="5" s="1"/>
  <c r="N1322" i="5" s="1"/>
  <c r="J1382" i="5"/>
  <c r="K1382" i="5" s="1"/>
  <c r="N1382" i="5" s="1"/>
  <c r="J1191" i="5"/>
  <c r="K1191" i="5" s="1"/>
  <c r="N1191" i="5" s="1"/>
  <c r="J1339" i="5"/>
  <c r="K1339" i="5" s="1"/>
  <c r="N1339" i="5" s="1"/>
  <c r="J1160" i="5"/>
  <c r="K1160" i="5" s="1"/>
  <c r="N1160" i="5" s="1"/>
  <c r="P1114" i="5"/>
  <c r="Q1114" i="5" s="1"/>
  <c r="P1238" i="5"/>
  <c r="Q1238" i="5" s="1"/>
  <c r="P1322" i="5"/>
  <c r="Q1322" i="5" s="1"/>
  <c r="P1382" i="5"/>
  <c r="Q1382" i="5" s="1"/>
  <c r="P312" i="5"/>
  <c r="Q312" i="5" s="1"/>
  <c r="P435" i="5"/>
  <c r="Q435" i="5" s="1"/>
  <c r="P795" i="5"/>
  <c r="Q795" i="5" s="1"/>
  <c r="P967" i="5"/>
  <c r="Q967" i="5" s="1"/>
  <c r="P1027" i="5"/>
  <c r="Q1027" i="5" s="1"/>
  <c r="P1191" i="5"/>
  <c r="Q1191" i="5" s="1"/>
  <c r="P1339" i="5"/>
  <c r="Q1339" i="5" s="1"/>
  <c r="P369" i="5"/>
  <c r="Q369" i="5" s="1"/>
  <c r="P492" i="5"/>
  <c r="Q492" i="5" s="1"/>
  <c r="P500" i="5"/>
  <c r="Q500" i="5" s="1"/>
  <c r="P596" i="5"/>
  <c r="Q596" i="5" s="1"/>
  <c r="P1008" i="5"/>
  <c r="Q1008" i="5" s="1"/>
  <c r="P1116" i="5"/>
  <c r="Q1116" i="5" s="1"/>
  <c r="P1160" i="5"/>
  <c r="Q1160" i="5" s="1"/>
  <c r="P206" i="5"/>
  <c r="Q206" i="5" s="1"/>
  <c r="P557" i="5"/>
  <c r="Q557" i="5" s="1"/>
  <c r="P681" i="5"/>
  <c r="Q681" i="5" s="1"/>
  <c r="P817" i="5"/>
  <c r="Q817" i="5" s="1"/>
  <c r="P1273" i="5"/>
  <c r="Q1273" i="5" s="1"/>
  <c r="J1381" i="5"/>
  <c r="K1381" i="5" s="1"/>
  <c r="N1381" i="5" s="1"/>
  <c r="J1541" i="5"/>
  <c r="K1541" i="5" s="1"/>
  <c r="N1541" i="5" s="1"/>
  <c r="J1557" i="5"/>
  <c r="K1557" i="5" s="1"/>
  <c r="N1557" i="5" s="1"/>
  <c r="J1593" i="5"/>
  <c r="K1593" i="5" s="1"/>
  <c r="N1593" i="5" s="1"/>
  <c r="J1621" i="5"/>
  <c r="K1621" i="5" s="1"/>
  <c r="N1621" i="5" s="1"/>
  <c r="J1414" i="5"/>
  <c r="K1414" i="5" s="1"/>
  <c r="N1414" i="5" s="1"/>
  <c r="J1448" i="5"/>
  <c r="K1448" i="5" s="1"/>
  <c r="N1448" i="5" s="1"/>
  <c r="J1452" i="5"/>
  <c r="K1452" i="5" s="1"/>
  <c r="N1452" i="5" s="1"/>
  <c r="J1460" i="5"/>
  <c r="K1460" i="5" s="1"/>
  <c r="N1460" i="5" s="1"/>
  <c r="J1516" i="5"/>
  <c r="K1516" i="5" s="1"/>
  <c r="N1516" i="5" s="1"/>
  <c r="J1640" i="5"/>
  <c r="K1640" i="5" s="1"/>
  <c r="N1640" i="5" s="1"/>
  <c r="J1695" i="5"/>
  <c r="K1695" i="5" s="1"/>
  <c r="N1695" i="5" s="1"/>
  <c r="J1667" i="5"/>
  <c r="K1667" i="5" s="1"/>
  <c r="N1667" i="5" s="1"/>
  <c r="J1710" i="5"/>
  <c r="K1710" i="5" s="1"/>
  <c r="N1710" i="5" s="1"/>
  <c r="J1754" i="5"/>
  <c r="K1754" i="5" s="1"/>
  <c r="N1754" i="5" s="1"/>
  <c r="P1414" i="5"/>
  <c r="Q1414" i="5" s="1"/>
  <c r="P1710" i="5"/>
  <c r="Q1710" i="5" s="1"/>
  <c r="P1754" i="5"/>
  <c r="Q1754" i="5" s="1"/>
  <c r="P1667" i="5"/>
  <c r="Q1667" i="5" s="1"/>
  <c r="P1695" i="5"/>
  <c r="Q1695" i="5" s="1"/>
  <c r="P1448" i="5"/>
  <c r="Q1448" i="5" s="1"/>
  <c r="P1452" i="5"/>
  <c r="Q1452" i="5" s="1"/>
  <c r="P1460" i="5"/>
  <c r="Q1460" i="5" s="1"/>
  <c r="P1516" i="5"/>
  <c r="Q1516" i="5" s="1"/>
  <c r="P1640" i="5"/>
  <c r="Q1640" i="5" s="1"/>
  <c r="P1381" i="5"/>
  <c r="Q1381" i="5" s="1"/>
  <c r="P1541" i="5"/>
  <c r="Q1541" i="5" s="1"/>
  <c r="P1557" i="5"/>
  <c r="Q1557" i="5" s="1"/>
  <c r="P1593" i="5"/>
  <c r="Q1593" i="5" s="1"/>
  <c r="P1621" i="5"/>
  <c r="Q1621" i="5" s="1"/>
  <c r="J1229" i="5"/>
  <c r="K1229" i="5" s="1"/>
  <c r="N1229" i="5" s="1"/>
  <c r="J1297" i="5"/>
  <c r="K1297" i="5" s="1"/>
  <c r="N1297" i="5" s="1"/>
  <c r="J1309" i="5"/>
  <c r="K1309" i="5" s="1"/>
  <c r="N1309" i="5" s="1"/>
  <c r="J1325" i="5"/>
  <c r="K1325" i="5" s="1"/>
  <c r="N1325" i="5" s="1"/>
  <c r="J1357" i="5"/>
  <c r="K1357" i="5" s="1"/>
  <c r="N1357" i="5" s="1"/>
  <c r="J1445" i="5"/>
  <c r="K1445" i="5" s="1"/>
  <c r="N1445" i="5" s="1"/>
  <c r="J1473" i="5"/>
  <c r="K1473" i="5" s="1"/>
  <c r="N1473" i="5" s="1"/>
  <c r="J1489" i="5"/>
  <c r="K1489" i="5" s="1"/>
  <c r="N1489" i="5" s="1"/>
  <c r="J1613" i="5"/>
  <c r="K1613" i="5" s="1"/>
  <c r="N1613" i="5" s="1"/>
  <c r="J1657" i="5"/>
  <c r="K1657" i="5" s="1"/>
  <c r="N1657" i="5" s="1"/>
  <c r="J1234" i="5"/>
  <c r="K1234" i="5" s="1"/>
  <c r="N1234" i="5" s="1"/>
  <c r="J1270" i="5"/>
  <c r="K1270" i="5" s="1"/>
  <c r="N1270" i="5" s="1"/>
  <c r="J1286" i="5"/>
  <c r="K1286" i="5" s="1"/>
  <c r="N1286" i="5" s="1"/>
  <c r="J1290" i="5"/>
  <c r="K1290" i="5" s="1"/>
  <c r="N1290" i="5" s="1"/>
  <c r="J1302" i="5"/>
  <c r="K1302" i="5" s="1"/>
  <c r="N1302" i="5" s="1"/>
  <c r="J1374" i="5"/>
  <c r="K1374" i="5" s="1"/>
  <c r="N1374" i="5" s="1"/>
  <c r="J1394" i="5"/>
  <c r="K1394" i="5" s="1"/>
  <c r="N1394" i="5" s="1"/>
  <c r="J1546" i="5"/>
  <c r="K1546" i="5" s="1"/>
  <c r="N1546" i="5" s="1"/>
  <c r="J1582" i="5"/>
  <c r="K1582" i="5" s="1"/>
  <c r="N1582" i="5" s="1"/>
  <c r="J1614" i="5"/>
  <c r="K1614" i="5" s="1"/>
  <c r="N1614" i="5" s="1"/>
  <c r="J1642" i="5"/>
  <c r="K1642" i="5" s="1"/>
  <c r="N1642" i="5" s="1"/>
  <c r="J1303" i="5"/>
  <c r="K1303" i="5" s="1"/>
  <c r="N1303" i="5" s="1"/>
  <c r="J1307" i="5"/>
  <c r="K1307" i="5" s="1"/>
  <c r="N1307" i="5" s="1"/>
  <c r="J1319" i="5"/>
  <c r="K1319" i="5" s="1"/>
  <c r="N1319" i="5" s="1"/>
  <c r="J1323" i="5"/>
  <c r="K1323" i="5" s="1"/>
  <c r="N1323" i="5" s="1"/>
  <c r="J1399" i="5"/>
  <c r="K1399" i="5" s="1"/>
  <c r="N1399" i="5" s="1"/>
  <c r="J1443" i="5"/>
  <c r="K1443" i="5" s="1"/>
  <c r="N1443" i="5" s="1"/>
  <c r="J1467" i="5"/>
  <c r="K1467" i="5" s="1"/>
  <c r="N1467" i="5" s="1"/>
  <c r="J1475" i="5"/>
  <c r="K1475" i="5" s="1"/>
  <c r="N1475" i="5" s="1"/>
  <c r="J1479" i="5"/>
  <c r="K1479" i="5" s="1"/>
  <c r="N1479" i="5" s="1"/>
  <c r="J1519" i="5"/>
  <c r="K1519" i="5" s="1"/>
  <c r="N1519" i="5" s="1"/>
  <c r="J1583" i="5"/>
  <c r="K1583" i="5" s="1"/>
  <c r="N1583" i="5" s="1"/>
  <c r="J1619" i="5"/>
  <c r="K1619" i="5" s="1"/>
  <c r="N1619" i="5" s="1"/>
  <c r="J1655" i="5"/>
  <c r="K1655" i="5" s="1"/>
  <c r="N1655" i="5" s="1"/>
  <c r="J1240" i="5"/>
  <c r="K1240" i="5" s="1"/>
  <c r="N1240" i="5" s="1"/>
  <c r="J1244" i="5"/>
  <c r="K1244" i="5" s="1"/>
  <c r="N1244" i="5" s="1"/>
  <c r="J1264" i="5"/>
  <c r="K1264" i="5" s="1"/>
  <c r="N1264" i="5" s="1"/>
  <c r="J1268" i="5"/>
  <c r="K1268" i="5" s="1"/>
  <c r="N1268" i="5" s="1"/>
  <c r="J1372" i="5"/>
  <c r="K1372" i="5" s="1"/>
  <c r="N1372" i="5" s="1"/>
  <c r="J1396" i="5"/>
  <c r="K1396" i="5" s="1"/>
  <c r="N1396" i="5" s="1"/>
  <c r="J1468" i="5"/>
  <c r="K1468" i="5" s="1"/>
  <c r="N1468" i="5" s="1"/>
  <c r="J1652" i="5"/>
  <c r="K1652" i="5" s="1"/>
  <c r="N1652" i="5" s="1"/>
  <c r="P1234" i="5"/>
  <c r="Q1234" i="5" s="1"/>
  <c r="P1270" i="5"/>
  <c r="Q1270" i="5" s="1"/>
  <c r="P1286" i="5"/>
  <c r="Q1286" i="5" s="1"/>
  <c r="P1290" i="5"/>
  <c r="Q1290" i="5" s="1"/>
  <c r="P1302" i="5"/>
  <c r="Q1302" i="5" s="1"/>
  <c r="P1374" i="5"/>
  <c r="Q1374" i="5" s="1"/>
  <c r="P1394" i="5"/>
  <c r="Q1394" i="5" s="1"/>
  <c r="P1546" i="5"/>
  <c r="Q1546" i="5" s="1"/>
  <c r="P1582" i="5"/>
  <c r="Q1582" i="5" s="1"/>
  <c r="P1614" i="5"/>
  <c r="Q1614" i="5" s="1"/>
  <c r="P1642" i="5"/>
  <c r="Q1642" i="5" s="1"/>
  <c r="P1303" i="5"/>
  <c r="Q1303" i="5" s="1"/>
  <c r="P1307" i="5"/>
  <c r="Q1307" i="5" s="1"/>
  <c r="P1319" i="5"/>
  <c r="Q1319" i="5" s="1"/>
  <c r="P1323" i="5"/>
  <c r="Q1323" i="5" s="1"/>
  <c r="P1399" i="5"/>
  <c r="Q1399" i="5" s="1"/>
  <c r="P1443" i="5"/>
  <c r="Q1443" i="5" s="1"/>
  <c r="P1467" i="5"/>
  <c r="Q1467" i="5" s="1"/>
  <c r="P1475" i="5"/>
  <c r="Q1475" i="5" s="1"/>
  <c r="P1479" i="5"/>
  <c r="Q1479" i="5" s="1"/>
  <c r="P1519" i="5"/>
  <c r="Q1519" i="5" s="1"/>
  <c r="P1583" i="5"/>
  <c r="Q1583" i="5" s="1"/>
  <c r="P1619" i="5"/>
  <c r="Q1619" i="5" s="1"/>
  <c r="P1655" i="5"/>
  <c r="Q1655" i="5" s="1"/>
  <c r="P1240" i="5"/>
  <c r="Q1240" i="5" s="1"/>
  <c r="P1244" i="5"/>
  <c r="Q1244" i="5" s="1"/>
  <c r="P1264" i="5"/>
  <c r="Q1264" i="5" s="1"/>
  <c r="P1268" i="5"/>
  <c r="Q1268" i="5" s="1"/>
  <c r="P1372" i="5"/>
  <c r="Q1372" i="5" s="1"/>
  <c r="P1396" i="5"/>
  <c r="Q1396" i="5" s="1"/>
  <c r="P1468" i="5"/>
  <c r="Q1468" i="5" s="1"/>
  <c r="P1652" i="5"/>
  <c r="Q1652" i="5" s="1"/>
  <c r="P1229" i="5"/>
  <c r="Q1229" i="5" s="1"/>
  <c r="P1297" i="5"/>
  <c r="Q1297" i="5" s="1"/>
  <c r="P1309" i="5"/>
  <c r="Q1309" i="5" s="1"/>
  <c r="P1325" i="5"/>
  <c r="Q1325" i="5" s="1"/>
  <c r="P1357" i="5"/>
  <c r="Q1357" i="5" s="1"/>
  <c r="P1445" i="5"/>
  <c r="Q1445" i="5" s="1"/>
  <c r="P1473" i="5"/>
  <c r="Q1473" i="5" s="1"/>
  <c r="P1489" i="5"/>
  <c r="Q1489" i="5" s="1"/>
  <c r="P1613" i="5"/>
  <c r="Q1613" i="5" s="1"/>
  <c r="P1657" i="5"/>
  <c r="Q1657" i="5" s="1"/>
  <c r="J651" i="5"/>
  <c r="K651" i="5" s="1"/>
  <c r="N651" i="5" s="1"/>
  <c r="J660" i="5"/>
  <c r="K660" i="5" s="1"/>
  <c r="N660" i="5" s="1"/>
  <c r="J676" i="5"/>
  <c r="K676" i="5" s="1"/>
  <c r="N676" i="5" s="1"/>
  <c r="J684" i="5"/>
  <c r="K684" i="5" s="1"/>
  <c r="N684" i="5" s="1"/>
  <c r="J768" i="5"/>
  <c r="K768" i="5" s="1"/>
  <c r="N768" i="5" s="1"/>
  <c r="J1044" i="5"/>
  <c r="K1044" i="5" s="1"/>
  <c r="N1044" i="5" s="1"/>
  <c r="J789" i="5"/>
  <c r="K789" i="5" s="1"/>
  <c r="N789" i="5" s="1"/>
  <c r="J893" i="5"/>
  <c r="K893" i="5" s="1"/>
  <c r="N893" i="5" s="1"/>
  <c r="J949" i="5"/>
  <c r="K949" i="5" s="1"/>
  <c r="N949" i="5" s="1"/>
  <c r="J1117" i="5"/>
  <c r="K1117" i="5" s="1"/>
  <c r="N1117" i="5" s="1"/>
  <c r="J734" i="5"/>
  <c r="K734" i="5" s="1"/>
  <c r="N734" i="5" s="1"/>
  <c r="J822" i="5"/>
  <c r="K822" i="5" s="1"/>
  <c r="N822" i="5" s="1"/>
  <c r="J886" i="5"/>
  <c r="K886" i="5" s="1"/>
  <c r="N886" i="5" s="1"/>
  <c r="J1010" i="5"/>
  <c r="K1010" i="5" s="1"/>
  <c r="N1010" i="5" s="1"/>
  <c r="J715" i="5"/>
  <c r="K715" i="5" s="1"/>
  <c r="N715" i="5" s="1"/>
  <c r="J787" i="5"/>
  <c r="K787" i="5" s="1"/>
  <c r="N787" i="5" s="1"/>
  <c r="J799" i="5"/>
  <c r="K799" i="5" s="1"/>
  <c r="N799" i="5" s="1"/>
  <c r="J863" i="5"/>
  <c r="K863" i="5" s="1"/>
  <c r="N863" i="5" s="1"/>
  <c r="J971" i="5"/>
  <c r="K971" i="5" s="1"/>
  <c r="N971" i="5" s="1"/>
  <c r="J1137" i="5"/>
  <c r="K1137" i="5" s="1"/>
  <c r="N1137" i="5" s="1"/>
  <c r="J1197" i="5"/>
  <c r="K1197" i="5" s="1"/>
  <c r="N1197" i="5" s="1"/>
  <c r="J1209" i="5"/>
  <c r="K1209" i="5" s="1"/>
  <c r="N1209" i="5" s="1"/>
  <c r="J1217" i="5"/>
  <c r="K1217" i="5" s="1"/>
  <c r="N1217" i="5" s="1"/>
  <c r="J1241" i="5"/>
  <c r="K1241" i="5" s="1"/>
  <c r="N1241" i="5" s="1"/>
  <c r="J1269" i="5"/>
  <c r="K1269" i="5" s="1"/>
  <c r="N1269" i="5" s="1"/>
  <c r="J1333" i="5"/>
  <c r="K1333" i="5" s="1"/>
  <c r="N1333" i="5" s="1"/>
  <c r="J1389" i="5"/>
  <c r="K1389" i="5" s="1"/>
  <c r="N1389" i="5" s="1"/>
  <c r="J1417" i="5"/>
  <c r="K1417" i="5" s="1"/>
  <c r="N1417" i="5" s="1"/>
  <c r="J1437" i="5"/>
  <c r="K1437" i="5" s="1"/>
  <c r="N1437" i="5" s="1"/>
  <c r="J1453" i="5"/>
  <c r="K1453" i="5" s="1"/>
  <c r="N1453" i="5" s="1"/>
  <c r="J1099" i="5"/>
  <c r="K1099" i="5" s="1"/>
  <c r="N1099" i="5" s="1"/>
  <c r="J1338" i="5"/>
  <c r="K1338" i="5" s="1"/>
  <c r="N1338" i="5" s="1"/>
  <c r="J1366" i="5"/>
  <c r="K1366" i="5" s="1"/>
  <c r="N1366" i="5" s="1"/>
  <c r="J1494" i="5"/>
  <c r="K1494" i="5" s="1"/>
  <c r="N1494" i="5" s="1"/>
  <c r="J1538" i="5"/>
  <c r="K1538" i="5" s="1"/>
  <c r="N1538" i="5" s="1"/>
  <c r="J1562" i="5"/>
  <c r="K1562" i="5" s="1"/>
  <c r="N1562" i="5" s="1"/>
  <c r="J1586" i="5"/>
  <c r="K1586" i="5" s="1"/>
  <c r="N1586" i="5" s="1"/>
  <c r="J1129" i="5"/>
  <c r="K1129" i="5" s="1"/>
  <c r="N1129" i="5" s="1"/>
  <c r="J1239" i="5"/>
  <c r="K1239" i="5" s="1"/>
  <c r="N1239" i="5" s="1"/>
  <c r="J1168" i="5"/>
  <c r="K1168" i="5" s="1"/>
  <c r="N1168" i="5" s="1"/>
  <c r="J1276" i="5"/>
  <c r="K1276" i="5" s="1"/>
  <c r="N1276" i="5" s="1"/>
  <c r="J1304" i="5"/>
  <c r="K1304" i="5" s="1"/>
  <c r="N1304" i="5" s="1"/>
  <c r="J1352" i="5"/>
  <c r="K1352" i="5" s="1"/>
  <c r="N1352" i="5" s="1"/>
  <c r="J1428" i="5"/>
  <c r="K1428" i="5" s="1"/>
  <c r="N1428" i="5" s="1"/>
  <c r="J1500" i="5"/>
  <c r="K1500" i="5" s="1"/>
  <c r="N1500" i="5" s="1"/>
  <c r="P734" i="5"/>
  <c r="Q734" i="5" s="1"/>
  <c r="P822" i="5"/>
  <c r="Q822" i="5" s="1"/>
  <c r="P886" i="5"/>
  <c r="Q886" i="5" s="1"/>
  <c r="P1010" i="5"/>
  <c r="Q1010" i="5" s="1"/>
  <c r="P1338" i="5"/>
  <c r="Q1338" i="5" s="1"/>
  <c r="P1366" i="5"/>
  <c r="Q1366" i="5" s="1"/>
  <c r="P1494" i="5"/>
  <c r="Q1494" i="5" s="1"/>
  <c r="P1538" i="5"/>
  <c r="Q1538" i="5" s="1"/>
  <c r="P1562" i="5"/>
  <c r="Q1562" i="5" s="1"/>
  <c r="P1586" i="5"/>
  <c r="Q1586" i="5" s="1"/>
  <c r="P651" i="5"/>
  <c r="Q651" i="5" s="1"/>
  <c r="P715" i="5"/>
  <c r="Q715" i="5" s="1"/>
  <c r="P787" i="5"/>
  <c r="Q787" i="5" s="1"/>
  <c r="P799" i="5"/>
  <c r="Q799" i="5" s="1"/>
  <c r="P863" i="5"/>
  <c r="Q863" i="5" s="1"/>
  <c r="P971" i="5"/>
  <c r="Q971" i="5" s="1"/>
  <c r="P1099" i="5"/>
  <c r="Q1099" i="5" s="1"/>
  <c r="P1239" i="5"/>
  <c r="Q1239" i="5" s="1"/>
  <c r="P660" i="5"/>
  <c r="Q660" i="5" s="1"/>
  <c r="P676" i="5"/>
  <c r="Q676" i="5" s="1"/>
  <c r="P684" i="5"/>
  <c r="Q684" i="5" s="1"/>
  <c r="P768" i="5"/>
  <c r="Q768" i="5" s="1"/>
  <c r="P1044" i="5"/>
  <c r="Q1044" i="5" s="1"/>
  <c r="P1168" i="5"/>
  <c r="Q1168" i="5" s="1"/>
  <c r="P1276" i="5"/>
  <c r="Q1276" i="5" s="1"/>
  <c r="P1304" i="5"/>
  <c r="Q1304" i="5" s="1"/>
  <c r="P1352" i="5"/>
  <c r="Q1352" i="5" s="1"/>
  <c r="P1428" i="5"/>
  <c r="Q1428" i="5" s="1"/>
  <c r="P1500" i="5"/>
  <c r="Q1500" i="5" s="1"/>
  <c r="P789" i="5"/>
  <c r="Q789" i="5" s="1"/>
  <c r="P893" i="5"/>
  <c r="Q893" i="5" s="1"/>
  <c r="P949" i="5"/>
  <c r="Q949" i="5" s="1"/>
  <c r="P1117" i="5"/>
  <c r="Q1117" i="5" s="1"/>
  <c r="P1129" i="5"/>
  <c r="Q1129" i="5" s="1"/>
  <c r="P1137" i="5"/>
  <c r="Q1137" i="5" s="1"/>
  <c r="P1197" i="5"/>
  <c r="Q1197" i="5" s="1"/>
  <c r="P1209" i="5"/>
  <c r="Q1209" i="5" s="1"/>
  <c r="P1217" i="5"/>
  <c r="Q1217" i="5" s="1"/>
  <c r="P1241" i="5"/>
  <c r="Q1241" i="5" s="1"/>
  <c r="P1269" i="5"/>
  <c r="Q1269" i="5" s="1"/>
  <c r="P1333" i="5"/>
  <c r="Q1333" i="5" s="1"/>
  <c r="P1389" i="5"/>
  <c r="Q1389" i="5" s="1"/>
  <c r="P1417" i="5"/>
  <c r="Q1417" i="5" s="1"/>
  <c r="P1437" i="5"/>
  <c r="Q1437" i="5" s="1"/>
  <c r="P1453" i="5"/>
  <c r="Q1453" i="5" s="1"/>
  <c r="J406" i="5"/>
  <c r="K406" i="5" s="1"/>
  <c r="N406" i="5" s="1"/>
  <c r="P406" i="5"/>
  <c r="Q406" i="5" s="1"/>
  <c r="J451" i="5"/>
  <c r="K451" i="5" s="1"/>
  <c r="N451" i="5" s="1"/>
  <c r="J471" i="5"/>
  <c r="K471" i="5" s="1"/>
  <c r="N471" i="5" s="1"/>
  <c r="P451" i="5"/>
  <c r="Q451" i="5" s="1"/>
  <c r="P471" i="5"/>
  <c r="Q471" i="5" s="1"/>
  <c r="J629" i="5"/>
  <c r="K629" i="5" s="1"/>
  <c r="N629" i="5" s="1"/>
  <c r="J586" i="5"/>
  <c r="K586" i="5" s="1"/>
  <c r="N586" i="5" s="1"/>
  <c r="P586" i="5"/>
  <c r="Q586" i="5" s="1"/>
  <c r="P629" i="5"/>
  <c r="Q629" i="5" s="1"/>
  <c r="J337" i="5"/>
  <c r="K337" i="5" s="1"/>
  <c r="N337" i="5" s="1"/>
  <c r="J246" i="5"/>
  <c r="K246" i="5" s="1"/>
  <c r="N246" i="5" s="1"/>
  <c r="P337" i="5"/>
  <c r="Q337" i="5" s="1"/>
  <c r="P246" i="5"/>
  <c r="Q246" i="5" s="1"/>
  <c r="J495" i="5"/>
  <c r="K495" i="5" s="1"/>
  <c r="N495" i="5" s="1"/>
  <c r="J484" i="5"/>
  <c r="K484" i="5" s="1"/>
  <c r="N484" i="5" s="1"/>
  <c r="J513" i="5"/>
  <c r="K513" i="5" s="1"/>
  <c r="N513" i="5" s="1"/>
  <c r="P495" i="5"/>
  <c r="Q495" i="5" s="1"/>
  <c r="P484" i="5"/>
  <c r="Q484" i="5" s="1"/>
  <c r="P513" i="5"/>
  <c r="Q513" i="5" s="1"/>
  <c r="J810" i="5"/>
  <c r="K810" i="5" s="1"/>
  <c r="N810" i="5" s="1"/>
  <c r="J819" i="5"/>
  <c r="K819" i="5" s="1"/>
  <c r="N819" i="5" s="1"/>
  <c r="P810" i="5"/>
  <c r="Q810" i="5" s="1"/>
  <c r="P819" i="5"/>
  <c r="Q819" i="5" s="1"/>
  <c r="J573" i="5"/>
  <c r="K573" i="5" s="1"/>
  <c r="N573" i="5" s="1"/>
  <c r="J609" i="5"/>
  <c r="K609" i="5" s="1"/>
  <c r="N609" i="5" s="1"/>
  <c r="P573" i="5"/>
  <c r="Q573" i="5" s="1"/>
  <c r="P609" i="5"/>
  <c r="Q609" i="5" s="1"/>
  <c r="J572" i="5"/>
  <c r="K572" i="5" s="1"/>
  <c r="N572" i="5" s="1"/>
  <c r="J537" i="5"/>
  <c r="K537" i="5" s="1"/>
  <c r="N537" i="5" s="1"/>
  <c r="J553" i="5"/>
  <c r="K553" i="5" s="1"/>
  <c r="N553" i="5" s="1"/>
  <c r="P572" i="5"/>
  <c r="Q572" i="5" s="1"/>
  <c r="P537" i="5"/>
  <c r="Q537" i="5" s="1"/>
  <c r="P553" i="5"/>
  <c r="Q553" i="5" s="1"/>
  <c r="J3" i="5"/>
  <c r="K3" i="5" s="1"/>
  <c r="N3" i="5" s="1"/>
  <c r="P3" i="5"/>
  <c r="Q3" i="5" s="1"/>
  <c r="J876" i="5"/>
  <c r="K876" i="5" s="1"/>
  <c r="N876" i="5" s="1"/>
  <c r="J854" i="5"/>
  <c r="K854" i="5" s="1"/>
  <c r="N854" i="5" s="1"/>
  <c r="J895" i="5"/>
  <c r="K895" i="5" s="1"/>
  <c r="N895" i="5" s="1"/>
  <c r="P854" i="5"/>
  <c r="Q854" i="5" s="1"/>
  <c r="P895" i="5"/>
  <c r="Q895" i="5" s="1"/>
  <c r="P876" i="5"/>
  <c r="Q876" i="5" s="1"/>
  <c r="J532" i="5"/>
  <c r="K532" i="5" s="1"/>
  <c r="N532" i="5" s="1"/>
  <c r="J689" i="5"/>
  <c r="K689" i="5" s="1"/>
  <c r="N689" i="5" s="1"/>
  <c r="J566" i="5"/>
  <c r="K566" i="5" s="1"/>
  <c r="N566" i="5" s="1"/>
  <c r="J594" i="5"/>
  <c r="K594" i="5" s="1"/>
  <c r="N594" i="5" s="1"/>
  <c r="P566" i="5"/>
  <c r="Q566" i="5" s="1"/>
  <c r="P594" i="5"/>
  <c r="Q594" i="5" s="1"/>
  <c r="P532" i="5"/>
  <c r="Q532" i="5" s="1"/>
  <c r="P689" i="5"/>
  <c r="Q689" i="5" s="1"/>
  <c r="J608" i="5"/>
  <c r="K608" i="5" s="1"/>
  <c r="N608" i="5" s="1"/>
  <c r="J645" i="5"/>
  <c r="K645" i="5" s="1"/>
  <c r="N645" i="5" s="1"/>
  <c r="P608" i="5"/>
  <c r="Q608" i="5" s="1"/>
  <c r="P645" i="5"/>
  <c r="Q645" i="5" s="1"/>
  <c r="J490" i="5"/>
  <c r="K490" i="5" s="1"/>
  <c r="N490" i="5" s="1"/>
  <c r="P490" i="5"/>
  <c r="Q490" i="5" s="1"/>
  <c r="J688" i="5"/>
  <c r="K688" i="5" s="1"/>
  <c r="N688" i="5" s="1"/>
  <c r="J753" i="5"/>
  <c r="K753" i="5" s="1"/>
  <c r="N753" i="5" s="1"/>
  <c r="P688" i="5"/>
  <c r="Q688" i="5" s="1"/>
  <c r="P753" i="5"/>
  <c r="Q753" i="5" s="1"/>
  <c r="J421" i="5"/>
  <c r="K421" i="5" s="1"/>
  <c r="N421" i="5" s="1"/>
  <c r="J375" i="5"/>
  <c r="K375" i="5" s="1"/>
  <c r="N375" i="5" s="1"/>
  <c r="J446" i="5"/>
  <c r="K446" i="5" s="1"/>
  <c r="N446" i="5" s="1"/>
  <c r="P375" i="5"/>
  <c r="Q375" i="5" s="1"/>
  <c r="P446" i="5"/>
  <c r="Q446" i="5" s="1"/>
  <c r="P421" i="5"/>
  <c r="Q421" i="5" s="1"/>
  <c r="J318" i="5"/>
  <c r="K318" i="5" s="1"/>
  <c r="N318" i="5" s="1"/>
  <c r="J364" i="5"/>
  <c r="K364" i="5" s="1"/>
  <c r="N364" i="5" s="1"/>
  <c r="J404" i="5"/>
  <c r="K404" i="5" s="1"/>
  <c r="N404" i="5" s="1"/>
  <c r="P364" i="5"/>
  <c r="Q364" i="5" s="1"/>
  <c r="P404" i="5"/>
  <c r="Q404" i="5" s="1"/>
  <c r="P318" i="5"/>
  <c r="Q318" i="5" s="1"/>
  <c r="J71" i="5"/>
  <c r="K71" i="5" s="1"/>
  <c r="N71" i="5" s="1"/>
  <c r="L30" i="3" s="1"/>
  <c r="J75" i="5"/>
  <c r="K75" i="5" s="1"/>
  <c r="N75" i="5" s="1"/>
  <c r="J79" i="5"/>
  <c r="K79" i="5" s="1"/>
  <c r="N79" i="5" s="1"/>
  <c r="J83" i="5"/>
  <c r="K83" i="5" s="1"/>
  <c r="N83" i="5" s="1"/>
  <c r="J87" i="5"/>
  <c r="K87" i="5" s="1"/>
  <c r="N87" i="5" s="1"/>
  <c r="J91" i="5"/>
  <c r="K91" i="5" s="1"/>
  <c r="N91" i="5" s="1"/>
  <c r="J95" i="5"/>
  <c r="K95" i="5" s="1"/>
  <c r="N95" i="5" s="1"/>
  <c r="J72" i="5"/>
  <c r="K72" i="5" s="1"/>
  <c r="N72" i="5" s="1"/>
  <c r="J76" i="5"/>
  <c r="K76" i="5" s="1"/>
  <c r="N76" i="5" s="1"/>
  <c r="J80" i="5"/>
  <c r="K80" i="5" s="1"/>
  <c r="N80" i="5" s="1"/>
  <c r="L23" i="3" s="1"/>
  <c r="J84" i="5"/>
  <c r="K84" i="5" s="1"/>
  <c r="N84" i="5" s="1"/>
  <c r="J88" i="5"/>
  <c r="K88" i="5" s="1"/>
  <c r="N88" i="5" s="1"/>
  <c r="J92" i="5"/>
  <c r="K92" i="5" s="1"/>
  <c r="N92" i="5" s="1"/>
  <c r="J33" i="5"/>
  <c r="K33" i="5" s="1"/>
  <c r="N33" i="5" s="1"/>
  <c r="J73" i="5"/>
  <c r="K73" i="5" s="1"/>
  <c r="N73" i="5" s="1"/>
  <c r="J77" i="5"/>
  <c r="K77" i="5" s="1"/>
  <c r="N77" i="5" s="1"/>
  <c r="J81" i="5"/>
  <c r="K81" i="5" s="1"/>
  <c r="N81" i="5" s="1"/>
  <c r="J85" i="5"/>
  <c r="K85" i="5" s="1"/>
  <c r="N85" i="5" s="1"/>
  <c r="J89" i="5"/>
  <c r="K89" i="5" s="1"/>
  <c r="N89" i="5" s="1"/>
  <c r="J93" i="5"/>
  <c r="K93" i="5" s="1"/>
  <c r="N93" i="5" s="1"/>
  <c r="J70" i="5"/>
  <c r="K70" i="5" s="1"/>
  <c r="N70" i="5" s="1"/>
  <c r="J74" i="5"/>
  <c r="K74" i="5" s="1"/>
  <c r="N74" i="5" s="1"/>
  <c r="J78" i="5"/>
  <c r="K78" i="5" s="1"/>
  <c r="N78" i="5" s="1"/>
  <c r="J82" i="5"/>
  <c r="K82" i="5" s="1"/>
  <c r="N82" i="5" s="1"/>
  <c r="J86" i="5"/>
  <c r="K86" i="5" s="1"/>
  <c r="N86" i="5" s="1"/>
  <c r="J90" i="5"/>
  <c r="K90" i="5" s="1"/>
  <c r="N90" i="5" s="1"/>
  <c r="P70" i="5"/>
  <c r="Q70" i="5" s="1"/>
  <c r="P74" i="5"/>
  <c r="Q74" i="5" s="1"/>
  <c r="P78" i="5"/>
  <c r="Q78" i="5" s="1"/>
  <c r="P82" i="5"/>
  <c r="Q82" i="5" s="1"/>
  <c r="P86" i="5"/>
  <c r="Q86" i="5" s="1"/>
  <c r="P90" i="5"/>
  <c r="Q90" i="5" s="1"/>
  <c r="P71" i="5"/>
  <c r="Q71" i="5" s="1"/>
  <c r="P75" i="5"/>
  <c r="Q75" i="5" s="1"/>
  <c r="P79" i="5"/>
  <c r="Q79" i="5" s="1"/>
  <c r="P83" i="5"/>
  <c r="Q83" i="5" s="1"/>
  <c r="P87" i="5"/>
  <c r="Q87" i="5" s="1"/>
  <c r="P91" i="5"/>
  <c r="Q91" i="5" s="1"/>
  <c r="P95" i="5"/>
  <c r="Q95" i="5" s="1"/>
  <c r="P72" i="5"/>
  <c r="Q72" i="5" s="1"/>
  <c r="P76" i="5"/>
  <c r="Q76" i="5" s="1"/>
  <c r="P80" i="5"/>
  <c r="Q80" i="5" s="1"/>
  <c r="P84" i="5"/>
  <c r="Q84" i="5" s="1"/>
  <c r="P88" i="5"/>
  <c r="Q88" i="5" s="1"/>
  <c r="P92" i="5"/>
  <c r="Q92" i="5" s="1"/>
  <c r="P85" i="5"/>
  <c r="Q85" i="5" s="1"/>
  <c r="P73" i="5"/>
  <c r="Q73" i="5" s="1"/>
  <c r="P89" i="5"/>
  <c r="Q89" i="5" s="1"/>
  <c r="P77" i="5"/>
  <c r="Q77" i="5" s="1"/>
  <c r="P93" i="5"/>
  <c r="Q93" i="5" s="1"/>
  <c r="P33" i="5"/>
  <c r="Q33" i="5" s="1"/>
  <c r="P81" i="5"/>
  <c r="Q81" i="5" s="1"/>
  <c r="J192" i="5"/>
  <c r="K192" i="5" s="1"/>
  <c r="N192" i="5" s="1"/>
  <c r="P192" i="5"/>
  <c r="Q192" i="5" s="1"/>
  <c r="J248" i="5"/>
  <c r="K248" i="5" s="1"/>
  <c r="N248" i="5" s="1"/>
  <c r="J317" i="5"/>
  <c r="K317" i="5" s="1"/>
  <c r="N317" i="5" s="1"/>
  <c r="J230" i="5"/>
  <c r="K230" i="5" s="1"/>
  <c r="N230" i="5" s="1"/>
  <c r="P248" i="5"/>
  <c r="Q248" i="5" s="1"/>
  <c r="P317" i="5"/>
  <c r="Q317" i="5" s="1"/>
  <c r="P230" i="5"/>
  <c r="Q230" i="5" s="1"/>
  <c r="J30" i="3"/>
  <c r="M30" i="3"/>
  <c r="M23" i="3"/>
  <c r="J23" i="3"/>
  <c r="K23" i="3"/>
  <c r="K30" i="3"/>
  <c r="G23" i="3"/>
  <c r="G30" i="3"/>
  <c r="E30" i="3"/>
  <c r="D23" i="3"/>
  <c r="F23" i="3"/>
  <c r="D30" i="3"/>
  <c r="C27" i="3"/>
  <c r="M27" i="3" s="1"/>
  <c r="C26" i="3"/>
  <c r="M26" i="3" s="1"/>
  <c r="C29" i="3"/>
  <c r="M29" i="3" s="1"/>
  <c r="C25" i="3"/>
  <c r="M25" i="3" s="1"/>
  <c r="C28" i="3"/>
  <c r="M28" i="3" s="1"/>
  <c r="C24" i="3"/>
  <c r="M24" i="3" s="1"/>
  <c r="J10" i="3"/>
  <c r="N10" i="3"/>
  <c r="D10" i="3"/>
  <c r="E10" i="3"/>
  <c r="G10" i="3"/>
  <c r="F10" i="3"/>
  <c r="H10" i="3"/>
  <c r="M10" i="3" s="1"/>
  <c r="Q2641" i="5" l="1"/>
  <c r="P10" i="3"/>
  <c r="O10" i="3"/>
  <c r="H23" i="3"/>
  <c r="I30" i="3"/>
  <c r="I23" i="3"/>
  <c r="H30" i="3"/>
  <c r="J29" i="3"/>
  <c r="I29" i="3"/>
  <c r="L29" i="3"/>
  <c r="K29" i="3"/>
  <c r="J25" i="3"/>
  <c r="I25" i="3"/>
  <c r="L25" i="3"/>
  <c r="K25" i="3"/>
  <c r="I24" i="3"/>
  <c r="L24" i="3"/>
  <c r="J24" i="3"/>
  <c r="K24" i="3"/>
  <c r="K26" i="3"/>
  <c r="J26" i="3"/>
  <c r="I26" i="3"/>
  <c r="L26" i="3"/>
  <c r="I28" i="3"/>
  <c r="L28" i="3"/>
  <c r="K28" i="3"/>
  <c r="J28" i="3"/>
  <c r="L27" i="3"/>
  <c r="K27" i="3"/>
  <c r="J27" i="3"/>
  <c r="I27" i="3"/>
  <c r="H28" i="3"/>
  <c r="G28" i="3"/>
  <c r="G27" i="3"/>
  <c r="H27" i="3"/>
  <c r="G29" i="3"/>
  <c r="H29" i="3"/>
  <c r="H24" i="3"/>
  <c r="G24" i="3"/>
  <c r="H26" i="3"/>
  <c r="G26" i="3"/>
  <c r="G25" i="3"/>
  <c r="H25" i="3"/>
  <c r="F29" i="3"/>
  <c r="E29" i="3"/>
  <c r="D29" i="3"/>
  <c r="F25" i="3"/>
  <c r="E25" i="3"/>
  <c r="D25" i="3"/>
  <c r="F24" i="3"/>
  <c r="E24" i="3"/>
  <c r="D24" i="3"/>
  <c r="D26" i="3"/>
  <c r="F26" i="3"/>
  <c r="E26" i="3"/>
  <c r="F28" i="3"/>
  <c r="E28" i="3"/>
  <c r="D28" i="3"/>
  <c r="F27" i="3"/>
  <c r="E27" i="3"/>
  <c r="D27" i="3"/>
  <c r="L10" i="3"/>
  <c r="B11" i="3" l="1"/>
  <c r="K11" i="3" s="1"/>
  <c r="B12" i="3" l="1"/>
  <c r="K12" i="3" s="1"/>
  <c r="C11" i="3"/>
  <c r="F11" i="3" s="1"/>
  <c r="J11" i="3" l="1"/>
  <c r="P11" i="3"/>
  <c r="O11" i="3"/>
  <c r="N11" i="3"/>
  <c r="E11" i="3"/>
  <c r="I11" i="3"/>
  <c r="D11" i="3"/>
  <c r="H11" i="3"/>
  <c r="M11" i="3" s="1"/>
  <c r="G11" i="3"/>
  <c r="B13" i="3"/>
  <c r="K13" i="3" s="1"/>
  <c r="C12" i="3"/>
  <c r="L11" i="3" l="1"/>
  <c r="J12" i="3"/>
  <c r="P12" i="3"/>
  <c r="O12" i="3"/>
  <c r="N12" i="3"/>
  <c r="H12" i="3"/>
  <c r="M12" i="3" s="1"/>
  <c r="E12" i="3"/>
  <c r="I12" i="3"/>
  <c r="F12" i="3"/>
  <c r="D12" i="3"/>
  <c r="G12" i="3"/>
  <c r="B14" i="3"/>
  <c r="K14" i="3" s="1"/>
  <c r="C13" i="3"/>
  <c r="L12" i="3" l="1"/>
  <c r="J13" i="3"/>
  <c r="P13" i="3"/>
  <c r="O13" i="3"/>
  <c r="N13" i="3"/>
  <c r="G13" i="3"/>
  <c r="F13" i="3"/>
  <c r="D13" i="3"/>
  <c r="H13" i="3"/>
  <c r="E13" i="3"/>
  <c r="I13" i="3"/>
  <c r="B15" i="3"/>
  <c r="K15" i="3" s="1"/>
  <c r="C14" i="3"/>
  <c r="L13" i="3" l="1"/>
  <c r="M13" i="3"/>
  <c r="J14" i="3"/>
  <c r="O14" i="3"/>
  <c r="P14" i="3"/>
  <c r="N14" i="3"/>
  <c r="F14" i="3"/>
  <c r="D14" i="3"/>
  <c r="G14" i="3"/>
  <c r="E14" i="3"/>
  <c r="H14" i="3"/>
  <c r="M14" i="3" s="1"/>
  <c r="I14" i="3"/>
  <c r="B16" i="3"/>
  <c r="K16" i="3" s="1"/>
  <c r="C15" i="3"/>
  <c r="L14" i="3" l="1"/>
  <c r="J15" i="3"/>
  <c r="P15" i="3"/>
  <c r="O15" i="3"/>
  <c r="N15" i="3"/>
  <c r="E15" i="3"/>
  <c r="I15" i="3"/>
  <c r="D15" i="3"/>
  <c r="F15" i="3"/>
  <c r="G15" i="3"/>
  <c r="H15" i="3"/>
  <c r="M15" i="3" s="1"/>
  <c r="B17" i="3"/>
  <c r="C16" i="3"/>
  <c r="L15" i="3" l="1"/>
  <c r="J16" i="3"/>
  <c r="P16" i="3"/>
  <c r="O16" i="3"/>
  <c r="N16" i="3"/>
  <c r="C17" i="3"/>
  <c r="E17" i="3" s="1"/>
  <c r="K17" i="3"/>
  <c r="H16" i="3"/>
  <c r="M16" i="3" s="1"/>
  <c r="E16" i="3"/>
  <c r="I16" i="3"/>
  <c r="D16" i="3"/>
  <c r="G16" i="3"/>
  <c r="F16" i="3"/>
  <c r="L16" i="3" l="1"/>
  <c r="F17" i="3"/>
  <c r="J17" i="3"/>
  <c r="P17" i="3"/>
  <c r="O17" i="3"/>
  <c r="N17" i="3"/>
  <c r="D17" i="3"/>
  <c r="H17" i="3"/>
  <c r="M17" i="3" s="1"/>
  <c r="I17" i="3"/>
  <c r="G17" i="3"/>
  <c r="L17" i="3" l="1"/>
  <c r="I2" i="1" l="1"/>
  <c r="I380" i="1"/>
  <c r="I536" i="1"/>
  <c r="I535" i="1"/>
  <c r="I534" i="1"/>
  <c r="I533" i="1"/>
  <c r="I532" i="1"/>
  <c r="I531" i="1"/>
  <c r="I530" i="1"/>
  <c r="I529" i="1"/>
  <c r="I528" i="1"/>
  <c r="I527" i="1"/>
  <c r="I526" i="1"/>
  <c r="I525" i="1"/>
  <c r="I524" i="1"/>
  <c r="I523" i="1"/>
  <c r="I522" i="1"/>
  <c r="I521" i="1"/>
  <c r="I520" i="1"/>
  <c r="I519" i="1"/>
  <c r="I518" i="1"/>
  <c r="I517" i="1"/>
  <c r="I516" i="1"/>
  <c r="I515" i="1"/>
  <c r="I514" i="1"/>
  <c r="I513" i="1"/>
  <c r="I512" i="1"/>
  <c r="K511" i="1"/>
  <c r="I511" i="1"/>
  <c r="K510" i="1"/>
  <c r="I510" i="1"/>
  <c r="K509" i="1"/>
  <c r="I509" i="1"/>
  <c r="K508" i="1"/>
  <c r="I508" i="1"/>
  <c r="K507" i="1"/>
  <c r="I507" i="1"/>
  <c r="I506" i="1"/>
  <c r="K505" i="1"/>
  <c r="I505" i="1"/>
  <c r="K504" i="1"/>
  <c r="I504" i="1"/>
  <c r="K503" i="1"/>
  <c r="I503" i="1"/>
  <c r="K502" i="1"/>
  <c r="I502" i="1"/>
  <c r="K501" i="1"/>
  <c r="I501" i="1"/>
  <c r="K500" i="1"/>
  <c r="I500" i="1"/>
  <c r="K499" i="1"/>
  <c r="I499" i="1"/>
  <c r="K498" i="1"/>
  <c r="I498" i="1"/>
  <c r="K497" i="1"/>
  <c r="I497" i="1"/>
  <c r="K496" i="1"/>
  <c r="I496" i="1"/>
  <c r="K495" i="1"/>
  <c r="I495" i="1"/>
  <c r="K494" i="1"/>
  <c r="I494" i="1"/>
  <c r="K493" i="1"/>
  <c r="I493" i="1"/>
  <c r="L493" i="1" s="1"/>
  <c r="O493" i="1" s="1"/>
  <c r="K492" i="1"/>
  <c r="I492" i="1"/>
  <c r="K491" i="1"/>
  <c r="I491" i="1"/>
  <c r="L491" i="1" s="1"/>
  <c r="O491" i="1" s="1"/>
  <c r="K490" i="1"/>
  <c r="I490" i="1"/>
  <c r="K489" i="1"/>
  <c r="I489" i="1"/>
  <c r="K488" i="1"/>
  <c r="I488" i="1"/>
  <c r="K487" i="1"/>
  <c r="I487" i="1"/>
  <c r="K486" i="1"/>
  <c r="I486" i="1"/>
  <c r="K485" i="1"/>
  <c r="I485" i="1"/>
  <c r="K484" i="1"/>
  <c r="I484" i="1"/>
  <c r="K483" i="1"/>
  <c r="I483" i="1"/>
  <c r="K482" i="1"/>
  <c r="I482" i="1"/>
  <c r="K481" i="1"/>
  <c r="I481" i="1"/>
  <c r="K480" i="1"/>
  <c r="I480" i="1"/>
  <c r="K479" i="1"/>
  <c r="I479" i="1"/>
  <c r="K478" i="1"/>
  <c r="I478" i="1"/>
  <c r="K477" i="1"/>
  <c r="I477" i="1"/>
  <c r="K476" i="1"/>
  <c r="I476" i="1"/>
  <c r="K475" i="1"/>
  <c r="I475" i="1"/>
  <c r="L475" i="1" s="1"/>
  <c r="O475" i="1" s="1"/>
  <c r="K474" i="1"/>
  <c r="I474" i="1"/>
  <c r="K473" i="1"/>
  <c r="I473" i="1"/>
  <c r="K472" i="1"/>
  <c r="I472" i="1"/>
  <c r="K471" i="1"/>
  <c r="I471" i="1"/>
  <c r="K470" i="1"/>
  <c r="I470" i="1"/>
  <c r="K469" i="1"/>
  <c r="I469" i="1"/>
  <c r="K468" i="1"/>
  <c r="I468" i="1"/>
  <c r="K467" i="1"/>
  <c r="I467" i="1"/>
  <c r="K466" i="1"/>
  <c r="I466" i="1"/>
  <c r="K465" i="1"/>
  <c r="I465" i="1"/>
  <c r="K464" i="1"/>
  <c r="I464" i="1"/>
  <c r="K463" i="1"/>
  <c r="I463" i="1"/>
  <c r="K462" i="1"/>
  <c r="I462" i="1"/>
  <c r="K461" i="1"/>
  <c r="I461" i="1"/>
  <c r="K460" i="1"/>
  <c r="I460" i="1"/>
  <c r="I459" i="1"/>
  <c r="I458" i="1"/>
  <c r="I457" i="1"/>
  <c r="I456" i="1"/>
  <c r="I455" i="1"/>
  <c r="I454" i="1"/>
  <c r="I453" i="1"/>
  <c r="I452" i="1"/>
  <c r="I451" i="1"/>
  <c r="I450" i="1"/>
  <c r="I449" i="1"/>
  <c r="I448" i="1"/>
  <c r="I447" i="1"/>
  <c r="I446" i="1"/>
  <c r="I445" i="1"/>
  <c r="I444" i="1"/>
  <c r="I443" i="1"/>
  <c r="I442" i="1"/>
  <c r="I441" i="1"/>
  <c r="I440" i="1"/>
  <c r="I439" i="1"/>
  <c r="I438" i="1"/>
  <c r="I437" i="1"/>
  <c r="I436" i="1"/>
  <c r="I435" i="1"/>
  <c r="I434" i="1"/>
  <c r="I433" i="1"/>
  <c r="I432" i="1"/>
  <c r="I431" i="1"/>
  <c r="I430" i="1"/>
  <c r="I429" i="1"/>
  <c r="I428" i="1"/>
  <c r="I427" i="1"/>
  <c r="I426" i="1"/>
  <c r="I425" i="1"/>
  <c r="I424" i="1"/>
  <c r="I423" i="1"/>
  <c r="I422" i="1"/>
  <c r="I421" i="1"/>
  <c r="I420" i="1"/>
  <c r="I419" i="1"/>
  <c r="I418" i="1"/>
  <c r="I417" i="1"/>
  <c r="K416" i="1"/>
  <c r="I416" i="1"/>
  <c r="K415" i="1"/>
  <c r="I415" i="1"/>
  <c r="K414" i="1"/>
  <c r="I414" i="1"/>
  <c r="K413" i="1"/>
  <c r="I413" i="1"/>
  <c r="K412" i="1"/>
  <c r="I412" i="1"/>
  <c r="I411" i="1"/>
  <c r="I410" i="1"/>
  <c r="I409" i="1"/>
  <c r="I408" i="1"/>
  <c r="I407" i="1"/>
  <c r="I406" i="1"/>
  <c r="I405" i="1"/>
  <c r="I404" i="1"/>
  <c r="I403" i="1"/>
  <c r="I402" i="1"/>
  <c r="I401" i="1"/>
  <c r="I400" i="1"/>
  <c r="I399" i="1"/>
  <c r="I398" i="1"/>
  <c r="I397" i="1"/>
  <c r="K397" i="1" s="1"/>
  <c r="I396" i="1"/>
  <c r="I395" i="1"/>
  <c r="K395" i="1" s="1"/>
  <c r="I394" i="1"/>
  <c r="I393" i="1"/>
  <c r="K393" i="1" s="1"/>
  <c r="I392" i="1"/>
  <c r="I391" i="1"/>
  <c r="K391" i="1" s="1"/>
  <c r="I390" i="1"/>
  <c r="I389" i="1"/>
  <c r="K389" i="1" s="1"/>
  <c r="I388" i="1"/>
  <c r="I387" i="1"/>
  <c r="K387" i="1" s="1"/>
  <c r="I386" i="1"/>
  <c r="K386" i="1" s="1"/>
  <c r="I385" i="1"/>
  <c r="I384" i="1"/>
  <c r="K384" i="1" s="1"/>
  <c r="I383" i="1"/>
  <c r="I382" i="1"/>
  <c r="I381" i="1"/>
  <c r="I379" i="1"/>
  <c r="I378" i="1"/>
  <c r="I377" i="1"/>
  <c r="I376" i="1"/>
  <c r="I375" i="1"/>
  <c r="I374" i="1"/>
  <c r="K373" i="1"/>
  <c r="I373" i="1"/>
  <c r="K372" i="1"/>
  <c r="I372" i="1"/>
  <c r="K371" i="1"/>
  <c r="I371" i="1"/>
  <c r="K370" i="1"/>
  <c r="I370" i="1"/>
  <c r="K369" i="1"/>
  <c r="I369" i="1"/>
  <c r="K368" i="1"/>
  <c r="I368" i="1"/>
  <c r="K367" i="1"/>
  <c r="I367" i="1"/>
  <c r="K366" i="1"/>
  <c r="I366" i="1"/>
  <c r="K365" i="1"/>
  <c r="I365" i="1"/>
  <c r="K364" i="1"/>
  <c r="I364" i="1"/>
  <c r="K363" i="1"/>
  <c r="I363" i="1"/>
  <c r="K362" i="1"/>
  <c r="I362" i="1"/>
  <c r="K361" i="1"/>
  <c r="I361" i="1"/>
  <c r="K360" i="1"/>
  <c r="I360" i="1"/>
  <c r="K359" i="1"/>
  <c r="I359" i="1"/>
  <c r="K358" i="1"/>
  <c r="I358" i="1"/>
  <c r="K357" i="1"/>
  <c r="I357" i="1"/>
  <c r="K356" i="1"/>
  <c r="I356" i="1"/>
  <c r="K355" i="1"/>
  <c r="I355" i="1"/>
  <c r="K354" i="1"/>
  <c r="I354" i="1"/>
  <c r="K353" i="1"/>
  <c r="I353" i="1"/>
  <c r="K352" i="1"/>
  <c r="I352" i="1"/>
  <c r="K351" i="1"/>
  <c r="I351" i="1"/>
  <c r="K350" i="1"/>
  <c r="I350" i="1"/>
  <c r="K349" i="1"/>
  <c r="I349" i="1"/>
  <c r="K348" i="1"/>
  <c r="I348" i="1"/>
  <c r="K347" i="1"/>
  <c r="I347" i="1"/>
  <c r="K346" i="1"/>
  <c r="I346" i="1"/>
  <c r="K345" i="1"/>
  <c r="I345" i="1"/>
  <c r="K344" i="1"/>
  <c r="I344" i="1"/>
  <c r="K343" i="1"/>
  <c r="I343" i="1"/>
  <c r="K342" i="1"/>
  <c r="I342" i="1"/>
  <c r="K341" i="1"/>
  <c r="I341" i="1"/>
  <c r="K340" i="1"/>
  <c r="I340" i="1"/>
  <c r="K339" i="1"/>
  <c r="I339" i="1"/>
  <c r="K338" i="1"/>
  <c r="I338" i="1"/>
  <c r="K337" i="1"/>
  <c r="I337" i="1"/>
  <c r="K336" i="1"/>
  <c r="I336" i="1"/>
  <c r="K335" i="1"/>
  <c r="I335" i="1"/>
  <c r="K334" i="1"/>
  <c r="I334" i="1"/>
  <c r="K333" i="1"/>
  <c r="I333" i="1"/>
  <c r="K332" i="1"/>
  <c r="I332" i="1"/>
  <c r="K331" i="1"/>
  <c r="I331" i="1"/>
  <c r="K330" i="1"/>
  <c r="I330" i="1"/>
  <c r="K329" i="1"/>
  <c r="I329" i="1"/>
  <c r="K328" i="1"/>
  <c r="I328" i="1"/>
  <c r="K327" i="1"/>
  <c r="I327" i="1"/>
  <c r="K326" i="1"/>
  <c r="I326" i="1"/>
  <c r="K325" i="1"/>
  <c r="I325" i="1"/>
  <c r="K324" i="1"/>
  <c r="I324" i="1"/>
  <c r="K323" i="1"/>
  <c r="I323" i="1"/>
  <c r="K322" i="1"/>
  <c r="I322" i="1"/>
  <c r="K321" i="1"/>
  <c r="I321" i="1"/>
  <c r="K320" i="1"/>
  <c r="I320" i="1"/>
  <c r="K319" i="1"/>
  <c r="I319" i="1"/>
  <c r="K318" i="1"/>
  <c r="I318" i="1"/>
  <c r="K317" i="1"/>
  <c r="I317" i="1"/>
  <c r="K316" i="1"/>
  <c r="I316" i="1"/>
  <c r="K315" i="1"/>
  <c r="I315" i="1"/>
  <c r="K314" i="1"/>
  <c r="I314" i="1"/>
  <c r="K313" i="1"/>
  <c r="I313" i="1"/>
  <c r="K312" i="1"/>
  <c r="I312" i="1"/>
  <c r="K311" i="1"/>
  <c r="I311" i="1"/>
  <c r="K310" i="1"/>
  <c r="I310" i="1"/>
  <c r="K309" i="1"/>
  <c r="I309" i="1"/>
  <c r="K308" i="1"/>
  <c r="I308" i="1"/>
  <c r="K307" i="1"/>
  <c r="I307" i="1"/>
  <c r="K306" i="1"/>
  <c r="I306" i="1"/>
  <c r="K305" i="1"/>
  <c r="I305" i="1"/>
  <c r="K304" i="1"/>
  <c r="I304" i="1"/>
  <c r="K303" i="1"/>
  <c r="I303" i="1"/>
  <c r="K302" i="1"/>
  <c r="I302" i="1"/>
  <c r="K301" i="1"/>
  <c r="I301" i="1"/>
  <c r="K300" i="1"/>
  <c r="I300" i="1"/>
  <c r="K299" i="1"/>
  <c r="I299" i="1"/>
  <c r="K298" i="1"/>
  <c r="I298" i="1"/>
  <c r="K297" i="1"/>
  <c r="I297" i="1"/>
  <c r="K296" i="1"/>
  <c r="I296" i="1"/>
  <c r="K295" i="1"/>
  <c r="I295" i="1"/>
  <c r="K294" i="1"/>
  <c r="I294" i="1"/>
  <c r="K293" i="1"/>
  <c r="I293" i="1"/>
  <c r="I292" i="1"/>
  <c r="K292" i="1" s="1"/>
  <c r="L292" i="1" s="1"/>
  <c r="O292" i="1" s="1"/>
  <c r="I291" i="1"/>
  <c r="I290" i="1"/>
  <c r="K290" i="1" s="1"/>
  <c r="I289" i="1"/>
  <c r="K289" i="1" s="1"/>
  <c r="L289" i="1" s="1"/>
  <c r="O289" i="1" s="1"/>
  <c r="I288" i="1"/>
  <c r="I287" i="1"/>
  <c r="I286" i="1"/>
  <c r="K286" i="1" s="1"/>
  <c r="L286" i="1" s="1"/>
  <c r="O286" i="1" s="1"/>
  <c r="I285" i="1"/>
  <c r="K285" i="1" s="1"/>
  <c r="L285" i="1" s="1"/>
  <c r="O285" i="1" s="1"/>
  <c r="I284" i="1"/>
  <c r="K284" i="1" s="1"/>
  <c r="L284" i="1" s="1"/>
  <c r="O284" i="1" s="1"/>
  <c r="I283" i="1"/>
  <c r="K283" i="1" s="1"/>
  <c r="L283" i="1" s="1"/>
  <c r="O283" i="1" s="1"/>
  <c r="I282" i="1"/>
  <c r="K282" i="1" s="1"/>
  <c r="L282" i="1" s="1"/>
  <c r="O282" i="1" s="1"/>
  <c r="I281" i="1"/>
  <c r="K281" i="1" s="1"/>
  <c r="L281" i="1" s="1"/>
  <c r="O281" i="1" s="1"/>
  <c r="I280" i="1"/>
  <c r="K280" i="1" s="1"/>
  <c r="L280" i="1" s="1"/>
  <c r="O280" i="1" s="1"/>
  <c r="I279" i="1"/>
  <c r="K279" i="1" s="1"/>
  <c r="L279" i="1" s="1"/>
  <c r="O279" i="1" s="1"/>
  <c r="I278" i="1"/>
  <c r="K278" i="1" s="1"/>
  <c r="L278" i="1" s="1"/>
  <c r="O278" i="1" s="1"/>
  <c r="I277" i="1"/>
  <c r="K277" i="1" s="1"/>
  <c r="L277" i="1" s="1"/>
  <c r="O277" i="1" s="1"/>
  <c r="I276" i="1"/>
  <c r="K276" i="1" s="1"/>
  <c r="L276" i="1" s="1"/>
  <c r="O276" i="1" s="1"/>
  <c r="K275" i="1"/>
  <c r="I275" i="1"/>
  <c r="I274" i="1"/>
  <c r="I273" i="1"/>
  <c r="K273" i="1" s="1"/>
  <c r="I272" i="1"/>
  <c r="I271" i="1"/>
  <c r="K271" i="1" s="1"/>
  <c r="I270" i="1"/>
  <c r="I269" i="1"/>
  <c r="K269" i="1" s="1"/>
  <c r="K268" i="1"/>
  <c r="I268" i="1"/>
  <c r="K267" i="1"/>
  <c r="I267" i="1"/>
  <c r="K266" i="1"/>
  <c r="I266" i="1"/>
  <c r="I265" i="1"/>
  <c r="I264" i="1"/>
  <c r="K264" i="1" s="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K235" i="1"/>
  <c r="I235" i="1"/>
  <c r="K234" i="1"/>
  <c r="I234" i="1"/>
  <c r="K233" i="1"/>
  <c r="I233" i="1"/>
  <c r="K232" i="1"/>
  <c r="I232" i="1"/>
  <c r="I231" i="1"/>
  <c r="K231" i="1" s="1"/>
  <c r="L231" i="1" s="1"/>
  <c r="O231" i="1" s="1"/>
  <c r="L412" i="1" l="1"/>
  <c r="O412" i="1" s="1"/>
  <c r="L414" i="1"/>
  <c r="O414" i="1" s="1"/>
  <c r="L416" i="1"/>
  <c r="O416" i="1" s="1"/>
  <c r="L478" i="1"/>
  <c r="O478" i="1" s="1"/>
  <c r="L482" i="1"/>
  <c r="O482" i="1" s="1"/>
  <c r="L293" i="1"/>
  <c r="O293" i="1" s="1"/>
  <c r="L295" i="1"/>
  <c r="O295" i="1" s="1"/>
  <c r="L297" i="1"/>
  <c r="O297" i="1" s="1"/>
  <c r="L299" i="1"/>
  <c r="O299" i="1" s="1"/>
  <c r="L301" i="1"/>
  <c r="O301" i="1" s="1"/>
  <c r="L303" i="1"/>
  <c r="O303" i="1" s="1"/>
  <c r="L305" i="1"/>
  <c r="O305" i="1" s="1"/>
  <c r="L307" i="1"/>
  <c r="O307" i="1" s="1"/>
  <c r="L309" i="1"/>
  <c r="O309" i="1" s="1"/>
  <c r="L311" i="1"/>
  <c r="O311" i="1" s="1"/>
  <c r="L313" i="1"/>
  <c r="O313" i="1" s="1"/>
  <c r="L315" i="1"/>
  <c r="O315" i="1" s="1"/>
  <c r="L317" i="1"/>
  <c r="O317" i="1" s="1"/>
  <c r="L319" i="1"/>
  <c r="O319" i="1" s="1"/>
  <c r="L321" i="1"/>
  <c r="O321" i="1" s="1"/>
  <c r="L323" i="1"/>
  <c r="O323" i="1" s="1"/>
  <c r="L325" i="1"/>
  <c r="O325" i="1" s="1"/>
  <c r="L327" i="1"/>
  <c r="O327" i="1" s="1"/>
  <c r="L329" i="1"/>
  <c r="O329" i="1" s="1"/>
  <c r="L331" i="1"/>
  <c r="O331" i="1" s="1"/>
  <c r="L333" i="1"/>
  <c r="O333" i="1" s="1"/>
  <c r="L335" i="1"/>
  <c r="O335" i="1" s="1"/>
  <c r="L337" i="1"/>
  <c r="O337" i="1" s="1"/>
  <c r="L339" i="1"/>
  <c r="O339" i="1" s="1"/>
  <c r="L341" i="1"/>
  <c r="O341" i="1" s="1"/>
  <c r="L343" i="1"/>
  <c r="O343" i="1" s="1"/>
  <c r="L345" i="1"/>
  <c r="O345" i="1" s="1"/>
  <c r="L347" i="1"/>
  <c r="O347" i="1" s="1"/>
  <c r="L349" i="1"/>
  <c r="O349" i="1" s="1"/>
  <c r="L351" i="1"/>
  <c r="O351" i="1" s="1"/>
  <c r="L353" i="1"/>
  <c r="O353" i="1" s="1"/>
  <c r="L355" i="1"/>
  <c r="O355" i="1" s="1"/>
  <c r="L357" i="1"/>
  <c r="O357" i="1" s="1"/>
  <c r="L359" i="1"/>
  <c r="O359" i="1" s="1"/>
  <c r="L361" i="1"/>
  <c r="O361" i="1" s="1"/>
  <c r="L363" i="1"/>
  <c r="O363" i="1" s="1"/>
  <c r="L365" i="1"/>
  <c r="O365" i="1" s="1"/>
  <c r="L367" i="1"/>
  <c r="O367" i="1" s="1"/>
  <c r="L369" i="1"/>
  <c r="O369" i="1" s="1"/>
  <c r="L371" i="1"/>
  <c r="O371" i="1" s="1"/>
  <c r="L472" i="1"/>
  <c r="O472" i="1" s="1"/>
  <c r="L474" i="1"/>
  <c r="O474" i="1" s="1"/>
  <c r="L485" i="1"/>
  <c r="O485" i="1" s="1"/>
  <c r="L473" i="1"/>
  <c r="O473" i="1" s="1"/>
  <c r="L479" i="1"/>
  <c r="O479" i="1" s="1"/>
  <c r="L489" i="1"/>
  <c r="O489" i="1" s="1"/>
  <c r="L233" i="1"/>
  <c r="O233" i="1" s="1"/>
  <c r="L413" i="1"/>
  <c r="O413" i="1" s="1"/>
  <c r="L415" i="1"/>
  <c r="O415" i="1" s="1"/>
  <c r="L484" i="1"/>
  <c r="O484" i="1" s="1"/>
  <c r="L486" i="1"/>
  <c r="O486" i="1" s="1"/>
  <c r="L488" i="1"/>
  <c r="O488" i="1" s="1"/>
  <c r="L490" i="1"/>
  <c r="O490" i="1" s="1"/>
  <c r="L460" i="1"/>
  <c r="O460" i="1" s="1"/>
  <c r="L462" i="1"/>
  <c r="O462" i="1" s="1"/>
  <c r="L464" i="1"/>
  <c r="O464" i="1" s="1"/>
  <c r="L466" i="1"/>
  <c r="O466" i="1" s="1"/>
  <c r="L468" i="1"/>
  <c r="O468" i="1" s="1"/>
  <c r="L470" i="1"/>
  <c r="O470" i="1" s="1"/>
  <c r="L476" i="1"/>
  <c r="O476" i="1" s="1"/>
  <c r="L481" i="1"/>
  <c r="O481" i="1" s="1"/>
  <c r="L483" i="1"/>
  <c r="O483" i="1" s="1"/>
  <c r="L492" i="1"/>
  <c r="O492" i="1" s="1"/>
  <c r="L494" i="1"/>
  <c r="O494" i="1" s="1"/>
  <c r="L496" i="1"/>
  <c r="O496" i="1" s="1"/>
  <c r="L498" i="1"/>
  <c r="O498" i="1" s="1"/>
  <c r="L500" i="1"/>
  <c r="O500" i="1" s="1"/>
  <c r="L502" i="1"/>
  <c r="O502" i="1" s="1"/>
  <c r="L504" i="1"/>
  <c r="O504" i="1" s="1"/>
  <c r="L290" i="1"/>
  <c r="O290" i="1" s="1"/>
  <c r="L477" i="1"/>
  <c r="O477" i="1" s="1"/>
  <c r="L471" i="1"/>
  <c r="O471" i="1" s="1"/>
  <c r="L480" i="1"/>
  <c r="O480" i="1" s="1"/>
  <c r="L487" i="1"/>
  <c r="O487" i="1" s="1"/>
  <c r="L507" i="1"/>
  <c r="O507" i="1" s="1"/>
  <c r="L509" i="1"/>
  <c r="O509" i="1" s="1"/>
  <c r="L511" i="1"/>
  <c r="O511" i="1" s="1"/>
  <c r="L235" i="1"/>
  <c r="O235" i="1" s="1"/>
  <c r="L266" i="1"/>
  <c r="O266" i="1" s="1"/>
  <c r="L268" i="1"/>
  <c r="O268" i="1" s="1"/>
  <c r="L275" i="1"/>
  <c r="O275" i="1" s="1"/>
  <c r="L461" i="1"/>
  <c r="O461" i="1" s="1"/>
  <c r="L463" i="1"/>
  <c r="O463" i="1" s="1"/>
  <c r="L465" i="1"/>
  <c r="O465" i="1" s="1"/>
  <c r="L467" i="1"/>
  <c r="O467" i="1" s="1"/>
  <c r="L469" i="1"/>
  <c r="O469" i="1" s="1"/>
  <c r="L495" i="1"/>
  <c r="O495" i="1" s="1"/>
  <c r="L497" i="1"/>
  <c r="O497" i="1" s="1"/>
  <c r="L499" i="1"/>
  <c r="O499" i="1" s="1"/>
  <c r="L501" i="1"/>
  <c r="O501" i="1" s="1"/>
  <c r="L503" i="1"/>
  <c r="O503" i="1" s="1"/>
  <c r="L505" i="1"/>
  <c r="O505" i="1" s="1"/>
  <c r="L232" i="1"/>
  <c r="O232" i="1" s="1"/>
  <c r="L508" i="1"/>
  <c r="O508" i="1" s="1"/>
  <c r="L510" i="1"/>
  <c r="O510" i="1" s="1"/>
  <c r="K536" i="1"/>
  <c r="L536" i="1" s="1"/>
  <c r="O536" i="1" s="1"/>
  <c r="K535" i="1"/>
  <c r="L535" i="1" s="1"/>
  <c r="O535" i="1" s="1"/>
  <c r="K527" i="1"/>
  <c r="L527" i="1" s="1"/>
  <c r="O527" i="1" s="1"/>
  <c r="K528" i="1"/>
  <c r="L528" i="1" s="1"/>
  <c r="O528" i="1" s="1"/>
  <c r="K529" i="1"/>
  <c r="L529" i="1" s="1"/>
  <c r="O529" i="1" s="1"/>
  <c r="K530" i="1"/>
  <c r="L530" i="1" s="1"/>
  <c r="O530" i="1" s="1"/>
  <c r="K531" i="1"/>
  <c r="L531" i="1" s="1"/>
  <c r="O531" i="1" s="1"/>
  <c r="K532" i="1"/>
  <c r="L532" i="1" s="1"/>
  <c r="O532" i="1" s="1"/>
  <c r="K533" i="1"/>
  <c r="L533" i="1" s="1"/>
  <c r="O533" i="1" s="1"/>
  <c r="K534" i="1"/>
  <c r="L534" i="1" s="1"/>
  <c r="O534" i="1" s="1"/>
  <c r="K514" i="1"/>
  <c r="L514" i="1" s="1"/>
  <c r="O514" i="1" s="1"/>
  <c r="K515" i="1"/>
  <c r="L515" i="1" s="1"/>
  <c r="O515" i="1" s="1"/>
  <c r="K516" i="1"/>
  <c r="L516" i="1" s="1"/>
  <c r="O516" i="1" s="1"/>
  <c r="K517" i="1"/>
  <c r="L517" i="1" s="1"/>
  <c r="O517" i="1" s="1"/>
  <c r="K518" i="1"/>
  <c r="L518" i="1" s="1"/>
  <c r="O518" i="1" s="1"/>
  <c r="K519" i="1"/>
  <c r="L519" i="1" s="1"/>
  <c r="O519" i="1" s="1"/>
  <c r="K520" i="1"/>
  <c r="L520" i="1" s="1"/>
  <c r="O520" i="1" s="1"/>
  <c r="K521" i="1"/>
  <c r="L521" i="1" s="1"/>
  <c r="O521" i="1" s="1"/>
  <c r="K522" i="1"/>
  <c r="L522" i="1" s="1"/>
  <c r="O522" i="1" s="1"/>
  <c r="K523" i="1"/>
  <c r="L523" i="1" s="1"/>
  <c r="O523" i="1" s="1"/>
  <c r="K524" i="1"/>
  <c r="L524" i="1" s="1"/>
  <c r="O524" i="1" s="1"/>
  <c r="K525" i="1"/>
  <c r="L525" i="1" s="1"/>
  <c r="O525" i="1" s="1"/>
  <c r="K526" i="1"/>
  <c r="L526" i="1" s="1"/>
  <c r="O526" i="1" s="1"/>
  <c r="K512" i="1"/>
  <c r="L512" i="1" s="1"/>
  <c r="O512" i="1" s="1"/>
  <c r="K513" i="1"/>
  <c r="L513" i="1" s="1"/>
  <c r="O513" i="1" s="1"/>
  <c r="K506" i="1"/>
  <c r="L506" i="1" s="1"/>
  <c r="O506" i="1" s="1"/>
  <c r="K459" i="1"/>
  <c r="L459" i="1" s="1"/>
  <c r="O459" i="1" s="1"/>
  <c r="K417" i="1"/>
  <c r="L417" i="1" s="1"/>
  <c r="O417" i="1" s="1"/>
  <c r="K418" i="1"/>
  <c r="L418" i="1" s="1"/>
  <c r="O418" i="1" s="1"/>
  <c r="K419" i="1"/>
  <c r="L419" i="1" s="1"/>
  <c r="O419" i="1" s="1"/>
  <c r="K420" i="1"/>
  <c r="L420" i="1" s="1"/>
  <c r="O420" i="1" s="1"/>
  <c r="K421" i="1"/>
  <c r="L421" i="1" s="1"/>
  <c r="O421" i="1" s="1"/>
  <c r="K422" i="1"/>
  <c r="L422" i="1" s="1"/>
  <c r="O422" i="1" s="1"/>
  <c r="K423" i="1"/>
  <c r="L423" i="1" s="1"/>
  <c r="O423" i="1" s="1"/>
  <c r="K424" i="1"/>
  <c r="L424" i="1" s="1"/>
  <c r="O424" i="1" s="1"/>
  <c r="K425" i="1"/>
  <c r="L425" i="1" s="1"/>
  <c r="O425" i="1" s="1"/>
  <c r="K426" i="1"/>
  <c r="L426" i="1" s="1"/>
  <c r="O426" i="1" s="1"/>
  <c r="K427" i="1"/>
  <c r="L427" i="1" s="1"/>
  <c r="O427" i="1" s="1"/>
  <c r="K428" i="1"/>
  <c r="L428" i="1" s="1"/>
  <c r="O428" i="1" s="1"/>
  <c r="K429" i="1"/>
  <c r="L429" i="1" s="1"/>
  <c r="O429" i="1" s="1"/>
  <c r="K430" i="1"/>
  <c r="L430" i="1" s="1"/>
  <c r="O430" i="1" s="1"/>
  <c r="K431" i="1"/>
  <c r="L431" i="1" s="1"/>
  <c r="O431" i="1" s="1"/>
  <c r="K432" i="1"/>
  <c r="L432" i="1" s="1"/>
  <c r="O432" i="1" s="1"/>
  <c r="K433" i="1"/>
  <c r="L433" i="1" s="1"/>
  <c r="O433" i="1" s="1"/>
  <c r="K434" i="1"/>
  <c r="L434" i="1" s="1"/>
  <c r="O434" i="1" s="1"/>
  <c r="K435" i="1"/>
  <c r="L435" i="1" s="1"/>
  <c r="O435" i="1" s="1"/>
  <c r="K436" i="1"/>
  <c r="L436" i="1" s="1"/>
  <c r="O436" i="1" s="1"/>
  <c r="K437" i="1"/>
  <c r="L437" i="1" s="1"/>
  <c r="O437" i="1" s="1"/>
  <c r="K438" i="1"/>
  <c r="L438" i="1" s="1"/>
  <c r="O438" i="1" s="1"/>
  <c r="K439" i="1"/>
  <c r="L439" i="1" s="1"/>
  <c r="O439" i="1" s="1"/>
  <c r="K440" i="1"/>
  <c r="L440" i="1" s="1"/>
  <c r="O440" i="1" s="1"/>
  <c r="K441" i="1"/>
  <c r="L441" i="1" s="1"/>
  <c r="O441" i="1" s="1"/>
  <c r="K442" i="1"/>
  <c r="L442" i="1" s="1"/>
  <c r="O442" i="1" s="1"/>
  <c r="K443" i="1"/>
  <c r="L443" i="1" s="1"/>
  <c r="O443" i="1" s="1"/>
  <c r="K444" i="1"/>
  <c r="L444" i="1" s="1"/>
  <c r="O444" i="1" s="1"/>
  <c r="K445" i="1"/>
  <c r="L445" i="1" s="1"/>
  <c r="O445" i="1" s="1"/>
  <c r="K446" i="1"/>
  <c r="L446" i="1" s="1"/>
  <c r="O446" i="1" s="1"/>
  <c r="K447" i="1"/>
  <c r="L447" i="1" s="1"/>
  <c r="O447" i="1" s="1"/>
  <c r="K448" i="1"/>
  <c r="L448" i="1" s="1"/>
  <c r="O448" i="1" s="1"/>
  <c r="K449" i="1"/>
  <c r="L449" i="1" s="1"/>
  <c r="O449" i="1" s="1"/>
  <c r="K450" i="1"/>
  <c r="L450" i="1" s="1"/>
  <c r="O450" i="1" s="1"/>
  <c r="K451" i="1"/>
  <c r="L451" i="1" s="1"/>
  <c r="O451" i="1" s="1"/>
  <c r="K452" i="1"/>
  <c r="L452" i="1" s="1"/>
  <c r="O452" i="1" s="1"/>
  <c r="K453" i="1"/>
  <c r="L453" i="1" s="1"/>
  <c r="O453" i="1" s="1"/>
  <c r="K454" i="1"/>
  <c r="L454" i="1" s="1"/>
  <c r="O454" i="1" s="1"/>
  <c r="K455" i="1"/>
  <c r="L455" i="1" s="1"/>
  <c r="O455" i="1" s="1"/>
  <c r="K456" i="1"/>
  <c r="L456" i="1" s="1"/>
  <c r="O456" i="1" s="1"/>
  <c r="K457" i="1"/>
  <c r="L457" i="1" s="1"/>
  <c r="O457" i="1" s="1"/>
  <c r="K458" i="1"/>
  <c r="L458" i="1" s="1"/>
  <c r="O458" i="1" s="1"/>
  <c r="K411" i="1"/>
  <c r="L411" i="1" s="1"/>
  <c r="O411" i="1" s="1"/>
  <c r="K407" i="1"/>
  <c r="L407" i="1" s="1"/>
  <c r="O407" i="1" s="1"/>
  <c r="K408" i="1"/>
  <c r="L408" i="1" s="1"/>
  <c r="O408" i="1" s="1"/>
  <c r="K409" i="1"/>
  <c r="L409" i="1" s="1"/>
  <c r="O409" i="1" s="1"/>
  <c r="K410" i="1"/>
  <c r="L410" i="1" s="1"/>
  <c r="O410" i="1" s="1"/>
  <c r="K405" i="1"/>
  <c r="L405" i="1" s="1"/>
  <c r="O405" i="1" s="1"/>
  <c r="K406" i="1"/>
  <c r="L406" i="1" s="1"/>
  <c r="O406" i="1" s="1"/>
  <c r="K404" i="1"/>
  <c r="L404" i="1" s="1"/>
  <c r="O404" i="1" s="1"/>
  <c r="K399" i="1"/>
  <c r="L399" i="1" s="1"/>
  <c r="O399" i="1" s="1"/>
  <c r="K400" i="1"/>
  <c r="L400" i="1" s="1"/>
  <c r="O400" i="1" s="1"/>
  <c r="K401" i="1"/>
  <c r="L401" i="1" s="1"/>
  <c r="O401" i="1" s="1"/>
  <c r="K402" i="1"/>
  <c r="L402" i="1" s="1"/>
  <c r="O402" i="1" s="1"/>
  <c r="K403" i="1"/>
  <c r="L403" i="1" s="1"/>
  <c r="O403" i="1" s="1"/>
  <c r="K288" i="1"/>
  <c r="L288" i="1" s="1"/>
  <c r="O288" i="1" s="1"/>
  <c r="L373" i="1"/>
  <c r="O373" i="1" s="1"/>
  <c r="L234" i="1"/>
  <c r="O234" i="1" s="1"/>
  <c r="L267" i="1"/>
  <c r="O267" i="1" s="1"/>
  <c r="K287" i="1"/>
  <c r="L287" i="1" s="1"/>
  <c r="O287" i="1" s="1"/>
  <c r="K291" i="1"/>
  <c r="L291" i="1" s="1"/>
  <c r="O291" i="1" s="1"/>
  <c r="L294" i="1"/>
  <c r="O294" i="1" s="1"/>
  <c r="L296" i="1"/>
  <c r="O296" i="1" s="1"/>
  <c r="L298" i="1"/>
  <c r="O298" i="1" s="1"/>
  <c r="L300" i="1"/>
  <c r="O300" i="1" s="1"/>
  <c r="L302" i="1"/>
  <c r="O302" i="1" s="1"/>
  <c r="L304" i="1"/>
  <c r="O304" i="1" s="1"/>
  <c r="L306" i="1"/>
  <c r="O306" i="1" s="1"/>
  <c r="L308" i="1"/>
  <c r="O308" i="1" s="1"/>
  <c r="L310" i="1"/>
  <c r="O310" i="1" s="1"/>
  <c r="L312" i="1"/>
  <c r="O312" i="1" s="1"/>
  <c r="L314" i="1"/>
  <c r="O314" i="1" s="1"/>
  <c r="L316" i="1"/>
  <c r="O316" i="1" s="1"/>
  <c r="L318" i="1"/>
  <c r="O318" i="1" s="1"/>
  <c r="L320" i="1"/>
  <c r="O320" i="1" s="1"/>
  <c r="L322" i="1"/>
  <c r="O322" i="1" s="1"/>
  <c r="L324" i="1"/>
  <c r="O324" i="1" s="1"/>
  <c r="L326" i="1"/>
  <c r="O326" i="1" s="1"/>
  <c r="L328" i="1"/>
  <c r="O328" i="1" s="1"/>
  <c r="L330" i="1"/>
  <c r="O330" i="1" s="1"/>
  <c r="L332" i="1"/>
  <c r="O332" i="1" s="1"/>
  <c r="L334" i="1"/>
  <c r="O334" i="1" s="1"/>
  <c r="L336" i="1"/>
  <c r="O336" i="1" s="1"/>
  <c r="L338" i="1"/>
  <c r="O338" i="1" s="1"/>
  <c r="L340" i="1"/>
  <c r="O340" i="1" s="1"/>
  <c r="L342" i="1"/>
  <c r="O342" i="1" s="1"/>
  <c r="L344" i="1"/>
  <c r="O344" i="1" s="1"/>
  <c r="L346" i="1"/>
  <c r="O346" i="1" s="1"/>
  <c r="L348" i="1"/>
  <c r="O348" i="1" s="1"/>
  <c r="L350" i="1"/>
  <c r="O350" i="1" s="1"/>
  <c r="L352" i="1"/>
  <c r="O352" i="1" s="1"/>
  <c r="L354" i="1"/>
  <c r="O354" i="1" s="1"/>
  <c r="L356" i="1"/>
  <c r="O356" i="1" s="1"/>
  <c r="L358" i="1"/>
  <c r="O358" i="1" s="1"/>
  <c r="L360" i="1"/>
  <c r="O360" i="1" s="1"/>
  <c r="L362" i="1"/>
  <c r="O362" i="1" s="1"/>
  <c r="L364" i="1"/>
  <c r="O364" i="1" s="1"/>
  <c r="L366" i="1"/>
  <c r="O366" i="1" s="1"/>
  <c r="L368" i="1"/>
  <c r="O368" i="1" s="1"/>
  <c r="L370" i="1"/>
  <c r="O370" i="1" s="1"/>
  <c r="L372" i="1"/>
  <c r="O372" i="1" s="1"/>
  <c r="K385" i="1"/>
  <c r="L385" i="1" s="1"/>
  <c r="O385" i="1" s="1"/>
  <c r="K388" i="1"/>
  <c r="L388" i="1" s="1"/>
  <c r="O388" i="1" s="1"/>
  <c r="K390" i="1"/>
  <c r="L390" i="1" s="1"/>
  <c r="O390" i="1" s="1"/>
  <c r="K392" i="1"/>
  <c r="L392" i="1" s="1"/>
  <c r="O392" i="1" s="1"/>
  <c r="K394" i="1"/>
  <c r="L394" i="1" s="1"/>
  <c r="O394" i="1" s="1"/>
  <c r="K396" i="1"/>
  <c r="L396" i="1" s="1"/>
  <c r="O396" i="1" s="1"/>
  <c r="K398" i="1"/>
  <c r="L398" i="1" s="1"/>
  <c r="O398" i="1" s="1"/>
  <c r="L384" i="1"/>
  <c r="O384" i="1" s="1"/>
  <c r="L386" i="1"/>
  <c r="O386" i="1" s="1"/>
  <c r="L387" i="1"/>
  <c r="O387" i="1" s="1"/>
  <c r="L389" i="1"/>
  <c r="O389" i="1" s="1"/>
  <c r="L391" i="1"/>
  <c r="O391" i="1" s="1"/>
  <c r="L393" i="1"/>
  <c r="O393" i="1" s="1"/>
  <c r="L395" i="1"/>
  <c r="O395" i="1" s="1"/>
  <c r="L397" i="1"/>
  <c r="O397" i="1" s="1"/>
  <c r="K374" i="1"/>
  <c r="L374" i="1" s="1"/>
  <c r="O374" i="1" s="1"/>
  <c r="K375" i="1"/>
  <c r="L375" i="1" s="1"/>
  <c r="O375" i="1" s="1"/>
  <c r="K376" i="1"/>
  <c r="L376" i="1" s="1"/>
  <c r="O376" i="1" s="1"/>
  <c r="K377" i="1"/>
  <c r="L377" i="1" s="1"/>
  <c r="O377" i="1" s="1"/>
  <c r="K378" i="1"/>
  <c r="L378" i="1" s="1"/>
  <c r="O378" i="1" s="1"/>
  <c r="K379" i="1"/>
  <c r="L379" i="1" s="1"/>
  <c r="O379" i="1" s="1"/>
  <c r="K380" i="1"/>
  <c r="L380" i="1" s="1"/>
  <c r="O380" i="1" s="1"/>
  <c r="K381" i="1"/>
  <c r="L381" i="1" s="1"/>
  <c r="O381" i="1" s="1"/>
  <c r="K382" i="1"/>
  <c r="L382" i="1" s="1"/>
  <c r="O382" i="1" s="1"/>
  <c r="K383" i="1"/>
  <c r="L383" i="1" s="1"/>
  <c r="O383" i="1" s="1"/>
  <c r="K270" i="1"/>
  <c r="L270" i="1" s="1"/>
  <c r="O270" i="1" s="1"/>
  <c r="K272" i="1"/>
  <c r="L272" i="1" s="1"/>
  <c r="O272" i="1" s="1"/>
  <c r="K274" i="1"/>
  <c r="L274" i="1" s="1"/>
  <c r="O274" i="1" s="1"/>
  <c r="L269" i="1"/>
  <c r="O269" i="1" s="1"/>
  <c r="L271" i="1"/>
  <c r="O271" i="1" s="1"/>
  <c r="L273" i="1"/>
  <c r="O273" i="1" s="1"/>
  <c r="K265" i="1"/>
  <c r="L265" i="1" s="1"/>
  <c r="O265" i="1" s="1"/>
  <c r="L264" i="1"/>
  <c r="O264" i="1" s="1"/>
  <c r="K245" i="1"/>
  <c r="L245" i="1" s="1"/>
  <c r="O245" i="1" s="1"/>
  <c r="K246" i="1"/>
  <c r="L246" i="1" s="1"/>
  <c r="O246" i="1" s="1"/>
  <c r="K247" i="1"/>
  <c r="L247" i="1" s="1"/>
  <c r="O247" i="1" s="1"/>
  <c r="K248" i="1"/>
  <c r="L248" i="1" s="1"/>
  <c r="O248" i="1" s="1"/>
  <c r="K249" i="1"/>
  <c r="L249" i="1" s="1"/>
  <c r="O249" i="1" s="1"/>
  <c r="K250" i="1"/>
  <c r="L250" i="1" s="1"/>
  <c r="O250" i="1" s="1"/>
  <c r="K251" i="1"/>
  <c r="L251" i="1" s="1"/>
  <c r="O251" i="1" s="1"/>
  <c r="K252" i="1"/>
  <c r="L252" i="1" s="1"/>
  <c r="O252" i="1" s="1"/>
  <c r="K253" i="1"/>
  <c r="L253" i="1" s="1"/>
  <c r="O253" i="1" s="1"/>
  <c r="K254" i="1"/>
  <c r="L254" i="1" s="1"/>
  <c r="O254" i="1" s="1"/>
  <c r="K255" i="1"/>
  <c r="L255" i="1" s="1"/>
  <c r="O255" i="1" s="1"/>
  <c r="K256" i="1"/>
  <c r="L256" i="1" s="1"/>
  <c r="O256" i="1" s="1"/>
  <c r="K257" i="1"/>
  <c r="L257" i="1" s="1"/>
  <c r="O257" i="1" s="1"/>
  <c r="K258" i="1"/>
  <c r="L258" i="1" s="1"/>
  <c r="O258" i="1" s="1"/>
  <c r="K259" i="1"/>
  <c r="L259" i="1" s="1"/>
  <c r="O259" i="1" s="1"/>
  <c r="K260" i="1"/>
  <c r="L260" i="1" s="1"/>
  <c r="O260" i="1" s="1"/>
  <c r="K261" i="1"/>
  <c r="L261" i="1" s="1"/>
  <c r="O261" i="1" s="1"/>
  <c r="K262" i="1"/>
  <c r="L262" i="1" s="1"/>
  <c r="O262" i="1" s="1"/>
  <c r="K263" i="1"/>
  <c r="L263" i="1" s="1"/>
  <c r="O263" i="1" s="1"/>
  <c r="K236" i="1"/>
  <c r="L236" i="1" s="1"/>
  <c r="O236" i="1" s="1"/>
  <c r="K237" i="1"/>
  <c r="L237" i="1" s="1"/>
  <c r="O237" i="1" s="1"/>
  <c r="K238" i="1"/>
  <c r="L238" i="1" s="1"/>
  <c r="O238" i="1" s="1"/>
  <c r="K239" i="1"/>
  <c r="L239" i="1" s="1"/>
  <c r="O239" i="1" s="1"/>
  <c r="K240" i="1"/>
  <c r="L240" i="1" s="1"/>
  <c r="O240" i="1" s="1"/>
  <c r="K241" i="1"/>
  <c r="L241" i="1" s="1"/>
  <c r="O241" i="1" s="1"/>
  <c r="K242" i="1"/>
  <c r="L242" i="1" s="1"/>
  <c r="O242" i="1" s="1"/>
  <c r="K243" i="1"/>
  <c r="L243" i="1" s="1"/>
  <c r="O243" i="1" s="1"/>
  <c r="K244" i="1"/>
  <c r="L244" i="1" s="1"/>
  <c r="O244" i="1" s="1"/>
  <c r="I230" i="1" l="1"/>
  <c r="I229" i="1"/>
  <c r="K229" i="1" s="1"/>
  <c r="I228" i="1"/>
  <c r="I227" i="1"/>
  <c r="I226" i="1"/>
  <c r="I225" i="1"/>
  <c r="I224" i="1"/>
  <c r="K224" i="1" s="1"/>
  <c r="I223" i="1"/>
  <c r="I222" i="1"/>
  <c r="K222" i="1" s="1"/>
  <c r="I221" i="1"/>
  <c r="I220" i="1"/>
  <c r="K220" i="1" s="1"/>
  <c r="K219" i="1"/>
  <c r="I219" i="1"/>
  <c r="K218" i="1"/>
  <c r="I218" i="1"/>
  <c r="K217" i="1"/>
  <c r="I217" i="1"/>
  <c r="I216" i="1"/>
  <c r="I215" i="1"/>
  <c r="I214" i="1"/>
  <c r="I213" i="1"/>
  <c r="K213" i="1" s="1"/>
  <c r="I212" i="1"/>
  <c r="K212" i="1" s="1"/>
  <c r="I211" i="1"/>
  <c r="K211" i="1" s="1"/>
  <c r="I210" i="1"/>
  <c r="K210" i="1" s="1"/>
  <c r="I209" i="1"/>
  <c r="K209" i="1" s="1"/>
  <c r="I208" i="1"/>
  <c r="I207" i="1"/>
  <c r="I206" i="1"/>
  <c r="K206" i="1" s="1"/>
  <c r="I205" i="1"/>
  <c r="I204" i="1"/>
  <c r="K204" i="1" s="1"/>
  <c r="I203" i="1"/>
  <c r="I202" i="1"/>
  <c r="I201" i="1"/>
  <c r="I200" i="1"/>
  <c r="K200" i="1" s="1"/>
  <c r="I199" i="1"/>
  <c r="I198" i="1"/>
  <c r="K198" i="1" s="1"/>
  <c r="I197" i="1"/>
  <c r="I196" i="1"/>
  <c r="I195" i="1"/>
  <c r="I194" i="1"/>
  <c r="K194" i="1" s="1"/>
  <c r="I193" i="1"/>
  <c r="I192" i="1"/>
  <c r="K192" i="1" s="1"/>
  <c r="I191" i="1"/>
  <c r="I190" i="1"/>
  <c r="I189" i="1"/>
  <c r="I188" i="1"/>
  <c r="K188" i="1" s="1"/>
  <c r="I187" i="1"/>
  <c r="I186" i="1"/>
  <c r="I185" i="1"/>
  <c r="I184" i="1"/>
  <c r="K184" i="1" s="1"/>
  <c r="I183" i="1"/>
  <c r="K183" i="1" s="1"/>
  <c r="I182" i="1"/>
  <c r="I181" i="1"/>
  <c r="K181" i="1" s="1"/>
  <c r="I180" i="1"/>
  <c r="K180" i="1" s="1"/>
  <c r="I179" i="1"/>
  <c r="I178" i="1"/>
  <c r="K178" i="1" s="1"/>
  <c r="I177" i="1"/>
  <c r="K177" i="1" s="1"/>
  <c r="I176" i="1"/>
  <c r="I175" i="1"/>
  <c r="K175" i="1" s="1"/>
  <c r="I174" i="1"/>
  <c r="I173" i="1"/>
  <c r="K173" i="1" s="1"/>
  <c r="I172" i="1"/>
  <c r="I171" i="1"/>
  <c r="I170" i="1"/>
  <c r="I169" i="1"/>
  <c r="I168" i="1"/>
  <c r="I167" i="1"/>
  <c r="K167" i="1" s="1"/>
  <c r="I166" i="1"/>
  <c r="K166" i="1" s="1"/>
  <c r="I165" i="1"/>
  <c r="K165" i="1" s="1"/>
  <c r="I164" i="1"/>
  <c r="K164" i="1" s="1"/>
  <c r="I163" i="1"/>
  <c r="K163" i="1" s="1"/>
  <c r="I162" i="1"/>
  <c r="K162" i="1" s="1"/>
  <c r="I161" i="1"/>
  <c r="I160" i="1"/>
  <c r="K160" i="1" s="1"/>
  <c r="I159" i="1"/>
  <c r="K159" i="1" s="1"/>
  <c r="I158" i="1"/>
  <c r="I157" i="1"/>
  <c r="K157" i="1" s="1"/>
  <c r="I156" i="1"/>
  <c r="I155" i="1"/>
  <c r="K155" i="1" s="1"/>
  <c r="I154" i="1"/>
  <c r="I153" i="1"/>
  <c r="K153" i="1" s="1"/>
  <c r="I152" i="1"/>
  <c r="I151" i="1"/>
  <c r="K151" i="1" s="1"/>
  <c r="I150" i="1"/>
  <c r="I149" i="1"/>
  <c r="K149" i="1" s="1"/>
  <c r="I148" i="1"/>
  <c r="I147" i="1"/>
  <c r="K147" i="1" s="1"/>
  <c r="I146" i="1"/>
  <c r="I145" i="1"/>
  <c r="K145" i="1" s="1"/>
  <c r="I144" i="1"/>
  <c r="I143" i="1"/>
  <c r="K143" i="1" s="1"/>
  <c r="I142" i="1"/>
  <c r="I141" i="1"/>
  <c r="K141" i="1" s="1"/>
  <c r="I140" i="1"/>
  <c r="I139" i="1"/>
  <c r="K139" i="1" s="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K112" i="1"/>
  <c r="I112" i="1"/>
  <c r="K111" i="1"/>
  <c r="I111" i="1"/>
  <c r="K110" i="1"/>
  <c r="I110" i="1"/>
  <c r="I109" i="1"/>
  <c r="L109" i="1" s="1"/>
  <c r="O109" i="1" s="1"/>
  <c r="I108" i="1"/>
  <c r="L108" i="1" s="1"/>
  <c r="O108" i="1" s="1"/>
  <c r="I107" i="1"/>
  <c r="L107" i="1" s="1"/>
  <c r="O107" i="1" s="1"/>
  <c r="I106" i="1"/>
  <c r="L106" i="1" s="1"/>
  <c r="O106" i="1" s="1"/>
  <c r="I105" i="1"/>
  <c r="L105" i="1" s="1"/>
  <c r="O105" i="1" s="1"/>
  <c r="I104" i="1"/>
  <c r="L104" i="1" s="1"/>
  <c r="O104" i="1" s="1"/>
  <c r="I103" i="1"/>
  <c r="L103" i="1" s="1"/>
  <c r="O103" i="1" s="1"/>
  <c r="I102" i="1"/>
  <c r="L102" i="1" s="1"/>
  <c r="O102" i="1" s="1"/>
  <c r="I101" i="1"/>
  <c r="L101" i="1" s="1"/>
  <c r="O101" i="1" s="1"/>
  <c r="I100" i="1"/>
  <c r="L100" i="1" s="1"/>
  <c r="O100" i="1" s="1"/>
  <c r="I99" i="1"/>
  <c r="L99" i="1" s="1"/>
  <c r="O99" i="1" s="1"/>
  <c r="I98" i="1"/>
  <c r="L98" i="1" s="1"/>
  <c r="O98" i="1" s="1"/>
  <c r="I97" i="1"/>
  <c r="L97" i="1" s="1"/>
  <c r="O97" i="1" s="1"/>
  <c r="I96" i="1"/>
  <c r="L96" i="1" s="1"/>
  <c r="O96" i="1" s="1"/>
  <c r="I95" i="1"/>
  <c r="L95" i="1" s="1"/>
  <c r="O95" i="1" s="1"/>
  <c r="I94" i="1"/>
  <c r="L94" i="1" s="1"/>
  <c r="O94" i="1" s="1"/>
  <c r="I93" i="1"/>
  <c r="L93" i="1" s="1"/>
  <c r="O93" i="1" s="1"/>
  <c r="I92" i="1"/>
  <c r="L92" i="1" s="1"/>
  <c r="O92" i="1" s="1"/>
  <c r="I91" i="1"/>
  <c r="L91" i="1" s="1"/>
  <c r="O91" i="1" s="1"/>
  <c r="I90" i="1"/>
  <c r="L90" i="1" s="1"/>
  <c r="O90" i="1" s="1"/>
  <c r="I89" i="1"/>
  <c r="L89" i="1" s="1"/>
  <c r="O89" i="1" s="1"/>
  <c r="I88" i="1"/>
  <c r="L88" i="1" s="1"/>
  <c r="O88" i="1" s="1"/>
  <c r="I87" i="1"/>
  <c r="L87" i="1" s="1"/>
  <c r="O87" i="1" s="1"/>
  <c r="I86" i="1"/>
  <c r="L86" i="1" s="1"/>
  <c r="O86" i="1" s="1"/>
  <c r="I85" i="1"/>
  <c r="L85" i="1" s="1"/>
  <c r="O85" i="1" s="1"/>
  <c r="I84" i="1"/>
  <c r="L84" i="1" s="1"/>
  <c r="O84" i="1" s="1"/>
  <c r="I83" i="1"/>
  <c r="L83" i="1" s="1"/>
  <c r="O83" i="1" s="1"/>
  <c r="I82" i="1"/>
  <c r="L82" i="1" s="1"/>
  <c r="O82" i="1" s="1"/>
  <c r="I81" i="1"/>
  <c r="L81" i="1" s="1"/>
  <c r="O81" i="1" s="1"/>
  <c r="I80" i="1"/>
  <c r="L80" i="1" s="1"/>
  <c r="O80" i="1" s="1"/>
  <c r="I79" i="1"/>
  <c r="L79" i="1" s="1"/>
  <c r="O79" i="1" s="1"/>
  <c r="I78" i="1"/>
  <c r="L78" i="1" s="1"/>
  <c r="O78" i="1" s="1"/>
  <c r="I77" i="1"/>
  <c r="L77" i="1" s="1"/>
  <c r="O77" i="1" s="1"/>
  <c r="I76" i="1"/>
  <c r="L76" i="1" s="1"/>
  <c r="O76" i="1" s="1"/>
  <c r="I75" i="1"/>
  <c r="L75" i="1" s="1"/>
  <c r="O75" i="1" s="1"/>
  <c r="I74" i="1"/>
  <c r="L74" i="1" s="1"/>
  <c r="O74" i="1" s="1"/>
  <c r="I73" i="1"/>
  <c r="L73" i="1" s="1"/>
  <c r="O73" i="1" s="1"/>
  <c r="I72" i="1"/>
  <c r="L72" i="1" s="1"/>
  <c r="O72" i="1" s="1"/>
  <c r="I71" i="1"/>
  <c r="L71" i="1" s="1"/>
  <c r="O71" i="1" s="1"/>
  <c r="I70" i="1"/>
  <c r="L70" i="1" s="1"/>
  <c r="O70" i="1" s="1"/>
  <c r="I69" i="1"/>
  <c r="L69" i="1" s="1"/>
  <c r="O69" i="1" s="1"/>
  <c r="I68" i="1"/>
  <c r="L68" i="1" s="1"/>
  <c r="O68" i="1" s="1"/>
  <c r="I67" i="1"/>
  <c r="L67" i="1" s="1"/>
  <c r="O67" i="1" s="1"/>
  <c r="I66" i="1"/>
  <c r="L66" i="1" s="1"/>
  <c r="O66" i="1" s="1"/>
  <c r="I65" i="1"/>
  <c r="L65" i="1" s="1"/>
  <c r="O65" i="1" s="1"/>
  <c r="I64" i="1"/>
  <c r="L64" i="1" s="1"/>
  <c r="O64" i="1" s="1"/>
  <c r="I63" i="1"/>
  <c r="L63" i="1" s="1"/>
  <c r="O63" i="1" s="1"/>
  <c r="I62" i="1"/>
  <c r="L62" i="1" s="1"/>
  <c r="O62" i="1" s="1"/>
  <c r="I61" i="1"/>
  <c r="L61" i="1" s="1"/>
  <c r="O61" i="1" s="1"/>
  <c r="I60" i="1"/>
  <c r="L60" i="1" s="1"/>
  <c r="O60" i="1" s="1"/>
  <c r="I59" i="1"/>
  <c r="L59" i="1" s="1"/>
  <c r="O59" i="1" s="1"/>
  <c r="I58" i="1"/>
  <c r="L58" i="1" s="1"/>
  <c r="O58" i="1" s="1"/>
  <c r="I57" i="1"/>
  <c r="L57" i="1" s="1"/>
  <c r="O57" i="1" s="1"/>
  <c r="I56" i="1"/>
  <c r="L56" i="1" s="1"/>
  <c r="O56" i="1" s="1"/>
  <c r="I55" i="1"/>
  <c r="L55" i="1" s="1"/>
  <c r="O55" i="1" s="1"/>
  <c r="I54" i="1"/>
  <c r="L54" i="1" s="1"/>
  <c r="O54" i="1" s="1"/>
  <c r="I53" i="1"/>
  <c r="L53" i="1" s="1"/>
  <c r="O53" i="1" s="1"/>
  <c r="I52" i="1"/>
  <c r="L52" i="1" s="1"/>
  <c r="O52" i="1" s="1"/>
  <c r="I51" i="1"/>
  <c r="L51" i="1" s="1"/>
  <c r="O51" i="1" s="1"/>
  <c r="I50" i="1"/>
  <c r="L50" i="1" s="1"/>
  <c r="O50" i="1" s="1"/>
  <c r="I49" i="1"/>
  <c r="L49" i="1" s="1"/>
  <c r="O49" i="1" s="1"/>
  <c r="I48" i="1"/>
  <c r="L48" i="1" s="1"/>
  <c r="O48" i="1" s="1"/>
  <c r="I47" i="1"/>
  <c r="L47" i="1" s="1"/>
  <c r="O47" i="1" s="1"/>
  <c r="I46" i="1"/>
  <c r="L46" i="1" s="1"/>
  <c r="O46" i="1" s="1"/>
  <c r="I45" i="1"/>
  <c r="L45" i="1" s="1"/>
  <c r="O45" i="1" s="1"/>
  <c r="I44" i="1"/>
  <c r="L44" i="1" s="1"/>
  <c r="O44" i="1" s="1"/>
  <c r="I43" i="1"/>
  <c r="L43" i="1" s="1"/>
  <c r="O43" i="1" s="1"/>
  <c r="I42" i="1"/>
  <c r="L42" i="1" s="1"/>
  <c r="O42" i="1" s="1"/>
  <c r="I41" i="1"/>
  <c r="L41" i="1" s="1"/>
  <c r="O41" i="1" s="1"/>
  <c r="I40" i="1"/>
  <c r="L40" i="1" s="1"/>
  <c r="O40" i="1" s="1"/>
  <c r="I39" i="1"/>
  <c r="L39" i="1" s="1"/>
  <c r="O39" i="1" s="1"/>
  <c r="I38" i="1"/>
  <c r="L38" i="1" s="1"/>
  <c r="O38" i="1" s="1"/>
  <c r="I37" i="1"/>
  <c r="L37" i="1" s="1"/>
  <c r="O37" i="1" s="1"/>
  <c r="I36" i="1"/>
  <c r="L36" i="1" s="1"/>
  <c r="O36" i="1" s="1"/>
  <c r="I35" i="1"/>
  <c r="L35" i="1" s="1"/>
  <c r="O35" i="1" s="1"/>
  <c r="I34" i="1"/>
  <c r="L34" i="1" s="1"/>
  <c r="O34" i="1" s="1"/>
  <c r="I33" i="1"/>
  <c r="L33" i="1" s="1"/>
  <c r="O33" i="1" s="1"/>
  <c r="I32" i="1"/>
  <c r="L32" i="1" s="1"/>
  <c r="O32" i="1" s="1"/>
  <c r="I31" i="1"/>
  <c r="L31" i="1" s="1"/>
  <c r="O31" i="1" s="1"/>
  <c r="I30" i="1"/>
  <c r="L30" i="1" s="1"/>
  <c r="O30" i="1" s="1"/>
  <c r="I29" i="1"/>
  <c r="L29" i="1" s="1"/>
  <c r="O29" i="1" s="1"/>
  <c r="I28" i="1"/>
  <c r="L28" i="1" s="1"/>
  <c r="O28" i="1" s="1"/>
  <c r="I27" i="1"/>
  <c r="L27" i="1" s="1"/>
  <c r="O27" i="1" s="1"/>
  <c r="I26" i="1"/>
  <c r="L26" i="1" s="1"/>
  <c r="O26" i="1" s="1"/>
  <c r="I25" i="1"/>
  <c r="L25" i="1" s="1"/>
  <c r="O25" i="1" s="1"/>
  <c r="I24" i="1"/>
  <c r="L24" i="1" s="1"/>
  <c r="O24" i="1" s="1"/>
  <c r="I23" i="1"/>
  <c r="L23" i="1" s="1"/>
  <c r="O23" i="1" s="1"/>
  <c r="I22" i="1"/>
  <c r="L22" i="1" s="1"/>
  <c r="O22" i="1" s="1"/>
  <c r="I21" i="1"/>
  <c r="L21" i="1" s="1"/>
  <c r="O21" i="1" s="1"/>
  <c r="I20" i="1"/>
  <c r="L20" i="1" s="1"/>
  <c r="O20" i="1" s="1"/>
  <c r="I19" i="1"/>
  <c r="L19" i="1" s="1"/>
  <c r="O19" i="1" s="1"/>
  <c r="I18" i="1"/>
  <c r="L18" i="1" s="1"/>
  <c r="O18" i="1" s="1"/>
  <c r="I17" i="1"/>
  <c r="L17" i="1" s="1"/>
  <c r="O17" i="1" s="1"/>
  <c r="I16" i="1"/>
  <c r="L16" i="1" s="1"/>
  <c r="O16" i="1" s="1"/>
  <c r="I15" i="1"/>
  <c r="L15" i="1" s="1"/>
  <c r="O15" i="1" s="1"/>
  <c r="I14" i="1"/>
  <c r="L14" i="1" s="1"/>
  <c r="O14" i="1" s="1"/>
  <c r="I13" i="1"/>
  <c r="L13" i="1" s="1"/>
  <c r="O13" i="1" s="1"/>
  <c r="I12" i="1"/>
  <c r="L12" i="1" s="1"/>
  <c r="O12" i="1" s="1"/>
  <c r="I11" i="1"/>
  <c r="L11" i="1" s="1"/>
  <c r="O11" i="1" s="1"/>
  <c r="I10" i="1"/>
  <c r="L10" i="1" s="1"/>
  <c r="O10" i="1" s="1"/>
  <c r="I9" i="1"/>
  <c r="L9" i="1" s="1"/>
  <c r="O9" i="1" s="1"/>
  <c r="I8" i="1"/>
  <c r="L8" i="1" s="1"/>
  <c r="O8" i="1" s="1"/>
  <c r="I7" i="1"/>
  <c r="L7" i="1" s="1"/>
  <c r="O7" i="1" s="1"/>
  <c r="I6" i="1"/>
  <c r="L6" i="1" s="1"/>
  <c r="O6" i="1" s="1"/>
  <c r="I5" i="1"/>
  <c r="L5" i="1" s="1"/>
  <c r="O5" i="1" s="1"/>
  <c r="I4" i="1"/>
  <c r="L4" i="1" s="1"/>
  <c r="I3" i="1"/>
  <c r="L218" i="1" l="1"/>
  <c r="O218" i="1" s="1"/>
  <c r="L111" i="1"/>
  <c r="O111" i="1" s="1"/>
  <c r="L110" i="1"/>
  <c r="O110" i="1" s="1"/>
  <c r="L112" i="1"/>
  <c r="O112" i="1" s="1"/>
  <c r="K186" i="1"/>
  <c r="L186" i="1" s="1"/>
  <c r="O186" i="1" s="1"/>
  <c r="K190" i="1"/>
  <c r="L190" i="1" s="1"/>
  <c r="O190" i="1" s="1"/>
  <c r="K196" i="1"/>
  <c r="L196" i="1" s="1"/>
  <c r="O196" i="1" s="1"/>
  <c r="K202" i="1"/>
  <c r="L202" i="1" s="1"/>
  <c r="O202" i="1" s="1"/>
  <c r="K208" i="1"/>
  <c r="L208" i="1" s="1"/>
  <c r="O208" i="1" s="1"/>
  <c r="L188" i="1"/>
  <c r="O188" i="1" s="1"/>
  <c r="L194" i="1"/>
  <c r="O194" i="1" s="1"/>
  <c r="L200" i="1"/>
  <c r="O200" i="1" s="1"/>
  <c r="L206" i="1"/>
  <c r="O206" i="1" s="1"/>
  <c r="L212" i="1"/>
  <c r="O212" i="1" s="1"/>
  <c r="L209" i="1"/>
  <c r="O209" i="1" s="1"/>
  <c r="L211" i="1"/>
  <c r="O211" i="1" s="1"/>
  <c r="L213" i="1"/>
  <c r="O213" i="1" s="1"/>
  <c r="L192" i="1"/>
  <c r="O192" i="1" s="1"/>
  <c r="L198" i="1"/>
  <c r="O198" i="1" s="1"/>
  <c r="L204" i="1"/>
  <c r="O204" i="1" s="1"/>
  <c r="L210" i="1"/>
  <c r="O210" i="1" s="1"/>
  <c r="K185" i="1"/>
  <c r="L185" i="1" s="1"/>
  <c r="O185" i="1" s="1"/>
  <c r="K187" i="1"/>
  <c r="L187" i="1" s="1"/>
  <c r="O187" i="1" s="1"/>
  <c r="K189" i="1"/>
  <c r="L189" i="1" s="1"/>
  <c r="O189" i="1" s="1"/>
  <c r="K191" i="1"/>
  <c r="L191" i="1" s="1"/>
  <c r="O191" i="1" s="1"/>
  <c r="K193" i="1"/>
  <c r="L193" i="1" s="1"/>
  <c r="O193" i="1" s="1"/>
  <c r="K195" i="1"/>
  <c r="L195" i="1" s="1"/>
  <c r="O195" i="1" s="1"/>
  <c r="K197" i="1"/>
  <c r="L197" i="1" s="1"/>
  <c r="O197" i="1" s="1"/>
  <c r="K199" i="1"/>
  <c r="L199" i="1" s="1"/>
  <c r="O199" i="1" s="1"/>
  <c r="K201" i="1"/>
  <c r="L201" i="1" s="1"/>
  <c r="O201" i="1" s="1"/>
  <c r="K203" i="1"/>
  <c r="L203" i="1" s="1"/>
  <c r="O203" i="1" s="1"/>
  <c r="K205" i="1"/>
  <c r="L205" i="1" s="1"/>
  <c r="O205" i="1" s="1"/>
  <c r="K207" i="1"/>
  <c r="L207" i="1" s="1"/>
  <c r="O207" i="1" s="1"/>
  <c r="L217" i="1"/>
  <c r="O217" i="1" s="1"/>
  <c r="L219" i="1"/>
  <c r="O219" i="1" s="1"/>
  <c r="K230" i="1"/>
  <c r="L230" i="1" s="1"/>
  <c r="O230" i="1" s="1"/>
  <c r="L229" i="1"/>
  <c r="O229" i="1" s="1"/>
  <c r="K226" i="1"/>
  <c r="L226" i="1" s="1"/>
  <c r="O226" i="1" s="1"/>
  <c r="K227" i="1"/>
  <c r="L227" i="1" s="1"/>
  <c r="O227" i="1" s="1"/>
  <c r="K228" i="1"/>
  <c r="L228" i="1" s="1"/>
  <c r="O228" i="1" s="1"/>
  <c r="K221" i="1"/>
  <c r="L221" i="1" s="1"/>
  <c r="O221" i="1" s="1"/>
  <c r="K223" i="1"/>
  <c r="L223" i="1" s="1"/>
  <c r="O223" i="1" s="1"/>
  <c r="K225" i="1"/>
  <c r="L225" i="1" s="1"/>
  <c r="O225" i="1" s="1"/>
  <c r="L220" i="1"/>
  <c r="O220" i="1" s="1"/>
  <c r="L222" i="1"/>
  <c r="O222" i="1" s="1"/>
  <c r="L224" i="1"/>
  <c r="O224" i="1" s="1"/>
  <c r="K214" i="1"/>
  <c r="L214" i="1" s="1"/>
  <c r="O214" i="1" s="1"/>
  <c r="K215" i="1"/>
  <c r="L215" i="1" s="1"/>
  <c r="O215" i="1" s="1"/>
  <c r="K216" i="1"/>
  <c r="L216" i="1" s="1"/>
  <c r="O216" i="1" s="1"/>
  <c r="K174" i="1"/>
  <c r="L174" i="1" s="1"/>
  <c r="O174" i="1" s="1"/>
  <c r="K176" i="1"/>
  <c r="L176" i="1" s="1"/>
  <c r="O176" i="1" s="1"/>
  <c r="K179" i="1"/>
  <c r="L179" i="1" s="1"/>
  <c r="O179" i="1" s="1"/>
  <c r="K182" i="1"/>
  <c r="L182" i="1" s="1"/>
  <c r="O182" i="1" s="1"/>
  <c r="L173" i="1"/>
  <c r="O173" i="1" s="1"/>
  <c r="L175" i="1"/>
  <c r="O175" i="1" s="1"/>
  <c r="L177" i="1"/>
  <c r="O177" i="1" s="1"/>
  <c r="L178" i="1"/>
  <c r="O178" i="1" s="1"/>
  <c r="L180" i="1"/>
  <c r="O180" i="1" s="1"/>
  <c r="L181" i="1"/>
  <c r="O181" i="1" s="1"/>
  <c r="L183" i="1"/>
  <c r="O183" i="1" s="1"/>
  <c r="L184" i="1"/>
  <c r="O184" i="1" s="1"/>
  <c r="K169" i="1"/>
  <c r="L169" i="1" s="1"/>
  <c r="O169" i="1" s="1"/>
  <c r="K170" i="1"/>
  <c r="L170" i="1" s="1"/>
  <c r="O170" i="1" s="1"/>
  <c r="K171" i="1"/>
  <c r="L171" i="1" s="1"/>
  <c r="O171" i="1" s="1"/>
  <c r="K172" i="1"/>
  <c r="L172" i="1" s="1"/>
  <c r="O172" i="1" s="1"/>
  <c r="K138" i="1"/>
  <c r="L138" i="1" s="1"/>
  <c r="O138" i="1" s="1"/>
  <c r="K140" i="1"/>
  <c r="L140" i="1" s="1"/>
  <c r="O140" i="1" s="1"/>
  <c r="K142" i="1"/>
  <c r="L142" i="1" s="1"/>
  <c r="O142" i="1" s="1"/>
  <c r="K144" i="1"/>
  <c r="L144" i="1" s="1"/>
  <c r="O144" i="1" s="1"/>
  <c r="K146" i="1"/>
  <c r="L146" i="1" s="1"/>
  <c r="O146" i="1" s="1"/>
  <c r="K148" i="1"/>
  <c r="L148" i="1" s="1"/>
  <c r="O148" i="1" s="1"/>
  <c r="K150" i="1"/>
  <c r="L150" i="1" s="1"/>
  <c r="O150" i="1" s="1"/>
  <c r="K152" i="1"/>
  <c r="L152" i="1" s="1"/>
  <c r="O152" i="1" s="1"/>
  <c r="K154" i="1"/>
  <c r="L154" i="1" s="1"/>
  <c r="O154" i="1" s="1"/>
  <c r="K156" i="1"/>
  <c r="L156" i="1" s="1"/>
  <c r="O156" i="1" s="1"/>
  <c r="K158" i="1"/>
  <c r="L158" i="1" s="1"/>
  <c r="O158" i="1" s="1"/>
  <c r="K161" i="1"/>
  <c r="L161" i="1" s="1"/>
  <c r="O161" i="1" s="1"/>
  <c r="K168" i="1"/>
  <c r="L168" i="1" s="1"/>
  <c r="O168" i="1" s="1"/>
  <c r="L139" i="1"/>
  <c r="O139" i="1" s="1"/>
  <c r="L141" i="1"/>
  <c r="O141" i="1" s="1"/>
  <c r="L143" i="1"/>
  <c r="O143" i="1" s="1"/>
  <c r="L145" i="1"/>
  <c r="O145" i="1" s="1"/>
  <c r="L147" i="1"/>
  <c r="O147" i="1" s="1"/>
  <c r="L149" i="1"/>
  <c r="O149" i="1" s="1"/>
  <c r="L151" i="1"/>
  <c r="O151" i="1" s="1"/>
  <c r="L153" i="1"/>
  <c r="O153" i="1" s="1"/>
  <c r="L155" i="1"/>
  <c r="O155" i="1" s="1"/>
  <c r="L157" i="1"/>
  <c r="O157" i="1" s="1"/>
  <c r="L159" i="1"/>
  <c r="O159" i="1" s="1"/>
  <c r="L160" i="1"/>
  <c r="O160" i="1" s="1"/>
  <c r="L162" i="1"/>
  <c r="O162" i="1" s="1"/>
  <c r="L163" i="1"/>
  <c r="O163" i="1" s="1"/>
  <c r="L164" i="1"/>
  <c r="O164" i="1" s="1"/>
  <c r="L165" i="1"/>
  <c r="O165" i="1" s="1"/>
  <c r="L166" i="1"/>
  <c r="O166" i="1" s="1"/>
  <c r="L167" i="1"/>
  <c r="O167" i="1" s="1"/>
  <c r="K128" i="1"/>
  <c r="L128" i="1" s="1"/>
  <c r="O128" i="1" s="1"/>
  <c r="K129" i="1"/>
  <c r="L129" i="1" s="1"/>
  <c r="O129" i="1" s="1"/>
  <c r="K130" i="1"/>
  <c r="L130" i="1" s="1"/>
  <c r="O130" i="1" s="1"/>
  <c r="K131" i="1"/>
  <c r="L131" i="1" s="1"/>
  <c r="O131" i="1" s="1"/>
  <c r="K132" i="1"/>
  <c r="L132" i="1" s="1"/>
  <c r="O132" i="1" s="1"/>
  <c r="K133" i="1"/>
  <c r="L133" i="1" s="1"/>
  <c r="O133" i="1" s="1"/>
  <c r="K134" i="1"/>
  <c r="L134" i="1" s="1"/>
  <c r="O134" i="1" s="1"/>
  <c r="K135" i="1"/>
  <c r="L135" i="1" s="1"/>
  <c r="O135" i="1" s="1"/>
  <c r="K136" i="1"/>
  <c r="L136" i="1" s="1"/>
  <c r="O136" i="1" s="1"/>
  <c r="K137" i="1"/>
  <c r="L137" i="1" s="1"/>
  <c r="O137" i="1" s="1"/>
  <c r="K113" i="1"/>
  <c r="L113" i="1" s="1"/>
  <c r="O113" i="1" s="1"/>
  <c r="K114" i="1"/>
  <c r="L114" i="1" s="1"/>
  <c r="O114" i="1" s="1"/>
  <c r="K115" i="1"/>
  <c r="L115" i="1" s="1"/>
  <c r="O115" i="1" s="1"/>
  <c r="K116" i="1"/>
  <c r="L116" i="1" s="1"/>
  <c r="O116" i="1" s="1"/>
  <c r="K117" i="1"/>
  <c r="L117" i="1" s="1"/>
  <c r="O117" i="1" s="1"/>
  <c r="K118" i="1"/>
  <c r="L118" i="1" s="1"/>
  <c r="O118" i="1" s="1"/>
  <c r="K119" i="1"/>
  <c r="L119" i="1" s="1"/>
  <c r="O119" i="1" s="1"/>
  <c r="K120" i="1"/>
  <c r="L120" i="1" s="1"/>
  <c r="O120" i="1" s="1"/>
  <c r="K121" i="1"/>
  <c r="L121" i="1" s="1"/>
  <c r="O121" i="1" s="1"/>
  <c r="K122" i="1"/>
  <c r="L122" i="1" s="1"/>
  <c r="O122" i="1" s="1"/>
  <c r="K123" i="1"/>
  <c r="L123" i="1" s="1"/>
  <c r="O123" i="1" s="1"/>
  <c r="K124" i="1"/>
  <c r="L124" i="1" s="1"/>
  <c r="O124" i="1" s="1"/>
  <c r="K125" i="1"/>
  <c r="L125" i="1" s="1"/>
  <c r="O125" i="1" s="1"/>
  <c r="K126" i="1"/>
  <c r="L126" i="1" s="1"/>
  <c r="O126" i="1" s="1"/>
  <c r="K127" i="1"/>
  <c r="L127" i="1" s="1"/>
  <c r="O127" i="1" s="1"/>
  <c r="K3" i="1"/>
  <c r="L3" i="1" s="1"/>
  <c r="O3" i="1" s="1"/>
  <c r="K2" i="1"/>
  <c r="L2" i="1" s="1"/>
  <c r="O2" i="1" s="1"/>
  <c r="R2" i="2" l="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169" i="2"/>
  <c r="R178" i="2"/>
  <c r="R179" i="2"/>
  <c r="R180" i="2"/>
  <c r="R181" i="2"/>
  <c r="R182" i="2"/>
  <c r="R183" i="2"/>
  <c r="R184" i="2"/>
  <c r="R185" i="2"/>
  <c r="R186" i="2"/>
  <c r="R187" i="2"/>
  <c r="R188" i="2"/>
  <c r="R189" i="2"/>
  <c r="R190" i="2"/>
  <c r="R191" i="2"/>
  <c r="S184" i="2" l="1"/>
  <c r="S189" i="2"/>
  <c r="S185" i="2"/>
  <c r="S181" i="2"/>
  <c r="S188" i="2"/>
  <c r="S180" i="2"/>
  <c r="S191" i="2"/>
  <c r="S187" i="2"/>
  <c r="S183" i="2"/>
  <c r="S179" i="2"/>
  <c r="S190" i="2"/>
  <c r="S186" i="2"/>
  <c r="S182" i="2"/>
  <c r="S178" i="2"/>
  <c r="R165" i="2"/>
  <c r="R161" i="2"/>
  <c r="R157" i="2"/>
  <c r="R153" i="2"/>
  <c r="R144" i="2"/>
  <c r="R136" i="2"/>
  <c r="R128" i="2"/>
  <c r="R120" i="2"/>
  <c r="R112" i="2"/>
  <c r="R104" i="2"/>
  <c r="R96" i="2"/>
  <c r="R88" i="2"/>
  <c r="R80" i="2"/>
  <c r="R140" i="2"/>
  <c r="R132" i="2"/>
  <c r="R124" i="2"/>
  <c r="R116" i="2"/>
  <c r="R108" i="2"/>
  <c r="R100" i="2"/>
  <c r="R92" i="2"/>
  <c r="R84" i="2"/>
  <c r="R172" i="2"/>
  <c r="R164" i="2"/>
  <c r="R160" i="2"/>
  <c r="R156" i="2"/>
  <c r="R152" i="2"/>
  <c r="R148" i="2"/>
  <c r="R175" i="2"/>
  <c r="R174" i="2"/>
  <c r="R143" i="2"/>
  <c r="R135" i="2"/>
  <c r="R127" i="2"/>
  <c r="R119" i="2"/>
  <c r="R115" i="2"/>
  <c r="R107" i="2"/>
  <c r="R95" i="2"/>
  <c r="R87" i="2"/>
  <c r="R176" i="2"/>
  <c r="R168" i="2"/>
  <c r="R166" i="2"/>
  <c r="R162" i="2"/>
  <c r="R158" i="2"/>
  <c r="R154" i="2"/>
  <c r="R150" i="2"/>
  <c r="R145" i="2"/>
  <c r="R141" i="2"/>
  <c r="R137" i="2"/>
  <c r="R133" i="2"/>
  <c r="R129" i="2"/>
  <c r="R125" i="2"/>
  <c r="R121" i="2"/>
  <c r="R117" i="2"/>
  <c r="R113" i="2"/>
  <c r="R109" i="2"/>
  <c r="R105" i="2"/>
  <c r="R101" i="2"/>
  <c r="R97" i="2"/>
  <c r="R93" i="2"/>
  <c r="R89" i="2"/>
  <c r="R85" i="2"/>
  <c r="R81" i="2"/>
  <c r="R171" i="2"/>
  <c r="R149" i="2"/>
  <c r="R147" i="2"/>
  <c r="R170" i="2"/>
  <c r="R139" i="2"/>
  <c r="R131" i="2"/>
  <c r="R123" i="2"/>
  <c r="R111" i="2"/>
  <c r="R103" i="2"/>
  <c r="R99" i="2"/>
  <c r="R91" i="2"/>
  <c r="R83" i="2"/>
  <c r="R79" i="2"/>
  <c r="R173" i="2"/>
  <c r="R167" i="2"/>
  <c r="R163" i="2"/>
  <c r="R159" i="2"/>
  <c r="R155" i="2"/>
  <c r="R151" i="2"/>
  <c r="R146" i="2"/>
  <c r="R142" i="2"/>
  <c r="R138" i="2"/>
  <c r="R134" i="2"/>
  <c r="R130" i="2"/>
  <c r="R126" i="2"/>
  <c r="R122" i="2"/>
  <c r="R118" i="2"/>
  <c r="R114" i="2"/>
  <c r="R110" i="2"/>
  <c r="R106" i="2"/>
  <c r="R102" i="2"/>
  <c r="R98" i="2"/>
  <c r="R94" i="2"/>
  <c r="R90" i="2"/>
  <c r="R86" i="2"/>
  <c r="R82" i="2"/>
  <c r="S169" i="2"/>
  <c r="R177" i="2"/>
  <c r="S175" i="2"/>
  <c r="S52" i="2"/>
  <c r="S67" i="2"/>
  <c r="S59" i="2"/>
  <c r="S69" i="2"/>
  <c r="S65" i="2"/>
  <c r="S61" i="2"/>
  <c r="S49" i="2"/>
  <c r="S45" i="2"/>
  <c r="S41" i="2"/>
  <c r="S37" i="2"/>
  <c r="S33" i="2"/>
  <c r="S29" i="2"/>
  <c r="S25" i="2"/>
  <c r="S36" i="2"/>
  <c r="S32" i="2"/>
  <c r="S28" i="2"/>
  <c r="S24" i="2"/>
  <c r="S20" i="2"/>
  <c r="S12" i="2"/>
  <c r="S4" i="2"/>
  <c r="S39" i="2"/>
  <c r="S35" i="2"/>
  <c r="S27" i="2"/>
  <c r="S23" i="2"/>
  <c r="S15" i="2"/>
  <c r="S11" i="2"/>
  <c r="S132" i="2"/>
  <c r="S100" i="2"/>
  <c r="S72" i="2"/>
  <c r="S48" i="2"/>
  <c r="S172" i="2"/>
  <c r="S160" i="2"/>
  <c r="S119" i="2"/>
  <c r="S79" i="2"/>
  <c r="S71" i="2"/>
  <c r="S63" i="2"/>
  <c r="S163" i="2"/>
  <c r="S151" i="2"/>
  <c r="S138" i="2"/>
  <c r="S126" i="2"/>
  <c r="S102" i="2"/>
  <c r="S98" i="2"/>
  <c r="S94" i="2"/>
  <c r="S74" i="2"/>
  <c r="S70" i="2"/>
  <c r="S66" i="2"/>
  <c r="S54" i="2"/>
  <c r="S42" i="2"/>
  <c r="S38" i="2"/>
  <c r="S34" i="2"/>
  <c r="S30" i="2"/>
  <c r="S26" i="2"/>
  <c r="S18" i="2"/>
  <c r="S14" i="2"/>
  <c r="S6" i="2"/>
  <c r="S162" i="2" l="1"/>
  <c r="S7" i="2"/>
  <c r="S8" i="2"/>
  <c r="S40" i="2"/>
  <c r="S77" i="2"/>
  <c r="S46" i="2"/>
  <c r="S62" i="2"/>
  <c r="S78" i="2"/>
  <c r="S64" i="2"/>
  <c r="S44" i="2"/>
  <c r="S17" i="2"/>
  <c r="S68" i="2"/>
  <c r="S22" i="2"/>
  <c r="S3" i="2"/>
  <c r="S19" i="2"/>
  <c r="S9" i="2"/>
  <c r="S57" i="2"/>
  <c r="S73" i="2"/>
  <c r="S10" i="2"/>
  <c r="S58" i="2"/>
  <c r="S55" i="2"/>
  <c r="S56" i="2"/>
  <c r="S13" i="2"/>
  <c r="S2" i="2"/>
  <c r="S50" i="2"/>
  <c r="S130" i="2"/>
  <c r="S31" i="2"/>
  <c r="S47" i="2"/>
  <c r="S16" i="2"/>
  <c r="S5" i="2"/>
  <c r="S21" i="2"/>
  <c r="S53" i="2"/>
  <c r="S76" i="2"/>
  <c r="S75" i="2"/>
  <c r="S87" i="2"/>
  <c r="S51" i="2"/>
  <c r="S60" i="2"/>
  <c r="S152" i="2"/>
  <c r="S143" i="2"/>
  <c r="S84" i="2"/>
  <c r="S116" i="2"/>
  <c r="S111" i="2"/>
  <c r="S142" i="2"/>
  <c r="S110" i="2"/>
  <c r="S159" i="2"/>
  <c r="S95" i="2"/>
  <c r="S127" i="2"/>
  <c r="S92" i="2"/>
  <c r="S124" i="2"/>
  <c r="S82" i="2"/>
  <c r="S146" i="2"/>
  <c r="S86" i="2"/>
  <c r="S118" i="2"/>
  <c r="S108" i="2"/>
  <c r="S140" i="2"/>
  <c r="S114" i="2"/>
  <c r="S115" i="2"/>
  <c r="S106" i="2"/>
  <c r="S134" i="2"/>
  <c r="S156" i="2"/>
  <c r="S107" i="2"/>
  <c r="S135" i="2"/>
  <c r="S167" i="2"/>
  <c r="S80" i="2"/>
  <c r="S154" i="2"/>
  <c r="S103" i="2"/>
  <c r="S90" i="2"/>
  <c r="S122" i="2"/>
  <c r="S155" i="2"/>
  <c r="S165" i="2"/>
  <c r="S85" i="2"/>
  <c r="S101" i="2"/>
  <c r="S117" i="2"/>
  <c r="S133" i="2"/>
  <c r="S150" i="2"/>
  <c r="S166" i="2"/>
  <c r="S99" i="2"/>
  <c r="S131" i="2"/>
  <c r="S164" i="2"/>
  <c r="S112" i="2"/>
  <c r="S144" i="2"/>
  <c r="S170" i="2"/>
  <c r="S171" i="2"/>
  <c r="S89" i="2"/>
  <c r="S105" i="2"/>
  <c r="S121" i="2"/>
  <c r="S137" i="2"/>
  <c r="S176" i="2"/>
  <c r="S168" i="2"/>
  <c r="S139" i="2"/>
  <c r="S88" i="2"/>
  <c r="S120" i="2"/>
  <c r="S153" i="2"/>
  <c r="S173" i="2"/>
  <c r="S149" i="2"/>
  <c r="S147" i="2"/>
  <c r="S93" i="2"/>
  <c r="S109" i="2"/>
  <c r="S125" i="2"/>
  <c r="S141" i="2"/>
  <c r="S158" i="2"/>
  <c r="S83" i="2"/>
  <c r="S148" i="2"/>
  <c r="S96" i="2"/>
  <c r="S128" i="2"/>
  <c r="S161" i="2"/>
  <c r="S174" i="2"/>
  <c r="S157" i="2"/>
  <c r="S81" i="2"/>
  <c r="S97" i="2"/>
  <c r="S113" i="2"/>
  <c r="S129" i="2"/>
  <c r="S145" i="2"/>
  <c r="S91" i="2"/>
  <c r="S123" i="2"/>
  <c r="S104" i="2"/>
  <c r="S136" i="2"/>
  <c r="S43" i="2"/>
  <c r="S177"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8BD6877-099A-4D65-BFFA-2679E1657BAF}" keepAlive="1" name="Query - حداکثر 5000 رکورد" description="Connection to the 'حداکثر 5000 رکورد' query in the workbook." type="5" refreshedVersion="8" background="1" saveData="1">
    <dbPr connection="Provider=Microsoft.Mashup.OleDb.1;Data Source=$Workbook$;Location=&quot;حداکثر 5000 رکورد&quot;;Extended Properties=&quot;&quot;" command="SELECT * FROM [حداکثر 5000 رکورد]"/>
  </connection>
  <connection id="2" xr16:uid="{21B0FE4E-91BF-42AF-814E-9994E7A76875}"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3" xr16:uid="{5FDB4D32-3B35-4CF1-BF09-BBE0EB50F15C}" name="WorksheetConnection_invoice.xlsx!bargiri" type="102" refreshedVersion="8" minRefreshableVersion="5">
    <extLst>
      <ext xmlns:x15="http://schemas.microsoft.com/office/spreadsheetml/2010/11/main" uri="{DE250136-89BD-433C-8126-D09CA5730AF9}">
        <x15:connection id="bargiri">
          <x15:rangePr sourceName="_xlcn.WorksheetConnection_invoice.xlsxbargiri"/>
        </x15:connection>
      </ext>
    </extLst>
  </connection>
  <connection id="4" xr16:uid="{C950567B-7BA6-4D5B-9381-C0C08B0BB2A1}" name="WorksheetConnection_invoice.xlsx!invoice" type="102" refreshedVersion="8" minRefreshableVersion="5">
    <extLst>
      <ext xmlns:x15="http://schemas.microsoft.com/office/spreadsheetml/2010/11/main" uri="{DE250136-89BD-433C-8126-D09CA5730AF9}">
        <x15:connection id="invoice">
          <x15:rangePr sourceName="_xlcn.WorksheetConnection_invoice.xlsxinvoice"/>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4">
    <s v="ThisWorkbookDataModel"/>
    <s v="{[invoice].[نوع سفارش].[All]}"/>
    <s v="{[invoice].[نام مشتری].&amp;[عراق اربیل]}"/>
    <s v="{[invoice].[شماره پیش فاکتور].&amp;[پ/92-1404-4]}"/>
  </metadataStrings>
  <mdxMetadata count="3">
    <mdx n="0" f="s">
      <ms ns="1" c="0"/>
    </mdx>
    <mdx n="0" f="s">
      <ms ns="2" c="0"/>
    </mdx>
    <mdx n="0" f="s">
      <ms ns="3" c="0"/>
    </mdx>
  </mdxMetadata>
  <valueMetadata count="3">
    <bk>
      <rc t="1" v="0"/>
    </bk>
    <bk>
      <rc t="1" v="1"/>
    </bk>
    <bk>
      <rc t="1" v="2"/>
    </bk>
  </valueMetadata>
</metadata>
</file>

<file path=xl/sharedStrings.xml><?xml version="1.0" encoding="utf-8"?>
<sst xmlns="http://schemas.openxmlformats.org/spreadsheetml/2006/main" count="13534" uniqueCount="1056">
  <si>
    <t>ردیف</t>
  </si>
  <si>
    <t>تاریخ بارگیری</t>
  </si>
  <si>
    <t>مقدار بارگیری (kg)</t>
  </si>
  <si>
    <t>فی(ریال)</t>
  </si>
  <si>
    <t>درصد مانده پیش فاکتور</t>
  </si>
  <si>
    <t>مبلغ باسکول</t>
  </si>
  <si>
    <t>درصد ارزش افزوده</t>
  </si>
  <si>
    <t>مبلغ ارزش افزوده</t>
  </si>
  <si>
    <t>جمع قابل پرداخت</t>
  </si>
  <si>
    <t>تاریخ واریزی</t>
  </si>
  <si>
    <t>مبلغ واریزی</t>
  </si>
  <si>
    <t>مانده حساب باسکول</t>
  </si>
  <si>
    <t>توضیحات</t>
  </si>
  <si>
    <t>نام مشتری</t>
  </si>
  <si>
    <t>شماره پیش فاکتور</t>
  </si>
  <si>
    <t>مقدار پیش فاکتور</t>
  </si>
  <si>
    <t>پ/46-1402</t>
  </si>
  <si>
    <t>اکسیژن ارومیه گاز</t>
  </si>
  <si>
    <t>1403/04/02</t>
  </si>
  <si>
    <t>پ/45-1402</t>
  </si>
  <si>
    <t>پارس اکسیر البرز شمالی</t>
  </si>
  <si>
    <t>1403/04/10</t>
  </si>
  <si>
    <t>پ/5-1402</t>
  </si>
  <si>
    <t>1403/02/02</t>
  </si>
  <si>
    <t>پ/33-1402</t>
  </si>
  <si>
    <t>پاینده ساز فردوس</t>
  </si>
  <si>
    <t>1403/04/28</t>
  </si>
  <si>
    <t>پ/29-1402</t>
  </si>
  <si>
    <t>1403/04/09</t>
  </si>
  <si>
    <t>پ/5-1403</t>
  </si>
  <si>
    <t>تعاونی ماهان گاز</t>
  </si>
  <si>
    <t>1403/01/28</t>
  </si>
  <si>
    <t>پ/6-1402</t>
  </si>
  <si>
    <t>1403/01/09</t>
  </si>
  <si>
    <t>پ/4-1403</t>
  </si>
  <si>
    <t>تولید گازهای طبی و صنعتی مددکاران اصفهان</t>
  </si>
  <si>
    <t>1403/01/26</t>
  </si>
  <si>
    <t>پ/13-1402</t>
  </si>
  <si>
    <t>1403/01/07</t>
  </si>
  <si>
    <t>پ/12-1402</t>
  </si>
  <si>
    <t>تولیدی گازهای طبی و صنعتی طوس سبزوار</t>
  </si>
  <si>
    <t>1403/04/03</t>
  </si>
  <si>
    <t>پ/2-1403</t>
  </si>
  <si>
    <t>خوش نوش همدان</t>
  </si>
  <si>
    <t>1403/01/25</t>
  </si>
  <si>
    <t>1403/10/26</t>
  </si>
  <si>
    <t>پ/40-1402</t>
  </si>
  <si>
    <t>پ/38-1402</t>
  </si>
  <si>
    <t>پ/37-1402</t>
  </si>
  <si>
    <t>1403/03/31</t>
  </si>
  <si>
    <t>پ/3-1403</t>
  </si>
  <si>
    <t>رهام گاز</t>
  </si>
  <si>
    <t>1403/02/01</t>
  </si>
  <si>
    <t>پ/1-1403</t>
  </si>
  <si>
    <t>1403/01/06</t>
  </si>
  <si>
    <t>1403/01/08</t>
  </si>
  <si>
    <t>پ/42-1402</t>
  </si>
  <si>
    <t>شرکت امین گاز ایرانیان</t>
  </si>
  <si>
    <t>1403/05/30</t>
  </si>
  <si>
    <t>پ/41-1402</t>
  </si>
  <si>
    <t>پ/01-1404</t>
  </si>
  <si>
    <t>1404/01/16</t>
  </si>
  <si>
    <t>1404/01/17</t>
  </si>
  <si>
    <t>پ/36-1402</t>
  </si>
  <si>
    <t>طاهر افروز همپای البرز</t>
  </si>
  <si>
    <t>1403/01/16</t>
  </si>
  <si>
    <t>پ/43-1402</t>
  </si>
  <si>
    <t>طوس قزوین</t>
  </si>
  <si>
    <t>1403/02/10</t>
  </si>
  <si>
    <t>پ/44-1402</t>
  </si>
  <si>
    <t>عبیر شیمی</t>
  </si>
  <si>
    <t>پ/3-1402</t>
  </si>
  <si>
    <t>پ/27-1402</t>
  </si>
  <si>
    <t>عراق اربیل</t>
  </si>
  <si>
    <t>1403/07/19</t>
  </si>
  <si>
    <t>پ/24-1402</t>
  </si>
  <si>
    <t>1403/04/12</t>
  </si>
  <si>
    <t>پ/17-1402</t>
  </si>
  <si>
    <t>ماشین سازی پیشتازان گاز کربنیک اردستان</t>
  </si>
  <si>
    <t>پ/9-1403</t>
  </si>
  <si>
    <t>1403/08/20</t>
  </si>
  <si>
    <t>پ/8-1403</t>
  </si>
  <si>
    <t>1403/04/04</t>
  </si>
  <si>
    <t>پ/6-1403</t>
  </si>
  <si>
    <t>پ/7-1403</t>
  </si>
  <si>
    <t>1403/03/29</t>
  </si>
  <si>
    <t>پ/11-1403</t>
  </si>
  <si>
    <t>1403/08/26</t>
  </si>
  <si>
    <t>پ/10-1403</t>
  </si>
  <si>
    <t>سهیل گاز کاسپین</t>
  </si>
  <si>
    <t>1403/04/16</t>
  </si>
  <si>
    <t>الحاقیه پ/3-1403</t>
  </si>
  <si>
    <t>1403/03/30</t>
  </si>
  <si>
    <t>پ/12-1403</t>
  </si>
  <si>
    <t>پ/14-1403</t>
  </si>
  <si>
    <t>1403/04/19</t>
  </si>
  <si>
    <t>1403/04/21</t>
  </si>
  <si>
    <t>پ/13-1403</t>
  </si>
  <si>
    <t>1403/04/18</t>
  </si>
  <si>
    <t>پ/15-1403</t>
  </si>
  <si>
    <t>1403/04/30</t>
  </si>
  <si>
    <t>پ/16-1403</t>
  </si>
  <si>
    <t>میثاق گاز فراز کرج</t>
  </si>
  <si>
    <t>1403/05/16</t>
  </si>
  <si>
    <t>پ/17-1403</t>
  </si>
  <si>
    <t>1403/05/22</t>
  </si>
  <si>
    <t>1403/10/02</t>
  </si>
  <si>
    <t>پ/19-1403</t>
  </si>
  <si>
    <t>1403/12/04</t>
  </si>
  <si>
    <t>پ/20-1403</t>
  </si>
  <si>
    <t>رایا شیمی پارسیان</t>
  </si>
  <si>
    <t>1403/06/15</t>
  </si>
  <si>
    <t>پ/18-1403</t>
  </si>
  <si>
    <t>1403/06/01</t>
  </si>
  <si>
    <t>1403/06/04</t>
  </si>
  <si>
    <t>پ/21-1403</t>
  </si>
  <si>
    <t>شرکت گروه صنعتی پاژ گاز خراسان</t>
  </si>
  <si>
    <t>1403/06/20</t>
  </si>
  <si>
    <t>1403/09/05</t>
  </si>
  <si>
    <t>پ/23-1403</t>
  </si>
  <si>
    <t>1403/07/14</t>
  </si>
  <si>
    <t>1403/10/20</t>
  </si>
  <si>
    <t>121839</t>
  </si>
  <si>
    <t>1403/07/25</t>
  </si>
  <si>
    <t>1403/07/29</t>
  </si>
  <si>
    <t>121302</t>
  </si>
  <si>
    <t>فرافن گاز تهران</t>
  </si>
  <si>
    <t>1403/07/28</t>
  </si>
  <si>
    <t>پ/24-1403</t>
  </si>
  <si>
    <t>کوشا تجارت زاگرس</t>
  </si>
  <si>
    <t>1403/07/23</t>
  </si>
  <si>
    <t>1403/09/18</t>
  </si>
  <si>
    <t>پ/29-1403</t>
  </si>
  <si>
    <t>شرکت دیبا گاز پارسه</t>
  </si>
  <si>
    <t>1403/08/23</t>
  </si>
  <si>
    <t>1403/12/24</t>
  </si>
  <si>
    <t>پ/27-1403</t>
  </si>
  <si>
    <t>1403/08/09</t>
  </si>
  <si>
    <t>1403/10/04</t>
  </si>
  <si>
    <t>پ/30-1403</t>
  </si>
  <si>
    <t>1403/08/28</t>
  </si>
  <si>
    <t>1403/10/07</t>
  </si>
  <si>
    <t>پ/28-1403</t>
  </si>
  <si>
    <t>1403/08/24</t>
  </si>
  <si>
    <t>پ/46-1403</t>
  </si>
  <si>
    <t>1403/09/29</t>
  </si>
  <si>
    <t>1403/11/10</t>
  </si>
  <si>
    <t>پ/38-1403</t>
  </si>
  <si>
    <t>1403/09/26</t>
  </si>
  <si>
    <t>پ/31-1403</t>
  </si>
  <si>
    <t>1403/09/27</t>
  </si>
  <si>
    <t>1403/11/16</t>
  </si>
  <si>
    <t>پ/37-1403</t>
  </si>
  <si>
    <t>1403/09/07</t>
  </si>
  <si>
    <t>1403/10/09</t>
  </si>
  <si>
    <t>پ/34-1403</t>
  </si>
  <si>
    <t>گاز کربنیک غرب</t>
  </si>
  <si>
    <t>1403/10/08</t>
  </si>
  <si>
    <t>پ/45-1403</t>
  </si>
  <si>
    <t>1403/10/19</t>
  </si>
  <si>
    <t>1403/12/12</t>
  </si>
  <si>
    <t>پ/47-1403</t>
  </si>
  <si>
    <t>1403/10/29</t>
  </si>
  <si>
    <t>1403/12/22</t>
  </si>
  <si>
    <t>پ/43-1403</t>
  </si>
  <si>
    <t>1403/10/05</t>
  </si>
  <si>
    <t>1403/12/06</t>
  </si>
  <si>
    <t>پ/48-1403</t>
  </si>
  <si>
    <t>1403/11/15</t>
  </si>
  <si>
    <t>پ/40-1403</t>
  </si>
  <si>
    <t>1403/10/11</t>
  </si>
  <si>
    <t>1403/11/29</t>
  </si>
  <si>
    <t>پ/36-1403</t>
  </si>
  <si>
    <t>طاها اندیشان همپای البرز</t>
  </si>
  <si>
    <t>1403/10/28</t>
  </si>
  <si>
    <t>الحاقیه پ/15-1403</t>
  </si>
  <si>
    <t>پ/42-1403</t>
  </si>
  <si>
    <t>1403/10/16</t>
  </si>
  <si>
    <t>1403/10/30</t>
  </si>
  <si>
    <t>پ/39-1403</t>
  </si>
  <si>
    <t>گروه صنایع شیمیایی به آفرین گاز تیسفون</t>
  </si>
  <si>
    <t>1403/10/03</t>
  </si>
  <si>
    <t>پ/49-1403</t>
  </si>
  <si>
    <t>1403/11/21</t>
  </si>
  <si>
    <t>پ/44-1403</t>
  </si>
  <si>
    <t>1403/11/17</t>
  </si>
  <si>
    <t>بورس</t>
  </si>
  <si>
    <t>پ/32-1403</t>
  </si>
  <si>
    <t>1403/11/03</t>
  </si>
  <si>
    <t>پ/35-1403</t>
  </si>
  <si>
    <t>1403/11/13</t>
  </si>
  <si>
    <t>پ/33-1403</t>
  </si>
  <si>
    <t>1403/11/08</t>
  </si>
  <si>
    <t>1403/11/28</t>
  </si>
  <si>
    <t>پ/41-1403</t>
  </si>
  <si>
    <t>1403/11/02</t>
  </si>
  <si>
    <t>1403/11/23</t>
  </si>
  <si>
    <t>پ/72-1403</t>
  </si>
  <si>
    <t>1403/12/26</t>
  </si>
  <si>
    <t>پ/66-1403</t>
  </si>
  <si>
    <t>1403/12/08</t>
  </si>
  <si>
    <t>1403/12/27</t>
  </si>
  <si>
    <t>1404/02/01</t>
  </si>
  <si>
    <t>پ/70-1403</t>
  </si>
  <si>
    <t>1403/12/15</t>
  </si>
  <si>
    <t>1404/01/05</t>
  </si>
  <si>
    <t>پ/55-1403</t>
  </si>
  <si>
    <t>پارس کربنیک کردستان</t>
  </si>
  <si>
    <t>پ/67-1403</t>
  </si>
  <si>
    <t>پ/68-1403</t>
  </si>
  <si>
    <t>1403/12/18</t>
  </si>
  <si>
    <t>جوش شیرین خراسان</t>
  </si>
  <si>
    <t>پ/69-1403</t>
  </si>
  <si>
    <t>سپهر سرمد</t>
  </si>
  <si>
    <t>پ/73-1403</t>
  </si>
  <si>
    <t>پ/71-1403</t>
  </si>
  <si>
    <t>پ/22-1403</t>
  </si>
  <si>
    <t>1403/12/01</t>
  </si>
  <si>
    <t>پ/62-1403</t>
  </si>
  <si>
    <t>گاز اکسیژن طوس</t>
  </si>
  <si>
    <t>پ/57-1403</t>
  </si>
  <si>
    <t>محمود احمدی زلتی</t>
  </si>
  <si>
    <t>1403/12/07</t>
  </si>
  <si>
    <t>1404/02/05</t>
  </si>
  <si>
    <t>تاریخ</t>
  </si>
  <si>
    <t>تاریخ مجوز بهره برداری</t>
  </si>
  <si>
    <t>میزان سفارش</t>
  </si>
  <si>
    <t>فی</t>
  </si>
  <si>
    <t>ماه</t>
  </si>
  <si>
    <t>سال</t>
  </si>
  <si>
    <t>نوع سفارش</t>
  </si>
  <si>
    <t>نوع شرکت</t>
  </si>
  <si>
    <t>تاریخ انقضا</t>
  </si>
  <si>
    <t>1403/05/01الی1403//10/26</t>
  </si>
  <si>
    <t>مقدار18725کیلوگرم 100درصد محاسبه میشه</t>
  </si>
  <si>
    <t>7/25الی10/24</t>
  </si>
  <si>
    <t>7/30-9/10-10/15</t>
  </si>
  <si>
    <t>47/250/000/000</t>
  </si>
  <si>
    <t>(8/585/797/500)</t>
  </si>
  <si>
    <t>هر500تن قبل از برداشت واریز میشود</t>
  </si>
  <si>
    <t>1403/10/27</t>
  </si>
  <si>
    <t>1403/07/03</t>
  </si>
  <si>
    <t>1403/09/10</t>
  </si>
  <si>
    <t>1403/10/15</t>
  </si>
  <si>
    <t>درهرتاریخ مبلغ1/575میلیاردواریزشده</t>
  </si>
  <si>
    <t>1403/11/01</t>
  </si>
  <si>
    <t>1403/11/05</t>
  </si>
  <si>
    <t>1403/11/11</t>
  </si>
  <si>
    <t>واریز 15/750/000/000ریال</t>
  </si>
  <si>
    <t>1403/11/14</t>
  </si>
  <si>
    <t>1403/11/24</t>
  </si>
  <si>
    <t>1403/11/25</t>
  </si>
  <si>
    <t>1403/11/30</t>
  </si>
  <si>
    <t>1403/12/10</t>
  </si>
  <si>
    <t>1403/12/21</t>
  </si>
  <si>
    <t>400+400+400+375میلیون</t>
  </si>
  <si>
    <t>1403/12/23</t>
  </si>
  <si>
    <t>1403/12/29</t>
  </si>
  <si>
    <t>1404/01/15</t>
  </si>
  <si>
    <t>1404/01/5</t>
  </si>
  <si>
    <t>1404/01/18</t>
  </si>
  <si>
    <t>1404/01/19</t>
  </si>
  <si>
    <t>1404/01/23</t>
  </si>
  <si>
    <t>1404/01/25</t>
  </si>
  <si>
    <t>1404/01/27</t>
  </si>
  <si>
    <t>1404/02/03</t>
  </si>
  <si>
    <t>400+400+400+400+400+400</t>
  </si>
  <si>
    <t>100+100</t>
  </si>
  <si>
    <t>1404/02/04</t>
  </si>
  <si>
    <t>200+150</t>
  </si>
  <si>
    <t>1404/02/08</t>
  </si>
  <si>
    <t>315+400</t>
  </si>
  <si>
    <t>1404/02/10</t>
  </si>
  <si>
    <t>1404/02/12</t>
  </si>
  <si>
    <t>1404/02/15</t>
  </si>
  <si>
    <t>1404/02/17</t>
  </si>
  <si>
    <t>1404/02/19</t>
  </si>
  <si>
    <t>1404/02/21</t>
  </si>
  <si>
    <t>1404/02/22</t>
  </si>
  <si>
    <t>1404/02/24</t>
  </si>
  <si>
    <t>1404/02/25</t>
  </si>
  <si>
    <t>1404/02/28</t>
  </si>
  <si>
    <t>1404/02/29</t>
  </si>
  <si>
    <t>1404/02/31</t>
  </si>
  <si>
    <t>اربیل عراق</t>
  </si>
  <si>
    <t>1402-27/پ</t>
  </si>
  <si>
    <t>1403/10/24</t>
  </si>
  <si>
    <t>تسویه تا اینجا</t>
  </si>
  <si>
    <t>1403/11/6/4</t>
  </si>
  <si>
    <t>از باسکول19905</t>
  </si>
  <si>
    <t>1402-44/پ</t>
  </si>
  <si>
    <t>1403/11/04</t>
  </si>
  <si>
    <t>از باسکول19905 کیلو1403/10/30</t>
  </si>
  <si>
    <t>1403/11/18</t>
  </si>
  <si>
    <t>1403/12/02</t>
  </si>
  <si>
    <t>مبلغ4/558/125ریال اضافه واریز شده</t>
  </si>
  <si>
    <t>1403/12/28</t>
  </si>
  <si>
    <t>1404/01/09</t>
  </si>
  <si>
    <t>1404/01/28/29</t>
  </si>
  <si>
    <t>1404/01/26</t>
  </si>
  <si>
    <t>1404/02/09</t>
  </si>
  <si>
    <t>1404/02/16</t>
  </si>
  <si>
    <t>1404/03/01</t>
  </si>
  <si>
    <t>از فیش 3/983/701/250ریال03/11/01</t>
  </si>
  <si>
    <t>1403/11/06</t>
  </si>
  <si>
    <t>1403/11/07</t>
  </si>
  <si>
    <t>1403/11/09</t>
  </si>
  <si>
    <t>ازباسکول20090</t>
  </si>
  <si>
    <t>1403-02/پ</t>
  </si>
  <si>
    <t>از باسکول  20090</t>
  </si>
  <si>
    <t>1404/01/06</t>
  </si>
  <si>
    <t>1404/01/07</t>
  </si>
  <si>
    <t>1404/01/08</t>
  </si>
  <si>
    <t>1404/01/10</t>
  </si>
  <si>
    <t>1404/01/11</t>
  </si>
  <si>
    <t>1404/01/12</t>
  </si>
  <si>
    <t>1404/01/20</t>
  </si>
  <si>
    <t>1404/01/28</t>
  </si>
  <si>
    <t>1404/01/31</t>
  </si>
  <si>
    <t>1404/02/02</t>
  </si>
  <si>
    <t>1404/02/07</t>
  </si>
  <si>
    <t>1404/02/14</t>
  </si>
  <si>
    <t>ازباسکول 21025کیلوگرم</t>
  </si>
  <si>
    <t>ب/48-1403</t>
  </si>
  <si>
    <t>ازباسکول21025کیلوگرم</t>
  </si>
  <si>
    <t>1404/02/18</t>
  </si>
  <si>
    <t>1404/02/23</t>
  </si>
  <si>
    <t>1404/03/04</t>
  </si>
  <si>
    <t>پ/32-1404</t>
  </si>
  <si>
    <t>پ/32-1405</t>
  </si>
  <si>
    <t>پ/32-1406</t>
  </si>
  <si>
    <t>02/12/26الی03/10/26</t>
  </si>
  <si>
    <t>11/154/588/050ریال اضافه واریز شده</t>
  </si>
  <si>
    <t>1403/12/09</t>
  </si>
  <si>
    <t>1403/12/20</t>
  </si>
  <si>
    <t>ازباسکول 18015کیلوگرم</t>
  </si>
  <si>
    <t>1404/01/24</t>
  </si>
  <si>
    <t>1404/01/21</t>
  </si>
  <si>
    <t>1404/02/11</t>
  </si>
  <si>
    <t>860/289/780اضافه واریز شده</t>
  </si>
  <si>
    <t>`1404/03/04</t>
  </si>
  <si>
    <t>1404/03/05</t>
  </si>
  <si>
    <t>1402-43/پ</t>
  </si>
  <si>
    <t>ازباسکول18350کیلو09/07</t>
  </si>
  <si>
    <t>ازباسکول20035کیلو11/02</t>
  </si>
  <si>
    <t>ازباسکول20010کیلوگرم</t>
  </si>
  <si>
    <t>ازباسکول18015کیلوگرم</t>
  </si>
  <si>
    <t>بورس1</t>
  </si>
  <si>
    <t>بورس2</t>
  </si>
  <si>
    <t>ازباسکول 19900کیلو</t>
  </si>
  <si>
    <t>پرداخت شده</t>
  </si>
  <si>
    <t>1404/02/06</t>
  </si>
  <si>
    <t>ازباسکول20110</t>
  </si>
  <si>
    <t>1404/10/02</t>
  </si>
  <si>
    <t>ازباسکول20195</t>
  </si>
  <si>
    <t>بورس3</t>
  </si>
  <si>
    <t>ماهان گاز</t>
  </si>
  <si>
    <t>08/26الی10/22</t>
  </si>
  <si>
    <t>1403/03/16</t>
  </si>
  <si>
    <t>تسویه</t>
  </si>
  <si>
    <t>1403/11/22</t>
  </si>
  <si>
    <t>از باسکول 12085 کیلو گرم 12/04</t>
  </si>
  <si>
    <t>1403-11/پ</t>
  </si>
  <si>
    <t>1404/02/20</t>
  </si>
  <si>
    <t>1404/02/27</t>
  </si>
  <si>
    <t>1404/03/03</t>
  </si>
  <si>
    <t>1403/04/18الی1403/09/14</t>
  </si>
  <si>
    <t>1403/09/14</t>
  </si>
  <si>
    <t>مبلغ 171/385/500 ریال کم واریز شده</t>
  </si>
  <si>
    <t>مبلغ 171/385/500 ریال واریز شده</t>
  </si>
  <si>
    <t>طوس سبزوار</t>
  </si>
  <si>
    <t>1403/12/14</t>
  </si>
  <si>
    <t>1403/12/25</t>
  </si>
  <si>
    <t>1404/02/30</t>
  </si>
  <si>
    <t>ازباسکول 17915</t>
  </si>
  <si>
    <t>ازباسکول17915</t>
  </si>
  <si>
    <t>پ/13/1403</t>
  </si>
  <si>
    <t>10/08الی03/10/25</t>
  </si>
  <si>
    <t>1403/11/27</t>
  </si>
  <si>
    <t>1403/12/11</t>
  </si>
  <si>
    <t>اضافه واریز شده</t>
  </si>
  <si>
    <t>کسرشد بابت اضافه واریزی</t>
  </si>
  <si>
    <t>1403-34/پ</t>
  </si>
  <si>
    <t>6/15الی03/10/26</t>
  </si>
  <si>
    <t>1403/12/13</t>
  </si>
  <si>
    <t>کم واریز شده6/842/500ریال</t>
  </si>
  <si>
    <t>6/842/500 واریزشد</t>
  </si>
  <si>
    <t>1404/01/29</t>
  </si>
  <si>
    <t>1404/01/22</t>
  </si>
  <si>
    <t>6/572/500ریال اضافه واریز شده</t>
  </si>
  <si>
    <t>رایا شیمی</t>
  </si>
  <si>
    <t>09/18الی03/10/26</t>
  </si>
  <si>
    <t>1403/11/12</t>
  </si>
  <si>
    <t>1404/01/30</t>
  </si>
  <si>
    <t>1404/02/13</t>
  </si>
  <si>
    <t>کوشا تجارت</t>
  </si>
  <si>
    <t>10/04الی03/1024</t>
  </si>
  <si>
    <t>از اول اردیبهشت تعدیل شد به میلغ باسکول 15 درصد پیش پرداخت هم محاسبه می شود</t>
  </si>
  <si>
    <t>1403-39/پ</t>
  </si>
  <si>
    <t>به آفرین</t>
  </si>
  <si>
    <t>1404/01/14</t>
  </si>
  <si>
    <t>ازباسکول 21565کیلو</t>
  </si>
  <si>
    <t>ازباسکول21565کیلوگرم</t>
  </si>
  <si>
    <t>1404/02/16-26</t>
  </si>
  <si>
    <t>1404/02/26</t>
  </si>
  <si>
    <t>طاهااندیشان</t>
  </si>
  <si>
    <t>احمدی</t>
  </si>
  <si>
    <t>پ/57-1404</t>
  </si>
  <si>
    <t>سپهرسرمدسپاهان</t>
  </si>
  <si>
    <t>04/04الی03/10/26</t>
  </si>
  <si>
    <t>1403/03/06</t>
  </si>
  <si>
    <t>تسویه یکجا</t>
  </si>
  <si>
    <t>ازباسکول 6990</t>
  </si>
  <si>
    <t>مددکاران</t>
  </si>
  <si>
    <t>پ/08-1404</t>
  </si>
  <si>
    <t>1403/12/05</t>
  </si>
  <si>
    <t>1404/01/25/26</t>
  </si>
  <si>
    <t>1404/02/2/3</t>
  </si>
  <si>
    <t>1404/02/22-23</t>
  </si>
  <si>
    <t>ازباسکول20120کیلوگرم</t>
  </si>
  <si>
    <t>09/05الی03/1026</t>
  </si>
  <si>
    <t>تا این تاریخ تسویه</t>
  </si>
  <si>
    <t>1403/12/7,8</t>
  </si>
  <si>
    <t>284/700/000ریال واریزشد</t>
  </si>
  <si>
    <t>پاژ گاز</t>
  </si>
  <si>
    <t>ازباسکول22035کیلوگرم</t>
  </si>
  <si>
    <t>ازباسکول 19090</t>
  </si>
  <si>
    <t>1403/12/5,12</t>
  </si>
  <si>
    <t>1403/12/7,12</t>
  </si>
  <si>
    <t>1403/12/15,18</t>
  </si>
  <si>
    <t>1404/02/16 17</t>
  </si>
  <si>
    <t>پاینده ساز</t>
  </si>
  <si>
    <t>03/29الی10/08</t>
  </si>
  <si>
    <t>1403/02/23</t>
  </si>
  <si>
    <t>از باسکول 20345 کیلوگرم 11/29</t>
  </si>
  <si>
    <t>1403/10/12</t>
  </si>
  <si>
    <t>پارس کربنیک</t>
  </si>
  <si>
    <t>04/16الی03/10/13</t>
  </si>
  <si>
    <t>تا تاریخ 13 دی تسویه شده</t>
  </si>
  <si>
    <t xml:space="preserve"> 1404/01/17</t>
  </si>
  <si>
    <t>تهاتر باپیش دریافت</t>
  </si>
  <si>
    <t>سهیل گاز</t>
  </si>
  <si>
    <t>پ/10-1404</t>
  </si>
  <si>
    <t>1403/05/30الی1403/10/19</t>
  </si>
  <si>
    <t>1403/11/10,13</t>
  </si>
  <si>
    <t>ازباسکول9950کیلو</t>
  </si>
  <si>
    <t>امین گاز</t>
  </si>
  <si>
    <t>دیبا گستر پارسه</t>
  </si>
  <si>
    <t>تاریخ حواله</t>
  </si>
  <si>
    <t>شماره سند مبنا</t>
  </si>
  <si>
    <t>مقدار</t>
  </si>
  <si>
    <t>مبلغ ناخالص</t>
  </si>
  <si>
    <t>اضافات</t>
  </si>
  <si>
    <t>مبلغ خالص</t>
  </si>
  <si>
    <t>1404/03/11</t>
  </si>
  <si>
    <t>الحاقیه پ/61-1403</t>
  </si>
  <si>
    <t>الحاقیه پ/69-1403</t>
  </si>
  <si>
    <t>1404/03/10</t>
  </si>
  <si>
    <t>الحاقیه پ/54-1403</t>
  </si>
  <si>
    <t>1404/03/08</t>
  </si>
  <si>
    <t>1404/03/09</t>
  </si>
  <si>
    <t>الحاقیه پ/52-1403</t>
  </si>
  <si>
    <t>1404/03/07</t>
  </si>
  <si>
    <t>الحاقیه پ/55-1403</t>
  </si>
  <si>
    <t>الحاقیه پ/57-1403</t>
  </si>
  <si>
    <t>1404/03/06</t>
  </si>
  <si>
    <t>الحاقیه پ/39-1403</t>
  </si>
  <si>
    <t>پ/03-1404</t>
  </si>
  <si>
    <t>1403/10/25</t>
  </si>
  <si>
    <t>1403/10/23</t>
  </si>
  <si>
    <t>1403/10/22</t>
  </si>
  <si>
    <t>1403/10/21</t>
  </si>
  <si>
    <t>1403/10/18</t>
  </si>
  <si>
    <t>1403/10/17</t>
  </si>
  <si>
    <t>1403/10/14</t>
  </si>
  <si>
    <t>1403/10/13</t>
  </si>
  <si>
    <t>1403/10/10</t>
  </si>
  <si>
    <t>1403/10/06</t>
  </si>
  <si>
    <t>1403/04/31</t>
  </si>
  <si>
    <t>1403/10/01</t>
  </si>
  <si>
    <t>1403/09/30</t>
  </si>
  <si>
    <t>1403/09/22</t>
  </si>
  <si>
    <t>1403/09/19</t>
  </si>
  <si>
    <t>1403/09/13</t>
  </si>
  <si>
    <t>1403/09/11</t>
  </si>
  <si>
    <t>1403/09/08</t>
  </si>
  <si>
    <t>1403/09/04</t>
  </si>
  <si>
    <t>1403/08/16</t>
  </si>
  <si>
    <t>1403/08/14</t>
  </si>
  <si>
    <t>1403/08/07</t>
  </si>
  <si>
    <t>1403/08/02</t>
  </si>
  <si>
    <t>1403/09/28</t>
  </si>
  <si>
    <t>1403/09/24</t>
  </si>
  <si>
    <t>1403/09/25</t>
  </si>
  <si>
    <t>1403/09/23</t>
  </si>
  <si>
    <t>1403/09/21</t>
  </si>
  <si>
    <t>1403/09/20</t>
  </si>
  <si>
    <t>1403/09/17</t>
  </si>
  <si>
    <t>1403/09/12</t>
  </si>
  <si>
    <t>1403/09/09</t>
  </si>
  <si>
    <t>1403/09/06</t>
  </si>
  <si>
    <t>1403/09/03</t>
  </si>
  <si>
    <t>1403/09/02</t>
  </si>
  <si>
    <t>1403/09/01</t>
  </si>
  <si>
    <t>1403/08/30</t>
  </si>
  <si>
    <t>1403/08/29</t>
  </si>
  <si>
    <t>1403/08/27</t>
  </si>
  <si>
    <t>1403/08/25</t>
  </si>
  <si>
    <t>1403/08/22</t>
  </si>
  <si>
    <t>1403/08/21</t>
  </si>
  <si>
    <t>1403/08/19</t>
  </si>
  <si>
    <t>1403/08/17</t>
  </si>
  <si>
    <t>1403/08/15</t>
  </si>
  <si>
    <t>1403/08/13</t>
  </si>
  <si>
    <t>1403/08/12</t>
  </si>
  <si>
    <t>1403/08/10</t>
  </si>
  <si>
    <t>1403/08/06</t>
  </si>
  <si>
    <t>1403/08/05</t>
  </si>
  <si>
    <t>1403/08/03</t>
  </si>
  <si>
    <t>1403/08/01</t>
  </si>
  <si>
    <t>1403/07/24</t>
  </si>
  <si>
    <t>1403/07/17</t>
  </si>
  <si>
    <t>1403/07/16</t>
  </si>
  <si>
    <t>1403/08/08</t>
  </si>
  <si>
    <t>1403/07/30</t>
  </si>
  <si>
    <t>1403/07/26</t>
  </si>
  <si>
    <t>1403/07/22</t>
  </si>
  <si>
    <t>1403/07/21</t>
  </si>
  <si>
    <t>1403/07/12</t>
  </si>
  <si>
    <t>1403/07/05</t>
  </si>
  <si>
    <t>1403/07/02</t>
  </si>
  <si>
    <t>1403/06/21</t>
  </si>
  <si>
    <t>1403/06/19</t>
  </si>
  <si>
    <t>1403/07/10</t>
  </si>
  <si>
    <t>1403/07/09</t>
  </si>
  <si>
    <t>1403/07/07</t>
  </si>
  <si>
    <t>1403/06/31</t>
  </si>
  <si>
    <t>1403/06/29</t>
  </si>
  <si>
    <t>1403/06/27</t>
  </si>
  <si>
    <t>1403/06/26</t>
  </si>
  <si>
    <t>1403/06/24</t>
  </si>
  <si>
    <t>1403/06/22</t>
  </si>
  <si>
    <t>1403/05/25</t>
  </si>
  <si>
    <t>1403/06/17</t>
  </si>
  <si>
    <t>1403/06/13</t>
  </si>
  <si>
    <t>1403/06/10</t>
  </si>
  <si>
    <t>1403/06/05</t>
  </si>
  <si>
    <t>1403/06/08</t>
  </si>
  <si>
    <t>1403/06/06</t>
  </si>
  <si>
    <t>1403/06/03</t>
  </si>
  <si>
    <t>1403/05/27</t>
  </si>
  <si>
    <t>1403/05/15</t>
  </si>
  <si>
    <t>1403/05/29</t>
  </si>
  <si>
    <t>1403/04/23</t>
  </si>
  <si>
    <t>1403/04/11</t>
  </si>
  <si>
    <t>1403/04/07</t>
  </si>
  <si>
    <t>1403/05/23</t>
  </si>
  <si>
    <t>1403/05/20</t>
  </si>
  <si>
    <t>1403/05/18</t>
  </si>
  <si>
    <t>1403/05/04</t>
  </si>
  <si>
    <t>1403/05/02</t>
  </si>
  <si>
    <t>1403/05/01</t>
  </si>
  <si>
    <t>1403/04/24</t>
  </si>
  <si>
    <t>1403/04/17</t>
  </si>
  <si>
    <t>1403/04/14</t>
  </si>
  <si>
    <t>1403/02/09</t>
  </si>
  <si>
    <t>1403/02/07</t>
  </si>
  <si>
    <t>1403/02/06</t>
  </si>
  <si>
    <t>1403/01/18</t>
  </si>
  <si>
    <t>1403/01/17</t>
  </si>
  <si>
    <t>1403/02/11</t>
  </si>
  <si>
    <t>1403/02/08</t>
  </si>
  <si>
    <t>1403/02/05</t>
  </si>
  <si>
    <t>1403/02/04</t>
  </si>
  <si>
    <t>1403/02/03</t>
  </si>
  <si>
    <t>1403/01/31</t>
  </si>
  <si>
    <t>1403/01/29</t>
  </si>
  <si>
    <t>1403/01/27</t>
  </si>
  <si>
    <t>1403/01/23</t>
  </si>
  <si>
    <t>1403/01/21</t>
  </si>
  <si>
    <t>1403/01/20</t>
  </si>
  <si>
    <t>1403/01/19</t>
  </si>
  <si>
    <t>1403/01/15</t>
  </si>
  <si>
    <t>1403/01/14</t>
  </si>
  <si>
    <t>1403/01/13</t>
  </si>
  <si>
    <t>1403/01/12</t>
  </si>
  <si>
    <t>1403/01/11</t>
  </si>
  <si>
    <t>شماره حواله</t>
  </si>
  <si>
    <t>تاریخ پیش فاکتور</t>
  </si>
  <si>
    <t>تاریخ بهره برداری</t>
  </si>
  <si>
    <t>میزان حمل شده</t>
  </si>
  <si>
    <t>% حمل شده</t>
  </si>
  <si>
    <t>مانده سفارش</t>
  </si>
  <si>
    <t/>
  </si>
  <si>
    <t>پیش دریافت</t>
  </si>
  <si>
    <t>کل دریافتی</t>
  </si>
  <si>
    <t>استهلاک پیش دریافت</t>
  </si>
  <si>
    <t>% ارزش افزوده</t>
  </si>
  <si>
    <t>پیش دریافت به ازای هر کیلوگرم</t>
  </si>
  <si>
    <t>میزان استهلاک پیش دریافتی</t>
  </si>
  <si>
    <t>مبلغ پیش دریافت</t>
  </si>
  <si>
    <t>الحاقیه پ/63-1403</t>
  </si>
  <si>
    <t>الحاقیه پ/58-1403</t>
  </si>
  <si>
    <t>الحاقیه پ/65-1403</t>
  </si>
  <si>
    <t>الحاقیه پ/56-1403</t>
  </si>
  <si>
    <t>الحاقیه پ/64-1403</t>
  </si>
  <si>
    <t>الحاقیه پ/62-1403</t>
  </si>
  <si>
    <t>الحاقیه پ/50-1403</t>
  </si>
  <si>
    <t>الحاقیه پ/51-1403</t>
  </si>
  <si>
    <t>پ/02-1404</t>
  </si>
  <si>
    <t>1404/12/29</t>
  </si>
  <si>
    <t>پ/04-1404</t>
  </si>
  <si>
    <t>پ/05-1404</t>
  </si>
  <si>
    <t>پ/06-1404</t>
  </si>
  <si>
    <t>پ/07-1404</t>
  </si>
  <si>
    <t>پ/11-1404</t>
  </si>
  <si>
    <t>الحاقیه پ/53-1403</t>
  </si>
  <si>
    <t>الحاقیه پ/59-1403</t>
  </si>
  <si>
    <t>1404/07/15</t>
  </si>
  <si>
    <t>مانده مبلغ</t>
  </si>
  <si>
    <t>All</t>
  </si>
  <si>
    <t>Row Labels</t>
  </si>
  <si>
    <t xml:space="preserve">  میزان سفارش</t>
  </si>
  <si>
    <t>مقدار بارگیری</t>
  </si>
  <si>
    <t>میانگین قیمت</t>
  </si>
  <si>
    <t>تعداد پیش فاکتور</t>
  </si>
  <si>
    <t>تعداد بارگیری</t>
  </si>
  <si>
    <t>درصد بارگیری</t>
  </si>
  <si>
    <t>درصد مانده</t>
  </si>
  <si>
    <t xml:space="preserve">مانده مبلغ </t>
  </si>
  <si>
    <t>قیمت</t>
  </si>
  <si>
    <t>مبلغ بار + ارزش افزوده</t>
  </si>
  <si>
    <t>میزان بارگیری</t>
  </si>
  <si>
    <t>مبلغ بعلاوه ارزش افزوده</t>
  </si>
  <si>
    <t>آدرس فایل</t>
  </si>
  <si>
    <t>1404/03/19</t>
  </si>
  <si>
    <t>1404/03/18</t>
  </si>
  <si>
    <t>1404/03/17</t>
  </si>
  <si>
    <t>1404/03/16</t>
  </si>
  <si>
    <t>1404/03/15</t>
  </si>
  <si>
    <t>1404/03/14</t>
  </si>
  <si>
    <t>1404/03/13</t>
  </si>
  <si>
    <t>1404/03/12</t>
  </si>
  <si>
    <t xml:space="preserve"> قیمت</t>
  </si>
  <si>
    <t>الحاقیه پ/43-1402</t>
  </si>
  <si>
    <t>1404/03/22</t>
  </si>
  <si>
    <t>1404/03/27</t>
  </si>
  <si>
    <t>پ/28-1404</t>
  </si>
  <si>
    <t>1404/03/21</t>
  </si>
  <si>
    <t>پ/24-1404</t>
  </si>
  <si>
    <t>پ/26-1404</t>
  </si>
  <si>
    <t>پ/16-1404</t>
  </si>
  <si>
    <t>پ/27-1404</t>
  </si>
  <si>
    <t>پ/23-1404</t>
  </si>
  <si>
    <t>پ/25-1404</t>
  </si>
  <si>
    <t>پ/29-1404</t>
  </si>
  <si>
    <t>1404/04/02</t>
  </si>
  <si>
    <t>1404/04/03</t>
  </si>
  <si>
    <t>پ/30-1404</t>
  </si>
  <si>
    <t>پ/31-1404</t>
  </si>
  <si>
    <t>پ/33-1404</t>
  </si>
  <si>
    <t>پ/34-1404</t>
  </si>
  <si>
    <t>پ/35-1404</t>
  </si>
  <si>
    <t>1404/04/18</t>
  </si>
  <si>
    <t>پ/36-1404</t>
  </si>
  <si>
    <t>پ/37-1404</t>
  </si>
  <si>
    <t>1404/04/24</t>
  </si>
  <si>
    <t>1404/04/29</t>
  </si>
  <si>
    <t>پ/38-1404</t>
  </si>
  <si>
    <t>پ/39-1404</t>
  </si>
  <si>
    <t>1404/04/31</t>
  </si>
  <si>
    <t>پ/40-1404</t>
  </si>
  <si>
    <t>پ/41-1404</t>
  </si>
  <si>
    <t>پ/42-1404</t>
  </si>
  <si>
    <t>پ/43-1404</t>
  </si>
  <si>
    <t>1404/05/06</t>
  </si>
  <si>
    <t>1404/05/11</t>
  </si>
  <si>
    <t>پ/44-1404</t>
  </si>
  <si>
    <t>پ/45-1404</t>
  </si>
  <si>
    <t>پ/46-1404</t>
  </si>
  <si>
    <t>پ/47-1404</t>
  </si>
  <si>
    <t>1404/05/14</t>
  </si>
  <si>
    <t>پ/48-1404</t>
  </si>
  <si>
    <t>پ/49-1404</t>
  </si>
  <si>
    <t>پ/50-1404</t>
  </si>
  <si>
    <t>پ/51-1404</t>
  </si>
  <si>
    <t>1404/05/18</t>
  </si>
  <si>
    <t>1404/05/22</t>
  </si>
  <si>
    <t>پ/52-1404</t>
  </si>
  <si>
    <t>پ/53-1404</t>
  </si>
  <si>
    <t>پ/54-1404</t>
  </si>
  <si>
    <t>پ/55-1404</t>
  </si>
  <si>
    <t>آیس کار</t>
  </si>
  <si>
    <t>پ/56-1404</t>
  </si>
  <si>
    <t>1404/05/28</t>
  </si>
  <si>
    <t>پ/58-1404</t>
  </si>
  <si>
    <t>پ/59-1404</t>
  </si>
  <si>
    <t>1404/06/04</t>
  </si>
  <si>
    <t>1404/06/09</t>
  </si>
  <si>
    <t>پ/61-1404</t>
  </si>
  <si>
    <t>پ/62-1404</t>
  </si>
  <si>
    <t>1404/06/16</t>
  </si>
  <si>
    <t>1404/06/22</t>
  </si>
  <si>
    <t>پ/63-1404</t>
  </si>
  <si>
    <t>1404/06/11</t>
  </si>
  <si>
    <t>پ/64-1404</t>
  </si>
  <si>
    <t>پ/65-1404</t>
  </si>
  <si>
    <t>پ/66-1404</t>
  </si>
  <si>
    <t>پ/67-1404</t>
  </si>
  <si>
    <t>پ/68-1404</t>
  </si>
  <si>
    <t>1404/06/30</t>
  </si>
  <si>
    <t>پ/69-1404</t>
  </si>
  <si>
    <t>1404/06/25</t>
  </si>
  <si>
    <t>پ/70-1404</t>
  </si>
  <si>
    <t>پ/71-1404</t>
  </si>
  <si>
    <t>پ/72-1404</t>
  </si>
  <si>
    <t>1404/07/08</t>
  </si>
  <si>
    <t>پ/73-1404</t>
  </si>
  <si>
    <t>1404/07/01</t>
  </si>
  <si>
    <t>پ/74-1404</t>
  </si>
  <si>
    <t>پ/75-1404</t>
  </si>
  <si>
    <t>1404/07/26</t>
  </si>
  <si>
    <t>1404/08/02</t>
  </si>
  <si>
    <t>پ/76-1404</t>
  </si>
  <si>
    <t>پ/77-1404</t>
  </si>
  <si>
    <t>1404/08/03</t>
  </si>
  <si>
    <t>پ/78-1404</t>
  </si>
  <si>
    <t>1404/08/07</t>
  </si>
  <si>
    <t>پ/79-1404</t>
  </si>
  <si>
    <t>پ/80-1404</t>
  </si>
  <si>
    <t>پ/81-1404</t>
  </si>
  <si>
    <t>1404/08/17</t>
  </si>
  <si>
    <t>1404/08/21</t>
  </si>
  <si>
    <t>پ/82-1404</t>
  </si>
  <si>
    <t>پ/83-1404</t>
  </si>
  <si>
    <t>پ/84-1404</t>
  </si>
  <si>
    <t>1404/08/20</t>
  </si>
  <si>
    <t>1404/08/29</t>
  </si>
  <si>
    <t>پ/85-1404</t>
  </si>
  <si>
    <t>پ/86-1404</t>
  </si>
  <si>
    <t>1404/08/26</t>
  </si>
  <si>
    <t>پ/88-1404</t>
  </si>
  <si>
    <t>پ/87-1404</t>
  </si>
  <si>
    <t>پ/89-1404</t>
  </si>
  <si>
    <t>پ/90-1404</t>
  </si>
  <si>
    <t>پ/91-1404</t>
  </si>
  <si>
    <t>1404/09/05</t>
  </si>
  <si>
    <t>1404/09/06</t>
  </si>
  <si>
    <t>پ/93-1404</t>
  </si>
  <si>
    <t>پ/94-1404</t>
  </si>
  <si>
    <t>C:\Users\a.faraji\Desktop\متفرقه\جزییات پرداختی ها(2)</t>
  </si>
  <si>
    <t>1404/09/25</t>
  </si>
  <si>
    <t>پ/21-1404</t>
  </si>
  <si>
    <t>1404/09/24</t>
  </si>
  <si>
    <t>پ/15-1404</t>
  </si>
  <si>
    <t>1404/09/23</t>
  </si>
  <si>
    <t>1404/09/22</t>
  </si>
  <si>
    <t>پ/13-1404</t>
  </si>
  <si>
    <t>1404/09/21</t>
  </si>
  <si>
    <t>1404/09/20</t>
  </si>
  <si>
    <t>1404/09/19</t>
  </si>
  <si>
    <t>1404/09/18</t>
  </si>
  <si>
    <t>1404/09/17</t>
  </si>
  <si>
    <t>1404/09/16</t>
  </si>
  <si>
    <t>1404/09/15</t>
  </si>
  <si>
    <t>1404/09/13</t>
  </si>
  <si>
    <t>1404/09/12</t>
  </si>
  <si>
    <t>1404/09/11</t>
  </si>
  <si>
    <t>1404/08/23</t>
  </si>
  <si>
    <t>1404/09/10</t>
  </si>
  <si>
    <t>1404/09/09</t>
  </si>
  <si>
    <t>1404/09/08</t>
  </si>
  <si>
    <t>1404/09/04</t>
  </si>
  <si>
    <t>1404/09/03</t>
  </si>
  <si>
    <t>1404/09/01</t>
  </si>
  <si>
    <t>1404/08/28</t>
  </si>
  <si>
    <t>1404/08/27</t>
  </si>
  <si>
    <t>1404/08/25</t>
  </si>
  <si>
    <t>1404/08/24</t>
  </si>
  <si>
    <t>1404/08/22</t>
  </si>
  <si>
    <t>1404/08/19</t>
  </si>
  <si>
    <t>1404/08/18</t>
  </si>
  <si>
    <t>1404/08/15</t>
  </si>
  <si>
    <t>1404/08/13</t>
  </si>
  <si>
    <t>1404/08/14</t>
  </si>
  <si>
    <t>1404/08/12</t>
  </si>
  <si>
    <t>1404/08/11</t>
  </si>
  <si>
    <t>1404/08/10</t>
  </si>
  <si>
    <t>1404/08/09</t>
  </si>
  <si>
    <t>1404/08/08</t>
  </si>
  <si>
    <t>1404/08/06</t>
  </si>
  <si>
    <t>1404/08/05</t>
  </si>
  <si>
    <t>1404/08/04</t>
  </si>
  <si>
    <t>1404/08/01</t>
  </si>
  <si>
    <t>1404/07/30</t>
  </si>
  <si>
    <t>1404/07/29</t>
  </si>
  <si>
    <t>پ/20-1404</t>
  </si>
  <si>
    <t>1404/07/28</t>
  </si>
  <si>
    <t>1404/07/27</t>
  </si>
  <si>
    <t>1404/07/24</t>
  </si>
  <si>
    <t>1404/07/23</t>
  </si>
  <si>
    <t>1404/07/22</t>
  </si>
  <si>
    <t>1404/07/21</t>
  </si>
  <si>
    <t>1404/07/20</t>
  </si>
  <si>
    <t>1404/07/19</t>
  </si>
  <si>
    <t>1404/07/18</t>
  </si>
  <si>
    <t>1404/07/17</t>
  </si>
  <si>
    <t>1404/07/16</t>
  </si>
  <si>
    <t>1404/07/14</t>
  </si>
  <si>
    <t>1404/07/13</t>
  </si>
  <si>
    <t>1404/07/12</t>
  </si>
  <si>
    <t>1404/07/11</t>
  </si>
  <si>
    <t>1404/07/10</t>
  </si>
  <si>
    <t>1404/07/09</t>
  </si>
  <si>
    <t>1404/07/07</t>
  </si>
  <si>
    <t>1404/07/06</t>
  </si>
  <si>
    <t>1404/07/05</t>
  </si>
  <si>
    <t>1404/07/04</t>
  </si>
  <si>
    <t>1404/07/03</t>
  </si>
  <si>
    <t>1404/07/02</t>
  </si>
  <si>
    <t>1404/06/31</t>
  </si>
  <si>
    <t>1404/06/29</t>
  </si>
  <si>
    <t>1404/06/27</t>
  </si>
  <si>
    <t>1404/06/26</t>
  </si>
  <si>
    <t>1404/06/24</t>
  </si>
  <si>
    <t>1404/06/23</t>
  </si>
  <si>
    <t>1404/06/20</t>
  </si>
  <si>
    <t>1404/06/19</t>
  </si>
  <si>
    <t>1404/06/18</t>
  </si>
  <si>
    <t>1404/06/17</t>
  </si>
  <si>
    <t>1404/06/15</t>
  </si>
  <si>
    <t>1404/06/13</t>
  </si>
  <si>
    <t>1404/06/12</t>
  </si>
  <si>
    <t>الحاقیه پ/60-1403</t>
  </si>
  <si>
    <t>1404/06/10</t>
  </si>
  <si>
    <t>1404/06/08</t>
  </si>
  <si>
    <t>1404/06/07</t>
  </si>
  <si>
    <t>1404/06/06</t>
  </si>
  <si>
    <t>1404/06/05</t>
  </si>
  <si>
    <t>1404/06/03</t>
  </si>
  <si>
    <t>1404/05/30</t>
  </si>
  <si>
    <t>1404/05/29</t>
  </si>
  <si>
    <t>1404/05/27</t>
  </si>
  <si>
    <t>1404/05/26</t>
  </si>
  <si>
    <t>1404/05/25</t>
  </si>
  <si>
    <t>1404/05/23</t>
  </si>
  <si>
    <t>1404/05/24</t>
  </si>
  <si>
    <t>1404/05/21</t>
  </si>
  <si>
    <t>پ/17-1404</t>
  </si>
  <si>
    <t>1404/05/20</t>
  </si>
  <si>
    <t>1404/05/19</t>
  </si>
  <si>
    <t>پ/19-1404</t>
  </si>
  <si>
    <t>1404/05/16</t>
  </si>
  <si>
    <t>1404/05/15</t>
  </si>
  <si>
    <t>1404/05/13</t>
  </si>
  <si>
    <t>1404/05/12</t>
  </si>
  <si>
    <t>1404/05/10</t>
  </si>
  <si>
    <t>1404/05/09</t>
  </si>
  <si>
    <t>1404/05/08</t>
  </si>
  <si>
    <t>1404/05/07</t>
  </si>
  <si>
    <t>1404/05/05</t>
  </si>
  <si>
    <t>1404/05/04</t>
  </si>
  <si>
    <t>1404/05/02</t>
  </si>
  <si>
    <t>1404/05/01</t>
  </si>
  <si>
    <t>پ/18-1404</t>
  </si>
  <si>
    <t>1404/04/30</t>
  </si>
  <si>
    <t>1404/04/25</t>
  </si>
  <si>
    <t>1404/04/28</t>
  </si>
  <si>
    <t>1404/04/27</t>
  </si>
  <si>
    <t>1404/04/26</t>
  </si>
  <si>
    <t>1404/04/23</t>
  </si>
  <si>
    <t>1404/04/22</t>
  </si>
  <si>
    <t>1404/04/21</t>
  </si>
  <si>
    <t>1404/04/20</t>
  </si>
  <si>
    <t>1404/04/19</t>
  </si>
  <si>
    <t>1404/04/17</t>
  </si>
  <si>
    <t>1404/04/16</t>
  </si>
  <si>
    <t>1404/04/04</t>
  </si>
  <si>
    <t>1404/04/01</t>
  </si>
  <si>
    <t>1404/03/31</t>
  </si>
  <si>
    <t>1404/03/29</t>
  </si>
  <si>
    <t>1404/03/28</t>
  </si>
  <si>
    <t>1404/03/26</t>
  </si>
  <si>
    <t>1404/03/25</t>
  </si>
  <si>
    <t>1404/03/24</t>
  </si>
  <si>
    <t>1404/03/23</t>
  </si>
  <si>
    <t>1404/03/20</t>
  </si>
  <si>
    <t>پ/95-1404</t>
  </si>
  <si>
    <t>پ/96-1404</t>
  </si>
  <si>
    <t>پ/97-1404</t>
  </si>
  <si>
    <t>پ/98-1404</t>
  </si>
  <si>
    <t>پ/99-1404</t>
  </si>
  <si>
    <t>پ/100-1404</t>
  </si>
  <si>
    <t>پ/101-1404</t>
  </si>
  <si>
    <t>1404/012/29</t>
  </si>
  <si>
    <t>پ/102-1404</t>
  </si>
  <si>
    <t>پ/92-1404</t>
  </si>
  <si>
    <t>1404/10/07</t>
  </si>
  <si>
    <t>1404/10/09</t>
  </si>
  <si>
    <t>پ/103-1404</t>
  </si>
  <si>
    <t>1404/10/10</t>
  </si>
  <si>
    <t>1404/10/15</t>
  </si>
  <si>
    <t>پ/104-1404</t>
  </si>
  <si>
    <t>1404/10/03</t>
  </si>
  <si>
    <t>پ/105-1404</t>
  </si>
  <si>
    <t>1404/10/17</t>
  </si>
  <si>
    <t>1404/10/18</t>
  </si>
  <si>
    <t>پ/106-1404</t>
  </si>
  <si>
    <t>پ/107-1404</t>
  </si>
  <si>
    <t>پ/92-1404-1</t>
  </si>
  <si>
    <t>پ/92-1404-2</t>
  </si>
  <si>
    <t>پ/108-1404</t>
  </si>
  <si>
    <t>پ/109-1404</t>
  </si>
  <si>
    <t>1404/10/22</t>
  </si>
  <si>
    <t>پ/110-1404</t>
  </si>
  <si>
    <t>1404/10/25</t>
  </si>
  <si>
    <t>پ/111-1404</t>
  </si>
  <si>
    <t>پ/112-1404</t>
  </si>
  <si>
    <t>پ/113-1404</t>
  </si>
  <si>
    <t>1404/10/30</t>
  </si>
  <si>
    <t>پ/114-1404</t>
  </si>
  <si>
    <t>1404/11/01</t>
  </si>
  <si>
    <t>پ/115-1404</t>
  </si>
  <si>
    <t>پ/116-1404</t>
  </si>
  <si>
    <t>1404/11/06</t>
  </si>
  <si>
    <t>1404/11/22</t>
  </si>
  <si>
    <t>پ/117-1404</t>
  </si>
  <si>
    <t>1404/11/11</t>
  </si>
  <si>
    <t>پ/118-1404</t>
  </si>
  <si>
    <t>1404/11/14</t>
  </si>
  <si>
    <t>پ/119-1404</t>
  </si>
  <si>
    <t>1404/11/21</t>
  </si>
  <si>
    <t>پ/120-1404</t>
  </si>
  <si>
    <t>الحاقیه پ/17-1402</t>
  </si>
  <si>
    <t>پ/92-1404-3</t>
  </si>
  <si>
    <t>Column1</t>
  </si>
  <si>
    <t>Column2</t>
  </si>
  <si>
    <t>Column3</t>
  </si>
  <si>
    <t>Column4</t>
  </si>
  <si>
    <t>Column5</t>
  </si>
  <si>
    <t>Column6</t>
  </si>
  <si>
    <t>1404/11/27</t>
  </si>
  <si>
    <t>1404/11/26</t>
  </si>
  <si>
    <t>1404/11/24</t>
  </si>
  <si>
    <t>1404/11/20</t>
  </si>
  <si>
    <t>1404/11/19</t>
  </si>
  <si>
    <t>1404/12/05</t>
  </si>
  <si>
    <t>1404/12/04</t>
  </si>
  <si>
    <t>1404/12/03</t>
  </si>
  <si>
    <t>1404/12/01</t>
  </si>
  <si>
    <t>1404/11/30</t>
  </si>
  <si>
    <t>1404/11/29</t>
  </si>
  <si>
    <t>1404/11/28</t>
  </si>
  <si>
    <t>1404/11/18</t>
  </si>
  <si>
    <t>1404/11/25</t>
  </si>
  <si>
    <t>1404/11/23</t>
  </si>
  <si>
    <t>1404/11/17</t>
  </si>
  <si>
    <t>1404/11/16</t>
  </si>
  <si>
    <t>1404/11/13</t>
  </si>
  <si>
    <t>1404/11/12</t>
  </si>
  <si>
    <t>1404/11/09</t>
  </si>
  <si>
    <t>1404/11/08</t>
  </si>
  <si>
    <t>1404/11/07</t>
  </si>
  <si>
    <t>1404/11/05</t>
  </si>
  <si>
    <t>1404/11/02</t>
  </si>
  <si>
    <t>1404/10/29</t>
  </si>
  <si>
    <t>1404/10/23</t>
  </si>
  <si>
    <t>1404/10/20</t>
  </si>
  <si>
    <t>1404/10/16</t>
  </si>
  <si>
    <t>1404/10/12</t>
  </si>
  <si>
    <t>1404/10/11</t>
  </si>
  <si>
    <t>1404/10/05</t>
  </si>
  <si>
    <t>1404/10/04</t>
  </si>
  <si>
    <t>1404/11/04</t>
  </si>
  <si>
    <t>1404/11/03</t>
  </si>
  <si>
    <t>1404/10/28</t>
  </si>
  <si>
    <t>1404/10/27</t>
  </si>
  <si>
    <t>1404/10/26</t>
  </si>
  <si>
    <t>1404/10/24</t>
  </si>
  <si>
    <t>1404/10/21</t>
  </si>
  <si>
    <t>1404/10/14</t>
  </si>
  <si>
    <t>1404/10/13</t>
  </si>
  <si>
    <t>1404/10/08</t>
  </si>
  <si>
    <t>1404/10/06</t>
  </si>
  <si>
    <t>1404/10/01</t>
  </si>
  <si>
    <t>1405/02/16</t>
  </si>
  <si>
    <t>1405/02/15</t>
  </si>
  <si>
    <t>پ/14-1404</t>
  </si>
  <si>
    <t>پ/126-1404</t>
  </si>
  <si>
    <t>1405/02/14</t>
  </si>
  <si>
    <t>1405/02/13</t>
  </si>
  <si>
    <t>1405/02/12</t>
  </si>
  <si>
    <t>1405/02/11</t>
  </si>
  <si>
    <t>1405/02/10</t>
  </si>
  <si>
    <t>1405/02/09</t>
  </si>
  <si>
    <t>1405/02/08</t>
  </si>
  <si>
    <t>1405/02/07</t>
  </si>
  <si>
    <t>1405/02/06</t>
  </si>
  <si>
    <t>پ/92-1404-4</t>
  </si>
  <si>
    <t>1405/02/02</t>
  </si>
  <si>
    <t>1404/12/07</t>
  </si>
  <si>
    <t>1405/01/31</t>
  </si>
  <si>
    <t>1404/12/06</t>
  </si>
  <si>
    <t>1405/02/05</t>
  </si>
  <si>
    <t>1405/02/03</t>
  </si>
  <si>
    <t>1405/02/01</t>
  </si>
  <si>
    <t>1404/12/13</t>
  </si>
  <si>
    <t>1404/12/10</t>
  </si>
  <si>
    <t>1404/12/27</t>
  </si>
  <si>
    <t>1404/12/26</t>
  </si>
  <si>
    <t>1404/12/25</t>
  </si>
  <si>
    <t>1404/12/24</t>
  </si>
  <si>
    <t>1404/12/11</t>
  </si>
  <si>
    <t>1404/12/09</t>
  </si>
  <si>
    <t>1404/12/08</t>
  </si>
  <si>
    <t>الحاقیه پ/13-1404</t>
  </si>
  <si>
    <t>1404/09/30</t>
  </si>
  <si>
    <t>1404/09/29</t>
  </si>
  <si>
    <t>1404/09/28</t>
  </si>
  <si>
    <t>1404/09/27</t>
  </si>
  <si>
    <t>پ/12-1404</t>
  </si>
  <si>
    <t>الحاقیه پ/09-1404</t>
  </si>
  <si>
    <t>الحاقیه پ/22-1404</t>
  </si>
  <si>
    <t>پ/60-1404</t>
  </si>
  <si>
    <t>پ/121-1404</t>
  </si>
  <si>
    <t>پ/122-1404</t>
  </si>
  <si>
    <t>پ/123-1404</t>
  </si>
  <si>
    <t>پ/124-1404</t>
  </si>
  <si>
    <t>پ/125-1404</t>
  </si>
  <si>
    <t>نرخ استهلاک</t>
  </si>
  <si>
    <t>قابل پرداخت</t>
  </si>
  <si>
    <t>1405/02/26</t>
  </si>
  <si>
    <t>الحاقیه پ/54-1403-2</t>
  </si>
  <si>
    <t>الحاقیه پ/50-1403-2</t>
  </si>
  <si>
    <t>1405/02/25</t>
  </si>
  <si>
    <t>الحاقیه پ/52-1403-2</t>
  </si>
  <si>
    <t>1405/02/24</t>
  </si>
  <si>
    <t>1405/02/22</t>
  </si>
  <si>
    <t>پ/92-1404-5</t>
  </si>
  <si>
    <t>1405/02/20</t>
  </si>
  <si>
    <t>1405/02/19</t>
  </si>
  <si>
    <t>1405/02/18</t>
  </si>
  <si>
    <t>1405/02/23</t>
  </si>
  <si>
    <t>الحاقیه پ/55-1403-2</t>
  </si>
  <si>
    <t>الحاقیه پ/69-1403-2</t>
  </si>
  <si>
    <t>1405/02/17</t>
  </si>
  <si>
    <t>پ/01-1405</t>
  </si>
  <si>
    <t>پ/02-1405</t>
  </si>
  <si>
    <t>پ/03-1405</t>
  </si>
  <si>
    <t>الحاقیه پ/58-1403-2</t>
  </si>
  <si>
    <t>الحاقیه پ/65-1403-2</t>
  </si>
  <si>
    <t>الحاقیه پ/62-1403-2</t>
  </si>
  <si>
    <t>الحاقیه پ/59-1403-2</t>
  </si>
  <si>
    <t>طوفان کویر</t>
  </si>
  <si>
    <t>گاز کربنیک نورین ابهر</t>
  </si>
  <si>
    <t>راسا پایدار مصباح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</si>
</sst>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_);_(* \(#,##0.00\);_(* &quot;-&quot;??_);_(@_)"/>
    <numFmt numFmtId="165" formatCode="_ * #,##0_-_ ;_ * #,##0\-_ ;_ * &quot;-&quot;??_-_ ;_ @_ "/>
    <numFmt numFmtId="166" formatCode="[$-960429]yyyy\/mm\/dd;@"/>
    <numFmt numFmtId="167" formatCode="_(* #,##0_);_(* \(#,##0\);_(* &quot;-&quot;??_);_(@_)"/>
    <numFmt numFmtId="168" formatCode="0.0%"/>
  </numFmts>
  <fonts count="29" x14ac:knownFonts="1">
    <font>
      <sz val="11"/>
      <color theme="1"/>
      <name val="Arial"/>
      <family val="2"/>
      <scheme val="minor"/>
    </font>
    <font>
      <sz val="11"/>
      <color theme="1"/>
      <name val="Arial"/>
      <family val="2"/>
      <scheme val="minor"/>
    </font>
    <font>
      <b/>
      <sz val="11"/>
      <color theme="1"/>
      <name val="B Nazanin"/>
      <charset val="178"/>
    </font>
    <font>
      <b/>
      <sz val="10"/>
      <color theme="1"/>
      <name val="B Nazanin"/>
      <charset val="178"/>
    </font>
    <font>
      <sz val="10"/>
      <color theme="1"/>
      <name val="Arial"/>
      <family val="2"/>
      <scheme val="minor"/>
    </font>
    <font>
      <b/>
      <sz val="11"/>
      <color rgb="FF000000"/>
      <name val="B Nazanin"/>
      <charset val="178"/>
    </font>
    <font>
      <b/>
      <sz val="11"/>
      <color rgb="FFFFFFFF"/>
      <name val="B Nazanin"/>
      <charset val="178"/>
    </font>
    <font>
      <b/>
      <sz val="9"/>
      <color theme="1"/>
      <name val="B Lotus"/>
      <charset val="178"/>
    </font>
    <font>
      <b/>
      <sz val="8"/>
      <color theme="1"/>
      <name val="B Lotus"/>
      <charset val="178"/>
    </font>
    <font>
      <sz val="8"/>
      <color theme="1"/>
      <name val="B Lotus"/>
      <charset val="178"/>
    </font>
    <font>
      <sz val="9"/>
      <color theme="1"/>
      <name val="B Lotus"/>
      <family val="2"/>
      <charset val="178"/>
    </font>
    <font>
      <sz val="12"/>
      <color theme="1"/>
      <name val="B Lotus"/>
      <charset val="178"/>
    </font>
    <font>
      <sz val="10"/>
      <color theme="1"/>
      <name val="B Lotus"/>
      <charset val="178"/>
    </font>
    <font>
      <sz val="9"/>
      <color theme="1"/>
      <name val="B Lotus"/>
      <charset val="178"/>
    </font>
    <font>
      <b/>
      <sz val="12"/>
      <color theme="1"/>
      <name val="B Lotus"/>
      <charset val="178"/>
    </font>
    <font>
      <b/>
      <sz val="10"/>
      <color theme="1"/>
      <name val="B Lotus"/>
      <charset val="178"/>
    </font>
    <font>
      <sz val="11"/>
      <color theme="1"/>
      <name val="B Lotus"/>
      <family val="2"/>
      <charset val="178"/>
    </font>
    <font>
      <sz val="8"/>
      <name val="Arial"/>
      <family val="2"/>
      <scheme val="minor"/>
    </font>
    <font>
      <sz val="11"/>
      <color theme="1"/>
      <name val="B Lotus"/>
      <charset val="178"/>
    </font>
    <font>
      <b/>
      <sz val="11"/>
      <color theme="1"/>
      <name val="Arial"/>
      <family val="2"/>
      <scheme val="minor"/>
    </font>
    <font>
      <sz val="14"/>
      <color theme="1"/>
      <name val="B Lotus"/>
      <charset val="178"/>
    </font>
    <font>
      <b/>
      <sz val="12"/>
      <color theme="1"/>
      <name val="B Nazanin"/>
      <charset val="178"/>
    </font>
    <font>
      <sz val="12"/>
      <color theme="1"/>
      <name val="B Nazanin"/>
      <charset val="178"/>
    </font>
    <font>
      <sz val="10"/>
      <color theme="1"/>
      <name val="B Nazanin"/>
      <charset val="178"/>
    </font>
    <font>
      <b/>
      <sz val="10"/>
      <color rgb="FFFFFFFF"/>
      <name val="B Nazanin"/>
      <charset val="178"/>
    </font>
    <font>
      <b/>
      <sz val="9"/>
      <color rgb="FFFFFFFF"/>
      <name val="B Nazanin"/>
      <charset val="178"/>
    </font>
    <font>
      <sz val="11"/>
      <color theme="1"/>
      <name val="B Nazanin"/>
      <charset val="178"/>
    </font>
    <font>
      <b/>
      <sz val="9"/>
      <color theme="1"/>
      <name val="B Nazanin"/>
      <charset val="178"/>
    </font>
    <font>
      <b/>
      <sz val="12"/>
      <color rgb="FF000000"/>
      <name val="B Nazanin"/>
      <charset val="178"/>
    </font>
  </fonts>
  <fills count="26">
    <fill>
      <patternFill patternType="none"/>
    </fill>
    <fill>
      <patternFill patternType="gray125"/>
    </fill>
    <fill>
      <patternFill patternType="solid">
        <fgColor rgb="FFFF7C80"/>
        <bgColor indexed="64"/>
      </patternFill>
    </fill>
    <fill>
      <patternFill patternType="solid">
        <fgColor theme="8" tint="0.79998168889431442"/>
        <bgColor indexed="64"/>
      </patternFill>
    </fill>
    <fill>
      <patternFill patternType="lightUp">
        <fgColor theme="1" tint="0.24994659260841701"/>
        <bgColor theme="0"/>
      </patternFill>
    </fill>
    <fill>
      <patternFill patternType="solid">
        <fgColor rgb="FFFF0000"/>
        <bgColor indexed="64"/>
      </patternFill>
    </fill>
    <fill>
      <patternFill patternType="solid">
        <fgColor theme="9" tint="0.79998168889431442"/>
        <bgColor indexed="64"/>
      </patternFill>
    </fill>
    <fill>
      <patternFill patternType="solid">
        <fgColor rgb="FFCBE0F9"/>
        <bgColor indexed="64"/>
      </patternFill>
    </fill>
    <fill>
      <patternFill patternType="solid">
        <fgColor theme="9" tint="0.39997558519241921"/>
        <bgColor indexed="64"/>
      </patternFill>
    </fill>
    <fill>
      <patternFill patternType="solid">
        <fgColor theme="4" tint="0.79998168889431442"/>
        <bgColor theme="4" tint="0.79998168889431442"/>
      </patternFill>
    </fill>
    <fill>
      <patternFill patternType="solid">
        <fgColor rgb="FFFFC000"/>
        <bgColor indexed="64"/>
      </patternFill>
    </fill>
    <fill>
      <patternFill patternType="solid">
        <fgColor rgb="FFFFC000"/>
        <bgColor theme="4" tint="0.79998168889431442"/>
      </patternFill>
    </fill>
    <fill>
      <patternFill patternType="solid">
        <fgColor rgb="FFAEDFB9"/>
        <bgColor indexed="64"/>
      </patternFill>
    </fill>
    <fill>
      <patternFill patternType="solid">
        <fgColor rgb="FFCDEBD3"/>
        <bgColor indexed="64"/>
      </patternFill>
    </fill>
    <fill>
      <patternFill patternType="solid">
        <fgColor rgb="FFFFDC6D"/>
        <bgColor indexed="64"/>
      </patternFill>
    </fill>
    <fill>
      <patternFill patternType="solid">
        <fgColor rgb="FFF99C35"/>
        <bgColor indexed="64"/>
      </patternFill>
    </fill>
    <fill>
      <patternFill patternType="solid">
        <fgColor rgb="FF002060"/>
        <bgColor indexed="64"/>
      </patternFill>
    </fill>
    <fill>
      <patternFill patternType="solid">
        <fgColor theme="9" tint="-0.499984740745262"/>
        <bgColor indexed="64"/>
      </patternFill>
    </fill>
    <fill>
      <patternFill patternType="solid">
        <fgColor theme="9"/>
        <bgColor indexed="64"/>
      </patternFill>
    </fill>
    <fill>
      <patternFill patternType="solid">
        <fgColor theme="1" tint="4.9989318521683403E-2"/>
        <bgColor indexed="64"/>
      </patternFill>
    </fill>
    <fill>
      <patternFill patternType="solid">
        <fgColor rgb="FFCBE0F7"/>
        <bgColor indexed="64"/>
      </patternFill>
    </fill>
    <fill>
      <patternFill patternType="solid">
        <fgColor rgb="FFF99C35"/>
        <bgColor theme="4" tint="0.79998168889431442"/>
      </patternFill>
    </fill>
    <fill>
      <patternFill patternType="solid">
        <fgColor rgb="FFD3EDD9"/>
        <bgColor indexed="64"/>
      </patternFill>
    </fill>
    <fill>
      <patternFill patternType="solid">
        <fgColor rgb="FFFFD54F"/>
        <bgColor indexed="64"/>
      </patternFill>
    </fill>
    <fill>
      <patternFill patternType="solid">
        <fgColor theme="7" tint="-0.499984740745262"/>
        <bgColor indexed="64"/>
      </patternFill>
    </fill>
    <fill>
      <patternFill patternType="solid">
        <fgColor rgb="FFFFFF0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ck">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auto="1"/>
      </left>
      <right style="medium">
        <color indexed="64"/>
      </right>
      <top style="medium">
        <color indexed="64"/>
      </top>
      <bottom/>
      <diagonal/>
    </border>
    <border>
      <left/>
      <right/>
      <top/>
      <bottom style="thin">
        <color theme="4" tint="0.39997558519241921"/>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4">
    <xf numFmtId="0" fontId="0" fillId="0" borderId="0"/>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174">
    <xf numFmtId="0" fontId="0" fillId="0" borderId="0" xfId="0"/>
    <xf numFmtId="0" fontId="4" fillId="0" borderId="0" xfId="0" applyFont="1"/>
    <xf numFmtId="3" fontId="2" fillId="0" borderId="1" xfId="2" applyNumberFormat="1" applyFont="1" applyBorder="1" applyAlignment="1">
      <alignment horizontal="center" vertical="center"/>
    </xf>
    <xf numFmtId="0" fontId="5" fillId="0" borderId="0" xfId="2" applyFont="1" applyAlignment="1">
      <alignment horizontal="center" vertical="center"/>
    </xf>
    <xf numFmtId="0" fontId="7" fillId="0" borderId="1" xfId="0" applyFont="1" applyBorder="1" applyAlignment="1">
      <alignment horizontal="center" vertical="center"/>
    </xf>
    <xf numFmtId="3" fontId="0" fillId="0" borderId="1" xfId="1" applyNumberFormat="1" applyFont="1" applyBorder="1" applyAlignment="1">
      <alignment horizontal="center" vertical="center"/>
    </xf>
    <xf numFmtId="165" fontId="0" fillId="2" borderId="1" xfId="1" applyNumberFormat="1" applyFont="1" applyFill="1" applyBorder="1" applyAlignment="1">
      <alignment horizontal="center" vertical="center"/>
    </xf>
    <xf numFmtId="0" fontId="0" fillId="2" borderId="1" xfId="0" applyFill="1" applyBorder="1" applyAlignment="1">
      <alignment horizontal="center" vertical="center"/>
    </xf>
    <xf numFmtId="3" fontId="0" fillId="3" borderId="1" xfId="1" applyNumberFormat="1" applyFont="1"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165" fontId="0" fillId="0" borderId="1" xfId="1" applyNumberFormat="1"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14" fontId="0" fillId="0" borderId="1" xfId="0" applyNumberFormat="1" applyBorder="1" applyAlignment="1">
      <alignment horizontal="center" vertical="center"/>
    </xf>
    <xf numFmtId="0" fontId="18" fillId="0" borderId="1" xfId="0" applyFont="1" applyBorder="1" applyAlignment="1">
      <alignment horizontal="center" vertical="center"/>
    </xf>
    <xf numFmtId="0" fontId="0" fillId="0" borderId="0" xfId="0" applyAlignment="1">
      <alignment horizontal="center" vertical="center"/>
    </xf>
    <xf numFmtId="0" fontId="0" fillId="7" borderId="0" xfId="0" applyFill="1"/>
    <xf numFmtId="165" fontId="0" fillId="0" borderId="1" xfId="1" applyNumberFormat="1" applyFont="1" applyBorder="1" applyAlignment="1">
      <alignment horizontal="left"/>
    </xf>
    <xf numFmtId="0" fontId="8" fillId="0" borderId="3" xfId="0" applyFont="1" applyBorder="1" applyAlignment="1">
      <alignment horizontal="center" vertical="center"/>
    </xf>
    <xf numFmtId="0" fontId="0" fillId="0" borderId="3" xfId="0" applyBorder="1" applyAlignment="1">
      <alignment horizontal="center" vertical="center"/>
    </xf>
    <xf numFmtId="0" fontId="10" fillId="0" borderId="3" xfId="0" applyFont="1" applyBorder="1" applyAlignment="1">
      <alignment horizontal="center" vertical="center"/>
    </xf>
    <xf numFmtId="0" fontId="11" fillId="0" borderId="3" xfId="0" applyFont="1" applyBorder="1" applyAlignment="1">
      <alignment horizontal="center" vertical="center"/>
    </xf>
    <xf numFmtId="0" fontId="12"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3" fillId="0" borderId="3" xfId="0" applyFont="1" applyBorder="1" applyAlignment="1">
      <alignment horizontal="center" vertical="center"/>
    </xf>
    <xf numFmtId="0" fontId="15" fillId="0" borderId="3" xfId="0" applyFont="1" applyBorder="1" applyAlignment="1">
      <alignment horizontal="center" vertical="center"/>
    </xf>
    <xf numFmtId="0" fontId="7" fillId="0" borderId="3" xfId="0" applyFont="1" applyBorder="1" applyAlignment="1">
      <alignment horizontal="center" vertical="center"/>
    </xf>
    <xf numFmtId="0" fontId="18" fillId="0" borderId="3" xfId="0" applyFont="1" applyBorder="1" applyAlignment="1">
      <alignment horizontal="center" vertical="center"/>
    </xf>
    <xf numFmtId="0" fontId="0" fillId="5" borderId="3" xfId="0" applyFill="1" applyBorder="1" applyAlignment="1">
      <alignment horizontal="center" vertical="center"/>
    </xf>
    <xf numFmtId="0" fontId="16" fillId="0" borderId="3" xfId="0" applyFont="1" applyBorder="1" applyAlignment="1">
      <alignment horizontal="center" vertical="center"/>
    </xf>
    <xf numFmtId="0" fontId="7" fillId="5" borderId="3" xfId="0" applyFont="1" applyFill="1" applyBorder="1" applyAlignment="1">
      <alignment horizontal="center" vertical="center"/>
    </xf>
    <xf numFmtId="0" fontId="12" fillId="6" borderId="3" xfId="0" applyFont="1" applyFill="1" applyBorder="1" applyAlignment="1">
      <alignment horizontal="center" vertical="center"/>
    </xf>
    <xf numFmtId="0" fontId="0" fillId="8" borderId="3" xfId="0" applyFill="1" applyBorder="1" applyAlignment="1">
      <alignment horizontal="center" vertical="center"/>
    </xf>
    <xf numFmtId="0" fontId="12" fillId="5" borderId="3" xfId="0" applyFont="1" applyFill="1" applyBorder="1" applyAlignment="1">
      <alignment horizontal="center" vertical="center"/>
    </xf>
    <xf numFmtId="0" fontId="9" fillId="0" borderId="4" xfId="0" applyFont="1" applyBorder="1" applyAlignment="1">
      <alignment vertical="center"/>
    </xf>
    <xf numFmtId="0" fontId="20" fillId="0" borderId="5"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165" fontId="3" fillId="0" borderId="2" xfId="1" applyNumberFormat="1" applyFont="1" applyBorder="1" applyAlignment="1">
      <alignment horizontal="center" vertical="center"/>
    </xf>
    <xf numFmtId="165" fontId="3" fillId="2" borderId="2" xfId="1" applyNumberFormat="1" applyFont="1" applyFill="1" applyBorder="1" applyAlignment="1">
      <alignment horizontal="center" vertical="center"/>
    </xf>
    <xf numFmtId="0" fontId="3" fillId="2" borderId="2" xfId="0" applyFont="1" applyFill="1" applyBorder="1" applyAlignment="1">
      <alignment horizontal="center" vertical="center" wrapText="1"/>
    </xf>
    <xf numFmtId="165" fontId="3" fillId="3" borderId="2" xfId="1" applyNumberFormat="1" applyFont="1" applyFill="1" applyBorder="1" applyAlignment="1">
      <alignment horizontal="center" vertical="center"/>
    </xf>
    <xf numFmtId="0" fontId="3" fillId="4" borderId="2" xfId="0" applyFont="1" applyFill="1" applyBorder="1" applyAlignment="1">
      <alignment horizontal="center" vertical="center" wrapText="1"/>
    </xf>
    <xf numFmtId="0" fontId="3" fillId="0" borderId="6" xfId="0" applyFont="1" applyBorder="1" applyAlignment="1">
      <alignment horizontal="center" vertical="center"/>
    </xf>
    <xf numFmtId="0" fontId="4" fillId="0" borderId="0" xfId="0" applyFont="1" applyAlignment="1">
      <alignment horizontal="center"/>
    </xf>
    <xf numFmtId="0" fontId="4" fillId="7" borderId="0" xfId="0" applyFont="1" applyFill="1" applyAlignment="1">
      <alignment horizontal="center"/>
    </xf>
    <xf numFmtId="0" fontId="0" fillId="0" borderId="0" xfId="0" applyAlignment="1">
      <alignment horizontal="center"/>
    </xf>
    <xf numFmtId="0" fontId="22" fillId="12" borderId="13" xfId="0" applyFont="1" applyFill="1" applyBorder="1" applyAlignment="1">
      <alignment horizontal="center" vertical="center"/>
    </xf>
    <xf numFmtId="167" fontId="22" fillId="12" borderId="0" xfId="1" applyNumberFormat="1" applyFont="1" applyFill="1" applyBorder="1" applyAlignment="1">
      <alignment horizontal="center" vertical="center"/>
    </xf>
    <xf numFmtId="167" fontId="22" fillId="12" borderId="14" xfId="1" applyNumberFormat="1" applyFont="1" applyFill="1" applyBorder="1" applyAlignment="1">
      <alignment horizontal="center" vertical="center"/>
    </xf>
    <xf numFmtId="0" fontId="22" fillId="13" borderId="13" xfId="0" applyFont="1" applyFill="1" applyBorder="1" applyAlignment="1">
      <alignment horizontal="center" vertical="center"/>
    </xf>
    <xf numFmtId="0" fontId="22" fillId="12" borderId="0" xfId="0" applyFont="1" applyFill="1" applyAlignment="1">
      <alignment horizontal="center" vertical="center"/>
    </xf>
    <xf numFmtId="166" fontId="22" fillId="12" borderId="0" xfId="0" applyNumberFormat="1" applyFont="1" applyFill="1" applyAlignment="1">
      <alignment horizontal="center" vertical="center"/>
    </xf>
    <xf numFmtId="0" fontId="22" fillId="13" borderId="0" xfId="0" applyFont="1" applyFill="1" applyAlignment="1">
      <alignment horizontal="center" vertical="center"/>
    </xf>
    <xf numFmtId="0" fontId="22" fillId="13" borderId="15" xfId="0" applyFont="1" applyFill="1" applyBorder="1" applyAlignment="1">
      <alignment horizontal="center" vertical="center"/>
    </xf>
    <xf numFmtId="0" fontId="22" fillId="13" borderId="16" xfId="0" applyFont="1" applyFill="1" applyBorder="1" applyAlignment="1">
      <alignment horizontal="center" vertical="center"/>
    </xf>
    <xf numFmtId="167" fontId="22" fillId="12" borderId="13" xfId="1" applyNumberFormat="1" applyFont="1" applyFill="1" applyBorder="1" applyAlignment="1">
      <alignment horizontal="center" vertical="center"/>
    </xf>
    <xf numFmtId="0" fontId="3" fillId="14" borderId="20" xfId="0" applyFont="1" applyFill="1" applyBorder="1" applyAlignment="1">
      <alignment horizontal="center" vertical="center" readingOrder="2"/>
    </xf>
    <xf numFmtId="0" fontId="3" fillId="14" borderId="19" xfId="0" applyFont="1" applyFill="1" applyBorder="1" applyAlignment="1">
      <alignment horizontal="center" vertical="center" readingOrder="2"/>
    </xf>
    <xf numFmtId="0" fontId="3" fillId="14" borderId="23" xfId="0" applyFont="1" applyFill="1" applyBorder="1" applyAlignment="1">
      <alignment horizontal="center" vertical="center" readingOrder="2"/>
    </xf>
    <xf numFmtId="0" fontId="3" fillId="15" borderId="10" xfId="0" applyFont="1" applyFill="1" applyBorder="1" applyAlignment="1">
      <alignment horizontal="center" vertical="center"/>
    </xf>
    <xf numFmtId="0" fontId="3" fillId="15" borderId="11" xfId="0" applyFont="1" applyFill="1" applyBorder="1" applyAlignment="1">
      <alignment horizontal="center" vertical="center"/>
    </xf>
    <xf numFmtId="0" fontId="3" fillId="11" borderId="10" xfId="0" applyFont="1" applyFill="1" applyBorder="1" applyAlignment="1">
      <alignment horizontal="center" vertical="center"/>
    </xf>
    <xf numFmtId="0" fontId="3" fillId="11" borderId="11" xfId="0" applyFont="1" applyFill="1" applyBorder="1" applyAlignment="1">
      <alignment horizontal="center" vertical="center"/>
    </xf>
    <xf numFmtId="0" fontId="3" fillId="10" borderId="11" xfId="0" applyFont="1" applyFill="1" applyBorder="1" applyAlignment="1">
      <alignment horizontal="center" vertical="center" readingOrder="2"/>
    </xf>
    <xf numFmtId="0" fontId="3" fillId="10" borderId="12" xfId="0" applyFont="1" applyFill="1" applyBorder="1" applyAlignment="1">
      <alignment horizontal="center" vertical="center"/>
    </xf>
    <xf numFmtId="167" fontId="0" fillId="0" borderId="0" xfId="1" applyNumberFormat="1" applyFont="1"/>
    <xf numFmtId="9" fontId="5" fillId="0" borderId="0" xfId="3" applyFont="1" applyAlignment="1">
      <alignment horizontal="center" vertical="center"/>
    </xf>
    <xf numFmtId="167" fontId="5" fillId="0" borderId="0" xfId="1" applyNumberFormat="1" applyFont="1" applyAlignment="1">
      <alignment horizontal="center" vertical="center"/>
    </xf>
    <xf numFmtId="0" fontId="25" fillId="17" borderId="0" xfId="0" applyFont="1" applyFill="1" applyAlignment="1">
      <alignment horizontal="right" vertical="center"/>
    </xf>
    <xf numFmtId="0" fontId="25" fillId="17" borderId="0" xfId="0" applyFont="1" applyFill="1" applyAlignment="1">
      <alignment horizontal="center" vertical="center" readingOrder="2"/>
    </xf>
    <xf numFmtId="0" fontId="2" fillId="0" borderId="1" xfId="2" applyFont="1" applyBorder="1" applyAlignment="1">
      <alignment horizontal="center" vertical="center"/>
    </xf>
    <xf numFmtId="166" fontId="2" fillId="0" borderId="1" xfId="2" applyNumberFormat="1" applyFont="1" applyBorder="1" applyAlignment="1">
      <alignment horizontal="center" vertical="center"/>
    </xf>
    <xf numFmtId="166" fontId="2" fillId="0" borderId="0" xfId="2" applyNumberFormat="1" applyFont="1" applyAlignment="1">
      <alignment horizontal="center" vertical="center"/>
    </xf>
    <xf numFmtId="0" fontId="6" fillId="18" borderId="0" xfId="2" applyFont="1" applyFill="1" applyAlignment="1">
      <alignment horizontal="center" vertical="center"/>
    </xf>
    <xf numFmtId="0" fontId="24" fillId="17" borderId="0" xfId="0" applyFont="1" applyFill="1" applyAlignment="1">
      <alignment horizontal="center" vertical="center" readingOrder="2"/>
    </xf>
    <xf numFmtId="0" fontId="0" fillId="0" borderId="0" xfId="0" pivotButton="1"/>
    <xf numFmtId="0" fontId="0" fillId="0" borderId="0" xfId="0" applyAlignment="1">
      <alignment horizontal="right"/>
    </xf>
    <xf numFmtId="0" fontId="19" fillId="9" borderId="24" xfId="0" applyFont="1" applyFill="1" applyBorder="1"/>
    <xf numFmtId="168" fontId="0" fillId="0" borderId="0" xfId="3" applyNumberFormat="1" applyFont="1"/>
    <xf numFmtId="164" fontId="0" fillId="0" borderId="0" xfId="0" applyNumberFormat="1"/>
    <xf numFmtId="167" fontId="0" fillId="0" borderId="0" xfId="0" applyNumberFormat="1"/>
    <xf numFmtId="0" fontId="21" fillId="12" borderId="0" xfId="0" applyFont="1" applyFill="1" applyAlignment="1">
      <alignment horizontal="center" vertical="center"/>
    </xf>
    <xf numFmtId="0" fontId="21" fillId="13" borderId="0" xfId="0" applyFont="1" applyFill="1" applyAlignment="1">
      <alignment horizontal="center" vertical="center"/>
    </xf>
    <xf numFmtId="0" fontId="21" fillId="13" borderId="16" xfId="0" applyFont="1" applyFill="1" applyBorder="1" applyAlignment="1">
      <alignment horizontal="center" vertical="center"/>
    </xf>
    <xf numFmtId="167" fontId="26" fillId="13" borderId="0" xfId="1" applyNumberFormat="1" applyFont="1" applyFill="1" applyBorder="1" applyAlignment="1">
      <alignment horizontal="center" vertical="center"/>
    </xf>
    <xf numFmtId="167" fontId="26" fillId="12" borderId="0" xfId="1" applyNumberFormat="1" applyFont="1" applyFill="1" applyBorder="1" applyAlignment="1">
      <alignment horizontal="center" vertical="center"/>
    </xf>
    <xf numFmtId="167" fontId="26" fillId="13" borderId="16" xfId="1" applyNumberFormat="1" applyFont="1" applyFill="1" applyBorder="1" applyAlignment="1">
      <alignment horizontal="center" vertical="center"/>
    </xf>
    <xf numFmtId="167" fontId="26" fillId="13" borderId="13" xfId="1" applyNumberFormat="1" applyFont="1" applyFill="1" applyBorder="1" applyAlignment="1">
      <alignment horizontal="center" vertical="center"/>
    </xf>
    <xf numFmtId="167" fontId="26" fillId="12" borderId="13" xfId="1" applyNumberFormat="1" applyFont="1" applyFill="1" applyBorder="1" applyAlignment="1">
      <alignment horizontal="center" vertical="center"/>
    </xf>
    <xf numFmtId="167" fontId="26" fillId="13" borderId="15" xfId="1" applyNumberFormat="1" applyFont="1" applyFill="1" applyBorder="1" applyAlignment="1">
      <alignment horizontal="center" vertical="center"/>
    </xf>
    <xf numFmtId="0" fontId="3" fillId="15" borderId="25" xfId="0" applyFont="1" applyFill="1" applyBorder="1" applyAlignment="1">
      <alignment horizontal="center" vertical="center"/>
    </xf>
    <xf numFmtId="0" fontId="0" fillId="20" borderId="0" xfId="0" applyFill="1"/>
    <xf numFmtId="0" fontId="3" fillId="21" borderId="11" xfId="0" applyFont="1" applyFill="1" applyBorder="1" applyAlignment="1">
      <alignment horizontal="center" vertical="center"/>
    </xf>
    <xf numFmtId="10" fontId="3" fillId="13" borderId="0" xfId="1" applyNumberFormat="1" applyFont="1" applyFill="1" applyBorder="1" applyAlignment="1">
      <alignment horizontal="right" vertical="center"/>
    </xf>
    <xf numFmtId="10" fontId="3" fillId="12" borderId="0" xfId="3" applyNumberFormat="1" applyFont="1" applyFill="1" applyBorder="1" applyAlignment="1">
      <alignment horizontal="right" vertical="center"/>
    </xf>
    <xf numFmtId="10" fontId="3" fillId="13" borderId="16" xfId="1" applyNumberFormat="1" applyFont="1" applyFill="1" applyBorder="1" applyAlignment="1">
      <alignment horizontal="right" vertical="center"/>
    </xf>
    <xf numFmtId="167" fontId="23" fillId="12" borderId="21" xfId="1" applyNumberFormat="1" applyFont="1" applyFill="1" applyBorder="1" applyAlignment="1">
      <alignment horizontal="center" vertical="center"/>
    </xf>
    <xf numFmtId="167" fontId="23" fillId="12" borderId="22" xfId="1" applyNumberFormat="1" applyFont="1" applyFill="1" applyBorder="1" applyAlignment="1">
      <alignment horizontal="center" vertical="center"/>
    </xf>
    <xf numFmtId="167" fontId="23" fillId="12" borderId="18" xfId="1" applyNumberFormat="1" applyFont="1" applyFill="1" applyBorder="1" applyAlignment="1">
      <alignment horizontal="center" vertical="center"/>
    </xf>
    <xf numFmtId="167" fontId="23" fillId="13" borderId="13" xfId="1" applyNumberFormat="1" applyFont="1" applyFill="1" applyBorder="1" applyAlignment="1">
      <alignment horizontal="center" vertical="center"/>
    </xf>
    <xf numFmtId="167" fontId="23" fillId="13" borderId="0" xfId="1" applyNumberFormat="1" applyFont="1" applyFill="1" applyBorder="1" applyAlignment="1">
      <alignment horizontal="center" vertical="center"/>
    </xf>
    <xf numFmtId="167" fontId="23" fillId="13" borderId="14" xfId="1" applyNumberFormat="1" applyFont="1" applyFill="1" applyBorder="1" applyAlignment="1">
      <alignment horizontal="center" vertical="center"/>
    </xf>
    <xf numFmtId="167" fontId="23" fillId="12" borderId="13" xfId="1" applyNumberFormat="1" applyFont="1" applyFill="1" applyBorder="1" applyAlignment="1">
      <alignment horizontal="center" vertical="center"/>
    </xf>
    <xf numFmtId="167" fontId="23" fillId="12" borderId="0" xfId="1" applyNumberFormat="1" applyFont="1" applyFill="1" applyBorder="1" applyAlignment="1">
      <alignment horizontal="center" vertical="center"/>
    </xf>
    <xf numFmtId="167" fontId="23" fillId="12" borderId="14" xfId="1" applyNumberFormat="1" applyFont="1" applyFill="1" applyBorder="1" applyAlignment="1">
      <alignment horizontal="center" vertical="center"/>
    </xf>
    <xf numFmtId="167" fontId="23" fillId="13" borderId="15" xfId="1" applyNumberFormat="1" applyFont="1" applyFill="1" applyBorder="1" applyAlignment="1">
      <alignment horizontal="center" vertical="center"/>
    </xf>
    <xf numFmtId="167" fontId="23" fillId="13" borderId="16" xfId="1" applyNumberFormat="1" applyFont="1" applyFill="1" applyBorder="1" applyAlignment="1">
      <alignment horizontal="center" vertical="center"/>
    </xf>
    <xf numFmtId="167" fontId="23" fillId="13" borderId="17" xfId="1" applyNumberFormat="1" applyFont="1" applyFill="1" applyBorder="1" applyAlignment="1">
      <alignment horizontal="center" vertical="center"/>
    </xf>
    <xf numFmtId="167" fontId="26" fillId="13" borderId="14" xfId="1" applyNumberFormat="1" applyFont="1" applyFill="1" applyBorder="1" applyAlignment="1">
      <alignment horizontal="center" vertical="center"/>
    </xf>
    <xf numFmtId="167" fontId="26" fillId="13" borderId="17" xfId="1" applyNumberFormat="1" applyFont="1" applyFill="1" applyBorder="1" applyAlignment="1">
      <alignment horizontal="center" vertical="center"/>
    </xf>
    <xf numFmtId="0" fontId="27" fillId="11" borderId="10" xfId="0" applyFont="1" applyFill="1" applyBorder="1" applyAlignment="1">
      <alignment horizontal="center" vertical="center"/>
    </xf>
    <xf numFmtId="0" fontId="3" fillId="21" borderId="26" xfId="0" applyFont="1" applyFill="1" applyBorder="1" applyAlignment="1">
      <alignment horizontal="center" vertical="center"/>
    </xf>
    <xf numFmtId="0" fontId="3" fillId="11" borderId="26" xfId="0" applyFont="1" applyFill="1" applyBorder="1" applyAlignment="1">
      <alignment horizontal="center" vertical="center"/>
    </xf>
    <xf numFmtId="0" fontId="22" fillId="22" borderId="15" xfId="0" applyFont="1" applyFill="1" applyBorder="1" applyAlignment="1">
      <alignment horizontal="center" vertical="center"/>
    </xf>
    <xf numFmtId="166" fontId="21" fillId="0" borderId="1" xfId="2" applyNumberFormat="1" applyFont="1" applyBorder="1" applyAlignment="1">
      <alignment horizontal="center" vertical="center"/>
    </xf>
    <xf numFmtId="0" fontId="2" fillId="0" borderId="28" xfId="2" applyFont="1" applyBorder="1" applyAlignment="1">
      <alignment horizontal="center" vertical="center"/>
    </xf>
    <xf numFmtId="166" fontId="2" fillId="0" borderId="28" xfId="2" applyNumberFormat="1" applyFont="1" applyBorder="1" applyAlignment="1">
      <alignment horizontal="center" vertical="center"/>
    </xf>
    <xf numFmtId="3" fontId="2" fillId="0" borderId="28" xfId="2" applyNumberFormat="1" applyFont="1" applyBorder="1" applyAlignment="1">
      <alignment horizontal="center" vertical="center"/>
    </xf>
    <xf numFmtId="167" fontId="5" fillId="0" borderId="0" xfId="1" applyNumberFormat="1" applyFont="1" applyBorder="1" applyAlignment="1">
      <alignment horizontal="center" vertical="center"/>
    </xf>
    <xf numFmtId="0" fontId="28" fillId="0" borderId="0" xfId="2" applyFont="1" applyAlignment="1">
      <alignment horizontal="center" vertical="center"/>
    </xf>
    <xf numFmtId="166" fontId="28" fillId="0" borderId="28" xfId="2" applyNumberFormat="1" applyFont="1" applyBorder="1" applyAlignment="1">
      <alignment horizontal="center" vertical="center"/>
    </xf>
    <xf numFmtId="166" fontId="28" fillId="0" borderId="1" xfId="2" applyNumberFormat="1" applyFont="1" applyBorder="1" applyAlignment="1">
      <alignment horizontal="center" vertical="center"/>
    </xf>
    <xf numFmtId="166" fontId="5" fillId="0" borderId="1" xfId="2" applyNumberFormat="1" applyFont="1" applyBorder="1" applyAlignment="1">
      <alignment horizontal="center" vertical="center"/>
    </xf>
    <xf numFmtId="0" fontId="21" fillId="25" borderId="1" xfId="2" applyFont="1" applyFill="1" applyBorder="1" applyAlignment="1">
      <alignment horizontal="center" vertical="center"/>
    </xf>
    <xf numFmtId="3" fontId="21" fillId="25" borderId="1" xfId="2" applyNumberFormat="1" applyFont="1" applyFill="1" applyBorder="1" applyAlignment="1">
      <alignment horizontal="center" vertical="center"/>
    </xf>
    <xf numFmtId="0" fontId="28" fillId="25" borderId="0" xfId="2" applyFont="1" applyFill="1" applyAlignment="1">
      <alignment horizontal="center" vertical="center"/>
    </xf>
    <xf numFmtId="166" fontId="28" fillId="25" borderId="1" xfId="2" applyNumberFormat="1" applyFont="1" applyFill="1" applyBorder="1" applyAlignment="1">
      <alignment horizontal="center" vertical="center"/>
    </xf>
    <xf numFmtId="0" fontId="21" fillId="0" borderId="1" xfId="2" applyFont="1" applyBorder="1" applyAlignment="1">
      <alignment horizontal="center" vertical="center"/>
    </xf>
    <xf numFmtId="3" fontId="21" fillId="0" borderId="1" xfId="2" applyNumberFormat="1" applyFont="1" applyBorder="1" applyAlignment="1">
      <alignment horizontal="center" vertical="center"/>
    </xf>
    <xf numFmtId="0" fontId="5" fillId="0" borderId="0" xfId="0" applyFont="1" applyAlignment="1">
      <alignment horizontal="center" vertical="center"/>
    </xf>
    <xf numFmtId="9" fontId="5" fillId="25" borderId="0" xfId="3" applyFont="1" applyFill="1" applyAlignment="1">
      <alignment horizontal="center" vertical="center"/>
    </xf>
    <xf numFmtId="0" fontId="5" fillId="25" borderId="0" xfId="2" applyFont="1" applyFill="1" applyAlignment="1">
      <alignment horizontal="center" vertical="center"/>
    </xf>
    <xf numFmtId="0" fontId="6" fillId="0" borderId="0" xfId="0" applyFont="1" applyAlignment="1">
      <alignment horizontal="center" vertical="center"/>
    </xf>
    <xf numFmtId="9" fontId="5" fillId="0" borderId="0" xfId="0" applyNumberFormat="1" applyFont="1" applyAlignment="1">
      <alignment horizontal="center" vertical="center"/>
    </xf>
    <xf numFmtId="3" fontId="5" fillId="0" borderId="0" xfId="0" applyNumberFormat="1" applyFont="1" applyAlignment="1">
      <alignment horizontal="center" vertical="center"/>
    </xf>
    <xf numFmtId="167" fontId="5" fillId="25" borderId="0" xfId="1" applyNumberFormat="1" applyFont="1" applyFill="1" applyBorder="1" applyAlignment="1">
      <alignment horizontal="center" vertical="center"/>
    </xf>
    <xf numFmtId="3" fontId="5" fillId="25" borderId="0" xfId="0" applyNumberFormat="1" applyFont="1" applyFill="1" applyAlignment="1">
      <alignment horizontal="center" vertical="center"/>
    </xf>
    <xf numFmtId="0" fontId="0" fillId="25" borderId="0" xfId="0" applyFill="1"/>
    <xf numFmtId="166" fontId="21" fillId="25" borderId="1" xfId="2" applyNumberFormat="1" applyFont="1" applyFill="1" applyBorder="1" applyAlignment="1">
      <alignment horizontal="center" vertical="center"/>
    </xf>
    <xf numFmtId="167" fontId="5" fillId="25" borderId="0" xfId="1" applyNumberFormat="1" applyFont="1" applyFill="1" applyAlignment="1">
      <alignment horizontal="center" vertical="center"/>
    </xf>
    <xf numFmtId="0" fontId="5" fillId="25" borderId="0" xfId="0" applyFont="1" applyFill="1" applyAlignment="1">
      <alignment horizontal="center" vertical="center"/>
    </xf>
    <xf numFmtId="9" fontId="5" fillId="0" borderId="0" xfId="3" applyFont="1" applyFill="1" applyAlignment="1">
      <alignment horizontal="center" vertical="center"/>
    </xf>
    <xf numFmtId="167" fontId="5" fillId="0" borderId="0" xfId="1" applyNumberFormat="1" applyFont="1" applyFill="1" applyBorder="1" applyAlignment="1">
      <alignment horizontal="center" vertical="center"/>
    </xf>
    <xf numFmtId="3" fontId="2" fillId="25" borderId="1" xfId="2" applyNumberFormat="1" applyFont="1" applyFill="1" applyBorder="1" applyAlignment="1">
      <alignment horizontal="center" vertical="center"/>
    </xf>
    <xf numFmtId="0" fontId="4" fillId="16" borderId="0" xfId="0" applyFont="1" applyFill="1" applyAlignment="1">
      <alignment horizontal="center" vertical="center"/>
    </xf>
    <xf numFmtId="0" fontId="4" fillId="19" borderId="0" xfId="0" applyFont="1" applyFill="1" applyAlignment="1">
      <alignment horizontal="center" vertical="center"/>
    </xf>
    <xf numFmtId="0" fontId="19" fillId="24" borderId="27" xfId="0" applyFont="1" applyFill="1" applyBorder="1" applyAlignment="1">
      <alignment horizontal="center" vertical="center"/>
    </xf>
    <xf numFmtId="1" fontId="0" fillId="0" borderId="0" xfId="1" applyNumberFormat="1" applyFont="1" applyAlignment="1">
      <alignment horizontal="center" vertical="center"/>
    </xf>
    <xf numFmtId="167" fontId="0" fillId="0" borderId="0" xfId="1" applyNumberFormat="1" applyFont="1" applyAlignment="1">
      <alignment horizontal="center" vertical="center"/>
    </xf>
    <xf numFmtId="0" fontId="0" fillId="0" borderId="0" xfId="1" applyNumberFormat="1" applyFont="1" applyAlignment="1">
      <alignment horizontal="center" vertical="center"/>
    </xf>
    <xf numFmtId="0" fontId="0" fillId="23" borderId="9" xfId="0" applyFill="1" applyBorder="1" applyAlignment="1">
      <alignment horizontal="center" vertical="center"/>
    </xf>
    <xf numFmtId="166" fontId="5" fillId="0" borderId="28" xfId="2" applyNumberFormat="1" applyFont="1" applyBorder="1" applyAlignment="1">
      <alignment horizontal="center" vertical="center"/>
    </xf>
    <xf numFmtId="9" fontId="5" fillId="0" borderId="0" xfId="3" applyFont="1" applyBorder="1" applyAlignment="1">
      <alignment horizontal="center" vertical="center"/>
    </xf>
    <xf numFmtId="1" fontId="0" fillId="0" borderId="0" xfId="0" applyNumberFormat="1"/>
    <xf numFmtId="167" fontId="22" fillId="12" borderId="0" xfId="1" applyNumberFormat="1" applyFont="1" applyFill="1" applyBorder="1" applyAlignment="1">
      <alignment horizontal="center" vertical="center"/>
    </xf>
    <xf numFmtId="167" fontId="22" fillId="12" borderId="14" xfId="1" applyNumberFormat="1" applyFont="1" applyFill="1" applyBorder="1" applyAlignment="1">
      <alignment horizontal="center" vertical="center"/>
    </xf>
    <xf numFmtId="167" fontId="22" fillId="22" borderId="0" xfId="1" applyNumberFormat="1" applyFont="1" applyFill="1" applyBorder="1" applyAlignment="1">
      <alignment horizontal="center" vertical="center"/>
    </xf>
    <xf numFmtId="167" fontId="22" fillId="22" borderId="14" xfId="1" applyNumberFormat="1" applyFont="1" applyFill="1" applyBorder="1" applyAlignment="1">
      <alignment horizontal="center" vertical="center"/>
    </xf>
    <xf numFmtId="167" fontId="22" fillId="22" borderId="16" xfId="1" applyNumberFormat="1" applyFont="1" applyFill="1" applyBorder="1" applyAlignment="1">
      <alignment horizontal="center" vertical="center"/>
    </xf>
    <xf numFmtId="167" fontId="22" fillId="22" borderId="17" xfId="1" applyNumberFormat="1" applyFont="1" applyFill="1" applyBorder="1" applyAlignment="1">
      <alignment horizontal="center" vertical="center"/>
    </xf>
    <xf numFmtId="0" fontId="3" fillId="14" borderId="21" xfId="0" applyFont="1" applyFill="1" applyBorder="1" applyAlignment="1">
      <alignment horizontal="center" vertical="center" readingOrder="2"/>
    </xf>
    <xf numFmtId="0" fontId="3" fillId="14" borderId="22" xfId="0" applyFont="1" applyFill="1" applyBorder="1" applyAlignment="1">
      <alignment horizontal="center" vertical="center" readingOrder="2"/>
    </xf>
    <xf numFmtId="0" fontId="3" fillId="14" borderId="18" xfId="0" applyFont="1" applyFill="1" applyBorder="1" applyAlignment="1">
      <alignment horizontal="center" vertical="center" readingOrder="2"/>
    </xf>
  </cellXfs>
  <cellStyles count="4">
    <cellStyle name="Comma" xfId="1" builtinId="3"/>
    <cellStyle name="Normal" xfId="0" builtinId="0"/>
    <cellStyle name="Normal 2" xfId="2" xr:uid="{83C88A49-EB42-47A9-9332-F161037A127D}"/>
    <cellStyle name="Percent" xfId="3" builtinId="5"/>
  </cellStyles>
  <dxfs count="85">
    <dxf>
      <numFmt numFmtId="167" formatCode="_(* #,##0_);_(* \(#,##0\);_(* &quot;-&quot;??_);_(@_)"/>
    </dxf>
    <dxf>
      <numFmt numFmtId="167" formatCode="_(* #,##0_);_(* \(#,##0\);_(* &quot;-&quot;??_);_(@_)"/>
    </dxf>
    <dxf>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1"/>
        <color theme="1"/>
        <name val="Aptos Narrow"/>
        <family val="2"/>
        <scheme val="minor"/>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ptos Narrow"/>
        <family val="2"/>
        <scheme val="minor"/>
      </font>
      <numFmt numFmtId="165" formatCode="_ * #,##0_-_ ;_ * #,##0\-_ ;_ * &quot;-&quot;??_-_ ;_ @_ "/>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ptos Narrow"/>
        <family val="2"/>
        <scheme val="minor"/>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ptos Narrow"/>
        <family val="2"/>
        <scheme val="minor"/>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lightUp">
          <fgColor theme="1" tint="0.24994659260841701"/>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ptos Narrow"/>
        <family val="2"/>
        <scheme val="minor"/>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rgb="FFFF7C8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ptos Narrow"/>
        <family val="2"/>
        <scheme val="minor"/>
      </font>
      <numFmt numFmtId="165" formatCode="_ * #,##0_-_ ;_ * #,##0\-_ ;_ * &quot;-&quot;??_-_ ;_ @_ "/>
      <fill>
        <patternFill patternType="solid">
          <fgColor indexed="64"/>
          <bgColor rgb="FFFF7C8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ptos Narrow"/>
        <family val="2"/>
        <scheme val="minor"/>
      </font>
      <numFmt numFmtId="3"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border outline="0">
        <right style="thin">
          <color auto="1"/>
        </right>
        <top style="thin">
          <color auto="1"/>
        </top>
      </border>
    </dxf>
    <dxf>
      <border outline="0">
        <bottom style="thin">
          <color auto="1"/>
        </bottom>
      </border>
    </dxf>
    <dxf>
      <font>
        <b/>
        <strike val="0"/>
        <outline val="0"/>
        <shadow val="0"/>
        <u val="none"/>
        <vertAlign val="baseline"/>
        <sz val="11"/>
        <color rgb="FF000000"/>
        <name val="B Nazanin"/>
        <charset val="178"/>
        <scheme val="none"/>
      </font>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13" formatCode="0%"/>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167" formatCode="_(* #,##0_);_(* \(#,##0\);_(* &quot;-&quot;??_);_(@_)"/>
      <alignment horizontal="center" vertical="center" textRotation="0" wrapText="0" indent="0" justifyLastLine="0" shrinkToFit="0" readingOrder="0"/>
    </dxf>
    <dxf>
      <font>
        <b/>
        <i val="0"/>
        <strike val="0"/>
        <condense val="0"/>
        <extend val="0"/>
        <outline val="0"/>
        <shadow val="0"/>
        <u val="none"/>
        <vertAlign val="baseline"/>
        <sz val="11"/>
        <color rgb="FF000000"/>
        <name val="B Nazanin"/>
        <charset val="178"/>
        <scheme val="none"/>
      </font>
      <numFmt numFmtId="167" formatCode="_(* #,##0_);_(* \(#,##0\);_(* &quot;-&quot;??_);_(@_)"/>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166" formatCode="[$-960429]yyyy\/mm\/dd;@"/>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theme="1"/>
        <name val="B Nazanin"/>
        <charset val="178"/>
        <scheme val="none"/>
      </font>
      <numFmt numFmtId="3"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strike val="0"/>
        <outline val="0"/>
        <shadow val="0"/>
        <u val="none"/>
        <vertAlign val="baseline"/>
        <sz val="11"/>
        <color theme="1"/>
        <name val="B Nazanin"/>
        <charset val="178"/>
        <scheme val="none"/>
      </font>
      <numFmt numFmtId="3" formatCode="#,##0"/>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B Nazanin"/>
        <charset val="178"/>
        <scheme val="none"/>
      </font>
      <numFmt numFmtId="166" formatCode="[$-960429]yyyy\/mm\/dd;@"/>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B Nazanin"/>
        <charset val="178"/>
        <scheme val="none"/>
      </font>
      <numFmt numFmtId="0" formatCode="Genera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strike val="0"/>
        <outline val="0"/>
        <shadow val="0"/>
        <u val="none"/>
        <vertAlign val="baseline"/>
        <sz val="11"/>
        <color theme="1"/>
        <name val="B Nazanin"/>
        <charset val="178"/>
        <scheme val="none"/>
      </font>
      <numFmt numFmtId="0" formatCode="Genera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theme="1"/>
        <name val="B Nazanin"/>
        <charset val="178"/>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rgb="FF000000"/>
        <name val="B Nazanin"/>
        <charset val="178"/>
        <scheme val="none"/>
      </font>
      <alignment horizontal="center" vertical="center" textRotation="0" wrapText="0" indent="0" justifyLastLine="0" shrinkToFit="0" readingOrder="0"/>
    </dxf>
    <dxf>
      <font>
        <b/>
        <strike val="0"/>
        <outline val="0"/>
        <shadow val="0"/>
        <u val="none"/>
        <vertAlign val="baseline"/>
        <sz val="11"/>
        <color rgb="FFFFFFFF"/>
        <name val="B Nazanin"/>
        <charset val="178"/>
        <scheme val="none"/>
      </font>
      <alignment horizontal="center" vertical="center" textRotation="0" wrapText="0" indent="0" justifyLastLine="0" shrinkToFit="0" readingOrder="0"/>
    </dxf>
    <dxf>
      <fill>
        <patternFill patternType="solid">
          <fgColor indexed="64"/>
          <bgColor rgb="FFFFD54F"/>
        </patternFill>
      </fill>
      <alignment horizontal="center" vertical="center"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auto="1"/>
        </left>
        <right style="thin">
          <color auto="1"/>
        </right>
        <top style="thin">
          <color auto="1"/>
        </top>
        <bottom style="thin">
          <color auto="1"/>
        </bottom>
      </border>
    </dxf>
    <dxf>
      <fill>
        <patternFill patternType="solid">
          <fgColor indexed="64"/>
          <bgColor rgb="FFFFD54F"/>
        </patternFill>
      </fill>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1"/>
        <color theme="1"/>
        <name val="Aptos Narrow"/>
        <family val="2"/>
        <scheme val="minor"/>
      </font>
      <fill>
        <patternFill patternType="solid">
          <fgColor indexed="64"/>
          <bgColor theme="7" tint="-0.499984740745262"/>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0" formatCode="General"/>
    </dxf>
    <dxf>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67" formatCode="_(* #,##0_);_(* \(#,##0\);_(* &quot;-&quot;??_);_(@_)"/>
    </dxf>
    <dxf>
      <numFmt numFmtId="167" formatCode="_(* #,##0_);_(* \(#,##0\);_(* &quot;-&quot;??_);_(@_)"/>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minor"/>
      </font>
      <numFmt numFmtId="1" formatCode="0"/>
    </dxf>
    <dxf>
      <numFmt numFmtId="1" formatCode="0"/>
      <alignment horizontal="center" vertical="center" textRotation="0" wrapText="0" indent="0" justifyLastLine="0" shrinkToFit="0" readingOrder="0"/>
    </dxf>
    <dxf>
      <numFmt numFmtId="0" formatCode="General"/>
    </dxf>
    <dxf>
      <numFmt numFmtId="0" formatCode="General"/>
      <alignment horizontal="center" vertical="center" textRotation="0" wrapText="0" indent="0" justifyLastLine="0" shrinkToFit="0" readingOrder="0"/>
    </dxf>
    <dxf>
      <numFmt numFmtId="0" formatCode="General"/>
    </dxf>
    <dxf>
      <numFmt numFmtId="0" formatCode="General"/>
      <alignment horizontal="center" vertical="center" textRotation="0" wrapText="0" indent="0" justifyLastLine="0" shrinkToFit="0" readingOrder="0"/>
    </dxf>
    <dxf>
      <numFmt numFmtId="0" formatCode="General"/>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z val="12"/>
        <name val="B Nazanin"/>
        <charset val="178"/>
      </font>
      <fill>
        <patternFill>
          <bgColor rgb="FFCBE0F7"/>
        </patternFill>
      </fill>
    </dxf>
    <dxf>
      <fill>
        <patternFill>
          <bgColor theme="0" tint="-4.9989318521683403E-2"/>
        </patternFill>
      </fill>
    </dxf>
    <dxf>
      <font>
        <color theme="0"/>
      </font>
      <fill>
        <patternFill>
          <bgColor rgb="FF339966"/>
        </patternFill>
      </fill>
    </dxf>
  </dxfs>
  <tableStyles count="2" defaultTableStyle="TableStyleMedium2" defaultPivotStyle="PivotStyleLight16">
    <tableStyle name="CustomTableStyle" pivot="0" count="2" xr9:uid="{B71C15ED-83E3-4F67-BC0D-670E5F9A83F0}">
      <tableStyleElement type="headerRow" dxfId="84"/>
      <tableStyleElement type="firstRowStripe" dxfId="83"/>
    </tableStyle>
    <tableStyle name="Slicer Style 1" pivot="0" table="0" count="9" xr9:uid="{08CECA34-6D51-4387-A30E-2CD3F958C04E}">
      <tableStyleElement type="wholeTable" dxfId="82"/>
    </tableStyle>
  </tableStyles>
  <colors>
    <mruColors>
      <color rgb="FFFFD54F"/>
      <color rgb="FFD3EDD9"/>
      <color rgb="FFF99C35"/>
      <color rgb="FFCBE0F7"/>
      <color rgb="FF00F26D"/>
      <color rgb="FFC31349"/>
      <color rgb="FFDAA600"/>
      <color rgb="FFFF8853"/>
      <color rgb="FFFFDC6D"/>
      <color rgb="FFFFCF37"/>
    </mruColors>
  </colors>
  <extLst>
    <ext xmlns:x14="http://schemas.microsoft.com/office/spreadsheetml/2009/9/main" uri="{46F421CA-312F-682f-3DD2-61675219B42D}">
      <x14:dxfs count="8">
        <dxf>
          <font>
            <b val="0"/>
            <i val="0"/>
            <sz val="10"/>
            <name val="B Nazanin"/>
            <charset val="178"/>
          </font>
        </dxf>
        <dxf>
          <font>
            <b val="0"/>
            <i val="0"/>
            <sz val="10"/>
            <name val="B Nazanin"/>
            <charset val="178"/>
          </font>
        </dxf>
        <dxf>
          <fill>
            <patternFill>
              <bgColor rgb="FFFFD54F"/>
            </patternFill>
          </fill>
        </dxf>
        <dxf>
          <font>
            <b val="0"/>
            <i val="0"/>
            <sz val="10"/>
            <name val="B Nazanin"/>
            <charset val="178"/>
          </font>
        </dxf>
        <dxf>
          <font>
            <b val="0"/>
            <i val="0"/>
            <sz val="10"/>
            <name val="B Nazanin"/>
            <charset val="178"/>
          </font>
        </dxf>
        <dxf>
          <font>
            <b/>
            <i val="0"/>
            <sz val="12"/>
            <color theme="0"/>
            <name val="B Nazanin"/>
            <charset val="178"/>
            <scheme val="none"/>
          </font>
          <fill>
            <patternFill>
              <bgColor rgb="FFC31349"/>
            </patternFill>
          </fill>
        </dxf>
        <dxf>
          <font>
            <b val="0"/>
            <i val="0"/>
            <sz val="10"/>
            <name val="B Nazanin"/>
            <charset val="178"/>
            <scheme val="none"/>
          </font>
        </dxf>
        <dxf>
          <font>
            <b val="0"/>
            <i val="0"/>
            <sz val="12"/>
            <color theme="0"/>
            <name val="B Nazanin"/>
            <charset val="178"/>
            <scheme val="none"/>
          </font>
          <fill>
            <patternFill>
              <bgColor theme="1" tint="0.24994659260841701"/>
            </patternFill>
          </fill>
        </dxf>
      </x14:dxfs>
    </ext>
    <ext xmlns:x14="http://schemas.microsoft.com/office/spreadsheetml/2009/9/main" uri="{EB79DEF2-80B8-43e5-95BD-54CBDDF9020C}">
      <x14:slicerStyles defaultSlicerStyle="SlicerStyleLight1">
        <x14:slicerStyle name="Slicer Style 1">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microsoft.com/office/2007/relationships/slicerCache" Target="slicerCaches/slicerCache1.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pivotCacheDefinition" Target="pivotCache/pivotCacheDefinition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powerPivotData" Target="model/item.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3.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microsoft.com/office/2007/relationships/slicerCache" Target="slicerCaches/slicerCache2.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049731606984163"/>
          <c:y val="7.1214282696134557E-2"/>
          <c:w val="0.56304726995646592"/>
          <c:h val="0.83162271232525742"/>
        </c:manualLayout>
      </c:layout>
      <c:doughnutChart>
        <c:varyColors val="1"/>
        <c:ser>
          <c:idx val="0"/>
          <c:order val="0"/>
          <c:spPr>
            <a:ln>
              <a:noFill/>
            </a:ln>
          </c:spPr>
          <c:dPt>
            <c:idx val="0"/>
            <c:bubble3D val="0"/>
            <c:spPr>
              <a:gradFill flip="none" rotWithShape="1">
                <a:gsLst>
                  <a:gs pos="0">
                    <a:srgbClr val="00F26D">
                      <a:shade val="30000"/>
                      <a:satMod val="115000"/>
                    </a:srgbClr>
                  </a:gs>
                  <a:gs pos="50000">
                    <a:srgbClr val="00F26D">
                      <a:shade val="67500"/>
                      <a:satMod val="115000"/>
                    </a:srgbClr>
                  </a:gs>
                  <a:gs pos="100000">
                    <a:srgbClr val="00F26D">
                      <a:shade val="100000"/>
                      <a:satMod val="115000"/>
                    </a:srgbClr>
                  </a:gs>
                </a:gsLst>
                <a:lin ang="5400000" scaled="1"/>
                <a:tileRect/>
              </a:gradFill>
              <a:ln w="19050">
                <a:noFill/>
              </a:ln>
              <a:effectLst/>
            </c:spPr>
            <c:extLst>
              <c:ext xmlns:c16="http://schemas.microsoft.com/office/drawing/2014/chart" uri="{C3380CC4-5D6E-409C-BE32-E72D297353CC}">
                <c16:uniqueId val="{00000001-8561-4851-979C-92308D36DEE8}"/>
              </c:ext>
            </c:extLst>
          </c:dPt>
          <c:dPt>
            <c:idx val="1"/>
            <c:bubble3D val="0"/>
            <c:spPr>
              <a:solidFill>
                <a:schemeClr val="bg1">
                  <a:lumMod val="85000"/>
                </a:schemeClr>
              </a:solidFill>
              <a:ln w="19050">
                <a:noFill/>
              </a:ln>
              <a:effectLst/>
            </c:spPr>
            <c:extLst>
              <c:ext xmlns:c16="http://schemas.microsoft.com/office/drawing/2014/chart" uri="{C3380CC4-5D6E-409C-BE32-E72D297353CC}">
                <c16:uniqueId val="{00000003-8561-4851-979C-92308D36DEE8}"/>
              </c:ext>
            </c:extLst>
          </c:dPt>
          <c:val>
            <c:numRef>
              <c:f>Calc!$R$5:$S$5</c:f>
              <c:numCache>
                <c:formatCode>0.0%</c:formatCode>
                <c:ptCount val="2"/>
                <c:pt idx="0">
                  <c:v>0.26541222186635766</c:v>
                </c:pt>
                <c:pt idx="1">
                  <c:v>0.73458777813364229</c:v>
                </c:pt>
              </c:numCache>
            </c:numRef>
          </c:val>
          <c:extLst>
            <c:ext xmlns:c16="http://schemas.microsoft.com/office/drawing/2014/chart" uri="{C3380CC4-5D6E-409C-BE32-E72D297353CC}">
              <c16:uniqueId val="{00000004-8561-4851-979C-92308D36DEE8}"/>
            </c:ext>
          </c:extLst>
        </c:ser>
        <c:dLbls>
          <c:showLegendKey val="0"/>
          <c:showVal val="0"/>
          <c:showCatName val="0"/>
          <c:showSerName val="0"/>
          <c:showPercent val="0"/>
          <c:showBubbleSize val="0"/>
          <c:showLeaderLines val="1"/>
        </c:dLbls>
        <c:firstSliceAng val="0"/>
        <c:holeSize val="82"/>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croll" dx="26" fmlaLink="$B$10" max="100" min="1" page="10"/>
</file>

<file path=xl/ctrlProps/ctrlProp2.xml><?xml version="1.0" encoding="utf-8"?>
<formControlPr xmlns="http://schemas.microsoft.com/office/spreadsheetml/2009/9/main" objectType="Scroll" dx="26" fmlaLink="$B$23" max="100" min="1" page="10"/>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2.png"/><Relationship Id="rId7" Type="http://schemas.microsoft.com/office/2007/relationships/hdphoto" Target="../media/hdphoto3.wdp"/><Relationship Id="rId2" Type="http://schemas.microsoft.com/office/2007/relationships/hdphoto" Target="../media/hdphoto1.wdp"/><Relationship Id="rId1" Type="http://schemas.openxmlformats.org/officeDocument/2006/relationships/image" Target="../media/image1.png"/><Relationship Id="rId6" Type="http://schemas.openxmlformats.org/officeDocument/2006/relationships/image" Target="../media/image4.png"/><Relationship Id="rId5" Type="http://schemas.microsoft.com/office/2007/relationships/hdphoto" Target="../media/hdphoto2.wdp"/><Relationship Id="rId4" Type="http://schemas.openxmlformats.org/officeDocument/2006/relationships/image" Target="../media/image3.png"/><Relationship Id="rId9" Type="http://schemas.openxmlformats.org/officeDocument/2006/relationships/chart" Target="../charts/chart1.xml"/></Relationships>
</file>

<file path=xl/drawings/_rels/drawing2.xml.rels><?xml version="1.0" encoding="UTF-8" standalone="yes"?>
<Relationships xmlns="http://schemas.openxmlformats.org/package/2006/relationships"><Relationship Id="rId8" Type="http://schemas.openxmlformats.org/officeDocument/2006/relationships/customXml" Target="../ink/ink5.xml"/><Relationship Id="rId13" Type="http://schemas.openxmlformats.org/officeDocument/2006/relationships/customXml" Target="../ink/ink10.xml"/><Relationship Id="rId18" Type="http://schemas.openxmlformats.org/officeDocument/2006/relationships/customXml" Target="../ink/ink15.xml"/><Relationship Id="rId3" Type="http://schemas.openxmlformats.org/officeDocument/2006/relationships/customXml" Target="../ink/ink2.xml"/><Relationship Id="rId21" Type="http://schemas.openxmlformats.org/officeDocument/2006/relationships/customXml" Target="../ink/ink18.xml"/><Relationship Id="rId7" Type="http://schemas.openxmlformats.org/officeDocument/2006/relationships/customXml" Target="../ink/ink4.xml"/><Relationship Id="rId12" Type="http://schemas.openxmlformats.org/officeDocument/2006/relationships/customXml" Target="../ink/ink9.xml"/><Relationship Id="rId17" Type="http://schemas.openxmlformats.org/officeDocument/2006/relationships/customXml" Target="../ink/ink14.xml"/><Relationship Id="rId2" Type="http://schemas.openxmlformats.org/officeDocument/2006/relationships/image" Target="../media/image11.png"/><Relationship Id="rId16" Type="http://schemas.openxmlformats.org/officeDocument/2006/relationships/customXml" Target="../ink/ink13.xml"/><Relationship Id="rId20" Type="http://schemas.openxmlformats.org/officeDocument/2006/relationships/customXml" Target="../ink/ink17.xml"/><Relationship Id="rId1" Type="http://schemas.openxmlformats.org/officeDocument/2006/relationships/customXml" Target="../ink/ink1.xml"/><Relationship Id="rId6" Type="http://schemas.openxmlformats.org/officeDocument/2006/relationships/image" Target="../media/image30.png"/><Relationship Id="rId11" Type="http://schemas.openxmlformats.org/officeDocument/2006/relationships/customXml" Target="../ink/ink8.xml"/><Relationship Id="rId5" Type="http://schemas.openxmlformats.org/officeDocument/2006/relationships/customXml" Target="../ink/ink3.xml"/><Relationship Id="rId15" Type="http://schemas.openxmlformats.org/officeDocument/2006/relationships/customXml" Target="../ink/ink12.xml"/><Relationship Id="rId23" Type="http://schemas.openxmlformats.org/officeDocument/2006/relationships/customXml" Target="../ink/ink19.xml"/><Relationship Id="rId10" Type="http://schemas.openxmlformats.org/officeDocument/2006/relationships/customXml" Target="../ink/ink7.xml"/><Relationship Id="rId19" Type="http://schemas.openxmlformats.org/officeDocument/2006/relationships/customXml" Target="../ink/ink16.xml"/><Relationship Id="rId4" Type="http://schemas.openxmlformats.org/officeDocument/2006/relationships/image" Target="../media/image21.png"/><Relationship Id="rId9" Type="http://schemas.openxmlformats.org/officeDocument/2006/relationships/customXml" Target="../ink/ink6.xml"/><Relationship Id="rId14" Type="http://schemas.openxmlformats.org/officeDocument/2006/relationships/customXml" Target="../ink/ink11.xml"/><Relationship Id="rId22"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xdr:from>
      <xdr:col>5</xdr:col>
      <xdr:colOff>421640</xdr:colOff>
      <xdr:row>0</xdr:row>
      <xdr:rowOff>163406</xdr:rowOff>
    </xdr:from>
    <xdr:to>
      <xdr:col>11</xdr:col>
      <xdr:colOff>587587</xdr:colOff>
      <xdr:row>2</xdr:row>
      <xdr:rowOff>127846</xdr:rowOff>
    </xdr:to>
    <xdr:sp macro="" textlink="">
      <xdr:nvSpPr>
        <xdr:cNvPr id="2" name="TextBox 1">
          <a:extLst>
            <a:ext uri="{FF2B5EF4-FFF2-40B4-BE49-F238E27FC236}">
              <a16:creationId xmlns:a16="http://schemas.microsoft.com/office/drawing/2014/main" id="{D3BE95E1-4518-4CB7-A5CF-4D5BE912428F}"/>
            </a:ext>
          </a:extLst>
        </xdr:cNvPr>
        <xdr:cNvSpPr txBox="1"/>
      </xdr:nvSpPr>
      <xdr:spPr>
        <a:xfrm>
          <a:off x="9982518346" y="163406"/>
          <a:ext cx="6228080" cy="336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600" b="1">
              <a:solidFill>
                <a:sysClr val="windowText" lastClr="000000"/>
              </a:solidFill>
              <a:cs typeface="B Titr" panose="00000700000000000000" pitchFamily="2" charset="-78"/>
            </a:rPr>
            <a:t>گزارش</a:t>
          </a:r>
          <a:r>
            <a:rPr lang="fa-IR" sz="1600" b="1" baseline="0">
              <a:solidFill>
                <a:sysClr val="windowText" lastClr="000000"/>
              </a:solidFill>
              <a:cs typeface="B Titr" panose="00000700000000000000" pitchFamily="2" charset="-78"/>
            </a:rPr>
            <a:t> جامع بررسی پرداختی های سفارشات شرکت کربن بارد</a:t>
          </a:r>
          <a:endParaRPr lang="en-US" sz="1600" b="1">
            <a:solidFill>
              <a:sysClr val="windowText" lastClr="000000"/>
            </a:solidFill>
            <a:cs typeface="B Titr" panose="00000700000000000000" pitchFamily="2" charset="-78"/>
          </a:endParaRPr>
        </a:p>
      </xdr:txBody>
    </xdr:sp>
    <xdr:clientData/>
  </xdr:twoCellAnchor>
  <xdr:twoCellAnchor>
    <xdr:from>
      <xdr:col>11</xdr:col>
      <xdr:colOff>575732</xdr:colOff>
      <xdr:row>0</xdr:row>
      <xdr:rowOff>42333</xdr:rowOff>
    </xdr:from>
    <xdr:to>
      <xdr:col>16</xdr:col>
      <xdr:colOff>872065</xdr:colOff>
      <xdr:row>7</xdr:row>
      <xdr:rowOff>152398</xdr:rowOff>
    </xdr:to>
    <xdr:sp macro="" textlink="">
      <xdr:nvSpPr>
        <xdr:cNvPr id="3" name="Rectangle: Rounded Corners 2">
          <a:extLst>
            <a:ext uri="{FF2B5EF4-FFF2-40B4-BE49-F238E27FC236}">
              <a16:creationId xmlns:a16="http://schemas.microsoft.com/office/drawing/2014/main" id="{DE26DB06-40A2-4C81-B290-D6415B938035}"/>
            </a:ext>
          </a:extLst>
        </xdr:cNvPr>
        <xdr:cNvSpPr/>
      </xdr:nvSpPr>
      <xdr:spPr>
        <a:xfrm>
          <a:off x="9977323201" y="42333"/>
          <a:ext cx="5207000" cy="1413932"/>
        </a:xfrm>
        <a:prstGeom prst="roundRect">
          <a:avLst>
            <a:gd name="adj" fmla="val 8704"/>
          </a:avLst>
        </a:prstGeom>
        <a:solidFill>
          <a:srgbClr val="3A3F44"/>
        </a:solidFill>
        <a:ln>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416553</xdr:colOff>
      <xdr:row>4</xdr:row>
      <xdr:rowOff>143081</xdr:rowOff>
    </xdr:from>
    <xdr:to>
      <xdr:col>7</xdr:col>
      <xdr:colOff>110329</xdr:colOff>
      <xdr:row>6</xdr:row>
      <xdr:rowOff>85759</xdr:rowOff>
    </xdr:to>
    <xdr:grpSp>
      <xdr:nvGrpSpPr>
        <xdr:cNvPr id="6" name="Group 5">
          <a:extLst>
            <a:ext uri="{FF2B5EF4-FFF2-40B4-BE49-F238E27FC236}">
              <a16:creationId xmlns:a16="http://schemas.microsoft.com/office/drawing/2014/main" id="{74D262E6-CE13-EB8B-89BE-135F753200F2}"/>
            </a:ext>
          </a:extLst>
        </xdr:cNvPr>
        <xdr:cNvGrpSpPr/>
      </xdr:nvGrpSpPr>
      <xdr:grpSpPr>
        <a:xfrm>
          <a:off x="10958304804" y="854281"/>
          <a:ext cx="4960043" cy="298278"/>
          <a:chOff x="9978791119" y="2420364"/>
          <a:chExt cx="2844838" cy="257874"/>
        </a:xfrm>
      </xdr:grpSpPr>
      <xdr:sp macro="" textlink="">
        <xdr:nvSpPr>
          <xdr:cNvPr id="7" name="TextBox 6">
            <a:extLst>
              <a:ext uri="{FF2B5EF4-FFF2-40B4-BE49-F238E27FC236}">
                <a16:creationId xmlns:a16="http://schemas.microsoft.com/office/drawing/2014/main" id="{213E5234-BC78-1547-B66B-D306B672E52F}"/>
              </a:ext>
            </a:extLst>
          </xdr:cNvPr>
          <xdr:cNvSpPr txBox="1"/>
        </xdr:nvSpPr>
        <xdr:spPr>
          <a:xfrm>
            <a:off x="9980044467" y="2426778"/>
            <a:ext cx="1591490"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200" b="0" i="0" u="none" strike="noStrike" baseline="0">
                <a:solidFill>
                  <a:sysClr val="windowText" lastClr="000000"/>
                </a:solidFill>
                <a:latin typeface="Calibri"/>
                <a:cs typeface="B Titr" panose="00000700000000000000" pitchFamily="2" charset="-78"/>
              </a:rPr>
              <a:t>جزئیات سفارشات شرکت </a:t>
            </a:r>
            <a:endParaRPr lang="en-US" sz="1200" b="0" i="0" u="none" strike="noStrike">
              <a:solidFill>
                <a:sysClr val="windowText" lastClr="000000"/>
              </a:solidFill>
              <a:latin typeface="Calibri"/>
              <a:cs typeface="B Titr" panose="00000700000000000000" pitchFamily="2" charset="-78"/>
            </a:endParaRPr>
          </a:p>
        </xdr:txBody>
      </xdr:sp>
      <xdr:sp macro="" textlink="Calc!AA1">
        <xdr:nvSpPr>
          <xdr:cNvPr id="8" name="TextBox 7">
            <a:extLst>
              <a:ext uri="{FF2B5EF4-FFF2-40B4-BE49-F238E27FC236}">
                <a16:creationId xmlns:a16="http://schemas.microsoft.com/office/drawing/2014/main" id="{0E560709-689A-AC75-A2AC-4C4267A68C1C}"/>
              </a:ext>
            </a:extLst>
          </xdr:cNvPr>
          <xdr:cNvSpPr txBox="1"/>
        </xdr:nvSpPr>
        <xdr:spPr>
          <a:xfrm>
            <a:off x="9978791119" y="2420364"/>
            <a:ext cx="1994416"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fld id="{1098692C-94E7-481B-8861-8CC2CB89F8EE}" type="TxLink">
              <a:rPr lang="en-US" sz="1400" b="0" i="0" u="none" strike="noStrike">
                <a:solidFill>
                  <a:schemeClr val="accent4">
                    <a:lumMod val="75000"/>
                  </a:schemeClr>
                </a:solidFill>
                <a:latin typeface="Aptos Narrow"/>
                <a:cs typeface="B Titr" panose="00000700000000000000" pitchFamily="2" charset="-78"/>
              </a:rPr>
              <a:pPr algn="r" rtl="1"/>
              <a:t>عراق اربیل</a:t>
            </a:fld>
            <a:endParaRPr lang="en-US" sz="1600" b="1" i="0" u="none" strike="noStrike">
              <a:solidFill>
                <a:schemeClr val="accent4">
                  <a:lumMod val="75000"/>
                </a:schemeClr>
              </a:solidFill>
              <a:latin typeface="Calibri"/>
              <a:cs typeface="B Titr" panose="00000700000000000000" pitchFamily="2" charset="-78"/>
            </a:endParaRPr>
          </a:p>
        </xdr:txBody>
      </xdr:sp>
    </xdr:grpSp>
    <xdr:clientData/>
  </xdr:twoCellAnchor>
  <xdr:twoCellAnchor editAs="oneCell">
    <xdr:from>
      <xdr:col>1</xdr:col>
      <xdr:colOff>273473</xdr:colOff>
      <xdr:row>0</xdr:row>
      <xdr:rowOff>0</xdr:rowOff>
    </xdr:from>
    <xdr:to>
      <xdr:col>4</xdr:col>
      <xdr:colOff>163432</xdr:colOff>
      <xdr:row>4</xdr:row>
      <xdr:rowOff>8465</xdr:rowOff>
    </xdr:to>
    <xdr:pic>
      <xdr:nvPicPr>
        <xdr:cNvPr id="15" name="Picture 14">
          <a:extLst>
            <a:ext uri="{FF2B5EF4-FFF2-40B4-BE49-F238E27FC236}">
              <a16:creationId xmlns:a16="http://schemas.microsoft.com/office/drawing/2014/main" id="{8AF9AEC3-E451-9BF7-6639-16DCF6E5E9DD}"/>
            </a:ext>
          </a:extLst>
        </xdr:cNvPr>
        <xdr:cNvPicPr>
          <a:picLocks noChangeAspect="1"/>
        </xdr:cNvPicPr>
      </xdr:nvPicPr>
      <xdr:blipFill>
        <a:blip xmlns:r="http://schemas.openxmlformats.org/officeDocument/2006/relationships" r:embed="rId1" cstate="print">
          <a:duotone>
            <a:prstClr val="black"/>
            <a:schemeClr val="accent3">
              <a:tint val="45000"/>
              <a:satMod val="400000"/>
            </a:schemeClr>
          </a:duotone>
          <a:extLst>
            <a:ext uri="{BEBA8EAE-BF5A-486C-A8C5-ECC9F3942E4B}">
              <a14:imgProps xmlns:a14="http://schemas.microsoft.com/office/drawing/2010/main">
                <a14:imgLayer r:embed="rId2">
                  <a14:imgEffect>
                    <a14:colorTemperature colorTemp="11200"/>
                  </a14:imgEffect>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9989978302" y="0"/>
          <a:ext cx="1998159" cy="753532"/>
        </a:xfrm>
        <a:prstGeom prst="rect">
          <a:avLst/>
        </a:prstGeom>
      </xdr:spPr>
    </xdr:pic>
    <xdr:clientData/>
  </xdr:twoCellAnchor>
  <xdr:twoCellAnchor>
    <xdr:from>
      <xdr:col>1</xdr:col>
      <xdr:colOff>343766</xdr:colOff>
      <xdr:row>18</xdr:row>
      <xdr:rowOff>7611</xdr:rowOff>
    </xdr:from>
    <xdr:to>
      <xdr:col>6</xdr:col>
      <xdr:colOff>311334</xdr:colOff>
      <xdr:row>19</xdr:row>
      <xdr:rowOff>167034</xdr:rowOff>
    </xdr:to>
    <xdr:grpSp>
      <xdr:nvGrpSpPr>
        <xdr:cNvPr id="26" name="Group 25">
          <a:extLst>
            <a:ext uri="{FF2B5EF4-FFF2-40B4-BE49-F238E27FC236}">
              <a16:creationId xmlns:a16="http://schemas.microsoft.com/office/drawing/2014/main" id="{74D2021C-A4A1-3798-53F8-E51B2009E3E6}"/>
            </a:ext>
          </a:extLst>
        </xdr:cNvPr>
        <xdr:cNvGrpSpPr/>
      </xdr:nvGrpSpPr>
      <xdr:grpSpPr>
        <a:xfrm>
          <a:off x="10959229866" y="3402744"/>
          <a:ext cx="4107768" cy="303357"/>
          <a:chOff x="9979334300" y="2445571"/>
          <a:chExt cx="2296887" cy="251572"/>
        </a:xfrm>
      </xdr:grpSpPr>
      <xdr:sp macro="" textlink="">
        <xdr:nvSpPr>
          <xdr:cNvPr id="27" name="TextBox 26">
            <a:extLst>
              <a:ext uri="{FF2B5EF4-FFF2-40B4-BE49-F238E27FC236}">
                <a16:creationId xmlns:a16="http://schemas.microsoft.com/office/drawing/2014/main" id="{E8DA271E-5299-9DAC-EF22-341888F3E819}"/>
              </a:ext>
            </a:extLst>
          </xdr:cNvPr>
          <xdr:cNvSpPr txBox="1"/>
        </xdr:nvSpPr>
        <xdr:spPr>
          <a:xfrm>
            <a:off x="9980039697" y="2445683"/>
            <a:ext cx="1591490"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200" b="0" i="0" u="none" strike="noStrike" baseline="0">
                <a:solidFill>
                  <a:sysClr val="windowText" lastClr="000000"/>
                </a:solidFill>
                <a:latin typeface="Calibri"/>
                <a:cs typeface="B Titr" panose="00000700000000000000" pitchFamily="2" charset="-78"/>
              </a:rPr>
              <a:t>جزئیات پرداختی های پیش فاکتور شماره </a:t>
            </a:r>
            <a:endParaRPr lang="en-US" sz="1200" b="0" i="0" u="none" strike="noStrike">
              <a:solidFill>
                <a:sysClr val="windowText" lastClr="000000"/>
              </a:solidFill>
              <a:latin typeface="Calibri"/>
              <a:cs typeface="B Titr" panose="00000700000000000000" pitchFamily="2" charset="-78"/>
            </a:endParaRPr>
          </a:p>
        </xdr:txBody>
      </xdr:sp>
      <xdr:sp macro="" textlink="Calc!AA3">
        <xdr:nvSpPr>
          <xdr:cNvPr id="28" name="TextBox 27">
            <a:extLst>
              <a:ext uri="{FF2B5EF4-FFF2-40B4-BE49-F238E27FC236}">
                <a16:creationId xmlns:a16="http://schemas.microsoft.com/office/drawing/2014/main" id="{6FDAD920-2D5C-A241-D475-4095E3EE00F0}"/>
              </a:ext>
            </a:extLst>
          </xdr:cNvPr>
          <xdr:cNvSpPr txBox="1"/>
        </xdr:nvSpPr>
        <xdr:spPr>
          <a:xfrm>
            <a:off x="9979334300" y="2445571"/>
            <a:ext cx="855064"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fld id="{C2A1E99D-31A3-4EFB-957F-836F99D2E4AE}" type="TxLink">
              <a:rPr lang="fa-IR" sz="1400" b="0" i="0" u="none" strike="noStrike">
                <a:solidFill>
                  <a:schemeClr val="accent4">
                    <a:lumMod val="75000"/>
                  </a:schemeClr>
                </a:solidFill>
                <a:latin typeface="Aptos Narrow"/>
                <a:cs typeface="B Titr" panose="00000700000000000000" pitchFamily="2" charset="-78"/>
              </a:rPr>
              <a:pPr algn="r" rtl="1"/>
              <a:t>پ/92-1404-4</a:t>
            </a:fld>
            <a:endParaRPr lang="en-US" sz="1600" b="1" i="0" u="none" strike="noStrike">
              <a:solidFill>
                <a:schemeClr val="accent4">
                  <a:lumMod val="75000"/>
                </a:schemeClr>
              </a:solidFill>
              <a:latin typeface="Calibri"/>
              <a:cs typeface="B Titr" panose="00000700000000000000" pitchFamily="2" charset="-78"/>
            </a:endParaRPr>
          </a:p>
        </xdr:txBody>
      </xdr:sp>
    </xdr:grpSp>
    <xdr:clientData/>
  </xdr:twoCellAnchor>
  <xdr:twoCellAnchor editAs="oneCell">
    <xdr:from>
      <xdr:col>0</xdr:col>
      <xdr:colOff>66968</xdr:colOff>
      <xdr:row>17</xdr:row>
      <xdr:rowOff>138088</xdr:rowOff>
    </xdr:from>
    <xdr:to>
      <xdr:col>1</xdr:col>
      <xdr:colOff>383540</xdr:colOff>
      <xdr:row>20</xdr:row>
      <xdr:rowOff>6774</xdr:rowOff>
    </xdr:to>
    <xdr:pic>
      <xdr:nvPicPr>
        <xdr:cNvPr id="30" name="Picture 29">
          <a:extLst>
            <a:ext uri="{FF2B5EF4-FFF2-40B4-BE49-F238E27FC236}">
              <a16:creationId xmlns:a16="http://schemas.microsoft.com/office/drawing/2014/main" id="{813740C8-2298-8ED2-DF89-2015EB8E78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91722460" y="3423155"/>
          <a:ext cx="384305" cy="385152"/>
        </a:xfrm>
        <a:prstGeom prst="rect">
          <a:avLst/>
        </a:prstGeom>
      </xdr:spPr>
    </xdr:pic>
    <xdr:clientData/>
  </xdr:twoCellAnchor>
  <xdr:twoCellAnchor editAs="oneCell">
    <xdr:from>
      <xdr:col>0</xdr:col>
      <xdr:colOff>16168</xdr:colOff>
      <xdr:row>4</xdr:row>
      <xdr:rowOff>133116</xdr:rowOff>
    </xdr:from>
    <xdr:to>
      <xdr:col>1</xdr:col>
      <xdr:colOff>406400</xdr:colOff>
      <xdr:row>7</xdr:row>
      <xdr:rowOff>38099</xdr:rowOff>
    </xdr:to>
    <xdr:pic>
      <xdr:nvPicPr>
        <xdr:cNvPr id="38" name="Picture 37">
          <a:extLst>
            <a:ext uri="{FF2B5EF4-FFF2-40B4-BE49-F238E27FC236}">
              <a16:creationId xmlns:a16="http://schemas.microsoft.com/office/drawing/2014/main" id="{DB8C11DF-55BD-DD6A-58DF-788F78D2128F}"/>
            </a:ext>
          </a:extLst>
        </xdr:cNvPr>
        <xdr:cNvPicPr>
          <a:picLocks noChangeAspect="1"/>
        </xdr:cNvPicPr>
      </xdr:nvPicPr>
      <xdr:blipFill>
        <a:blip xmlns:r="http://schemas.openxmlformats.org/officeDocument/2006/relationships" r:embed="rId4" cstate="print">
          <a:extLst>
            <a:ext uri="{BEBA8EAE-BF5A-486C-A8C5-ECC9F3942E4B}">
              <a14:imgProps xmlns:a14="http://schemas.microsoft.com/office/drawing/2010/main">
                <a14:imgLayer r:embed="rId5">
                  <a14:imgEffect>
                    <a14:sharpenSoften amount="-50000"/>
                  </a14:imgEffect>
                  <a14:imgEffect>
                    <a14:colorTemperature colorTemp="11200"/>
                  </a14:imgEffect>
                  <a14:imgEffect>
                    <a14:brightnessContrast contrast="20000"/>
                  </a14:imgEffect>
                </a14:imgLayer>
              </a14:imgProps>
            </a:ext>
            <a:ext uri="{28A0092B-C50C-407E-A947-70E740481C1C}">
              <a14:useLocalDpi xmlns:a14="http://schemas.microsoft.com/office/drawing/2010/main" val="0"/>
            </a:ext>
          </a:extLst>
        </a:blip>
        <a:stretch>
          <a:fillRect/>
        </a:stretch>
      </xdr:blipFill>
      <xdr:spPr>
        <a:xfrm>
          <a:off x="9991843534" y="878183"/>
          <a:ext cx="457965" cy="463783"/>
        </a:xfrm>
        <a:prstGeom prst="rect">
          <a:avLst/>
        </a:prstGeom>
      </xdr:spPr>
    </xdr:pic>
    <xdr:clientData/>
  </xdr:twoCellAnchor>
  <xdr:twoCellAnchor>
    <xdr:from>
      <xdr:col>17</xdr:col>
      <xdr:colOff>228600</xdr:colOff>
      <xdr:row>17</xdr:row>
      <xdr:rowOff>110066</xdr:rowOff>
    </xdr:from>
    <xdr:to>
      <xdr:col>20</xdr:col>
      <xdr:colOff>188808</xdr:colOff>
      <xdr:row>19</xdr:row>
      <xdr:rowOff>77088</xdr:rowOff>
    </xdr:to>
    <xdr:sp macro="" textlink="">
      <xdr:nvSpPr>
        <xdr:cNvPr id="54" name="Rectangle: Rounded Corners 53">
          <a:extLst>
            <a:ext uri="{FF2B5EF4-FFF2-40B4-BE49-F238E27FC236}">
              <a16:creationId xmlns:a16="http://schemas.microsoft.com/office/drawing/2014/main" id="{7D3594CA-39E2-4C75-86EA-0B378976AB27}"/>
            </a:ext>
          </a:extLst>
        </xdr:cNvPr>
        <xdr:cNvSpPr/>
      </xdr:nvSpPr>
      <xdr:spPr>
        <a:xfrm>
          <a:off x="9975305592" y="3581399"/>
          <a:ext cx="1789008" cy="297222"/>
        </a:xfrm>
        <a:prstGeom prst="roundRect">
          <a:avLst>
            <a:gd name="adj" fmla="val 24591"/>
          </a:avLst>
        </a:prstGeom>
        <a:gradFill flip="none" rotWithShape="1">
          <a:gsLst>
            <a:gs pos="0">
              <a:schemeClr val="accent5">
                <a:lumMod val="50000"/>
                <a:shade val="30000"/>
                <a:satMod val="115000"/>
              </a:schemeClr>
            </a:gs>
            <a:gs pos="50000">
              <a:schemeClr val="accent5">
                <a:lumMod val="50000"/>
                <a:shade val="67500"/>
                <a:satMod val="115000"/>
              </a:schemeClr>
            </a:gs>
            <a:gs pos="100000">
              <a:schemeClr val="accent5">
                <a:lumMod val="50000"/>
                <a:shade val="100000"/>
                <a:satMod val="115000"/>
              </a:schemeClr>
            </a:gs>
          </a:gsLst>
          <a:lin ang="81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r" rtl="1"/>
          <a:endParaRPr lang="en-US" sz="1200">
            <a:solidFill>
              <a:schemeClr val="bg1"/>
            </a:solidFill>
          </a:endParaRPr>
        </a:p>
      </xdr:txBody>
    </xdr:sp>
    <xdr:clientData/>
  </xdr:twoCellAnchor>
  <xdr:twoCellAnchor>
    <xdr:from>
      <xdr:col>17</xdr:col>
      <xdr:colOff>567265</xdr:colOff>
      <xdr:row>17</xdr:row>
      <xdr:rowOff>101600</xdr:rowOff>
    </xdr:from>
    <xdr:to>
      <xdr:col>20</xdr:col>
      <xdr:colOff>47309</xdr:colOff>
      <xdr:row>19</xdr:row>
      <xdr:rowOff>55987</xdr:rowOff>
    </xdr:to>
    <xdr:sp macro="" textlink="">
      <xdr:nvSpPr>
        <xdr:cNvPr id="53" name="TextBox 52">
          <a:extLst>
            <a:ext uri="{FF2B5EF4-FFF2-40B4-BE49-F238E27FC236}">
              <a16:creationId xmlns:a16="http://schemas.microsoft.com/office/drawing/2014/main" id="{2DCCDDAA-8216-4BE7-B485-6422BB67A9E3}"/>
            </a:ext>
          </a:extLst>
        </xdr:cNvPr>
        <xdr:cNvSpPr txBox="1"/>
      </xdr:nvSpPr>
      <xdr:spPr>
        <a:xfrm>
          <a:off x="9975447091" y="3572933"/>
          <a:ext cx="1308844" cy="284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400" b="1" i="0" u="none" strike="noStrike">
              <a:solidFill>
                <a:srgbClr val="FFFFFF"/>
              </a:solidFill>
              <a:latin typeface="Calibri"/>
              <a:cs typeface="B Koodak" panose="00000700000000000000" pitchFamily="2" charset="-78"/>
            </a:rPr>
            <a:t>فیلتر</a:t>
          </a:r>
          <a:r>
            <a:rPr lang="en-US" sz="1400" b="1" i="0" u="none" strike="noStrike">
              <a:solidFill>
                <a:srgbClr val="FFFFFF"/>
              </a:solidFill>
              <a:latin typeface="Calibri"/>
              <a:cs typeface="B Koodak" panose="00000700000000000000" pitchFamily="2" charset="-78"/>
            </a:rPr>
            <a:t> </a:t>
          </a:r>
          <a:r>
            <a:rPr lang="fa-IR" sz="1400" b="1" i="0" u="none" strike="noStrike" baseline="0">
              <a:solidFill>
                <a:srgbClr val="FFFFFF"/>
              </a:solidFill>
              <a:latin typeface="Calibri"/>
              <a:cs typeface="B Koodak" panose="00000700000000000000" pitchFamily="2" charset="-78"/>
            </a:rPr>
            <a:t> پیش فاکتور</a:t>
          </a:r>
          <a:endParaRPr lang="en-US" sz="1400" b="1" i="0" u="none" strike="noStrike">
            <a:solidFill>
              <a:srgbClr val="FFFFFF"/>
            </a:solidFill>
            <a:latin typeface="Calibri"/>
            <a:cs typeface="B Koodak" panose="00000700000000000000" pitchFamily="2" charset="-78"/>
          </a:endParaRPr>
        </a:p>
      </xdr:txBody>
    </xdr:sp>
    <xdr:clientData/>
  </xdr:twoCellAnchor>
  <xdr:twoCellAnchor>
    <xdr:from>
      <xdr:col>17</xdr:col>
      <xdr:colOff>165024</xdr:colOff>
      <xdr:row>16</xdr:row>
      <xdr:rowOff>135469</xdr:rowOff>
    </xdr:from>
    <xdr:to>
      <xdr:col>18</xdr:col>
      <xdr:colOff>56092</xdr:colOff>
      <xdr:row>20</xdr:row>
      <xdr:rowOff>42334</xdr:rowOff>
    </xdr:to>
    <xdr:pic>
      <xdr:nvPicPr>
        <xdr:cNvPr id="22" name="Picture 21">
          <a:extLst>
            <a:ext uri="{FF2B5EF4-FFF2-40B4-BE49-F238E27FC236}">
              <a16:creationId xmlns:a16="http://schemas.microsoft.com/office/drawing/2014/main" id="{662EB173-C4BF-DD0B-6B20-92B49BF0AB28}"/>
            </a:ext>
          </a:extLst>
        </xdr:cNvPr>
        <xdr:cNvPicPr>
          <a:picLocks noChangeAspect="1"/>
        </xdr:cNvPicPr>
      </xdr:nvPicPr>
      <xdr:blipFill>
        <a:blip xmlns:r="http://schemas.openxmlformats.org/officeDocument/2006/relationships" r:embed="rId6" cstate="print">
          <a:extLst>
            <a:ext uri="{BEBA8EAE-BF5A-486C-A8C5-ECC9F3942E4B}">
              <a14:imgProps xmlns:a14="http://schemas.microsoft.com/office/drawing/2010/main">
                <a14:imgLayer r:embed="rId7">
                  <a14:imgEffect>
                    <a14:colorTemperature colorTemp="11200"/>
                  </a14:imgEffect>
                  <a14:imgEffect>
                    <a14:brightnessContrast contrast="20000"/>
                  </a14:imgEffect>
                </a14:imgLayer>
              </a14:imgProps>
            </a:ext>
            <a:ext uri="{28A0092B-C50C-407E-A947-70E740481C1C}">
              <a14:useLocalDpi xmlns:a14="http://schemas.microsoft.com/office/drawing/2010/main" val="0"/>
            </a:ext>
          </a:extLst>
        </a:blip>
        <a:stretch>
          <a:fillRect/>
        </a:stretch>
      </xdr:blipFill>
      <xdr:spPr>
        <a:xfrm>
          <a:off x="9976657508" y="3412069"/>
          <a:ext cx="500668" cy="618065"/>
        </a:xfrm>
        <a:prstGeom prst="rect">
          <a:avLst/>
        </a:prstGeom>
      </xdr:spPr>
    </xdr:pic>
    <xdr:clientData/>
  </xdr:twoCellAnchor>
  <xdr:twoCellAnchor>
    <xdr:from>
      <xdr:col>17</xdr:col>
      <xdr:colOff>103444</xdr:colOff>
      <xdr:row>0</xdr:row>
      <xdr:rowOff>67733</xdr:rowOff>
    </xdr:from>
    <xdr:to>
      <xdr:col>20</xdr:col>
      <xdr:colOff>262466</xdr:colOff>
      <xdr:row>17</xdr:row>
      <xdr:rowOff>42333</xdr:rowOff>
    </xdr:to>
    <xdr:grpSp>
      <xdr:nvGrpSpPr>
        <xdr:cNvPr id="59" name="Group 58">
          <a:extLst>
            <a:ext uri="{FF2B5EF4-FFF2-40B4-BE49-F238E27FC236}">
              <a16:creationId xmlns:a16="http://schemas.microsoft.com/office/drawing/2014/main" id="{2DC717AB-E96E-4216-79C9-EBBCDC4BBD3E}"/>
            </a:ext>
          </a:extLst>
        </xdr:cNvPr>
        <xdr:cNvGrpSpPr/>
      </xdr:nvGrpSpPr>
      <xdr:grpSpPr>
        <a:xfrm>
          <a:off x="10945071667" y="67733"/>
          <a:ext cx="2165622" cy="3191933"/>
          <a:chOff x="9975248867" y="0"/>
          <a:chExt cx="1987822" cy="3259667"/>
        </a:xfrm>
      </xdr:grpSpPr>
      <xdr:grpSp>
        <xdr:nvGrpSpPr>
          <xdr:cNvPr id="58" name="Group 57">
            <a:extLst>
              <a:ext uri="{FF2B5EF4-FFF2-40B4-BE49-F238E27FC236}">
                <a16:creationId xmlns:a16="http://schemas.microsoft.com/office/drawing/2014/main" id="{B07DAE54-EF4B-140A-E322-6935ADB19005}"/>
              </a:ext>
            </a:extLst>
          </xdr:cNvPr>
          <xdr:cNvGrpSpPr/>
        </xdr:nvGrpSpPr>
        <xdr:grpSpPr>
          <a:xfrm>
            <a:off x="9975316600" y="0"/>
            <a:ext cx="1920089" cy="603080"/>
            <a:chOff x="9975418200" y="0"/>
            <a:chExt cx="1920089" cy="603080"/>
          </a:xfrm>
        </xdr:grpSpPr>
        <xdr:sp macro="" textlink="">
          <xdr:nvSpPr>
            <xdr:cNvPr id="21" name="Rectangle: Rounded Corners 20">
              <a:extLst>
                <a:ext uri="{FF2B5EF4-FFF2-40B4-BE49-F238E27FC236}">
                  <a16:creationId xmlns:a16="http://schemas.microsoft.com/office/drawing/2014/main" id="{B996B37D-5193-30E0-9EC0-2219870054BD}"/>
                </a:ext>
              </a:extLst>
            </xdr:cNvPr>
            <xdr:cNvSpPr/>
          </xdr:nvSpPr>
          <xdr:spPr>
            <a:xfrm>
              <a:off x="9975418200" y="253111"/>
              <a:ext cx="1879600" cy="297222"/>
            </a:xfrm>
            <a:prstGeom prst="roundRect">
              <a:avLst>
                <a:gd name="adj" fmla="val 24591"/>
              </a:avLst>
            </a:prstGeom>
            <a:gradFill flip="none" rotWithShape="1">
              <a:gsLst>
                <a:gs pos="0">
                  <a:schemeClr val="accent6">
                    <a:shade val="30000"/>
                    <a:satMod val="115000"/>
                  </a:schemeClr>
                </a:gs>
                <a:gs pos="50000">
                  <a:schemeClr val="accent6">
                    <a:shade val="67500"/>
                    <a:satMod val="115000"/>
                  </a:schemeClr>
                </a:gs>
                <a:gs pos="100000">
                  <a:schemeClr val="accent6">
                    <a:shade val="100000"/>
                    <a:satMod val="115000"/>
                  </a:schemeClr>
                </a:gs>
              </a:gsLst>
              <a:lin ang="54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r" rtl="1"/>
              <a:endParaRPr lang="en-US" sz="1200">
                <a:solidFill>
                  <a:schemeClr val="bg1"/>
                </a:solidFill>
              </a:endParaRPr>
            </a:p>
          </xdr:txBody>
        </xdr:sp>
        <xdr:sp macro="" textlink="">
          <xdr:nvSpPr>
            <xdr:cNvPr id="23" name="TextBox 22">
              <a:extLst>
                <a:ext uri="{FF2B5EF4-FFF2-40B4-BE49-F238E27FC236}">
                  <a16:creationId xmlns:a16="http://schemas.microsoft.com/office/drawing/2014/main" id="{8EC1C592-FF0B-6B67-3E7A-FCE4E64FEFD0}"/>
                </a:ext>
              </a:extLst>
            </xdr:cNvPr>
            <xdr:cNvSpPr txBox="1"/>
          </xdr:nvSpPr>
          <xdr:spPr>
            <a:xfrm>
              <a:off x="9975536576" y="232446"/>
              <a:ext cx="1308844" cy="284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400" b="1" i="0" u="none" strike="noStrike">
                  <a:solidFill>
                    <a:srgbClr val="FFFFFF"/>
                  </a:solidFill>
                  <a:latin typeface="Calibri"/>
                  <a:cs typeface="B Koodak" panose="00000700000000000000" pitchFamily="2" charset="-78"/>
                </a:rPr>
                <a:t>فیلتر</a:t>
              </a:r>
              <a:r>
                <a:rPr lang="en-US" sz="1400" b="1" i="0" u="none" strike="noStrike">
                  <a:solidFill>
                    <a:srgbClr val="FFFFFF"/>
                  </a:solidFill>
                  <a:latin typeface="Calibri"/>
                  <a:cs typeface="B Koodak" panose="00000700000000000000" pitchFamily="2" charset="-78"/>
                </a:rPr>
                <a:t> </a:t>
              </a:r>
              <a:r>
                <a:rPr lang="fa-IR" sz="1400" b="1" i="0" u="none" strike="noStrike" baseline="0">
                  <a:solidFill>
                    <a:srgbClr val="FFFFFF"/>
                  </a:solidFill>
                  <a:latin typeface="Calibri"/>
                  <a:cs typeface="B Koodak" panose="00000700000000000000" pitchFamily="2" charset="-78"/>
                </a:rPr>
                <a:t> شرکت ها</a:t>
              </a:r>
              <a:endParaRPr lang="en-US" sz="1400" b="1" i="0" u="none" strike="noStrike">
                <a:solidFill>
                  <a:srgbClr val="FFFFFF"/>
                </a:solidFill>
                <a:latin typeface="Calibri"/>
                <a:cs typeface="B Koodak" panose="00000700000000000000" pitchFamily="2" charset="-78"/>
              </a:endParaRPr>
            </a:p>
          </xdr:txBody>
        </xdr:sp>
        <xdr:pic>
          <xdr:nvPicPr>
            <xdr:cNvPr id="50" name="Picture 49">
              <a:extLst>
                <a:ext uri="{FF2B5EF4-FFF2-40B4-BE49-F238E27FC236}">
                  <a16:creationId xmlns:a16="http://schemas.microsoft.com/office/drawing/2014/main" id="{0B61AD31-77FD-51F1-1CC6-2D869B2B3BD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976735209" y="0"/>
              <a:ext cx="603080" cy="603080"/>
            </a:xfrm>
            <a:prstGeom prst="rect">
              <a:avLst/>
            </a:prstGeom>
          </xdr:spPr>
        </xdr:pic>
      </xdr:grpSp>
      <mc:AlternateContent xmlns:mc="http://schemas.openxmlformats.org/markup-compatibility/2006" xmlns:a14="http://schemas.microsoft.com/office/drawing/2010/main">
        <mc:Choice Requires="a14">
          <xdr:graphicFrame macro="">
            <xdr:nvGraphicFramePr>
              <xdr:cNvPr id="57" name="نام مشتری">
                <a:extLst>
                  <a:ext uri="{FF2B5EF4-FFF2-40B4-BE49-F238E27FC236}">
                    <a16:creationId xmlns:a16="http://schemas.microsoft.com/office/drawing/2014/main" id="{160AF59F-66A5-44A3-A291-AF6B0368865C}"/>
                  </a:ext>
                </a:extLst>
              </xdr:cNvPr>
              <xdr:cNvGraphicFramePr/>
            </xdr:nvGraphicFramePr>
            <xdr:xfrm>
              <a:off x="9975248867" y="592667"/>
              <a:ext cx="1862668" cy="2667000"/>
            </xdr:xfrm>
            <a:graphic>
              <a:graphicData uri="http://schemas.microsoft.com/office/drawing/2010/slicer">
                <sle:slicer xmlns:sle="http://schemas.microsoft.com/office/drawing/2010/slicer" name="نام مشتری"/>
              </a:graphicData>
            </a:graphic>
          </xdr:graphicFrame>
        </mc:Choice>
        <mc:Fallback xmlns="">
          <xdr:sp macro="" textlink="">
            <xdr:nvSpPr>
              <xdr:cNvPr id="0" name=""/>
              <xdr:cNvSpPr>
                <a:spLocks noTextEdit="1"/>
              </xdr:cNvSpPr>
            </xdr:nvSpPr>
            <xdr:spPr>
              <a:xfrm>
                <a:off x="9975231934" y="660400"/>
                <a:ext cx="1862668" cy="2667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clientData/>
  </xdr:twoCellAnchor>
  <xdr:twoCellAnchor>
    <xdr:from>
      <xdr:col>14</xdr:col>
      <xdr:colOff>905933</xdr:colOff>
      <xdr:row>0</xdr:row>
      <xdr:rowOff>16934</xdr:rowOff>
    </xdr:from>
    <xdr:to>
      <xdr:col>17</xdr:col>
      <xdr:colOff>170180</xdr:colOff>
      <xdr:row>8</xdr:row>
      <xdr:rowOff>9313</xdr:rowOff>
    </xdr:to>
    <xdr:graphicFrame macro="">
      <xdr:nvGraphicFramePr>
        <xdr:cNvPr id="60" name="Chart 59">
          <a:extLst>
            <a:ext uri="{FF2B5EF4-FFF2-40B4-BE49-F238E27FC236}">
              <a16:creationId xmlns:a16="http://schemas.microsoft.com/office/drawing/2014/main" id="{00127F98-C6DB-4CE4-9B52-1592E5612A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15</xdr:col>
      <xdr:colOff>372530</xdr:colOff>
      <xdr:row>2</xdr:row>
      <xdr:rowOff>93132</xdr:rowOff>
    </xdr:from>
    <xdr:to>
      <xdr:col>16</xdr:col>
      <xdr:colOff>457197</xdr:colOff>
      <xdr:row>5</xdr:row>
      <xdr:rowOff>169332</xdr:rowOff>
    </xdr:to>
    <xdr:sp macro="" textlink="Calc!R5">
      <xdr:nvSpPr>
        <xdr:cNvPr id="61" name="TextBox 60">
          <a:extLst>
            <a:ext uri="{FF2B5EF4-FFF2-40B4-BE49-F238E27FC236}">
              <a16:creationId xmlns:a16="http://schemas.microsoft.com/office/drawing/2014/main" id="{63B7754E-8EE8-C44A-1975-6D652329A785}"/>
            </a:ext>
          </a:extLst>
        </xdr:cNvPr>
        <xdr:cNvSpPr txBox="1"/>
      </xdr:nvSpPr>
      <xdr:spPr>
        <a:xfrm>
          <a:off x="9977797337" y="465665"/>
          <a:ext cx="1041400" cy="635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1"/>
          <a:fld id="{263009BC-7549-46DF-9E1A-100439205191}" type="TxLink">
            <a:rPr lang="en-US" sz="2400" b="1" i="0" u="none" strike="noStrike">
              <a:solidFill>
                <a:srgbClr val="00F26D"/>
              </a:solidFill>
              <a:latin typeface="Calibri" panose="020F0502020204030204" pitchFamily="34" charset="0"/>
              <a:cs typeface="Calibri" panose="020F0502020204030204" pitchFamily="34" charset="0"/>
            </a:rPr>
            <a:pPr algn="ctr" rtl="1"/>
            <a:t>26.5%</a:t>
          </a:fld>
          <a:endParaRPr lang="en-US" sz="2400" b="1">
            <a:solidFill>
              <a:srgbClr val="00F26D"/>
            </a:solidFill>
            <a:latin typeface="Calibri" panose="020F0502020204030204" pitchFamily="34" charset="0"/>
            <a:cs typeface="Calibri" panose="020F0502020204030204" pitchFamily="34" charset="0"/>
          </a:endParaRPr>
        </a:p>
      </xdr:txBody>
    </xdr:sp>
    <xdr:clientData/>
  </xdr:twoCellAnchor>
  <xdr:twoCellAnchor>
    <xdr:from>
      <xdr:col>11</xdr:col>
      <xdr:colOff>753536</xdr:colOff>
      <xdr:row>0</xdr:row>
      <xdr:rowOff>110063</xdr:rowOff>
    </xdr:from>
    <xdr:to>
      <xdr:col>12</xdr:col>
      <xdr:colOff>1018430</xdr:colOff>
      <xdr:row>2</xdr:row>
      <xdr:rowOff>143930</xdr:rowOff>
    </xdr:to>
    <xdr:sp macro="" textlink="Calc!$P$5">
      <xdr:nvSpPr>
        <xdr:cNvPr id="62" name="TextBox 61">
          <a:extLst>
            <a:ext uri="{FF2B5EF4-FFF2-40B4-BE49-F238E27FC236}">
              <a16:creationId xmlns:a16="http://schemas.microsoft.com/office/drawing/2014/main" id="{3A98A255-E48E-4F3F-8CC9-664064487B06}"/>
            </a:ext>
          </a:extLst>
        </xdr:cNvPr>
        <xdr:cNvSpPr txBox="1"/>
      </xdr:nvSpPr>
      <xdr:spPr>
        <a:xfrm>
          <a:off x="9981333970" y="110063"/>
          <a:ext cx="1255494"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fld id="{E6F3858B-B111-401D-95AB-4BB3F13C947D}" type="TxLink">
            <a:rPr lang="en-US" sz="2400" b="1" i="0" u="none" strike="noStrike">
              <a:solidFill>
                <a:schemeClr val="bg1"/>
              </a:solidFill>
              <a:latin typeface="Aptos Narrow"/>
              <a:cs typeface="Calibri" panose="020F0502020204030204" pitchFamily="34" charset="0"/>
            </a:rPr>
            <a:pPr algn="ctr" rtl="1"/>
            <a:t>6</a:t>
          </a:fld>
          <a:endParaRPr lang="en-US" sz="4400" b="1">
            <a:solidFill>
              <a:schemeClr val="bg1"/>
            </a:solidFill>
            <a:latin typeface="Calibri" panose="020F0502020204030204" pitchFamily="34" charset="0"/>
            <a:cs typeface="Calibri" panose="020F0502020204030204" pitchFamily="34" charset="0"/>
          </a:endParaRPr>
        </a:p>
      </xdr:txBody>
    </xdr:sp>
    <xdr:clientData/>
  </xdr:twoCellAnchor>
  <xdr:twoCellAnchor>
    <xdr:from>
      <xdr:col>11</xdr:col>
      <xdr:colOff>745068</xdr:colOff>
      <xdr:row>4</xdr:row>
      <xdr:rowOff>33861</xdr:rowOff>
    </xdr:from>
    <xdr:to>
      <xdr:col>12</xdr:col>
      <xdr:colOff>1009962</xdr:colOff>
      <xdr:row>6</xdr:row>
      <xdr:rowOff>67728</xdr:rowOff>
    </xdr:to>
    <xdr:sp macro="" textlink="Calc!$Q$5">
      <xdr:nvSpPr>
        <xdr:cNvPr id="66" name="TextBox 65">
          <a:extLst>
            <a:ext uri="{FF2B5EF4-FFF2-40B4-BE49-F238E27FC236}">
              <a16:creationId xmlns:a16="http://schemas.microsoft.com/office/drawing/2014/main" id="{E65E97BD-B232-446C-82D2-634689683FCE}"/>
            </a:ext>
          </a:extLst>
        </xdr:cNvPr>
        <xdr:cNvSpPr txBox="1"/>
      </xdr:nvSpPr>
      <xdr:spPr>
        <a:xfrm>
          <a:off x="9981342438" y="778928"/>
          <a:ext cx="1255494"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fld id="{615FC255-7CE3-479D-8B45-421FC8AB5573}" type="TxLink">
            <a:rPr lang="en-US" sz="2400" b="1" i="0" u="none" strike="noStrike">
              <a:solidFill>
                <a:schemeClr val="bg1"/>
              </a:solidFill>
              <a:latin typeface="Aptos Narrow"/>
              <a:cs typeface="Calibri" panose="020F0502020204030204" pitchFamily="34" charset="0"/>
            </a:rPr>
            <a:pPr algn="ctr" rtl="1"/>
            <a:t>100</a:t>
          </a:fld>
          <a:endParaRPr lang="en-US" sz="4400" b="1">
            <a:solidFill>
              <a:schemeClr val="bg1"/>
            </a:solidFill>
            <a:latin typeface="Calibri" panose="020F0502020204030204" pitchFamily="34" charset="0"/>
            <a:cs typeface="Calibri" panose="020F0502020204030204" pitchFamily="34" charset="0"/>
          </a:endParaRPr>
        </a:p>
      </xdr:txBody>
    </xdr:sp>
    <xdr:clientData/>
  </xdr:twoCellAnchor>
  <xdr:twoCellAnchor>
    <xdr:from>
      <xdr:col>13</xdr:col>
      <xdr:colOff>524935</xdr:colOff>
      <xdr:row>0</xdr:row>
      <xdr:rowOff>152396</xdr:rowOff>
    </xdr:from>
    <xdr:to>
      <xdr:col>15</xdr:col>
      <xdr:colOff>42335</xdr:colOff>
      <xdr:row>2</xdr:row>
      <xdr:rowOff>186263</xdr:rowOff>
    </xdr:to>
    <xdr:sp macro="" textlink="Calc!$M$6">
      <xdr:nvSpPr>
        <xdr:cNvPr id="67" name="TextBox 66">
          <a:extLst>
            <a:ext uri="{FF2B5EF4-FFF2-40B4-BE49-F238E27FC236}">
              <a16:creationId xmlns:a16="http://schemas.microsoft.com/office/drawing/2014/main" id="{0BB0E06D-3B1C-4580-A7CC-4FF3EB5F3C15}"/>
            </a:ext>
          </a:extLst>
        </xdr:cNvPr>
        <xdr:cNvSpPr txBox="1"/>
      </xdr:nvSpPr>
      <xdr:spPr>
        <a:xfrm>
          <a:off x="9979168932" y="152396"/>
          <a:ext cx="1532467"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301C3552-9507-4447-9785-1F995B53A7F4}" type="TxLink">
            <a:rPr lang="en-US" sz="2400" b="1" i="0" u="none" strike="noStrike">
              <a:solidFill>
                <a:schemeClr val="bg1"/>
              </a:solidFill>
              <a:latin typeface="Aptos Narrow"/>
              <a:ea typeface="+mn-ea"/>
              <a:cs typeface="Calibri" panose="020F0502020204030204" pitchFamily="34" charset="0"/>
            </a:rPr>
            <a:pPr marL="0" indent="0" algn="ctr" rtl="1"/>
            <a:t> 7,524.71 </a:t>
          </a:fld>
          <a:endParaRPr lang="en-US" sz="2400" b="1" i="0" u="none" strike="noStrike">
            <a:solidFill>
              <a:schemeClr val="bg1"/>
            </a:solidFill>
            <a:latin typeface="Aptos Narrow"/>
            <a:ea typeface="+mn-ea"/>
            <a:cs typeface="Calibri" panose="020F0502020204030204" pitchFamily="34" charset="0"/>
          </a:endParaRPr>
        </a:p>
      </xdr:txBody>
    </xdr:sp>
    <xdr:clientData/>
  </xdr:twoCellAnchor>
  <xdr:twoCellAnchor>
    <xdr:from>
      <xdr:col>13</xdr:col>
      <xdr:colOff>313266</xdr:colOff>
      <xdr:row>4</xdr:row>
      <xdr:rowOff>33864</xdr:rowOff>
    </xdr:from>
    <xdr:to>
      <xdr:col>15</xdr:col>
      <xdr:colOff>211671</xdr:colOff>
      <xdr:row>6</xdr:row>
      <xdr:rowOff>67731</xdr:rowOff>
    </xdr:to>
    <xdr:sp macro="" textlink="Calc!$N$6">
      <xdr:nvSpPr>
        <xdr:cNvPr id="68" name="TextBox 67">
          <a:extLst>
            <a:ext uri="{FF2B5EF4-FFF2-40B4-BE49-F238E27FC236}">
              <a16:creationId xmlns:a16="http://schemas.microsoft.com/office/drawing/2014/main" id="{AD0921AE-B5A5-4784-96A8-90A95A5456D6}"/>
            </a:ext>
          </a:extLst>
        </xdr:cNvPr>
        <xdr:cNvSpPr txBox="1"/>
      </xdr:nvSpPr>
      <xdr:spPr>
        <a:xfrm>
          <a:off x="9978940329" y="778931"/>
          <a:ext cx="1871138"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1AD2ADC9-1DF7-45E8-9F3F-04EF95B49688}" type="TxLink">
            <a:rPr lang="en-US" sz="2400" b="1" i="0" u="none" strike="noStrike">
              <a:solidFill>
                <a:schemeClr val="bg1"/>
              </a:solidFill>
              <a:latin typeface="Aptos Narrow"/>
              <a:ea typeface="+mn-ea"/>
              <a:cs typeface="Calibri" panose="020F0502020204030204" pitchFamily="34" charset="0"/>
            </a:rPr>
            <a:pPr marL="0" indent="0" algn="ctr" rtl="1"/>
            <a:t> 1,997.15 </a:t>
          </a:fld>
          <a:endParaRPr lang="en-US" sz="2400" b="1" i="0" u="none" strike="noStrike">
            <a:solidFill>
              <a:schemeClr val="bg1"/>
            </a:solidFill>
            <a:latin typeface="Aptos Narrow"/>
            <a:ea typeface="+mn-ea"/>
            <a:cs typeface="Calibri" panose="020F0502020204030204" pitchFamily="34" charset="0"/>
          </a:endParaRPr>
        </a:p>
      </xdr:txBody>
    </xdr:sp>
    <xdr:clientData/>
  </xdr:twoCellAnchor>
  <xdr:twoCellAnchor>
    <xdr:from>
      <xdr:col>11</xdr:col>
      <xdr:colOff>533400</xdr:colOff>
      <xdr:row>2</xdr:row>
      <xdr:rowOff>59260</xdr:rowOff>
    </xdr:from>
    <xdr:to>
      <xdr:col>13</xdr:col>
      <xdr:colOff>203199</xdr:colOff>
      <xdr:row>4</xdr:row>
      <xdr:rowOff>23699</xdr:rowOff>
    </xdr:to>
    <xdr:sp macro="" textlink="">
      <xdr:nvSpPr>
        <xdr:cNvPr id="70" name="TextBox 69">
          <a:extLst>
            <a:ext uri="{FF2B5EF4-FFF2-40B4-BE49-F238E27FC236}">
              <a16:creationId xmlns:a16="http://schemas.microsoft.com/office/drawing/2014/main" id="{717DC36A-418F-4323-B106-BBAE7FAA41D8}"/>
            </a:ext>
          </a:extLst>
        </xdr:cNvPr>
        <xdr:cNvSpPr txBox="1"/>
      </xdr:nvSpPr>
      <xdr:spPr>
        <a:xfrm>
          <a:off x="9981023135" y="431793"/>
          <a:ext cx="1786465" cy="336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100" b="1">
              <a:solidFill>
                <a:srgbClr val="FFD54F"/>
              </a:solidFill>
              <a:cs typeface="B Koodak" panose="00000700000000000000" pitchFamily="2" charset="-78"/>
            </a:rPr>
            <a:t>تعداد</a:t>
          </a:r>
          <a:r>
            <a:rPr lang="fa-IR" sz="1100" b="1" baseline="0">
              <a:solidFill>
                <a:srgbClr val="FFD54F"/>
              </a:solidFill>
              <a:cs typeface="B Koodak" panose="00000700000000000000" pitchFamily="2" charset="-78"/>
            </a:rPr>
            <a:t> پیش فاکتور</a:t>
          </a:r>
        </a:p>
      </xdr:txBody>
    </xdr:sp>
    <xdr:clientData/>
  </xdr:twoCellAnchor>
  <xdr:twoCellAnchor>
    <xdr:from>
      <xdr:col>11</xdr:col>
      <xdr:colOff>533400</xdr:colOff>
      <xdr:row>5</xdr:row>
      <xdr:rowOff>160863</xdr:rowOff>
    </xdr:from>
    <xdr:to>
      <xdr:col>13</xdr:col>
      <xdr:colOff>203199</xdr:colOff>
      <xdr:row>7</xdr:row>
      <xdr:rowOff>67729</xdr:rowOff>
    </xdr:to>
    <xdr:sp macro="" textlink="">
      <xdr:nvSpPr>
        <xdr:cNvPr id="71" name="TextBox 70">
          <a:extLst>
            <a:ext uri="{FF2B5EF4-FFF2-40B4-BE49-F238E27FC236}">
              <a16:creationId xmlns:a16="http://schemas.microsoft.com/office/drawing/2014/main" id="{6E52779F-690B-43FE-B867-8425118B094C}"/>
            </a:ext>
          </a:extLst>
        </xdr:cNvPr>
        <xdr:cNvSpPr txBox="1"/>
      </xdr:nvSpPr>
      <xdr:spPr>
        <a:xfrm>
          <a:off x="9981023135" y="1092196"/>
          <a:ext cx="1786465"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100" b="1">
              <a:solidFill>
                <a:srgbClr val="FFD54F"/>
              </a:solidFill>
              <a:cs typeface="B Koodak" panose="00000700000000000000" pitchFamily="2" charset="-78"/>
            </a:rPr>
            <a:t>تعداد</a:t>
          </a:r>
          <a:r>
            <a:rPr lang="fa-IR" sz="1100" b="1" baseline="0">
              <a:solidFill>
                <a:srgbClr val="FFD54F"/>
              </a:solidFill>
              <a:cs typeface="B Koodak" panose="00000700000000000000" pitchFamily="2" charset="-78"/>
            </a:rPr>
            <a:t> بارگیری</a:t>
          </a:r>
        </a:p>
      </xdr:txBody>
    </xdr:sp>
    <xdr:clientData/>
  </xdr:twoCellAnchor>
  <xdr:twoCellAnchor>
    <xdr:from>
      <xdr:col>13</xdr:col>
      <xdr:colOff>270933</xdr:colOff>
      <xdr:row>6</xdr:row>
      <xdr:rowOff>8463</xdr:rowOff>
    </xdr:from>
    <xdr:to>
      <xdr:col>15</xdr:col>
      <xdr:colOff>211666</xdr:colOff>
      <xdr:row>7</xdr:row>
      <xdr:rowOff>67729</xdr:rowOff>
    </xdr:to>
    <xdr:sp macro="" textlink="">
      <xdr:nvSpPr>
        <xdr:cNvPr id="72" name="TextBox 71">
          <a:extLst>
            <a:ext uri="{FF2B5EF4-FFF2-40B4-BE49-F238E27FC236}">
              <a16:creationId xmlns:a16="http://schemas.microsoft.com/office/drawing/2014/main" id="{CAEBDD49-1714-479D-B6F8-C2558A368AA4}"/>
            </a:ext>
          </a:extLst>
        </xdr:cNvPr>
        <xdr:cNvSpPr txBox="1"/>
      </xdr:nvSpPr>
      <xdr:spPr>
        <a:xfrm>
          <a:off x="9978999601" y="1126063"/>
          <a:ext cx="1955800" cy="245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100" b="1">
              <a:solidFill>
                <a:srgbClr val="FFD54F"/>
              </a:solidFill>
              <a:cs typeface="B Koodak" panose="00000700000000000000" pitchFamily="2" charset="-78"/>
            </a:rPr>
            <a:t>میزان حمل شده(تن)</a:t>
          </a:r>
          <a:endParaRPr lang="fa-IR" sz="1100" b="1" baseline="0">
            <a:solidFill>
              <a:srgbClr val="FFD54F"/>
            </a:solidFill>
            <a:cs typeface="B Koodak" panose="00000700000000000000" pitchFamily="2" charset="-78"/>
          </a:endParaRPr>
        </a:p>
      </xdr:txBody>
    </xdr:sp>
    <xdr:clientData/>
  </xdr:twoCellAnchor>
  <xdr:twoCellAnchor>
    <xdr:from>
      <xdr:col>13</xdr:col>
      <xdr:colOff>414865</xdr:colOff>
      <xdr:row>2</xdr:row>
      <xdr:rowOff>84663</xdr:rowOff>
    </xdr:from>
    <xdr:to>
      <xdr:col>14</xdr:col>
      <xdr:colOff>1015998</xdr:colOff>
      <xdr:row>4</xdr:row>
      <xdr:rowOff>49102</xdr:rowOff>
    </xdr:to>
    <xdr:sp macro="" textlink="">
      <xdr:nvSpPr>
        <xdr:cNvPr id="73" name="TextBox 72">
          <a:extLst>
            <a:ext uri="{FF2B5EF4-FFF2-40B4-BE49-F238E27FC236}">
              <a16:creationId xmlns:a16="http://schemas.microsoft.com/office/drawing/2014/main" id="{6FAA71D1-D58E-43AD-A45B-3291C89B427F}"/>
            </a:ext>
          </a:extLst>
        </xdr:cNvPr>
        <xdr:cNvSpPr txBox="1"/>
      </xdr:nvSpPr>
      <xdr:spPr>
        <a:xfrm>
          <a:off x="9979245136" y="457196"/>
          <a:ext cx="1566333" cy="336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100" b="1">
              <a:solidFill>
                <a:srgbClr val="FFD54F"/>
              </a:solidFill>
              <a:cs typeface="B Koodak" panose="00000700000000000000" pitchFamily="2" charset="-78"/>
            </a:rPr>
            <a:t>میزان سفارش(تن)</a:t>
          </a:r>
          <a:endParaRPr lang="fa-IR" sz="1100" b="1" baseline="0">
            <a:solidFill>
              <a:srgbClr val="FFD54F"/>
            </a:solidFill>
            <a:cs typeface="B Koodak" panose="00000700000000000000" pitchFamily="2" charset="-78"/>
          </a:endParaRPr>
        </a:p>
      </xdr:txBody>
    </xdr:sp>
    <xdr:clientData/>
  </xdr:twoCellAnchor>
  <xdr:twoCellAnchor>
    <xdr:from>
      <xdr:col>15</xdr:col>
      <xdr:colOff>287866</xdr:colOff>
      <xdr:row>4</xdr:row>
      <xdr:rowOff>16927</xdr:rowOff>
    </xdr:from>
    <xdr:to>
      <xdr:col>16</xdr:col>
      <xdr:colOff>634998</xdr:colOff>
      <xdr:row>5</xdr:row>
      <xdr:rowOff>167634</xdr:rowOff>
    </xdr:to>
    <xdr:sp macro="" textlink="">
      <xdr:nvSpPr>
        <xdr:cNvPr id="74" name="TextBox 73">
          <a:extLst>
            <a:ext uri="{FF2B5EF4-FFF2-40B4-BE49-F238E27FC236}">
              <a16:creationId xmlns:a16="http://schemas.microsoft.com/office/drawing/2014/main" id="{DA959751-58A7-4AB4-A33A-CD95FF01E88F}"/>
            </a:ext>
          </a:extLst>
        </xdr:cNvPr>
        <xdr:cNvSpPr txBox="1"/>
      </xdr:nvSpPr>
      <xdr:spPr>
        <a:xfrm>
          <a:off x="9977619536" y="761994"/>
          <a:ext cx="1303865" cy="336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000" b="1">
              <a:solidFill>
                <a:schemeClr val="bg1"/>
              </a:solidFill>
              <a:cs typeface="B Koodak" panose="00000700000000000000" pitchFamily="2" charset="-78"/>
            </a:rPr>
            <a:t>درصد حمل شده</a:t>
          </a:r>
          <a:endParaRPr lang="fa-IR" sz="1000" b="1" baseline="0">
            <a:solidFill>
              <a:schemeClr val="bg1"/>
            </a:solidFill>
            <a:cs typeface="B Koodak" panose="00000700000000000000" pitchFamily="2" charset="-78"/>
          </a:endParaRPr>
        </a:p>
      </xdr:txBody>
    </xdr:sp>
    <xdr:clientData/>
  </xdr:twoCellAnchor>
  <mc:AlternateContent xmlns:mc="http://schemas.openxmlformats.org/markup-compatibility/2006">
    <mc:Choice xmlns:a14="http://schemas.microsoft.com/office/drawing/2010/main" Requires="a14">
      <xdr:twoCellAnchor editAs="oneCell">
        <xdr:from>
          <xdr:col>17</xdr:col>
          <xdr:colOff>0</xdr:colOff>
          <xdr:row>8</xdr:row>
          <xdr:rowOff>0</xdr:rowOff>
        </xdr:from>
        <xdr:to>
          <xdr:col>17</xdr:col>
          <xdr:colOff>236220</xdr:colOff>
          <xdr:row>16</xdr:row>
          <xdr:rowOff>182880</xdr:rowOff>
        </xdr:to>
        <xdr:sp macro="" textlink="">
          <xdr:nvSpPr>
            <xdr:cNvPr id="3073" name="Scroll Bar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17</xdr:col>
      <xdr:colOff>237069</xdr:colOff>
      <xdr:row>19</xdr:row>
      <xdr:rowOff>101600</xdr:rowOff>
    </xdr:from>
    <xdr:to>
      <xdr:col>20</xdr:col>
      <xdr:colOff>313268</xdr:colOff>
      <xdr:row>31</xdr:row>
      <xdr:rowOff>127000</xdr:rowOff>
    </xdr:to>
    <mc:AlternateContent xmlns:mc="http://schemas.openxmlformats.org/markup-compatibility/2006" xmlns:a14="http://schemas.microsoft.com/office/drawing/2010/main">
      <mc:Choice Requires="a14">
        <xdr:graphicFrame macro="">
          <xdr:nvGraphicFramePr>
            <xdr:cNvPr id="76" name="شماره پیش فاکتور">
              <a:extLst>
                <a:ext uri="{FF2B5EF4-FFF2-40B4-BE49-F238E27FC236}">
                  <a16:creationId xmlns:a16="http://schemas.microsoft.com/office/drawing/2014/main" id="{73282D5C-4E9C-41D7-BB04-2A7599B60FDD}"/>
                </a:ext>
              </a:extLst>
            </xdr:cNvPr>
            <xdr:cNvGraphicFramePr/>
          </xdr:nvGraphicFramePr>
          <xdr:xfrm>
            <a:off x="0" y="0"/>
            <a:ext cx="0" cy="0"/>
          </xdr:xfrm>
          <a:graphic>
            <a:graphicData uri="http://schemas.microsoft.com/office/drawing/2010/slicer">
              <sle:slicer xmlns:sle="http://schemas.microsoft.com/office/drawing/2010/slicer" name="شماره پیش فاکتور"/>
            </a:graphicData>
          </a:graphic>
        </xdr:graphicFrame>
      </mc:Choice>
      <mc:Fallback xmlns="">
        <xdr:sp macro="" textlink="">
          <xdr:nvSpPr>
            <xdr:cNvPr id="0" name=""/>
            <xdr:cNvSpPr>
              <a:spLocks noTextEdit="1"/>
            </xdr:cNvSpPr>
          </xdr:nvSpPr>
          <xdr:spPr>
            <a:xfrm>
              <a:off x="9975181132" y="3716867"/>
              <a:ext cx="1904999" cy="2717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7</xdr:col>
      <xdr:colOff>702734</xdr:colOff>
      <xdr:row>17</xdr:row>
      <xdr:rowOff>67733</xdr:rowOff>
    </xdr:from>
    <xdr:to>
      <xdr:col>17</xdr:col>
      <xdr:colOff>25402</xdr:colOff>
      <xdr:row>20</xdr:row>
      <xdr:rowOff>143933</xdr:rowOff>
    </xdr:to>
    <xdr:sp macro="" textlink="">
      <xdr:nvSpPr>
        <xdr:cNvPr id="77" name="Rectangle: Rounded Corners 76">
          <a:extLst>
            <a:ext uri="{FF2B5EF4-FFF2-40B4-BE49-F238E27FC236}">
              <a16:creationId xmlns:a16="http://schemas.microsoft.com/office/drawing/2014/main" id="{AD2B4D18-F599-4225-837B-6969CAD65655}"/>
            </a:ext>
          </a:extLst>
        </xdr:cNvPr>
        <xdr:cNvSpPr/>
      </xdr:nvSpPr>
      <xdr:spPr>
        <a:xfrm>
          <a:off x="9977297798" y="3352800"/>
          <a:ext cx="9296401" cy="592666"/>
        </a:xfrm>
        <a:prstGeom prst="roundRect">
          <a:avLst>
            <a:gd name="adj" fmla="val 8704"/>
          </a:avLst>
        </a:prstGeom>
        <a:solidFill>
          <a:srgbClr val="3A3F44"/>
        </a:solidFill>
        <a:ln>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7620</xdr:colOff>
          <xdr:row>21</xdr:row>
          <xdr:rowOff>7620</xdr:rowOff>
        </xdr:from>
        <xdr:to>
          <xdr:col>17</xdr:col>
          <xdr:colOff>251460</xdr:colOff>
          <xdr:row>29</xdr:row>
          <xdr:rowOff>243840</xdr:rowOff>
        </xdr:to>
        <xdr:sp macro="" textlink="">
          <xdr:nvSpPr>
            <xdr:cNvPr id="3129" name="Scroll Bar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7</xdr:col>
      <xdr:colOff>897459</xdr:colOff>
      <xdr:row>17</xdr:row>
      <xdr:rowOff>42333</xdr:rowOff>
    </xdr:from>
    <xdr:to>
      <xdr:col>8</xdr:col>
      <xdr:colOff>651926</xdr:colOff>
      <xdr:row>19</xdr:row>
      <xdr:rowOff>118533</xdr:rowOff>
    </xdr:to>
    <xdr:sp macro="" textlink="Calc!AI7">
      <xdr:nvSpPr>
        <xdr:cNvPr id="78" name="TextBox 77">
          <a:extLst>
            <a:ext uri="{FF2B5EF4-FFF2-40B4-BE49-F238E27FC236}">
              <a16:creationId xmlns:a16="http://schemas.microsoft.com/office/drawing/2014/main" id="{368888D4-0561-4DB2-911C-70D6617AE1A7}"/>
            </a:ext>
          </a:extLst>
        </xdr:cNvPr>
        <xdr:cNvSpPr txBox="1"/>
      </xdr:nvSpPr>
      <xdr:spPr>
        <a:xfrm>
          <a:off x="9985595140" y="3327400"/>
          <a:ext cx="804334"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52DEF50D-0C25-4E9D-B8D5-BA6BDA3EB6C5}" type="TxLink">
            <a:rPr lang="en-US" sz="2000" b="1" i="0" u="none" strike="noStrike">
              <a:solidFill>
                <a:schemeClr val="bg1"/>
              </a:solidFill>
              <a:latin typeface="Aptos Narrow"/>
              <a:ea typeface="+mn-ea"/>
              <a:cs typeface="Calibri" panose="020F0502020204030204" pitchFamily="34" charset="0"/>
            </a:rPr>
            <a:pPr marL="0" indent="0" algn="ctr" rtl="1"/>
            <a:t>25</a:t>
          </a:fld>
          <a:endParaRPr lang="en-US" sz="2000" b="1" i="0" u="none" strike="noStrike">
            <a:solidFill>
              <a:schemeClr val="bg1"/>
            </a:solidFill>
            <a:latin typeface="Aptos Narrow"/>
            <a:ea typeface="+mn-ea"/>
            <a:cs typeface="Calibri" panose="020F0502020204030204" pitchFamily="34" charset="0"/>
          </a:endParaRPr>
        </a:p>
      </xdr:txBody>
    </xdr:sp>
    <xdr:clientData/>
  </xdr:twoCellAnchor>
  <xdr:twoCellAnchor>
    <xdr:from>
      <xdr:col>7</xdr:col>
      <xdr:colOff>753523</xdr:colOff>
      <xdr:row>19</xdr:row>
      <xdr:rowOff>50800</xdr:rowOff>
    </xdr:from>
    <xdr:to>
      <xdr:col>8</xdr:col>
      <xdr:colOff>795855</xdr:colOff>
      <xdr:row>20</xdr:row>
      <xdr:rowOff>143934</xdr:rowOff>
    </xdr:to>
    <xdr:sp macro="" textlink="">
      <xdr:nvSpPr>
        <xdr:cNvPr id="79" name="TextBox 78">
          <a:extLst>
            <a:ext uri="{FF2B5EF4-FFF2-40B4-BE49-F238E27FC236}">
              <a16:creationId xmlns:a16="http://schemas.microsoft.com/office/drawing/2014/main" id="{1318E6F6-DE9D-42C1-B3ED-F53CB2CCD33B}"/>
            </a:ext>
          </a:extLst>
        </xdr:cNvPr>
        <xdr:cNvSpPr txBox="1"/>
      </xdr:nvSpPr>
      <xdr:spPr>
        <a:xfrm>
          <a:off x="9985451211" y="3666067"/>
          <a:ext cx="1092199"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000" b="1">
              <a:solidFill>
                <a:srgbClr val="FFD54F"/>
              </a:solidFill>
              <a:cs typeface="B Koodak" panose="00000700000000000000" pitchFamily="2" charset="-78"/>
            </a:rPr>
            <a:t>تعداد</a:t>
          </a:r>
          <a:r>
            <a:rPr lang="fa-IR" sz="1000" b="1" baseline="0">
              <a:solidFill>
                <a:srgbClr val="FFD54F"/>
              </a:solidFill>
              <a:cs typeface="B Koodak" panose="00000700000000000000" pitchFamily="2" charset="-78"/>
            </a:rPr>
            <a:t> بارگیری</a:t>
          </a:r>
        </a:p>
      </xdr:txBody>
    </xdr:sp>
    <xdr:clientData/>
  </xdr:twoCellAnchor>
  <xdr:twoCellAnchor>
    <xdr:from>
      <xdr:col>9</xdr:col>
      <xdr:colOff>939787</xdr:colOff>
      <xdr:row>17</xdr:row>
      <xdr:rowOff>50798</xdr:rowOff>
    </xdr:from>
    <xdr:to>
      <xdr:col>11</xdr:col>
      <xdr:colOff>287865</xdr:colOff>
      <xdr:row>19</xdr:row>
      <xdr:rowOff>126998</xdr:rowOff>
    </xdr:to>
    <xdr:sp macro="" textlink="Calc!AJ7">
      <xdr:nvSpPr>
        <xdr:cNvPr id="80" name="TextBox 79">
          <a:extLst>
            <a:ext uri="{FF2B5EF4-FFF2-40B4-BE49-F238E27FC236}">
              <a16:creationId xmlns:a16="http://schemas.microsoft.com/office/drawing/2014/main" id="{3B58DC98-2811-4BDB-8E8C-52768F22D5FF}"/>
            </a:ext>
          </a:extLst>
        </xdr:cNvPr>
        <xdr:cNvSpPr txBox="1"/>
      </xdr:nvSpPr>
      <xdr:spPr>
        <a:xfrm>
          <a:off x="9982741868" y="3335865"/>
          <a:ext cx="1583278"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FBE21388-0E94-4C61-870A-3B3BBB0BCFB4}" type="TxLink">
            <a:rPr lang="en-US" sz="2000" b="1" i="0" u="none" strike="noStrike">
              <a:solidFill>
                <a:schemeClr val="bg1"/>
              </a:solidFill>
              <a:latin typeface="Aptos Narrow"/>
              <a:ea typeface="+mn-ea"/>
              <a:cs typeface="Calibri" panose="020F0502020204030204" pitchFamily="34" charset="0"/>
            </a:rPr>
            <a:pPr marL="0" indent="0" algn="ctr" rtl="1"/>
            <a:t> 497 </a:t>
          </a:fld>
          <a:endParaRPr lang="en-US" sz="2000" b="1" i="0" u="none" strike="noStrike">
            <a:solidFill>
              <a:schemeClr val="bg1"/>
            </a:solidFill>
            <a:latin typeface="Aptos Narrow"/>
            <a:ea typeface="+mn-ea"/>
            <a:cs typeface="Calibri" panose="020F0502020204030204" pitchFamily="34" charset="0"/>
          </a:endParaRPr>
        </a:p>
      </xdr:txBody>
    </xdr:sp>
    <xdr:clientData/>
  </xdr:twoCellAnchor>
  <xdr:twoCellAnchor>
    <xdr:from>
      <xdr:col>9</xdr:col>
      <xdr:colOff>1109118</xdr:colOff>
      <xdr:row>19</xdr:row>
      <xdr:rowOff>50801</xdr:rowOff>
    </xdr:from>
    <xdr:to>
      <xdr:col>11</xdr:col>
      <xdr:colOff>211655</xdr:colOff>
      <xdr:row>20</xdr:row>
      <xdr:rowOff>143935</xdr:rowOff>
    </xdr:to>
    <xdr:sp macro="" textlink="">
      <xdr:nvSpPr>
        <xdr:cNvPr id="81" name="TextBox 80">
          <a:extLst>
            <a:ext uri="{FF2B5EF4-FFF2-40B4-BE49-F238E27FC236}">
              <a16:creationId xmlns:a16="http://schemas.microsoft.com/office/drawing/2014/main" id="{5142269E-8F60-4258-B070-EF8A4226E141}"/>
            </a:ext>
          </a:extLst>
        </xdr:cNvPr>
        <xdr:cNvSpPr txBox="1"/>
      </xdr:nvSpPr>
      <xdr:spPr>
        <a:xfrm>
          <a:off x="9982818078" y="3666068"/>
          <a:ext cx="1337737"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000" b="1">
              <a:solidFill>
                <a:srgbClr val="FFD54F"/>
              </a:solidFill>
              <a:cs typeface="B Koodak" panose="00000700000000000000" pitchFamily="2" charset="-78"/>
            </a:rPr>
            <a:t>مقدار بارگیری شده(تن)</a:t>
          </a:r>
          <a:endParaRPr lang="fa-IR" sz="1000" b="1" baseline="0">
            <a:solidFill>
              <a:srgbClr val="FFD54F"/>
            </a:solidFill>
            <a:cs typeface="B Koodak" panose="00000700000000000000" pitchFamily="2" charset="-78"/>
          </a:endParaRPr>
        </a:p>
      </xdr:txBody>
    </xdr:sp>
    <xdr:clientData/>
  </xdr:twoCellAnchor>
  <xdr:twoCellAnchor>
    <xdr:from>
      <xdr:col>12</xdr:col>
      <xdr:colOff>550331</xdr:colOff>
      <xdr:row>17</xdr:row>
      <xdr:rowOff>67733</xdr:rowOff>
    </xdr:from>
    <xdr:to>
      <xdr:col>14</xdr:col>
      <xdr:colOff>499533</xdr:colOff>
      <xdr:row>19</xdr:row>
      <xdr:rowOff>143933</xdr:rowOff>
    </xdr:to>
    <xdr:sp macro="" textlink="Calc!AM7">
      <xdr:nvSpPr>
        <xdr:cNvPr id="82" name="TextBox 81">
          <a:extLst>
            <a:ext uri="{FF2B5EF4-FFF2-40B4-BE49-F238E27FC236}">
              <a16:creationId xmlns:a16="http://schemas.microsoft.com/office/drawing/2014/main" id="{3FF6BE97-4BF1-4921-B756-64DC4EA621B9}"/>
            </a:ext>
          </a:extLst>
        </xdr:cNvPr>
        <xdr:cNvSpPr txBox="1"/>
      </xdr:nvSpPr>
      <xdr:spPr>
        <a:xfrm>
          <a:off x="9979702333" y="3352800"/>
          <a:ext cx="1761069"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FCE3E954-C21C-4ED0-9FEF-C7D6929B8BD9}" type="TxLink">
            <a:rPr lang="en-US" sz="2000" b="1" i="0" u="none" strike="noStrike">
              <a:solidFill>
                <a:schemeClr val="bg1"/>
              </a:solidFill>
              <a:latin typeface="Aptos Narrow"/>
              <a:ea typeface="+mn-ea"/>
              <a:cs typeface="Calibri" panose="020F0502020204030204" pitchFamily="34" charset="0"/>
            </a:rPr>
            <a:pPr marL="0" indent="0" algn="ctr" rtl="1"/>
            <a:t> -   </a:t>
          </a:fld>
          <a:endParaRPr lang="en-US" sz="2000" b="1" i="0" u="none" strike="noStrike">
            <a:solidFill>
              <a:schemeClr val="bg1"/>
            </a:solidFill>
            <a:latin typeface="Aptos Narrow"/>
            <a:ea typeface="+mn-ea"/>
            <a:cs typeface="Calibri" panose="020F0502020204030204" pitchFamily="34" charset="0"/>
          </a:endParaRPr>
        </a:p>
      </xdr:txBody>
    </xdr:sp>
    <xdr:clientData/>
  </xdr:twoCellAnchor>
  <xdr:twoCellAnchor>
    <xdr:from>
      <xdr:col>8</xdr:col>
      <xdr:colOff>812788</xdr:colOff>
      <xdr:row>17</xdr:row>
      <xdr:rowOff>42333</xdr:rowOff>
    </xdr:from>
    <xdr:to>
      <xdr:col>9</xdr:col>
      <xdr:colOff>1075257</xdr:colOff>
      <xdr:row>19</xdr:row>
      <xdr:rowOff>118533</xdr:rowOff>
    </xdr:to>
    <xdr:sp macro="" textlink="Calc!AK7">
      <xdr:nvSpPr>
        <xdr:cNvPr id="84" name="TextBox 83">
          <a:extLst>
            <a:ext uri="{FF2B5EF4-FFF2-40B4-BE49-F238E27FC236}">
              <a16:creationId xmlns:a16="http://schemas.microsoft.com/office/drawing/2014/main" id="{8374D8A9-837C-4CC3-AEAF-2282DEADB3BF}"/>
            </a:ext>
          </a:extLst>
        </xdr:cNvPr>
        <xdr:cNvSpPr txBox="1"/>
      </xdr:nvSpPr>
      <xdr:spPr>
        <a:xfrm>
          <a:off x="9984189676" y="3327400"/>
          <a:ext cx="1244602"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C57CC834-A117-496E-98BD-8D209B1EF281}" type="TxLink">
            <a:rPr lang="en-US" sz="2000" b="1" i="0" u="none" strike="noStrike">
              <a:solidFill>
                <a:schemeClr val="bg1"/>
              </a:solidFill>
              <a:latin typeface="Aptos Narrow"/>
              <a:ea typeface="+mn-ea"/>
              <a:cs typeface="Calibri" panose="020F0502020204030204" pitchFamily="34" charset="0"/>
            </a:rPr>
            <a:pPr marL="0" indent="0" algn="ctr" rtl="1"/>
            <a:t> 128,971 </a:t>
          </a:fld>
          <a:endParaRPr lang="en-US" sz="2000" b="1" i="0" u="none" strike="noStrike">
            <a:solidFill>
              <a:schemeClr val="bg1"/>
            </a:solidFill>
            <a:latin typeface="Aptos Narrow"/>
            <a:ea typeface="+mn-ea"/>
            <a:cs typeface="Calibri" panose="020F0502020204030204" pitchFamily="34" charset="0"/>
          </a:endParaRPr>
        </a:p>
      </xdr:txBody>
    </xdr:sp>
    <xdr:clientData/>
  </xdr:twoCellAnchor>
  <xdr:twoCellAnchor>
    <xdr:from>
      <xdr:col>8</xdr:col>
      <xdr:colOff>855120</xdr:colOff>
      <xdr:row>19</xdr:row>
      <xdr:rowOff>59267</xdr:rowOff>
    </xdr:from>
    <xdr:to>
      <xdr:col>10</xdr:col>
      <xdr:colOff>8467</xdr:colOff>
      <xdr:row>20</xdr:row>
      <xdr:rowOff>152401</xdr:rowOff>
    </xdr:to>
    <xdr:sp macro="" textlink="">
      <xdr:nvSpPr>
        <xdr:cNvPr id="85" name="TextBox 84">
          <a:extLst>
            <a:ext uri="{FF2B5EF4-FFF2-40B4-BE49-F238E27FC236}">
              <a16:creationId xmlns:a16="http://schemas.microsoft.com/office/drawing/2014/main" id="{8AECEF62-5BF8-4739-895D-6DFAEAF1144B}"/>
            </a:ext>
          </a:extLst>
        </xdr:cNvPr>
        <xdr:cNvSpPr txBox="1"/>
      </xdr:nvSpPr>
      <xdr:spPr>
        <a:xfrm>
          <a:off x="9984121933" y="3674534"/>
          <a:ext cx="1270013"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000" b="1" baseline="0">
              <a:solidFill>
                <a:srgbClr val="FFD54F"/>
              </a:solidFill>
              <a:cs typeface="B Koodak" panose="00000700000000000000" pitchFamily="2" charset="-78"/>
            </a:rPr>
            <a:t>میانگین قیمت(ریال)</a:t>
          </a:r>
        </a:p>
      </xdr:txBody>
    </xdr:sp>
    <xdr:clientData/>
  </xdr:twoCellAnchor>
  <xdr:twoCellAnchor>
    <xdr:from>
      <xdr:col>15</xdr:col>
      <xdr:colOff>431802</xdr:colOff>
      <xdr:row>17</xdr:row>
      <xdr:rowOff>76199</xdr:rowOff>
    </xdr:from>
    <xdr:to>
      <xdr:col>17</xdr:col>
      <xdr:colOff>313271</xdr:colOff>
      <xdr:row>19</xdr:row>
      <xdr:rowOff>152399</xdr:rowOff>
    </xdr:to>
    <xdr:sp macro="" textlink="Calc!AO7">
      <xdr:nvSpPr>
        <xdr:cNvPr id="86" name="TextBox 85">
          <a:extLst>
            <a:ext uri="{FF2B5EF4-FFF2-40B4-BE49-F238E27FC236}">
              <a16:creationId xmlns:a16="http://schemas.microsoft.com/office/drawing/2014/main" id="{62D41807-BB3B-414B-9696-7CD27CF8ECA9}"/>
            </a:ext>
          </a:extLst>
        </xdr:cNvPr>
        <xdr:cNvSpPr txBox="1"/>
      </xdr:nvSpPr>
      <xdr:spPr>
        <a:xfrm>
          <a:off x="9977009929" y="3361266"/>
          <a:ext cx="1710269"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E188002E-E5F2-43E0-A4E8-F7C6CF7DCACD}" type="TxLink">
            <a:rPr lang="en-US" sz="2000" b="1" i="0" u="none" strike="noStrike">
              <a:solidFill>
                <a:schemeClr val="bg1"/>
              </a:solidFill>
              <a:latin typeface="Aptos Narrow"/>
              <a:ea typeface="+mn-ea"/>
              <a:cs typeface="Calibri" panose="020F0502020204030204" pitchFamily="34" charset="0"/>
            </a:rPr>
            <a:pPr marL="0" indent="0" algn="ctr" rtl="1"/>
            <a:t> -   </a:t>
          </a:fld>
          <a:endParaRPr lang="en-US" sz="2000" b="1" i="0" u="none" strike="noStrike">
            <a:solidFill>
              <a:schemeClr val="bg1"/>
            </a:solidFill>
            <a:latin typeface="Aptos Narrow"/>
            <a:ea typeface="+mn-ea"/>
            <a:cs typeface="Calibri" panose="020F0502020204030204" pitchFamily="34" charset="0"/>
          </a:endParaRPr>
        </a:p>
      </xdr:txBody>
    </xdr:sp>
    <xdr:clientData/>
  </xdr:twoCellAnchor>
  <xdr:twoCellAnchor>
    <xdr:from>
      <xdr:col>15</xdr:col>
      <xdr:colOff>364066</xdr:colOff>
      <xdr:row>18</xdr:row>
      <xdr:rowOff>135467</xdr:rowOff>
    </xdr:from>
    <xdr:to>
      <xdr:col>17</xdr:col>
      <xdr:colOff>262466</xdr:colOff>
      <xdr:row>21</xdr:row>
      <xdr:rowOff>0</xdr:rowOff>
    </xdr:to>
    <xdr:sp macro="" textlink="">
      <xdr:nvSpPr>
        <xdr:cNvPr id="87" name="TextBox 86">
          <a:extLst>
            <a:ext uri="{FF2B5EF4-FFF2-40B4-BE49-F238E27FC236}">
              <a16:creationId xmlns:a16="http://schemas.microsoft.com/office/drawing/2014/main" id="{0CF673BD-F663-46C9-B3C5-49942B748768}"/>
            </a:ext>
          </a:extLst>
        </xdr:cNvPr>
        <xdr:cNvSpPr txBox="1"/>
      </xdr:nvSpPr>
      <xdr:spPr>
        <a:xfrm>
          <a:off x="9977060734" y="3606800"/>
          <a:ext cx="1727200" cy="389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000" b="1">
              <a:solidFill>
                <a:srgbClr val="FFD54F"/>
              </a:solidFill>
              <a:cs typeface="B Koodak" panose="00000700000000000000" pitchFamily="2" charset="-78"/>
            </a:rPr>
            <a:t>مانده باسکول (میلیون ریال)</a:t>
          </a:r>
          <a:endParaRPr lang="fa-IR" sz="1000" b="1" baseline="0">
            <a:solidFill>
              <a:srgbClr val="FFD54F"/>
            </a:solidFill>
            <a:cs typeface="B Koodak" panose="00000700000000000000" pitchFamily="2" charset="-78"/>
          </a:endParaRPr>
        </a:p>
      </xdr:txBody>
    </xdr:sp>
    <xdr:clientData/>
  </xdr:twoCellAnchor>
  <xdr:twoCellAnchor>
    <xdr:from>
      <xdr:col>12</xdr:col>
      <xdr:colOff>651933</xdr:colOff>
      <xdr:row>19</xdr:row>
      <xdr:rowOff>42333</xdr:rowOff>
    </xdr:from>
    <xdr:to>
      <xdr:col>14</xdr:col>
      <xdr:colOff>668864</xdr:colOff>
      <xdr:row>20</xdr:row>
      <xdr:rowOff>135467</xdr:rowOff>
    </xdr:to>
    <xdr:sp macro="" textlink="">
      <xdr:nvSpPr>
        <xdr:cNvPr id="89" name="TextBox 88">
          <a:extLst>
            <a:ext uri="{FF2B5EF4-FFF2-40B4-BE49-F238E27FC236}">
              <a16:creationId xmlns:a16="http://schemas.microsoft.com/office/drawing/2014/main" id="{D561D665-2B20-4267-BAF2-4BDFCE029297}"/>
            </a:ext>
          </a:extLst>
        </xdr:cNvPr>
        <xdr:cNvSpPr txBox="1"/>
      </xdr:nvSpPr>
      <xdr:spPr>
        <a:xfrm>
          <a:off x="9979533002" y="3657600"/>
          <a:ext cx="1828798"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900" b="1">
              <a:solidFill>
                <a:srgbClr val="FFD54F"/>
              </a:solidFill>
              <a:cs typeface="B Koodak" panose="00000700000000000000" pitchFamily="2" charset="-78"/>
            </a:rPr>
            <a:t>استهلاک پیش دریافت(میلیون ریال)</a:t>
          </a:r>
        </a:p>
      </xdr:txBody>
    </xdr:sp>
    <xdr:clientData/>
  </xdr:twoCellAnchor>
  <xdr:twoCellAnchor>
    <xdr:from>
      <xdr:col>10</xdr:col>
      <xdr:colOff>1058333</xdr:colOff>
      <xdr:row>17</xdr:row>
      <xdr:rowOff>67734</xdr:rowOff>
    </xdr:from>
    <xdr:to>
      <xdr:col>12</xdr:col>
      <xdr:colOff>702735</xdr:colOff>
      <xdr:row>19</xdr:row>
      <xdr:rowOff>143934</xdr:rowOff>
    </xdr:to>
    <xdr:sp macro="" textlink="Calc!AL7">
      <xdr:nvSpPr>
        <xdr:cNvPr id="90" name="TextBox 89">
          <a:extLst>
            <a:ext uri="{FF2B5EF4-FFF2-40B4-BE49-F238E27FC236}">
              <a16:creationId xmlns:a16="http://schemas.microsoft.com/office/drawing/2014/main" id="{AB3B5E37-950E-4AC5-844A-127FCEE48934}"/>
            </a:ext>
          </a:extLst>
        </xdr:cNvPr>
        <xdr:cNvSpPr txBox="1"/>
      </xdr:nvSpPr>
      <xdr:spPr>
        <a:xfrm>
          <a:off x="9981310998" y="3352801"/>
          <a:ext cx="1761069"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E0EDF244-E0A5-41EF-908F-F2E797E7AB8A}" type="TxLink">
            <a:rPr lang="en-US" sz="2000" b="1" i="0" u="none" strike="noStrike">
              <a:solidFill>
                <a:schemeClr val="bg1"/>
              </a:solidFill>
              <a:latin typeface="Aptos Narrow"/>
              <a:ea typeface="+mn-ea"/>
              <a:cs typeface="Calibri" panose="020F0502020204030204" pitchFamily="34" charset="0"/>
            </a:rPr>
            <a:pPr marL="0" indent="0" algn="ctr" rtl="1"/>
            <a:t> 70,530 </a:t>
          </a:fld>
          <a:endParaRPr lang="en-US" sz="2000" b="1" i="0" u="none" strike="noStrike">
            <a:solidFill>
              <a:schemeClr val="bg1"/>
            </a:solidFill>
            <a:latin typeface="Aptos Narrow"/>
            <a:ea typeface="+mn-ea"/>
            <a:cs typeface="Calibri" panose="020F0502020204030204" pitchFamily="34" charset="0"/>
          </a:endParaRPr>
        </a:p>
      </xdr:txBody>
    </xdr:sp>
    <xdr:clientData/>
  </xdr:twoCellAnchor>
  <xdr:twoCellAnchor>
    <xdr:from>
      <xdr:col>10</xdr:col>
      <xdr:colOff>1075267</xdr:colOff>
      <xdr:row>19</xdr:row>
      <xdr:rowOff>25400</xdr:rowOff>
    </xdr:from>
    <xdr:to>
      <xdr:col>13</xdr:col>
      <xdr:colOff>84666</xdr:colOff>
      <xdr:row>20</xdr:row>
      <xdr:rowOff>177801</xdr:rowOff>
    </xdr:to>
    <xdr:sp macro="" textlink="">
      <xdr:nvSpPr>
        <xdr:cNvPr id="91" name="TextBox 90">
          <a:extLst>
            <a:ext uri="{FF2B5EF4-FFF2-40B4-BE49-F238E27FC236}">
              <a16:creationId xmlns:a16="http://schemas.microsoft.com/office/drawing/2014/main" id="{BE29CE7F-DC6E-4A47-9C38-73822787F362}"/>
            </a:ext>
          </a:extLst>
        </xdr:cNvPr>
        <xdr:cNvSpPr txBox="1"/>
      </xdr:nvSpPr>
      <xdr:spPr>
        <a:xfrm>
          <a:off x="9981040067" y="3640667"/>
          <a:ext cx="2015066" cy="33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900" b="1">
              <a:solidFill>
                <a:srgbClr val="FFD54F"/>
              </a:solidFill>
              <a:cs typeface="B Koodak" panose="00000700000000000000" pitchFamily="2" charset="-78"/>
            </a:rPr>
            <a:t>مبلغ بار</a:t>
          </a:r>
          <a:r>
            <a:rPr lang="fa-IR" sz="900" b="1" baseline="0">
              <a:solidFill>
                <a:srgbClr val="FFD54F"/>
              </a:solidFill>
              <a:cs typeface="B Koodak" panose="00000700000000000000" pitchFamily="2" charset="-78"/>
            </a:rPr>
            <a:t>گیری+ارزش افزوده (میلیون ریال)</a:t>
          </a:r>
          <a:endParaRPr lang="fa-IR" sz="900" b="1">
            <a:solidFill>
              <a:srgbClr val="FFD54F"/>
            </a:solidFill>
            <a:cs typeface="B Koodak" panose="00000700000000000000" pitchFamily="2" charset="-78"/>
          </a:endParaRPr>
        </a:p>
      </xdr:txBody>
    </xdr:sp>
    <xdr:clientData/>
  </xdr:twoCellAnchor>
  <xdr:twoCellAnchor>
    <xdr:from>
      <xdr:col>14</xdr:col>
      <xdr:colOff>135465</xdr:colOff>
      <xdr:row>17</xdr:row>
      <xdr:rowOff>59266</xdr:rowOff>
    </xdr:from>
    <xdr:to>
      <xdr:col>15</xdr:col>
      <xdr:colOff>846668</xdr:colOff>
      <xdr:row>19</xdr:row>
      <xdr:rowOff>135466</xdr:rowOff>
    </xdr:to>
    <xdr:sp macro="" textlink="Calc!AL7">
      <xdr:nvSpPr>
        <xdr:cNvPr id="92" name="TextBox 91">
          <a:extLst>
            <a:ext uri="{FF2B5EF4-FFF2-40B4-BE49-F238E27FC236}">
              <a16:creationId xmlns:a16="http://schemas.microsoft.com/office/drawing/2014/main" id="{97BB166D-4FBC-4AA5-A293-75BE5156AEB3}"/>
            </a:ext>
          </a:extLst>
        </xdr:cNvPr>
        <xdr:cNvSpPr txBox="1"/>
      </xdr:nvSpPr>
      <xdr:spPr>
        <a:xfrm>
          <a:off x="9978305332" y="3344333"/>
          <a:ext cx="1761069"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D3638115-8346-4202-B3FB-52D7CF9B4CE0}" type="TxLink">
            <a:rPr lang="en-US" sz="2000" b="1" i="0" u="none" strike="noStrike">
              <a:solidFill>
                <a:schemeClr val="bg1"/>
              </a:solidFill>
              <a:latin typeface="Aptos Narrow"/>
              <a:ea typeface="+mn-ea"/>
              <a:cs typeface="Calibri" panose="020F0502020204030204" pitchFamily="34" charset="0"/>
            </a:rPr>
            <a:pPr marL="0" indent="0" algn="ctr" rtl="1"/>
            <a:t> 70,530 </a:t>
          </a:fld>
          <a:endParaRPr lang="en-US" sz="2000" b="1" i="0" u="none" strike="noStrike">
            <a:solidFill>
              <a:schemeClr val="bg1"/>
            </a:solidFill>
            <a:latin typeface="Aptos Narrow"/>
            <a:ea typeface="+mn-ea"/>
            <a:cs typeface="Calibri" panose="020F0502020204030204" pitchFamily="34" charset="0"/>
          </a:endParaRPr>
        </a:p>
      </xdr:txBody>
    </xdr:sp>
    <xdr:clientData/>
  </xdr:twoCellAnchor>
  <xdr:twoCellAnchor>
    <xdr:from>
      <xdr:col>14</xdr:col>
      <xdr:colOff>321733</xdr:colOff>
      <xdr:row>19</xdr:row>
      <xdr:rowOff>42333</xdr:rowOff>
    </xdr:from>
    <xdr:to>
      <xdr:col>15</xdr:col>
      <xdr:colOff>643467</xdr:colOff>
      <xdr:row>20</xdr:row>
      <xdr:rowOff>135467</xdr:rowOff>
    </xdr:to>
    <xdr:sp macro="" textlink="">
      <xdr:nvSpPr>
        <xdr:cNvPr id="93" name="TextBox 92">
          <a:extLst>
            <a:ext uri="{FF2B5EF4-FFF2-40B4-BE49-F238E27FC236}">
              <a16:creationId xmlns:a16="http://schemas.microsoft.com/office/drawing/2014/main" id="{9E094C6D-ED7D-4B37-B193-2D7D66341D2D}"/>
            </a:ext>
          </a:extLst>
        </xdr:cNvPr>
        <xdr:cNvSpPr txBox="1"/>
      </xdr:nvSpPr>
      <xdr:spPr>
        <a:xfrm>
          <a:off x="9978508533" y="3657600"/>
          <a:ext cx="1371600"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900" b="1">
              <a:solidFill>
                <a:srgbClr val="FFD54F"/>
              </a:solidFill>
              <a:cs typeface="B Koodak" panose="00000700000000000000" pitchFamily="2" charset="-78"/>
            </a:rPr>
            <a:t>مانده</a:t>
          </a:r>
          <a:r>
            <a:rPr lang="fa-IR" sz="900" b="1" baseline="0">
              <a:solidFill>
                <a:srgbClr val="FFD54F"/>
              </a:solidFill>
              <a:cs typeface="B Koodak" panose="00000700000000000000" pitchFamily="2" charset="-78"/>
            </a:rPr>
            <a:t> مبلغ </a:t>
          </a:r>
          <a:r>
            <a:rPr lang="fa-IR" sz="900" b="1">
              <a:solidFill>
                <a:srgbClr val="FFD54F"/>
              </a:solidFill>
              <a:cs typeface="B Koodak" panose="00000700000000000000" pitchFamily="2" charset="-78"/>
            </a:rPr>
            <a:t>(میلیون ریال)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742972</xdr:colOff>
      <xdr:row>300</xdr:row>
      <xdr:rowOff>26580</xdr:rowOff>
    </xdr:from>
    <xdr:to>
      <xdr:col>8</xdr:col>
      <xdr:colOff>13852</xdr:colOff>
      <xdr:row>300</xdr:row>
      <xdr:rowOff>38100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 3">
              <a:extLst>
                <a:ext uri="{FF2B5EF4-FFF2-40B4-BE49-F238E27FC236}">
                  <a16:creationId xmlns:a16="http://schemas.microsoft.com/office/drawing/2014/main" id="{A2C0E6B9-1589-47D0-935A-6A3D5DD2E95A}"/>
                </a:ext>
              </a:extLst>
            </xdr14:cNvPr>
            <xdr14:cNvContentPartPr/>
          </xdr14:nvContentPartPr>
          <xdr14:nvPr macro=""/>
          <xdr14:xfrm>
            <a:off x="9676539375" y="6051143"/>
            <a:ext cx="17640" cy="11520"/>
          </xdr14:xfrm>
        </xdr:contentPart>
      </mc:Choice>
      <mc:Fallback xmlns="">
        <xdr:pic>
          <xdr:nvPicPr>
            <xdr:cNvPr id="3" name="Ink 2">
              <a:extLst>
                <a:ext uri="{FF2B5EF4-FFF2-40B4-BE49-F238E27FC236}">
                  <a16:creationId xmlns:a16="http://schemas.microsoft.com/office/drawing/2014/main" id="{1AF50310-4934-7D7F-69E4-FC6EA0641BA5}"/>
                </a:ext>
              </a:extLst>
            </xdr:cNvPr>
            <xdr:cNvPicPr/>
          </xdr:nvPicPr>
          <xdr:blipFill>
            <a:blip xmlns:r="http://schemas.openxmlformats.org/officeDocument/2006/relationships" r:embed="rId2"/>
            <a:stretch>
              <a:fillRect/>
            </a:stretch>
          </xdr:blipFill>
          <xdr:spPr>
            <a:xfrm>
              <a:off x="9676533255" y="6045023"/>
              <a:ext cx="29880" cy="23760"/>
            </a:xfrm>
            <a:prstGeom prst="rect">
              <a:avLst/>
            </a:prstGeom>
          </xdr:spPr>
        </xdr:pic>
      </mc:Fallback>
    </mc:AlternateContent>
    <xdr:clientData/>
  </xdr:twoCellAnchor>
  <xdr:twoCellAnchor editAs="oneCell">
    <xdr:from>
      <xdr:col>10</xdr:col>
      <xdr:colOff>70485</xdr:colOff>
      <xdr:row>292</xdr:row>
      <xdr:rowOff>233437</xdr:rowOff>
    </xdr:from>
    <xdr:to>
      <xdr:col>10</xdr:col>
      <xdr:colOff>80565</xdr:colOff>
      <xdr:row>293</xdr:row>
      <xdr:rowOff>8377</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Ink 4">
              <a:extLst>
                <a:ext uri="{FF2B5EF4-FFF2-40B4-BE49-F238E27FC236}">
                  <a16:creationId xmlns:a16="http://schemas.microsoft.com/office/drawing/2014/main" id="{74991B97-12C8-4FA8-969E-980285A46A49}"/>
                </a:ext>
              </a:extLst>
            </xdr14:cNvPr>
            <xdr14:cNvContentPartPr/>
          </xdr14:nvContentPartPr>
          <xdr14:nvPr macro=""/>
          <xdr14:xfrm>
            <a:off x="9674671485" y="4162500"/>
            <a:ext cx="10080" cy="11160"/>
          </xdr14:xfrm>
        </xdr:contentPart>
      </mc:Choice>
      <mc:Fallback xmlns="">
        <xdr:pic>
          <xdr:nvPicPr>
            <xdr:cNvPr id="4" name="Ink 3">
              <a:extLst>
                <a:ext uri="{FF2B5EF4-FFF2-40B4-BE49-F238E27FC236}">
                  <a16:creationId xmlns:a16="http://schemas.microsoft.com/office/drawing/2014/main" id="{89F5E208-176F-C739-A782-4D997C6D3D8E}"/>
                </a:ext>
              </a:extLst>
            </xdr:cNvPr>
            <xdr:cNvPicPr/>
          </xdr:nvPicPr>
          <xdr:blipFill>
            <a:blip xmlns:r="http://schemas.openxmlformats.org/officeDocument/2006/relationships" r:embed="rId4"/>
            <a:stretch>
              <a:fillRect/>
            </a:stretch>
          </xdr:blipFill>
          <xdr:spPr>
            <a:xfrm>
              <a:off x="9674665365" y="4156380"/>
              <a:ext cx="22320" cy="23400"/>
            </a:xfrm>
            <a:prstGeom prst="rect">
              <a:avLst/>
            </a:prstGeom>
          </xdr:spPr>
        </xdr:pic>
      </mc:Fallback>
    </mc:AlternateContent>
    <xdr:clientData/>
  </xdr:twoCellAnchor>
  <xdr:twoCellAnchor editAs="oneCell">
    <xdr:from>
      <xdr:col>7</xdr:col>
      <xdr:colOff>31102</xdr:colOff>
      <xdr:row>383</xdr:row>
      <xdr:rowOff>210037</xdr:rowOff>
    </xdr:from>
    <xdr:to>
      <xdr:col>7</xdr:col>
      <xdr:colOff>68542</xdr:colOff>
      <xdr:row>383</xdr:row>
      <xdr:rowOff>179557</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6" name="Ink 5">
              <a:extLst>
                <a:ext uri="{FF2B5EF4-FFF2-40B4-BE49-F238E27FC236}">
                  <a16:creationId xmlns:a16="http://schemas.microsoft.com/office/drawing/2014/main" id="{1DFA1A44-7DE7-44AC-80C7-BC92CFC336EE}"/>
                </a:ext>
              </a:extLst>
            </xdr14:cNvPr>
            <xdr14:cNvContentPartPr/>
          </xdr14:nvContentPartPr>
          <xdr14:nvPr macro=""/>
          <xdr14:xfrm>
            <a:off x="9677231445" y="4167675"/>
            <a:ext cx="37440" cy="5760"/>
          </xdr14:xfrm>
        </xdr:contentPart>
      </mc:Choice>
      <mc:Fallback xmlns="">
        <xdr:pic>
          <xdr:nvPicPr>
            <xdr:cNvPr id="2" name="Ink 1">
              <a:extLst>
                <a:ext uri="{FF2B5EF4-FFF2-40B4-BE49-F238E27FC236}">
                  <a16:creationId xmlns:a16="http://schemas.microsoft.com/office/drawing/2014/main" id="{41E9C14A-A269-6405-FADA-AFCCC4792144}"/>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twoCellAnchor>
  <xdr:oneCellAnchor>
    <xdr:from>
      <xdr:col>7</xdr:col>
      <xdr:colOff>31102</xdr:colOff>
      <xdr:row>384</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E3B0990B-A7D6-4A5A-AA3C-7C819E356D5E}"/>
                </a:ext>
              </a:extLst>
            </xdr14:cNvPr>
            <xdr14:cNvContentPartPr/>
          </xdr14:nvContentPartPr>
          <xdr14:nvPr macro=""/>
          <xdr14:xfrm>
            <a:off x="9677231445" y="4167675"/>
            <a:ext cx="37440" cy="5760"/>
          </xdr14:xfrm>
        </xdr:contentPart>
      </mc:Choice>
      <mc:Fallback xmlns="">
        <xdr:pic>
          <xdr:nvPicPr>
            <xdr:cNvPr id="3" name="Ink 2">
              <a:extLst>
                <a:ext uri="{FF2B5EF4-FFF2-40B4-BE49-F238E27FC236}">
                  <a16:creationId xmlns:a16="http://schemas.microsoft.com/office/drawing/2014/main" id="{D98BB1BB-243A-4920-A271-154A1B0F4DD8}"/>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385</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2A9DA350-C07D-470F-A4C1-41F5F530A0C9}"/>
                </a:ext>
              </a:extLst>
            </xdr14:cNvPr>
            <xdr14:cNvContentPartPr/>
          </xdr14:nvContentPartPr>
          <xdr14:nvPr macro=""/>
          <xdr14:xfrm>
            <a:off x="9677231445" y="4167675"/>
            <a:ext cx="37440" cy="5760"/>
          </xdr14:xfrm>
        </xdr:contentPart>
      </mc:Choice>
      <mc:Fallback xmlns="">
        <xdr:pic>
          <xdr:nvPicPr>
            <xdr:cNvPr id="4" name="Ink 3">
              <a:extLst>
                <a:ext uri="{FF2B5EF4-FFF2-40B4-BE49-F238E27FC236}">
                  <a16:creationId xmlns:a16="http://schemas.microsoft.com/office/drawing/2014/main" id="{F8084919-23DB-4C32-84D4-F96F4C9A1896}"/>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386</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DB9795E7-3BD9-4D88-95CC-00AC702A6AD6}"/>
                </a:ext>
              </a:extLst>
            </xdr14:cNvPr>
            <xdr14:cNvContentPartPr/>
          </xdr14:nvContentPartPr>
          <xdr14:nvPr macro=""/>
          <xdr14:xfrm>
            <a:off x="9677231445" y="4167675"/>
            <a:ext cx="37440" cy="5760"/>
          </xdr14:xfrm>
        </xdr:contentPart>
      </mc:Choice>
      <mc:Fallback xmlns="">
        <xdr:pic>
          <xdr:nvPicPr>
            <xdr:cNvPr id="5" name="Ink 4">
              <a:extLst>
                <a:ext uri="{FF2B5EF4-FFF2-40B4-BE49-F238E27FC236}">
                  <a16:creationId xmlns:a16="http://schemas.microsoft.com/office/drawing/2014/main" id="{92740BD2-0730-40B6-8530-7DB1031F05B4}"/>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387</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0CA5F668-DCF7-4758-842F-C34462E63930}"/>
                </a:ext>
              </a:extLst>
            </xdr14:cNvPr>
            <xdr14:cNvContentPartPr/>
          </xdr14:nvContentPartPr>
          <xdr14:nvPr macro=""/>
          <xdr14:xfrm>
            <a:off x="9677231445" y="4167675"/>
            <a:ext cx="37440" cy="5760"/>
          </xdr14:xfrm>
        </xdr:contentPart>
      </mc:Choice>
      <mc:Fallback xmlns="">
        <xdr:pic>
          <xdr:nvPicPr>
            <xdr:cNvPr id="6" name="Ink 5">
              <a:extLst>
                <a:ext uri="{FF2B5EF4-FFF2-40B4-BE49-F238E27FC236}">
                  <a16:creationId xmlns:a16="http://schemas.microsoft.com/office/drawing/2014/main" id="{2452922E-DB99-479A-921C-D8D1430D3D72}"/>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388</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1D48F47B-10B0-4A13-8426-561F59249861}"/>
                </a:ext>
              </a:extLst>
            </xdr14:cNvPr>
            <xdr14:cNvContentPartPr/>
          </xdr14:nvContentPartPr>
          <xdr14:nvPr macro=""/>
          <xdr14:xfrm>
            <a:off x="9677231445" y="4167675"/>
            <a:ext cx="37440" cy="5760"/>
          </xdr14:xfrm>
        </xdr:contentPart>
      </mc:Choice>
      <mc:Fallback xmlns="">
        <xdr:pic>
          <xdr:nvPicPr>
            <xdr:cNvPr id="7" name="Ink 6">
              <a:extLst>
                <a:ext uri="{FF2B5EF4-FFF2-40B4-BE49-F238E27FC236}">
                  <a16:creationId xmlns:a16="http://schemas.microsoft.com/office/drawing/2014/main" id="{2F45AE9B-667C-4A7D-ACA7-5BCCBC09CF51}"/>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389</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E0D315B9-3215-4C79-855D-93C2DE5F05BF}"/>
                </a:ext>
              </a:extLst>
            </xdr14:cNvPr>
            <xdr14:cNvContentPartPr/>
          </xdr14:nvContentPartPr>
          <xdr14:nvPr macro=""/>
          <xdr14:xfrm>
            <a:off x="9677231445" y="4167675"/>
            <a:ext cx="37440" cy="5760"/>
          </xdr14:xfrm>
        </xdr:contentPart>
      </mc:Choice>
      <mc:Fallback xmlns="">
        <xdr:pic>
          <xdr:nvPicPr>
            <xdr:cNvPr id="8" name="Ink 7">
              <a:extLst>
                <a:ext uri="{FF2B5EF4-FFF2-40B4-BE49-F238E27FC236}">
                  <a16:creationId xmlns:a16="http://schemas.microsoft.com/office/drawing/2014/main" id="{38968158-629C-4226-B810-734B4C1806B6}"/>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390</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B78FFB9E-B989-4199-ABC9-AFDA7ED7497A}"/>
                </a:ext>
              </a:extLst>
            </xdr14:cNvPr>
            <xdr14:cNvContentPartPr/>
          </xdr14:nvContentPartPr>
          <xdr14:nvPr macro=""/>
          <xdr14:xfrm>
            <a:off x="9677231445" y="4167675"/>
            <a:ext cx="37440" cy="5760"/>
          </xdr14:xfrm>
        </xdr:contentPart>
      </mc:Choice>
      <mc:Fallback xmlns="">
        <xdr:pic>
          <xdr:nvPicPr>
            <xdr:cNvPr id="9" name="Ink 8">
              <a:extLst>
                <a:ext uri="{FF2B5EF4-FFF2-40B4-BE49-F238E27FC236}">
                  <a16:creationId xmlns:a16="http://schemas.microsoft.com/office/drawing/2014/main" id="{FF3F228C-0DE1-4467-ADB6-41C080D7206A}"/>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391</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0B103C77-F83D-47FD-BBF4-E1461C003F68}"/>
                </a:ext>
              </a:extLst>
            </xdr14:cNvPr>
            <xdr14:cNvContentPartPr/>
          </xdr14:nvContentPartPr>
          <xdr14:nvPr macro=""/>
          <xdr14:xfrm>
            <a:off x="9677231445" y="4167675"/>
            <a:ext cx="37440" cy="5760"/>
          </xdr14:xfrm>
        </xdr:contentPart>
      </mc:Choice>
      <mc:Fallback xmlns="">
        <xdr:pic>
          <xdr:nvPicPr>
            <xdr:cNvPr id="10" name="Ink 9">
              <a:extLst>
                <a:ext uri="{FF2B5EF4-FFF2-40B4-BE49-F238E27FC236}">
                  <a16:creationId xmlns:a16="http://schemas.microsoft.com/office/drawing/2014/main" id="{953F0439-F5B1-4B43-A6D8-D69C16E9A0BA}"/>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392</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EDA243BE-FB89-4FB6-BE17-94BFA1F53630}"/>
                </a:ext>
              </a:extLst>
            </xdr14:cNvPr>
            <xdr14:cNvContentPartPr/>
          </xdr14:nvContentPartPr>
          <xdr14:nvPr macro=""/>
          <xdr14:xfrm>
            <a:off x="9677231445" y="4167675"/>
            <a:ext cx="37440" cy="5760"/>
          </xdr14:xfrm>
        </xdr:contentPart>
      </mc:Choice>
      <mc:Fallback xmlns="">
        <xdr:pic>
          <xdr:nvPicPr>
            <xdr:cNvPr id="11" name="Ink 10">
              <a:extLst>
                <a:ext uri="{FF2B5EF4-FFF2-40B4-BE49-F238E27FC236}">
                  <a16:creationId xmlns:a16="http://schemas.microsoft.com/office/drawing/2014/main" id="{375CBBC3-3C52-42D5-A1EA-385D59D1D2BB}"/>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393</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0EFBA810-1343-464F-A7C0-E698440FA814}"/>
                </a:ext>
              </a:extLst>
            </xdr14:cNvPr>
            <xdr14:cNvContentPartPr/>
          </xdr14:nvContentPartPr>
          <xdr14:nvPr macro=""/>
          <xdr14:xfrm>
            <a:off x="9677231445" y="4167675"/>
            <a:ext cx="37440" cy="5760"/>
          </xdr14:xfrm>
        </xdr:contentPart>
      </mc:Choice>
      <mc:Fallback xmlns="">
        <xdr:pic>
          <xdr:nvPicPr>
            <xdr:cNvPr id="12" name="Ink 11">
              <a:extLst>
                <a:ext uri="{FF2B5EF4-FFF2-40B4-BE49-F238E27FC236}">
                  <a16:creationId xmlns:a16="http://schemas.microsoft.com/office/drawing/2014/main" id="{ABF84177-1373-4C25-AE5A-D99B535193FE}"/>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394</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C6CB33DD-ED5A-4DB2-A498-E04D131BA4CD}"/>
                </a:ext>
              </a:extLst>
            </xdr14:cNvPr>
            <xdr14:cNvContentPartPr/>
          </xdr14:nvContentPartPr>
          <xdr14:nvPr macro=""/>
          <xdr14:xfrm>
            <a:off x="9677231445" y="4167675"/>
            <a:ext cx="37440" cy="5760"/>
          </xdr14:xfrm>
        </xdr:contentPart>
      </mc:Choice>
      <mc:Fallback xmlns="">
        <xdr:pic>
          <xdr:nvPicPr>
            <xdr:cNvPr id="13" name="Ink 12">
              <a:extLst>
                <a:ext uri="{FF2B5EF4-FFF2-40B4-BE49-F238E27FC236}">
                  <a16:creationId xmlns:a16="http://schemas.microsoft.com/office/drawing/2014/main" id="{554064EC-41F9-402C-87E3-155C2C76C200}"/>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395</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CC491362-9D0C-4D73-BB3E-EBB077DB94DA}"/>
                </a:ext>
              </a:extLst>
            </xdr14:cNvPr>
            <xdr14:cNvContentPartPr/>
          </xdr14:nvContentPartPr>
          <xdr14:nvPr macro=""/>
          <xdr14:xfrm>
            <a:off x="9677231445" y="4167675"/>
            <a:ext cx="37440" cy="5760"/>
          </xdr14:xfrm>
        </xdr:contentPart>
      </mc:Choice>
      <mc:Fallback xmlns="">
        <xdr:pic>
          <xdr:nvPicPr>
            <xdr:cNvPr id="14" name="Ink 13">
              <a:extLst>
                <a:ext uri="{FF2B5EF4-FFF2-40B4-BE49-F238E27FC236}">
                  <a16:creationId xmlns:a16="http://schemas.microsoft.com/office/drawing/2014/main" id="{FF50AD9B-B160-4884-AFB0-5BC00C0DF356}"/>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396</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78FB89EB-F7CF-42AE-8716-9B3BA8BB984C}"/>
                </a:ext>
              </a:extLst>
            </xdr14:cNvPr>
            <xdr14:cNvContentPartPr/>
          </xdr14:nvContentPartPr>
          <xdr14:nvPr macro=""/>
          <xdr14:xfrm>
            <a:off x="9677231445" y="4167675"/>
            <a:ext cx="37440" cy="5760"/>
          </xdr14:xfrm>
        </xdr:contentPart>
      </mc:Choice>
      <mc:Fallback xmlns="">
        <xdr:pic>
          <xdr:nvPicPr>
            <xdr:cNvPr id="15" name="Ink 14">
              <a:extLst>
                <a:ext uri="{FF2B5EF4-FFF2-40B4-BE49-F238E27FC236}">
                  <a16:creationId xmlns:a16="http://schemas.microsoft.com/office/drawing/2014/main" id="{322A3199-85F8-4655-82F0-8E762F4BB1A7}"/>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oneCellAnchor>
    <xdr:from>
      <xdr:col>7</xdr:col>
      <xdr:colOff>31102</xdr:colOff>
      <xdr:row>397</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20" name="Ink 19">
              <a:extLst>
                <a:ext uri="{FF2B5EF4-FFF2-40B4-BE49-F238E27FC236}">
                  <a16:creationId xmlns:a16="http://schemas.microsoft.com/office/drawing/2014/main" id="{AFCE0C0F-F806-4E15-8840-B492D7A0D3A4}"/>
                </a:ext>
              </a:extLst>
            </xdr14:cNvPr>
            <xdr14:cNvContentPartPr/>
          </xdr14:nvContentPartPr>
          <xdr14:nvPr macro=""/>
          <xdr14:xfrm>
            <a:off x="9677231445" y="4167675"/>
            <a:ext cx="37440" cy="5760"/>
          </xdr14:xfrm>
        </xdr:contentPart>
      </mc:Choice>
      <mc:Fallback xmlns="">
        <xdr:pic>
          <xdr:nvPicPr>
            <xdr:cNvPr id="16" name="Ink 15">
              <a:extLst>
                <a:ext uri="{FF2B5EF4-FFF2-40B4-BE49-F238E27FC236}">
                  <a16:creationId xmlns:a16="http://schemas.microsoft.com/office/drawing/2014/main" id="{533A458F-84FB-41D0-9E5B-12C310F43833}"/>
                </a:ext>
              </a:extLst>
            </xdr:cNvPr>
            <xdr:cNvPicPr/>
          </xdr:nvPicPr>
          <xdr:blipFill>
            <a:blip xmlns:r="http://schemas.openxmlformats.org/officeDocument/2006/relationships" r:embed="rId6"/>
            <a:stretch>
              <a:fillRect/>
            </a:stretch>
          </xdr:blipFill>
          <xdr:spPr>
            <a:xfrm>
              <a:off x="9677225325" y="4161555"/>
              <a:ext cx="49680" cy="18000"/>
            </a:xfrm>
            <a:prstGeom prst="rect">
              <a:avLst/>
            </a:prstGeom>
          </xdr:spPr>
        </xdr:pic>
      </mc:Fallback>
    </mc:AlternateContent>
    <xdr:clientData/>
  </xdr:oneCellAnchor>
  <xdr:twoCellAnchor editAs="oneCell">
    <xdr:from>
      <xdr:col>7</xdr:col>
      <xdr:colOff>31102</xdr:colOff>
      <xdr:row>404</xdr:row>
      <xdr:rowOff>210037</xdr:rowOff>
    </xdr:from>
    <xdr:to>
      <xdr:col>7</xdr:col>
      <xdr:colOff>68542</xdr:colOff>
      <xdr:row>404</xdr:row>
      <xdr:rowOff>179557</xdr:rowOff>
    </xdr:to>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3" name="Ink 22">
              <a:extLst>
                <a:ext uri="{FF2B5EF4-FFF2-40B4-BE49-F238E27FC236}">
                  <a16:creationId xmlns:a16="http://schemas.microsoft.com/office/drawing/2014/main" id="{B81E2454-6166-4E84-B4C3-EDA355ED990A}"/>
                </a:ext>
              </a:extLst>
            </xdr14:cNvPr>
            <xdr14:cNvContentPartPr/>
          </xdr14:nvContentPartPr>
          <xdr14:nvPr macro=""/>
          <xdr14:xfrm>
            <a:off x="9677231445" y="4167675"/>
            <a:ext cx="37440" cy="5760"/>
          </xdr14:xfrm>
        </xdr:contentPart>
      </mc:Choice>
      <mc:Fallback xmlns="">
        <xdr:pic>
          <xdr:nvPicPr>
            <xdr:cNvPr id="2" name="Ink 1">
              <a:extLst>
                <a:ext uri="{FF2B5EF4-FFF2-40B4-BE49-F238E27FC236}">
                  <a16:creationId xmlns:a16="http://schemas.microsoft.com/office/drawing/2014/main" id="{41E9C14A-A269-6405-FADA-AFCCC4792144}"/>
                </a:ext>
              </a:extLst>
            </xdr:cNvPr>
            <xdr:cNvPicPr/>
          </xdr:nvPicPr>
          <xdr:blipFill>
            <a:blip xmlns:r="http://schemas.openxmlformats.org/officeDocument/2006/relationships" r:embed="rId22"/>
            <a:stretch>
              <a:fillRect/>
            </a:stretch>
          </xdr:blipFill>
          <xdr:spPr>
            <a:xfrm>
              <a:off x="9677225325" y="4161555"/>
              <a:ext cx="49680" cy="18000"/>
            </a:xfrm>
            <a:prstGeom prst="rect">
              <a:avLst/>
            </a:prstGeom>
          </xdr:spPr>
        </xdr:pic>
      </mc:Fallback>
    </mc:AlternateContent>
    <xdr:clientData/>
  </xdr:twoCellAnchor>
  <xdr:oneCellAnchor>
    <xdr:from>
      <xdr:col>7</xdr:col>
      <xdr:colOff>31102</xdr:colOff>
      <xdr:row>405</xdr:row>
      <xdr:rowOff>210037</xdr:rowOff>
    </xdr:from>
    <xdr:ext cx="37440" cy="576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4" name="Ink 23">
              <a:extLst>
                <a:ext uri="{FF2B5EF4-FFF2-40B4-BE49-F238E27FC236}">
                  <a16:creationId xmlns:a16="http://schemas.microsoft.com/office/drawing/2014/main" id="{32C48DA0-180F-4359-B81D-E2BE40C66870}"/>
                </a:ext>
              </a:extLst>
            </xdr14:cNvPr>
            <xdr14:cNvContentPartPr/>
          </xdr14:nvContentPartPr>
          <xdr14:nvPr macro=""/>
          <xdr14:xfrm>
            <a:off x="9677231445" y="4167675"/>
            <a:ext cx="37440" cy="5760"/>
          </xdr14:xfrm>
        </xdr:contentPart>
      </mc:Choice>
      <mc:Fallback xmlns="">
        <xdr:pic>
          <xdr:nvPicPr>
            <xdr:cNvPr id="3" name="Ink 2">
              <a:extLst>
                <a:ext uri="{FF2B5EF4-FFF2-40B4-BE49-F238E27FC236}">
                  <a16:creationId xmlns:a16="http://schemas.microsoft.com/office/drawing/2014/main" id="{D98BB1BB-243A-4920-A271-154A1B0F4DD8}"/>
                </a:ext>
              </a:extLst>
            </xdr:cNvPr>
            <xdr:cNvPicPr/>
          </xdr:nvPicPr>
          <xdr:blipFill>
            <a:blip xmlns:r="http://schemas.openxmlformats.org/officeDocument/2006/relationships" r:embed="rId22"/>
            <a:stretch>
              <a:fillRect/>
            </a:stretch>
          </xdr:blipFill>
          <xdr:spPr>
            <a:xfrm>
              <a:off x="9677225325" y="4161555"/>
              <a:ext cx="49680" cy="18000"/>
            </a:xfrm>
            <a:prstGeom prst="rect">
              <a:avLst/>
            </a:prstGeom>
          </xdr:spPr>
        </xdr:pic>
      </mc:Fallback>
    </mc:AlternateContent>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faraji\Desktop\sale%20dashboard(1).xlsx" TargetMode="External"/><Relationship Id="rId1" Type="http://schemas.openxmlformats.org/officeDocument/2006/relationships/externalLinkPath" Target="sale%20dashboard(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 Dashboard"/>
      <sheetName val="Sheet2"/>
      <sheetName val="calc"/>
      <sheetName val="عرضه بورس"/>
      <sheetName val="Sheet1"/>
      <sheetName val="لیست پیش فاکتور ها"/>
      <sheetName val="جزییات بارگیری"/>
      <sheetName val="زمانبندی فروش"/>
      <sheetName val="فروش انجمن"/>
      <sheetName val="زمانبندی فروش (2)"/>
      <sheetName val="sale dashboard(1)"/>
    </sheetNames>
    <sheetDataSet>
      <sheetData sheetId="0"/>
      <sheetData sheetId="1"/>
      <sheetData sheetId="2">
        <row r="5">
          <cell r="BV5">
            <v>1405</v>
          </cell>
        </row>
      </sheetData>
      <sheetData sheetId="3"/>
      <sheetData sheetId="4"/>
      <sheetData sheetId="5">
        <row r="1">
          <cell r="A1" t="str">
            <v>شماره پیش فاکتور</v>
          </cell>
          <cell r="B1" t="str">
            <v>نام مشتری</v>
          </cell>
          <cell r="C1" t="str">
            <v>تاریخ</v>
          </cell>
          <cell r="D1" t="str">
            <v>تاریخ مجوز بهره برداری</v>
          </cell>
        </row>
        <row r="2">
          <cell r="A2" t="str">
            <v>پ/46-1402</v>
          </cell>
          <cell r="B2" t="str">
            <v>اکسیژن ارومیه گاز</v>
          </cell>
          <cell r="C2" t="str">
            <v>1403/01/01</v>
          </cell>
          <cell r="D2" t="str">
            <v>1403/04/02</v>
          </cell>
        </row>
        <row r="3">
          <cell r="A3" t="str">
            <v>پ/45-1402</v>
          </cell>
          <cell r="B3" t="str">
            <v>پارس اکسیر البرز شمالی</v>
          </cell>
          <cell r="C3" t="str">
            <v>1403/01/01</v>
          </cell>
          <cell r="D3" t="str">
            <v>1403/04/10</v>
          </cell>
        </row>
        <row r="4">
          <cell r="A4" t="str">
            <v>پ/5-1402</v>
          </cell>
          <cell r="B4" t="str">
            <v>پارس اکسیر البرز شمالی</v>
          </cell>
          <cell r="C4" t="str">
            <v>1403/01/01</v>
          </cell>
          <cell r="D4" t="str">
            <v>1403/02/02</v>
          </cell>
        </row>
        <row r="5">
          <cell r="A5" t="str">
            <v>پ/33-1402</v>
          </cell>
          <cell r="B5" t="str">
            <v>پاینده ساز فردوس</v>
          </cell>
          <cell r="C5" t="str">
            <v>1403/01/01</v>
          </cell>
          <cell r="D5" t="str">
            <v>1403/04/28</v>
          </cell>
        </row>
        <row r="6">
          <cell r="A6" t="str">
            <v>پ/29-1402</v>
          </cell>
          <cell r="B6" t="str">
            <v>پاینده ساز فردوس</v>
          </cell>
          <cell r="C6" t="str">
            <v>1403/01/01</v>
          </cell>
          <cell r="D6" t="str">
            <v>1403/04/09</v>
          </cell>
        </row>
        <row r="7">
          <cell r="A7" t="str">
            <v>پ/6-1402</v>
          </cell>
          <cell r="B7" t="str">
            <v>تعاونی ماهان گاز</v>
          </cell>
          <cell r="C7" t="str">
            <v>1403/01/01</v>
          </cell>
          <cell r="D7" t="str">
            <v>1403/01/09</v>
          </cell>
        </row>
        <row r="8">
          <cell r="A8" t="str">
            <v>پ/13-1402</v>
          </cell>
          <cell r="B8" t="str">
            <v>تولید گازهای طبی و صنعتی مددکاران اصفهان</v>
          </cell>
          <cell r="C8" t="str">
            <v>1403/01/01</v>
          </cell>
          <cell r="D8" t="str">
            <v>1403/01/07</v>
          </cell>
        </row>
        <row r="9">
          <cell r="A9" t="str">
            <v>پ/12-1402</v>
          </cell>
          <cell r="B9" t="str">
            <v>تولیدی گازهای طبی و صنعتی طوس سبزوار</v>
          </cell>
          <cell r="C9" t="str">
            <v>1403/01/01</v>
          </cell>
          <cell r="D9" t="str">
            <v>1403/04/03</v>
          </cell>
        </row>
        <row r="10">
          <cell r="A10" t="str">
            <v>پ/40-1402</v>
          </cell>
          <cell r="B10" t="str">
            <v>خوش نوش همدان</v>
          </cell>
          <cell r="C10" t="str">
            <v>1403/01/01</v>
          </cell>
          <cell r="D10" t="str">
            <v>1403/01/25</v>
          </cell>
        </row>
        <row r="11">
          <cell r="A11" t="str">
            <v>پ/38-1402</v>
          </cell>
          <cell r="B11" t="str">
            <v>خوش نوش همدان</v>
          </cell>
          <cell r="C11" t="str">
            <v>1403/01/01</v>
          </cell>
          <cell r="D11" t="str">
            <v>1403/01/07</v>
          </cell>
        </row>
        <row r="12">
          <cell r="A12" t="str">
            <v>پ/37-1402</v>
          </cell>
          <cell r="B12" t="str">
            <v>خوش نوش همدان</v>
          </cell>
          <cell r="C12" t="str">
            <v>1403/01/01</v>
          </cell>
          <cell r="D12" t="str">
            <v>1403/03/31</v>
          </cell>
        </row>
        <row r="13">
          <cell r="A13" t="str">
            <v>پ/42-1402</v>
          </cell>
          <cell r="B13" t="str">
            <v>شرکت امین گاز ایرانیان</v>
          </cell>
          <cell r="C13" t="str">
            <v>1403/01/01</v>
          </cell>
          <cell r="D13" t="str">
            <v>1403/05/30</v>
          </cell>
        </row>
        <row r="14">
          <cell r="A14" t="str">
            <v>پ/41-1402</v>
          </cell>
          <cell r="B14" t="str">
            <v>شرکت امین گاز ایرانیان</v>
          </cell>
          <cell r="C14" t="str">
            <v>1403/01/01</v>
          </cell>
          <cell r="D14" t="str">
            <v>1403/05/30</v>
          </cell>
        </row>
        <row r="15">
          <cell r="A15" t="str">
            <v>پ/36-1402</v>
          </cell>
          <cell r="B15" t="str">
            <v>طاهر افروز همپای البرز</v>
          </cell>
          <cell r="C15" t="str">
            <v>1403/01/01</v>
          </cell>
          <cell r="D15" t="str">
            <v>1403/01/16</v>
          </cell>
        </row>
        <row r="16">
          <cell r="A16" t="str">
            <v>پ/43-1402</v>
          </cell>
          <cell r="B16" t="str">
            <v>طوس قزوین</v>
          </cell>
          <cell r="C16" t="str">
            <v>1403/01/01</v>
          </cell>
          <cell r="D16" t="str">
            <v>1403/02/10</v>
          </cell>
        </row>
        <row r="17">
          <cell r="A17" t="str">
            <v>پ/44-1402</v>
          </cell>
          <cell r="B17" t="str">
            <v>عبیر شیمی</v>
          </cell>
          <cell r="C17" t="str">
            <v>1403/01/01</v>
          </cell>
          <cell r="D17" t="str">
            <v>1403/04/02</v>
          </cell>
        </row>
        <row r="18">
          <cell r="A18" t="str">
            <v>پ/3-1402</v>
          </cell>
          <cell r="B18" t="str">
            <v>عبیر شیمی</v>
          </cell>
          <cell r="C18" t="str">
            <v>1403/01/01</v>
          </cell>
          <cell r="D18" t="str">
            <v>1403/01/07</v>
          </cell>
        </row>
        <row r="19">
          <cell r="A19" t="str">
            <v>پ/27-1402</v>
          </cell>
          <cell r="B19" t="str">
            <v>عراق اربیل</v>
          </cell>
          <cell r="C19" t="str">
            <v>1403/01/01</v>
          </cell>
          <cell r="D19" t="str">
            <v>1403/07/19</v>
          </cell>
        </row>
        <row r="20">
          <cell r="A20" t="str">
            <v>پ/24-1402</v>
          </cell>
          <cell r="B20" t="str">
            <v>عراق اربیل</v>
          </cell>
          <cell r="C20" t="str">
            <v>1403/01/01</v>
          </cell>
          <cell r="D20" t="str">
            <v>1403/04/12</v>
          </cell>
        </row>
        <row r="21">
          <cell r="A21" t="str">
            <v>پ/17-1402</v>
          </cell>
          <cell r="B21" t="str">
            <v>ماشین سازی پیشتازان گاز کربنیک اردستان</v>
          </cell>
          <cell r="C21" t="str">
            <v>1403/01/01</v>
          </cell>
          <cell r="D21" t="str">
            <v>1403/01/16</v>
          </cell>
        </row>
        <row r="22">
          <cell r="A22" t="str">
            <v>پ/1-1403</v>
          </cell>
          <cell r="B22" t="str">
            <v>رهام گاز</v>
          </cell>
          <cell r="C22" t="str">
            <v>1403/01/06</v>
          </cell>
          <cell r="D22" t="str">
            <v>1403/01/08</v>
          </cell>
        </row>
        <row r="23">
          <cell r="A23" t="str">
            <v>پ/2-1403</v>
          </cell>
          <cell r="B23" t="str">
            <v>خوش نوش همدان</v>
          </cell>
          <cell r="C23" t="str">
            <v>1403/01/25</v>
          </cell>
          <cell r="D23" t="str">
            <v>1403/10/26</v>
          </cell>
        </row>
        <row r="24">
          <cell r="A24" t="str">
            <v>پ/4-1403</v>
          </cell>
          <cell r="B24" t="str">
            <v>تولید گازهای طبی و صنعتی مددکاران اصفهان</v>
          </cell>
          <cell r="C24" t="str">
            <v>1403/01/26</v>
          </cell>
          <cell r="D24" t="str">
            <v>1403/01/26</v>
          </cell>
        </row>
        <row r="25">
          <cell r="A25" t="str">
            <v>پ/3-1403</v>
          </cell>
          <cell r="B25" t="str">
            <v>رهام گاز</v>
          </cell>
          <cell r="C25" t="str">
            <v>1403/01/26</v>
          </cell>
          <cell r="D25" t="str">
            <v>1403/02/01</v>
          </cell>
        </row>
        <row r="26">
          <cell r="A26" t="str">
            <v>پ/5-1403</v>
          </cell>
          <cell r="B26" t="str">
            <v>تعاونی ماهان گاز</v>
          </cell>
          <cell r="C26" t="str">
            <v>1403/01/28</v>
          </cell>
          <cell r="D26" t="str">
            <v>1403/04/02</v>
          </cell>
        </row>
        <row r="27">
          <cell r="A27" t="str">
            <v>پ/6-1403</v>
          </cell>
          <cell r="B27" t="str">
            <v>تولید گازهای طبی و صنعتی مددکاران اصفهان</v>
          </cell>
          <cell r="C27" t="str">
            <v>1403/02/01</v>
          </cell>
          <cell r="D27" t="str">
            <v>1403/03/31</v>
          </cell>
        </row>
        <row r="28">
          <cell r="A28" t="str">
            <v>پ/7-1403</v>
          </cell>
          <cell r="B28" t="str">
            <v>رهام گاز</v>
          </cell>
          <cell r="C28" t="str">
            <v>1403/02/17</v>
          </cell>
          <cell r="D28" t="str">
            <v>1403/03/29</v>
          </cell>
        </row>
        <row r="29">
          <cell r="A29" t="str">
            <v>پ/8-1403</v>
          </cell>
          <cell r="B29" t="str">
            <v>تولید گازهای طبی و صنعتی مددکاران اصفهان</v>
          </cell>
          <cell r="C29" t="str">
            <v>1403/02/25</v>
          </cell>
          <cell r="D29" t="str">
            <v>1403/04/04</v>
          </cell>
        </row>
        <row r="30">
          <cell r="A30" t="str">
            <v>پ/9-1403</v>
          </cell>
          <cell r="B30" t="str">
            <v>اکسیژن ارومیه گاز</v>
          </cell>
          <cell r="C30" t="str">
            <v>1403/02/30</v>
          </cell>
          <cell r="D30" t="str">
            <v>1403/08/20</v>
          </cell>
        </row>
        <row r="31">
          <cell r="A31" t="str">
            <v>پ/10-1403</v>
          </cell>
          <cell r="B31" t="str">
            <v>سهیل گاز کاسپین</v>
          </cell>
          <cell r="C31" t="str">
            <v>1403/03/07</v>
          </cell>
          <cell r="D31" t="str">
            <v>1403/04/16</v>
          </cell>
        </row>
        <row r="32">
          <cell r="A32" t="str">
            <v>پ/11-1403</v>
          </cell>
          <cell r="B32" t="str">
            <v>تعاونی ماهان گاز</v>
          </cell>
          <cell r="C32" t="str">
            <v>1403/03/12</v>
          </cell>
          <cell r="D32" t="str">
            <v>1403/08/26</v>
          </cell>
        </row>
        <row r="33">
          <cell r="A33" t="str">
            <v>پ/12-1403</v>
          </cell>
          <cell r="B33" t="str">
            <v>ماشین سازی پیشتازان گاز کربنیک اردستان</v>
          </cell>
          <cell r="C33" t="str">
            <v>1403/03/19</v>
          </cell>
          <cell r="D33" t="str">
            <v>1403/03/31</v>
          </cell>
        </row>
        <row r="34">
          <cell r="A34" t="str">
            <v>الحاقیه پ/3-1403</v>
          </cell>
          <cell r="B34" t="str">
            <v>عبیر شیمی</v>
          </cell>
          <cell r="C34" t="str">
            <v>1403/03/30</v>
          </cell>
          <cell r="D34" t="str">
            <v>1403/03/31</v>
          </cell>
        </row>
        <row r="35">
          <cell r="A35" t="str">
            <v>پ/13-1403</v>
          </cell>
          <cell r="B35" t="str">
            <v>تولیدی گازهای طبی و صنعتی طوس سبزوار</v>
          </cell>
          <cell r="C35" t="str">
            <v>1403/04/18</v>
          </cell>
          <cell r="D35" t="str">
            <v>1403/04/18</v>
          </cell>
        </row>
        <row r="36">
          <cell r="A36" t="str">
            <v>پ/14-1403</v>
          </cell>
          <cell r="B36" t="str">
            <v>اکسیژن ارومیه گاز</v>
          </cell>
          <cell r="C36" t="str">
            <v>1403/04/19</v>
          </cell>
          <cell r="D36" t="str">
            <v>1403/04/21</v>
          </cell>
        </row>
        <row r="37">
          <cell r="A37" t="str">
            <v>پ/15-1403</v>
          </cell>
          <cell r="B37" t="str">
            <v>طاهر افروز همپای البرز</v>
          </cell>
          <cell r="C37" t="str">
            <v>1403/04/21</v>
          </cell>
          <cell r="D37" t="str">
            <v>1403/04/30</v>
          </cell>
        </row>
        <row r="38">
          <cell r="A38" t="str">
            <v>پ/16-1403</v>
          </cell>
          <cell r="B38" t="str">
            <v>میثاق گاز فراز کرج</v>
          </cell>
          <cell r="C38" t="str">
            <v>1403/04/21</v>
          </cell>
          <cell r="D38" t="str">
            <v>1403/05/16</v>
          </cell>
        </row>
        <row r="39">
          <cell r="A39" t="str">
            <v>پ/17-1403</v>
          </cell>
          <cell r="B39" t="str">
            <v>اکسیژن ارومیه گاز</v>
          </cell>
          <cell r="C39" t="str">
            <v>1403/05/22</v>
          </cell>
          <cell r="D39" t="str">
            <v>1403/10/02</v>
          </cell>
        </row>
        <row r="40">
          <cell r="A40" t="str">
            <v>پ/18-1403</v>
          </cell>
          <cell r="B40" t="str">
            <v>رایا شیمی پارسیان</v>
          </cell>
          <cell r="C40" t="str">
            <v>1403/06/01</v>
          </cell>
          <cell r="D40" t="str">
            <v>1403/06/04</v>
          </cell>
        </row>
        <row r="41">
          <cell r="A41" t="str">
            <v>پ/19-1403</v>
          </cell>
          <cell r="B41" t="str">
            <v>تعاونی ماهان گاز</v>
          </cell>
          <cell r="C41" t="str">
            <v>1403/06/07</v>
          </cell>
          <cell r="D41" t="str">
            <v>1403/12/04</v>
          </cell>
        </row>
        <row r="42">
          <cell r="A42" t="str">
            <v>پ/20-1403</v>
          </cell>
          <cell r="B42" t="str">
            <v>رایا شیمی پارسیان</v>
          </cell>
          <cell r="C42" t="str">
            <v>1403/06/07</v>
          </cell>
          <cell r="D42" t="str">
            <v>1403/06/15</v>
          </cell>
        </row>
        <row r="43">
          <cell r="A43" t="str">
            <v>پ/21-1403</v>
          </cell>
          <cell r="B43" t="str">
            <v>شرکت گروه صنعتی پاژ گاز خراسان</v>
          </cell>
          <cell r="C43" t="str">
            <v>1403/06/20</v>
          </cell>
          <cell r="D43" t="str">
            <v>1403/09/05</v>
          </cell>
        </row>
        <row r="44">
          <cell r="A44" t="str">
            <v>121302</v>
          </cell>
          <cell r="B44" t="str">
            <v>فرافن گاز تهران</v>
          </cell>
          <cell r="C44" t="str">
            <v>1403/07/11</v>
          </cell>
          <cell r="D44" t="str">
            <v>1403/07/28</v>
          </cell>
        </row>
        <row r="45">
          <cell r="A45" t="str">
            <v>پ/23-1403</v>
          </cell>
          <cell r="B45" t="str">
            <v>پاینده ساز فردوس</v>
          </cell>
          <cell r="C45" t="str">
            <v>1403/07/14</v>
          </cell>
          <cell r="D45" t="str">
            <v>1403/10/20</v>
          </cell>
        </row>
        <row r="46">
          <cell r="A46" t="str">
            <v>پ/24-1403</v>
          </cell>
          <cell r="B46" t="str">
            <v>کوشا تجارت زاگرس</v>
          </cell>
          <cell r="C46" t="str">
            <v>1403/07/23</v>
          </cell>
          <cell r="D46" t="str">
            <v>1403/09/18</v>
          </cell>
        </row>
        <row r="47">
          <cell r="A47" t="str">
            <v>121839</v>
          </cell>
          <cell r="B47" t="str">
            <v>طوس قزوین</v>
          </cell>
          <cell r="C47" t="str">
            <v>1403/07/25</v>
          </cell>
          <cell r="D47" t="str">
            <v>1403/07/29</v>
          </cell>
        </row>
        <row r="48">
          <cell r="A48" t="str">
            <v>پ/27-1403</v>
          </cell>
          <cell r="B48" t="str">
            <v>طوس قزوین</v>
          </cell>
          <cell r="C48" t="str">
            <v>1403/08/09</v>
          </cell>
          <cell r="D48" t="str">
            <v>1403/10/04</v>
          </cell>
        </row>
        <row r="49">
          <cell r="A49" t="str">
            <v>پ/28-1403</v>
          </cell>
          <cell r="B49" t="str">
            <v>فرافن گاز تهران</v>
          </cell>
          <cell r="C49" t="str">
            <v>1403/08/09</v>
          </cell>
          <cell r="D49" t="str">
            <v>1403/08/24</v>
          </cell>
        </row>
        <row r="50">
          <cell r="A50" t="str">
            <v>پ/29-1403</v>
          </cell>
          <cell r="B50" t="str">
            <v>شرکت دیبا گاز پارسه</v>
          </cell>
          <cell r="C50" t="str">
            <v>1403/08/23</v>
          </cell>
          <cell r="D50" t="str">
            <v>1403/12/24</v>
          </cell>
        </row>
        <row r="51">
          <cell r="A51" t="str">
            <v>پ/30-1403</v>
          </cell>
          <cell r="B51" t="str">
            <v>عبیر شیمی</v>
          </cell>
          <cell r="C51" t="str">
            <v>1403/08/28</v>
          </cell>
          <cell r="D51" t="str">
            <v>1403/10/07</v>
          </cell>
        </row>
        <row r="52">
          <cell r="A52" t="str">
            <v>پ/37-1403</v>
          </cell>
          <cell r="B52" t="str">
            <v>طوس قزوین</v>
          </cell>
          <cell r="C52" t="str">
            <v>1403/09/07</v>
          </cell>
          <cell r="D52" t="str">
            <v>1403/10/09</v>
          </cell>
        </row>
        <row r="53">
          <cell r="A53" t="str">
            <v>پ/38-1403</v>
          </cell>
          <cell r="B53" t="str">
            <v>پاینده ساز فردوس</v>
          </cell>
          <cell r="C53" t="str">
            <v>1403/09/26</v>
          </cell>
          <cell r="D53" t="str">
            <v>1403/09/29</v>
          </cell>
        </row>
        <row r="54">
          <cell r="A54" t="str">
            <v>پ/31-1403</v>
          </cell>
          <cell r="B54" t="str">
            <v>تولید گازهای طبی و صنعتی مددکاران اصفهان</v>
          </cell>
          <cell r="C54" t="str">
            <v>1403/09/27</v>
          </cell>
          <cell r="D54" t="str">
            <v>1403/11/16</v>
          </cell>
        </row>
        <row r="55">
          <cell r="A55" t="str">
            <v>پ/34-1403</v>
          </cell>
          <cell r="B55" t="str">
            <v>گاز کربنیک غرب</v>
          </cell>
          <cell r="C55" t="str">
            <v>1403/09/27</v>
          </cell>
          <cell r="D55" t="str">
            <v>1403/10/08</v>
          </cell>
        </row>
        <row r="56">
          <cell r="A56" t="str">
            <v>پ/46-1403</v>
          </cell>
          <cell r="B56" t="str">
            <v>پاینده ساز فردوس</v>
          </cell>
          <cell r="C56" t="str">
            <v>1403/09/29</v>
          </cell>
          <cell r="D56" t="str">
            <v>1403/11/10</v>
          </cell>
        </row>
        <row r="57">
          <cell r="A57" t="str">
            <v>پ/39-1403</v>
          </cell>
          <cell r="B57" t="str">
            <v>گروه صنایع شیمیایی به آفرین گاز تیسفون</v>
          </cell>
          <cell r="C57" t="str">
            <v>1403/10/03</v>
          </cell>
          <cell r="D57" t="str">
            <v>1403/10/04</v>
          </cell>
        </row>
        <row r="58">
          <cell r="A58" t="str">
            <v>پ/43-1403</v>
          </cell>
          <cell r="B58" t="str">
            <v>تولیدی گازهای طبی و صنعتی طوس سبزوار</v>
          </cell>
          <cell r="C58" t="str">
            <v>1403/10/05</v>
          </cell>
          <cell r="D58" t="str">
            <v>1403/12/06</v>
          </cell>
        </row>
        <row r="59">
          <cell r="A59" t="str">
            <v>پ/40-1403</v>
          </cell>
          <cell r="B59" t="str">
            <v>رهام گاز</v>
          </cell>
          <cell r="C59" t="str">
            <v>1403/10/11</v>
          </cell>
          <cell r="D59" t="str">
            <v>1403/11/29</v>
          </cell>
        </row>
        <row r="60">
          <cell r="A60" t="str">
            <v>پ/36-1403</v>
          </cell>
          <cell r="B60" t="str">
            <v>طاها اندیشان همپای البرز</v>
          </cell>
          <cell r="C60" t="str">
            <v>1403/10/11</v>
          </cell>
          <cell r="D60" t="str">
            <v>1403/10/28</v>
          </cell>
        </row>
        <row r="61">
          <cell r="A61" t="str">
            <v>پ/42-1403</v>
          </cell>
          <cell r="B61" t="str">
            <v>عبیر شیمی</v>
          </cell>
          <cell r="C61" t="str">
            <v>1403/10/16</v>
          </cell>
          <cell r="D61" t="str">
            <v>1403/10/30</v>
          </cell>
        </row>
        <row r="62">
          <cell r="A62" t="str">
            <v>پ/45-1403</v>
          </cell>
          <cell r="B62" t="str">
            <v>اکسیژن ارومیه گاز</v>
          </cell>
          <cell r="C62" t="str">
            <v>1403/10/19</v>
          </cell>
          <cell r="D62" t="str">
            <v>1403/12/12</v>
          </cell>
        </row>
        <row r="63">
          <cell r="A63" t="str">
            <v>الحاقیه پ/15-1403</v>
          </cell>
          <cell r="B63" t="str">
            <v>طاهر افروز همپای البرز</v>
          </cell>
          <cell r="C63" t="str">
            <v>1403/10/26</v>
          </cell>
          <cell r="D63" t="str">
            <v>1403/10/26</v>
          </cell>
        </row>
        <row r="64">
          <cell r="A64" t="str">
            <v>پ/47-1403</v>
          </cell>
          <cell r="B64" t="str">
            <v>تولیدی گازهای طبی و صنعتی طوس سبزوار</v>
          </cell>
          <cell r="C64" t="str">
            <v>1403/10/29</v>
          </cell>
          <cell r="D64" t="str">
            <v>1403/12/22</v>
          </cell>
        </row>
        <row r="65">
          <cell r="A65" t="str">
            <v>پ/48-1403</v>
          </cell>
          <cell r="B65" t="str">
            <v>خوش نوش همدان</v>
          </cell>
          <cell r="C65" t="str">
            <v>1403/10/29</v>
          </cell>
          <cell r="D65" t="str">
            <v>1403/11/15</v>
          </cell>
        </row>
        <row r="66">
          <cell r="A66" t="str">
            <v>پ/41-1403</v>
          </cell>
          <cell r="B66" t="str">
            <v>طوس قزوین</v>
          </cell>
          <cell r="C66" t="str">
            <v>1403/11/02</v>
          </cell>
          <cell r="D66" t="str">
            <v>1403/11/23</v>
          </cell>
        </row>
        <row r="67">
          <cell r="A67" t="str">
            <v>پ/32-1403</v>
          </cell>
          <cell r="B67" t="str">
            <v>خوش نوش همدان</v>
          </cell>
          <cell r="C67" t="str">
            <v>1403/11/03</v>
          </cell>
          <cell r="D67" t="str">
            <v>1403/11/03</v>
          </cell>
        </row>
        <row r="68">
          <cell r="A68" t="str">
            <v>پ/33-1403</v>
          </cell>
          <cell r="B68" t="str">
            <v>طوس قزوین</v>
          </cell>
          <cell r="C68" t="str">
            <v>1403/11/08</v>
          </cell>
          <cell r="D68" t="str">
            <v>1403/11/28</v>
          </cell>
        </row>
        <row r="69">
          <cell r="A69" t="str">
            <v>پ/35-1403</v>
          </cell>
          <cell r="B69" t="str">
            <v>طاها اندیشان همپای البرز</v>
          </cell>
          <cell r="C69" t="str">
            <v>1403/11/13</v>
          </cell>
          <cell r="D69" t="str">
            <v>1403/11/13</v>
          </cell>
        </row>
        <row r="70">
          <cell r="A70" t="str">
            <v>پ/44-1403</v>
          </cell>
          <cell r="B70" t="str">
            <v>تولیدی گازهای طبی و صنعتی طوس سبزوار</v>
          </cell>
          <cell r="C70" t="str">
            <v>1403/11/17</v>
          </cell>
          <cell r="D70" t="str">
            <v>1403/11/17</v>
          </cell>
        </row>
        <row r="71">
          <cell r="A71" t="str">
            <v>پ/49-1403</v>
          </cell>
          <cell r="B71" t="str">
            <v>پارس اکسیر البرز شمالی</v>
          </cell>
          <cell r="C71" t="str">
            <v>1403/11/21</v>
          </cell>
          <cell r="D71" t="str">
            <v>1403/11/21</v>
          </cell>
        </row>
        <row r="72">
          <cell r="A72" t="str">
            <v>پ/22-1403</v>
          </cell>
          <cell r="B72" t="str">
            <v>طوس قزوین</v>
          </cell>
          <cell r="C72" t="str">
            <v>1403/12/01</v>
          </cell>
          <cell r="D72" t="str">
            <v>1403/12/01</v>
          </cell>
        </row>
        <row r="73">
          <cell r="A73" t="str">
            <v>الحاقیه پ/55-1403</v>
          </cell>
          <cell r="B73" t="str">
            <v>پارس کربنیک کردستان</v>
          </cell>
          <cell r="C73" t="str">
            <v>1404/02/29</v>
          </cell>
          <cell r="D73" t="str">
            <v>1404/03/01</v>
          </cell>
        </row>
        <row r="74">
          <cell r="A74" t="str">
            <v>پ/55-1403</v>
          </cell>
          <cell r="B74" t="str">
            <v>پارس کربنیک کردستان</v>
          </cell>
          <cell r="C74" t="str">
            <v>1403/12/06</v>
          </cell>
          <cell r="D74" t="str">
            <v>1404/02/01</v>
          </cell>
        </row>
        <row r="75">
          <cell r="A75" t="str">
            <v>الحاقیه پ/63-1403</v>
          </cell>
          <cell r="B75" t="str">
            <v>پاینده ساز فردوس</v>
          </cell>
          <cell r="C75" t="str">
            <v>1404/02/29</v>
          </cell>
          <cell r="D75" t="str">
            <v>1404/03/01</v>
          </cell>
        </row>
        <row r="76">
          <cell r="A76" t="str">
            <v>الحاقیه پ/58-1403</v>
          </cell>
          <cell r="B76" t="str">
            <v>تعاونی ماهان گاز</v>
          </cell>
          <cell r="C76" t="str">
            <v>1404/02/29</v>
          </cell>
          <cell r="D76" t="str">
            <v>1404/03/01</v>
          </cell>
        </row>
        <row r="77">
          <cell r="A77" t="str">
            <v>الحاقیه پ/52-1403</v>
          </cell>
          <cell r="B77" t="str">
            <v>تولید گازهای طبی و صنعتی مددکاران اصفهان</v>
          </cell>
          <cell r="C77" t="str">
            <v>1404/02/29</v>
          </cell>
          <cell r="D77" t="str">
            <v>1404/03/01</v>
          </cell>
        </row>
        <row r="78">
          <cell r="A78" t="str">
            <v>الحاقیه پ/65-1403</v>
          </cell>
          <cell r="B78" t="str">
            <v>تولیدی گازهای طبی و صنعتی طوس سبزوار</v>
          </cell>
          <cell r="C78" t="str">
            <v>1404/02/29</v>
          </cell>
          <cell r="D78" t="str">
            <v>1404/03/01</v>
          </cell>
        </row>
        <row r="79">
          <cell r="A79" t="str">
            <v>پ/69-1403</v>
          </cell>
          <cell r="B79" t="str">
            <v>سپهر سرمد</v>
          </cell>
          <cell r="C79" t="str">
            <v>1403/12/06</v>
          </cell>
          <cell r="D79" t="str">
            <v>1404/02/01</v>
          </cell>
        </row>
        <row r="80">
          <cell r="A80" t="str">
            <v>الحاقیه پ/69-1403</v>
          </cell>
          <cell r="B80" t="str">
            <v>سپهر سرمد</v>
          </cell>
          <cell r="C80" t="str">
            <v>1404/02/29</v>
          </cell>
          <cell r="D80" t="str">
            <v>1404/03/01</v>
          </cell>
        </row>
        <row r="81">
          <cell r="A81" t="str">
            <v>الحاقیه پ/61-1403</v>
          </cell>
          <cell r="B81" t="str">
            <v>طوس قزوین</v>
          </cell>
          <cell r="C81" t="str">
            <v>1404/02/29</v>
          </cell>
          <cell r="D81" t="str">
            <v>1404/03/01</v>
          </cell>
        </row>
        <row r="82">
          <cell r="A82" t="str">
            <v>الحاقیه پ/64-1403</v>
          </cell>
          <cell r="B82" t="str">
            <v>عبیر شیمی</v>
          </cell>
          <cell r="C82" t="str">
            <v>1404/02/29</v>
          </cell>
          <cell r="D82" t="str">
            <v>1404/03/01</v>
          </cell>
        </row>
        <row r="83">
          <cell r="A83" t="str">
            <v>پ/62-1403</v>
          </cell>
          <cell r="B83" t="str">
            <v>گاز اکسیژن طوس</v>
          </cell>
          <cell r="C83" t="str">
            <v>1403/12/06</v>
          </cell>
          <cell r="D83" t="str">
            <v>1404/02/01</v>
          </cell>
        </row>
        <row r="84">
          <cell r="A84" t="str">
            <v>الحاقیه پ/62-1403</v>
          </cell>
          <cell r="B84" t="str">
            <v>گاز اکسیژن طوس</v>
          </cell>
          <cell r="C84" t="str">
            <v>1404/02/29</v>
          </cell>
          <cell r="D84" t="str">
            <v>1404/03/01</v>
          </cell>
        </row>
        <row r="85">
          <cell r="A85" t="str">
            <v>الحاقیه پ/54-1403</v>
          </cell>
          <cell r="B85" t="str">
            <v>گاز کربنیک غرب</v>
          </cell>
          <cell r="C85" t="str">
            <v>1404/02/29</v>
          </cell>
          <cell r="D85" t="str">
            <v>1404/03/01</v>
          </cell>
        </row>
        <row r="86">
          <cell r="A86" t="str">
            <v>الحاقیه پ/50-1403</v>
          </cell>
          <cell r="B86" t="str">
            <v>گروه صنایع شیمیایی به آفرین گاز تیسفون</v>
          </cell>
          <cell r="C86" t="str">
            <v>1404/02/29</v>
          </cell>
          <cell r="D86" t="str">
            <v>1404/03/01</v>
          </cell>
        </row>
        <row r="87">
          <cell r="A87" t="str">
            <v>پ/57-1403</v>
          </cell>
          <cell r="B87" t="str">
            <v>محمود احمدی زلتی</v>
          </cell>
          <cell r="C87" t="str">
            <v>1403/12/07</v>
          </cell>
          <cell r="D87" t="str">
            <v>1404/02/01</v>
          </cell>
        </row>
        <row r="88">
          <cell r="A88" t="str">
            <v>الحاقیه پ/60-1403</v>
          </cell>
          <cell r="B88" t="str">
            <v>اکسیژن ارومیه گاز</v>
          </cell>
          <cell r="C88" t="str">
            <v>1404/03/01</v>
          </cell>
          <cell r="D88" t="str">
            <v>1404/02/01</v>
          </cell>
        </row>
        <row r="89">
          <cell r="A89" t="str">
            <v>پ/66-1403</v>
          </cell>
          <cell r="B89" t="str">
            <v>اکسیژن ارومیه گاز</v>
          </cell>
          <cell r="C89" t="str">
            <v>1403/12/08</v>
          </cell>
          <cell r="D89" t="str">
            <v>1403/12/27</v>
          </cell>
        </row>
        <row r="90">
          <cell r="A90" t="str">
            <v>پ/67-1403</v>
          </cell>
          <cell r="B90" t="str">
            <v>تعاونی ماهان گاز</v>
          </cell>
          <cell r="C90" t="str">
            <v>1403/12/12</v>
          </cell>
          <cell r="D90" t="str">
            <v>1403/12/12</v>
          </cell>
        </row>
        <row r="91">
          <cell r="A91" t="str">
            <v>پ/70-1403</v>
          </cell>
          <cell r="B91" t="str">
            <v>اکسیژن ارومیه گاز</v>
          </cell>
          <cell r="C91" t="str">
            <v>1403/12/15</v>
          </cell>
          <cell r="D91" t="str">
            <v>1404/01/05</v>
          </cell>
        </row>
        <row r="92">
          <cell r="A92" t="str">
            <v>پ/71-1403</v>
          </cell>
          <cell r="B92" t="str">
            <v>طوس قزوین</v>
          </cell>
          <cell r="C92" t="str">
            <v>1403/12/15</v>
          </cell>
          <cell r="D92" t="str">
            <v>1403/12/15</v>
          </cell>
        </row>
        <row r="93">
          <cell r="A93" t="str">
            <v>پ/68-1403</v>
          </cell>
          <cell r="B93" t="str">
            <v>تولیدی گازهای طبی و صنعتی طوس سبزوار</v>
          </cell>
          <cell r="C93" t="str">
            <v>1403/12/18</v>
          </cell>
          <cell r="D93" t="str">
            <v>1403/12/18</v>
          </cell>
        </row>
        <row r="94">
          <cell r="A94" t="str">
            <v>الحاقیه پ/57-1403</v>
          </cell>
          <cell r="B94" t="str">
            <v>محمود احمدی زلتی</v>
          </cell>
          <cell r="C94" t="str">
            <v>1404/02/29</v>
          </cell>
          <cell r="D94" t="str">
            <v>1404/03/01</v>
          </cell>
        </row>
        <row r="95">
          <cell r="A95" t="str">
            <v>الحاقیه پ/51-1403</v>
          </cell>
          <cell r="B95" t="str">
            <v>تولیدی گازهای طبی و صنعتی طوس سبزوار</v>
          </cell>
          <cell r="C95" t="str">
            <v>1404/02/29</v>
          </cell>
          <cell r="D95" t="str">
            <v>1404/03/01</v>
          </cell>
        </row>
        <row r="96">
          <cell r="A96" t="str">
            <v>پ/72-1403</v>
          </cell>
          <cell r="B96" t="str">
            <v>اکسیژن ارومیه گاز</v>
          </cell>
          <cell r="C96" t="str">
            <v>1403/12/26</v>
          </cell>
          <cell r="D96" t="str">
            <v>1403/12/26</v>
          </cell>
        </row>
        <row r="97">
          <cell r="A97" t="str">
            <v>پ/73-1403</v>
          </cell>
          <cell r="B97" t="str">
            <v>طوس قزوین</v>
          </cell>
          <cell r="C97" t="str">
            <v>1403/12/27</v>
          </cell>
          <cell r="D97" t="str">
            <v>1403/12/27</v>
          </cell>
        </row>
        <row r="98">
          <cell r="A98" t="str">
            <v>پ/01-1404</v>
          </cell>
          <cell r="B98" t="str">
            <v>شرکت امین گاز ایرانیان</v>
          </cell>
          <cell r="C98" t="str">
            <v>1404/01/16</v>
          </cell>
          <cell r="D98" t="str">
            <v>1404/01/17</v>
          </cell>
        </row>
        <row r="99">
          <cell r="A99" t="str">
            <v>الحاقیه پ/39-1403</v>
          </cell>
          <cell r="B99" t="str">
            <v>گروه صنایع شیمیایی به آفرین گاز تیسفون</v>
          </cell>
          <cell r="C99" t="str">
            <v>1404/02/01</v>
          </cell>
          <cell r="D99" t="str">
            <v>1404/02/01</v>
          </cell>
        </row>
        <row r="100">
          <cell r="A100" t="str">
            <v>پ/02-1404</v>
          </cell>
          <cell r="B100" t="str">
            <v>طوس قزوین</v>
          </cell>
          <cell r="C100" t="str">
            <v>1404/02/03</v>
          </cell>
          <cell r="D100" t="str">
            <v>1404/02/03</v>
          </cell>
        </row>
        <row r="101">
          <cell r="A101" t="str">
            <v>پ/03-1404</v>
          </cell>
          <cell r="B101" t="str">
            <v>اکسیژن ارومیه گاز</v>
          </cell>
          <cell r="C101" t="str">
            <v>1404/02/03</v>
          </cell>
          <cell r="D101" t="str">
            <v>1404/02/03</v>
          </cell>
        </row>
        <row r="102">
          <cell r="A102" t="str">
            <v>پ/04-1404</v>
          </cell>
          <cell r="B102" t="str">
            <v>طوس قزوین</v>
          </cell>
          <cell r="C102" t="str">
            <v>1404/02/16</v>
          </cell>
          <cell r="D102" t="str">
            <v>1404/02/17</v>
          </cell>
        </row>
        <row r="103">
          <cell r="A103" t="str">
            <v>پ/05-1404</v>
          </cell>
          <cell r="B103" t="str">
            <v>اکسیژن ارومیه گاز</v>
          </cell>
          <cell r="C103" t="str">
            <v>1404/02/16</v>
          </cell>
          <cell r="D103" t="str">
            <v>1404/02/17</v>
          </cell>
        </row>
        <row r="104">
          <cell r="A104" t="str">
            <v>پ/06-1404</v>
          </cell>
          <cell r="B104" t="str">
            <v>گاز اکسیژن طوس</v>
          </cell>
          <cell r="C104" t="str">
            <v>1404/02/17</v>
          </cell>
          <cell r="D104" t="str">
            <v>1404/02/18</v>
          </cell>
        </row>
        <row r="105">
          <cell r="A105" t="str">
            <v>پ/07-1404</v>
          </cell>
          <cell r="B105" t="str">
            <v>اکسیژن ارومیه گاز</v>
          </cell>
          <cell r="C105" t="str">
            <v>1404/02/17</v>
          </cell>
          <cell r="D105" t="str">
            <v>1404/02/18</v>
          </cell>
        </row>
        <row r="106">
          <cell r="A106" t="str">
            <v>پ/08-1404</v>
          </cell>
          <cell r="B106" t="str">
            <v>پاینده ساز فردوس</v>
          </cell>
          <cell r="C106" t="str">
            <v>1404/02/17</v>
          </cell>
          <cell r="D106" t="str">
            <v>1404/02/18</v>
          </cell>
        </row>
        <row r="107">
          <cell r="A107" t="str">
            <v>الحاقیه پ/09-1404</v>
          </cell>
          <cell r="B107" t="str">
            <v>گاز اکسیژن طوس</v>
          </cell>
          <cell r="C107" t="str">
            <v>1404/10/09</v>
          </cell>
          <cell r="D107">
            <v>46021</v>
          </cell>
        </row>
        <row r="108">
          <cell r="A108" t="str">
            <v>پ/10-1404</v>
          </cell>
          <cell r="B108" t="str">
            <v>اکسیژن ارومیه گاز</v>
          </cell>
          <cell r="C108" t="str">
            <v>1404/02/22</v>
          </cell>
          <cell r="D108" t="str">
            <v>1404/02/25</v>
          </cell>
        </row>
        <row r="109">
          <cell r="A109" t="str">
            <v>پ/11-1404</v>
          </cell>
          <cell r="B109" t="str">
            <v>پاینده ساز فردوس</v>
          </cell>
          <cell r="C109" t="str">
            <v>1404/02/22</v>
          </cell>
          <cell r="D109" t="str">
            <v>1404/02/25</v>
          </cell>
        </row>
        <row r="110">
          <cell r="A110" t="str">
            <v>الحاقیه پ/53-1403</v>
          </cell>
          <cell r="B110" t="str">
            <v>طوس قزوین</v>
          </cell>
          <cell r="C110" t="str">
            <v>1404/02/29</v>
          </cell>
          <cell r="D110" t="str">
            <v>1404/03/01</v>
          </cell>
        </row>
        <row r="111">
          <cell r="A111" t="str">
            <v>الحاقیه پ/59-1403</v>
          </cell>
          <cell r="B111" t="str">
            <v>جوش شیرین خراسان</v>
          </cell>
          <cell r="C111" t="str">
            <v>1404/02/29</v>
          </cell>
          <cell r="D111" t="str">
            <v>1404/02/01</v>
          </cell>
        </row>
        <row r="112">
          <cell r="A112" t="str">
            <v>پ/12-1404</v>
          </cell>
          <cell r="B112" t="str">
            <v>گاز کربنیک غرب</v>
          </cell>
          <cell r="C112" t="str">
            <v>1404/02/30</v>
          </cell>
          <cell r="D112" t="str">
            <v>1404/07/15</v>
          </cell>
        </row>
        <row r="113">
          <cell r="A113" t="str">
            <v>پ/13-1404</v>
          </cell>
          <cell r="B113" t="str">
            <v>عبیر شیمی</v>
          </cell>
          <cell r="C113" t="str">
            <v>1404/02/30</v>
          </cell>
          <cell r="D113" t="str">
            <v>1404/07/15</v>
          </cell>
        </row>
        <row r="114">
          <cell r="A114" t="str">
            <v>پ/14-1404</v>
          </cell>
          <cell r="B114" t="str">
            <v>گاز اکسیژن طوس</v>
          </cell>
          <cell r="C114" t="str">
            <v>1404/02/30</v>
          </cell>
          <cell r="D114" t="str">
            <v>1404/07/15</v>
          </cell>
        </row>
        <row r="115">
          <cell r="A115" t="str">
            <v>پ/15-1404</v>
          </cell>
          <cell r="B115" t="str">
            <v>اکسیژن ارومیه گاز</v>
          </cell>
          <cell r="C115" t="str">
            <v>1404/02/30</v>
          </cell>
          <cell r="D115" t="str">
            <v>1404/07/15</v>
          </cell>
        </row>
        <row r="116">
          <cell r="A116" t="str">
            <v>پ/17-1404</v>
          </cell>
          <cell r="B116" t="str">
            <v>گاز اکسیژن طوس</v>
          </cell>
          <cell r="C116" t="str">
            <v>1404/02/31</v>
          </cell>
          <cell r="D116" t="str">
            <v>1404/03/01</v>
          </cell>
        </row>
        <row r="117">
          <cell r="A117" t="str">
            <v>پ/18-1404</v>
          </cell>
          <cell r="B117" t="str">
            <v>اکسیژن ارومیه گاز</v>
          </cell>
          <cell r="C117" t="str">
            <v>1404/02/31</v>
          </cell>
          <cell r="D117" t="str">
            <v>1404/03/01</v>
          </cell>
        </row>
        <row r="118">
          <cell r="A118" t="str">
            <v>پ/19-1404</v>
          </cell>
          <cell r="B118" t="str">
            <v>تولیدی گازهای طبی و صنعتی طوس سبزوار</v>
          </cell>
          <cell r="C118" t="str">
            <v>1404/02/31</v>
          </cell>
          <cell r="D118" t="str">
            <v>1404/03/01</v>
          </cell>
        </row>
        <row r="119">
          <cell r="A119" t="str">
            <v>پ/20-1404</v>
          </cell>
          <cell r="B119" t="str">
            <v>اکسیژن ارومیه گاز</v>
          </cell>
          <cell r="C119" t="str">
            <v>1404/03/06</v>
          </cell>
          <cell r="D119" t="str">
            <v>1404/03/10</v>
          </cell>
        </row>
        <row r="120">
          <cell r="A120" t="str">
            <v>پ/21-1404</v>
          </cell>
          <cell r="B120" t="str">
            <v>تولیدی گازهای طبی و صنعتی طوس سبزوار</v>
          </cell>
          <cell r="C120" t="str">
            <v>1404/03/06</v>
          </cell>
          <cell r="D120" t="str">
            <v>1404/03/10</v>
          </cell>
        </row>
        <row r="121">
          <cell r="A121" t="str">
            <v>الحاقیه پ/22-1404</v>
          </cell>
          <cell r="B121" t="str">
            <v>گاز اکسیژن طوس</v>
          </cell>
          <cell r="C121" t="str">
            <v>1404/10/09</v>
          </cell>
          <cell r="D121" t="str">
            <v>1404/10/09</v>
          </cell>
        </row>
        <row r="122">
          <cell r="A122" t="str">
            <v>الحاقیه پ/43-1402</v>
          </cell>
          <cell r="B122" t="str">
            <v>طوس قزوین</v>
          </cell>
          <cell r="C122" t="str">
            <v>1404/03/22</v>
          </cell>
          <cell r="D122" t="str">
            <v>1404/03/27</v>
          </cell>
        </row>
        <row r="123">
          <cell r="A123" t="str">
            <v>پ/28-1404</v>
          </cell>
          <cell r="B123" t="str">
            <v>طوس قزوین</v>
          </cell>
          <cell r="C123" t="str">
            <v>1404/03/21</v>
          </cell>
          <cell r="D123" t="str">
            <v>1404/03/21</v>
          </cell>
        </row>
        <row r="124">
          <cell r="A124" t="str">
            <v>پ/24-1404</v>
          </cell>
          <cell r="B124" t="str">
            <v>طوس قزوین</v>
          </cell>
          <cell r="C124" t="str">
            <v>1404/03/13</v>
          </cell>
          <cell r="D124" t="str">
            <v>1404/03/13</v>
          </cell>
        </row>
        <row r="125">
          <cell r="A125" t="str">
            <v>پ/26-1404</v>
          </cell>
          <cell r="B125" t="str">
            <v>تولیدی گازهای طبی و صنعتی طوس سبزوار</v>
          </cell>
          <cell r="C125" t="str">
            <v>1404/03/21</v>
          </cell>
          <cell r="D125" t="str">
            <v>1404/03/21</v>
          </cell>
        </row>
        <row r="126">
          <cell r="A126" t="str">
            <v>پ/16-1404</v>
          </cell>
          <cell r="B126" t="str">
            <v>تولیدی گازهای طبی و صنعتی طوس سبزوار</v>
          </cell>
          <cell r="C126" t="str">
            <v>1404/03/13</v>
          </cell>
          <cell r="D126" t="str">
            <v>1404/03/13</v>
          </cell>
        </row>
        <row r="127">
          <cell r="A127" t="str">
            <v>پ/27-1404</v>
          </cell>
          <cell r="B127" t="str">
            <v>عبیر شیمی</v>
          </cell>
          <cell r="C127" t="str">
            <v>1404/03/21</v>
          </cell>
          <cell r="D127" t="str">
            <v>1404/03/21</v>
          </cell>
        </row>
        <row r="128">
          <cell r="A128" t="str">
            <v>پ/23-1404</v>
          </cell>
          <cell r="B128" t="str">
            <v>عبیر شیمی</v>
          </cell>
          <cell r="C128" t="str">
            <v>1404/03/13</v>
          </cell>
          <cell r="D128" t="str">
            <v>1404/03/13</v>
          </cell>
        </row>
        <row r="129">
          <cell r="A129" t="str">
            <v>پ/25-1404</v>
          </cell>
          <cell r="B129" t="str">
            <v>رهام گاز</v>
          </cell>
          <cell r="C129" t="str">
            <v>1404/03/13</v>
          </cell>
          <cell r="D129" t="str">
            <v>1404/03/13</v>
          </cell>
        </row>
        <row r="130">
          <cell r="A130" t="str">
            <v>پ/29-1404</v>
          </cell>
          <cell r="B130" t="str">
            <v>طوس قزوین</v>
          </cell>
          <cell r="C130" t="str">
            <v>1404/04/02</v>
          </cell>
          <cell r="D130" t="str">
            <v>1404/04/03</v>
          </cell>
        </row>
        <row r="131">
          <cell r="A131" t="str">
            <v>پ/30-1404</v>
          </cell>
          <cell r="B131" t="str">
            <v>پاینده ساز فردوس</v>
          </cell>
          <cell r="C131" t="str">
            <v>1404/04/02</v>
          </cell>
          <cell r="D131" t="str">
            <v>1404/04/03</v>
          </cell>
        </row>
        <row r="132">
          <cell r="A132" t="str">
            <v>پ/31-1404</v>
          </cell>
          <cell r="B132" t="str">
            <v>اکسیژن ارومیه گاز</v>
          </cell>
          <cell r="C132" t="str">
            <v>1404/04/02</v>
          </cell>
          <cell r="D132" t="str">
            <v>1404/04/03</v>
          </cell>
        </row>
        <row r="133">
          <cell r="A133" t="str">
            <v>پ/32-1404</v>
          </cell>
          <cell r="B133" t="str">
            <v>طوس قزوین</v>
          </cell>
          <cell r="C133" t="str">
            <v>1404/04/09</v>
          </cell>
          <cell r="D133" t="str">
            <v>1404/04/12</v>
          </cell>
        </row>
        <row r="134">
          <cell r="A134" t="str">
            <v>پ/33-1404</v>
          </cell>
          <cell r="B134" t="str">
            <v>پاینده ساز فردوس</v>
          </cell>
          <cell r="C134" t="str">
            <v>1404/04/09</v>
          </cell>
          <cell r="D134" t="str">
            <v>1404/04/12</v>
          </cell>
        </row>
        <row r="135">
          <cell r="A135" t="str">
            <v>پ/34-1404</v>
          </cell>
          <cell r="B135" t="str">
            <v>اکسیژن ارومیه گاز</v>
          </cell>
          <cell r="C135" t="str">
            <v>1404/04/09</v>
          </cell>
          <cell r="D135" t="str">
            <v>1404/04/12</v>
          </cell>
        </row>
        <row r="136">
          <cell r="A136" t="str">
            <v>پ/35-1404</v>
          </cell>
          <cell r="B136" t="str">
            <v>تولیدی گازهای طبی و صنعتی طوس سبزوار</v>
          </cell>
          <cell r="C136" t="str">
            <v>1404/04/18</v>
          </cell>
          <cell r="D136" t="str">
            <v>1404/04/18</v>
          </cell>
        </row>
        <row r="137">
          <cell r="A137" t="str">
            <v>پ/36-1404</v>
          </cell>
          <cell r="B137" t="str">
            <v>عبیر شیمی</v>
          </cell>
          <cell r="C137" t="str">
            <v>1404/04/18</v>
          </cell>
          <cell r="D137" t="str">
            <v>1404/04/18</v>
          </cell>
        </row>
        <row r="138">
          <cell r="A138" t="str">
            <v>پ/37-1404</v>
          </cell>
          <cell r="B138" t="str">
            <v>تولیدی گازهای طبی و صنعتی طوس سبزوار</v>
          </cell>
          <cell r="C138" t="str">
            <v>1404/04/24</v>
          </cell>
          <cell r="D138" t="str">
            <v>1404/04/29</v>
          </cell>
        </row>
        <row r="139">
          <cell r="A139" t="str">
            <v>پ/38-1404</v>
          </cell>
          <cell r="B139" t="str">
            <v>عبیر شیمی</v>
          </cell>
          <cell r="C139" t="str">
            <v>1404/04/24</v>
          </cell>
          <cell r="D139" t="str">
            <v>1404/04/29</v>
          </cell>
        </row>
        <row r="140">
          <cell r="A140" t="str">
            <v>پ/39-1404</v>
          </cell>
          <cell r="B140" t="str">
            <v>طوس قزوین</v>
          </cell>
          <cell r="C140" t="str">
            <v>1404/04/31</v>
          </cell>
          <cell r="D140" t="str">
            <v>1404/04/31</v>
          </cell>
        </row>
        <row r="141">
          <cell r="A141" t="str">
            <v>پ/40-1404</v>
          </cell>
          <cell r="B141" t="str">
            <v>تولیدی گازهای طبی و صنعتی طوس سبزوار</v>
          </cell>
          <cell r="C141" t="str">
            <v>1404/04/31</v>
          </cell>
          <cell r="D141" t="str">
            <v>1404/04/31</v>
          </cell>
        </row>
        <row r="142">
          <cell r="A142" t="str">
            <v>پ/41-1404</v>
          </cell>
          <cell r="B142" t="str">
            <v>پاینده ساز فردوس</v>
          </cell>
          <cell r="C142" t="str">
            <v>1404/04/31</v>
          </cell>
          <cell r="D142" t="str">
            <v>1404/04/31</v>
          </cell>
        </row>
        <row r="143">
          <cell r="A143" t="str">
            <v>پ/42-1404</v>
          </cell>
          <cell r="B143" t="str">
            <v>عبیر شیمی</v>
          </cell>
          <cell r="C143" t="str">
            <v>1404/04/31</v>
          </cell>
          <cell r="D143" t="str">
            <v>1404/04/31</v>
          </cell>
        </row>
        <row r="144">
          <cell r="A144" t="str">
            <v>پ/43-1404</v>
          </cell>
          <cell r="B144" t="str">
            <v>تولیدی گازهای طبی و صنعتی طوس سبزوار</v>
          </cell>
          <cell r="C144" t="str">
            <v>1404/05/06</v>
          </cell>
          <cell r="D144" t="str">
            <v>1404/05/11</v>
          </cell>
        </row>
        <row r="145">
          <cell r="A145" t="str">
            <v>پ/44-1404</v>
          </cell>
          <cell r="B145" t="str">
            <v>پاینده ساز فردوس</v>
          </cell>
          <cell r="C145" t="str">
            <v>1404/05/06</v>
          </cell>
          <cell r="D145" t="str">
            <v>1404/05/11</v>
          </cell>
        </row>
        <row r="146">
          <cell r="A146" t="str">
            <v>پ/45-1404</v>
          </cell>
          <cell r="B146" t="str">
            <v>عبیر شیمی</v>
          </cell>
          <cell r="C146" t="str">
            <v>1404/05/06</v>
          </cell>
          <cell r="D146" t="str">
            <v>1404/05/11</v>
          </cell>
        </row>
        <row r="147">
          <cell r="A147" t="str">
            <v>پ/46-1404</v>
          </cell>
          <cell r="B147" t="str">
            <v>طوس قزوین</v>
          </cell>
          <cell r="C147" t="str">
            <v>1404/05/06</v>
          </cell>
          <cell r="D147" t="str">
            <v>1404/05/11</v>
          </cell>
        </row>
        <row r="148">
          <cell r="A148" t="str">
            <v>پ/47-1404</v>
          </cell>
          <cell r="B148" t="str">
            <v>طوس قزوین</v>
          </cell>
          <cell r="C148" t="str">
            <v>1404/05/14</v>
          </cell>
          <cell r="D148" t="str">
            <v>1404/05/14</v>
          </cell>
        </row>
        <row r="149">
          <cell r="A149" t="str">
            <v>پ/48-1404</v>
          </cell>
          <cell r="B149" t="str">
            <v>گاز اکسیژن طوس</v>
          </cell>
          <cell r="C149" t="str">
            <v>1404/05/14</v>
          </cell>
          <cell r="D149" t="str">
            <v>1404/05/14</v>
          </cell>
        </row>
        <row r="150">
          <cell r="A150" t="str">
            <v>پ/49-1404</v>
          </cell>
          <cell r="B150" t="str">
            <v>عبیر شیمی</v>
          </cell>
          <cell r="C150" t="str">
            <v>1404/05/14</v>
          </cell>
          <cell r="D150" t="str">
            <v>1404/05/14</v>
          </cell>
        </row>
        <row r="151">
          <cell r="A151" t="str">
            <v>پ/50-1404</v>
          </cell>
          <cell r="B151" t="str">
            <v>اکسیژن ارومیه گاز</v>
          </cell>
          <cell r="C151" t="str">
            <v>1404/05/14</v>
          </cell>
          <cell r="D151" t="str">
            <v>1404/05/14</v>
          </cell>
        </row>
        <row r="152">
          <cell r="A152" t="str">
            <v>پ/51-1404</v>
          </cell>
          <cell r="B152" t="str">
            <v>طوس قزوین</v>
          </cell>
          <cell r="C152" t="str">
            <v>1404/05/18</v>
          </cell>
          <cell r="D152" t="str">
            <v>1404/05/22</v>
          </cell>
        </row>
        <row r="153">
          <cell r="A153" t="str">
            <v>پ/52-1404</v>
          </cell>
          <cell r="B153" t="str">
            <v>گاز اکسیژن طوس</v>
          </cell>
          <cell r="C153" t="str">
            <v>1404/05/18</v>
          </cell>
          <cell r="D153" t="str">
            <v>1404/05/22</v>
          </cell>
        </row>
        <row r="154">
          <cell r="A154" t="str">
            <v>پ/53-1404</v>
          </cell>
          <cell r="B154" t="str">
            <v>عبیر شیمی</v>
          </cell>
          <cell r="C154" t="str">
            <v>1404/05/18</v>
          </cell>
          <cell r="D154" t="str">
            <v>1404/05/22</v>
          </cell>
        </row>
        <row r="155">
          <cell r="A155" t="str">
            <v>پ/54-1404</v>
          </cell>
          <cell r="B155" t="str">
            <v>اکسیژن ارومیه گاز</v>
          </cell>
          <cell r="C155" t="str">
            <v>1404/05/18</v>
          </cell>
          <cell r="D155" t="str">
            <v>1404/05/22</v>
          </cell>
        </row>
        <row r="156">
          <cell r="A156" t="str">
            <v>پ/55-1404</v>
          </cell>
          <cell r="B156" t="str">
            <v>آیس کار</v>
          </cell>
          <cell r="C156" t="str">
            <v>1404/05/22</v>
          </cell>
          <cell r="D156" t="str">
            <v>1404/05/22</v>
          </cell>
        </row>
        <row r="157">
          <cell r="A157" t="str">
            <v>پ/56-1404</v>
          </cell>
          <cell r="B157" t="str">
            <v>طوس قزوین</v>
          </cell>
          <cell r="C157" t="str">
            <v>1404/05/28</v>
          </cell>
          <cell r="D157" t="str">
            <v>1404/06/01</v>
          </cell>
        </row>
        <row r="158">
          <cell r="A158" t="str">
            <v>پ/57-1404</v>
          </cell>
          <cell r="B158" t="str">
            <v>گاز اکسیژن طوس</v>
          </cell>
          <cell r="C158" t="str">
            <v>1404/05/28</v>
          </cell>
          <cell r="D158" t="str">
            <v>1404/06/01</v>
          </cell>
        </row>
        <row r="159">
          <cell r="A159" t="str">
            <v>پ/58-1404</v>
          </cell>
          <cell r="B159" t="str">
            <v>عبیر شیمی</v>
          </cell>
          <cell r="C159" t="str">
            <v>1404/05/28</v>
          </cell>
          <cell r="D159" t="str">
            <v>1404/06/01</v>
          </cell>
        </row>
        <row r="160">
          <cell r="A160" t="str">
            <v>پ/59-1404</v>
          </cell>
          <cell r="B160" t="str">
            <v>طوس قزوین</v>
          </cell>
          <cell r="C160" t="str">
            <v>1404/06/04</v>
          </cell>
          <cell r="D160" t="str">
            <v>1404/06/09</v>
          </cell>
        </row>
        <row r="161">
          <cell r="A161" t="str">
            <v>پ/60-1404</v>
          </cell>
          <cell r="B161" t="str">
            <v>گاز اکسیژن طوس</v>
          </cell>
          <cell r="C161" t="str">
            <v>1404/06/04</v>
          </cell>
          <cell r="D161" t="str">
            <v>1404/06/09</v>
          </cell>
        </row>
        <row r="162">
          <cell r="A162" t="str">
            <v>پ/61-1404</v>
          </cell>
          <cell r="B162" t="str">
            <v>عبیر شیمی</v>
          </cell>
          <cell r="C162" t="str">
            <v>1404/06/04</v>
          </cell>
          <cell r="D162" t="str">
            <v>1404/06/09</v>
          </cell>
        </row>
        <row r="163">
          <cell r="A163" t="str">
            <v>پ/62-1404</v>
          </cell>
          <cell r="B163" t="str">
            <v>طوس قزوین</v>
          </cell>
          <cell r="C163" t="str">
            <v>1404/06/16</v>
          </cell>
          <cell r="D163" t="str">
            <v>1404/06/22</v>
          </cell>
        </row>
        <row r="164">
          <cell r="A164" t="str">
            <v>پ/63-1404</v>
          </cell>
          <cell r="B164" t="str">
            <v>تولیدی گازهای طبی و صنعتی طوس سبزوار</v>
          </cell>
          <cell r="C164" t="str">
            <v>1404/06/11</v>
          </cell>
          <cell r="D164" t="str">
            <v>1404/06/11</v>
          </cell>
        </row>
        <row r="165">
          <cell r="A165" t="str">
            <v>پ/64-1404</v>
          </cell>
          <cell r="B165" t="str">
            <v>پاینده ساز فردوس</v>
          </cell>
          <cell r="C165" t="str">
            <v>1404/06/11</v>
          </cell>
          <cell r="D165" t="str">
            <v>1404/06/11</v>
          </cell>
        </row>
        <row r="166">
          <cell r="A166" t="str">
            <v>پ/65-1404</v>
          </cell>
          <cell r="B166" t="str">
            <v>طوس قزوین</v>
          </cell>
          <cell r="C166" t="str">
            <v>1404/06/11</v>
          </cell>
          <cell r="D166" t="str">
            <v>1404/06/11</v>
          </cell>
        </row>
        <row r="167">
          <cell r="A167" t="str">
            <v>پ/66-1404</v>
          </cell>
          <cell r="B167" t="str">
            <v>تولیدی گازهای طبی و صنعتی طوس سبزوار</v>
          </cell>
          <cell r="C167" t="str">
            <v>1404/06/16</v>
          </cell>
          <cell r="D167" t="str">
            <v>1404/06/22</v>
          </cell>
        </row>
        <row r="168">
          <cell r="A168" t="str">
            <v>پ/67-1404</v>
          </cell>
          <cell r="B168" t="str">
            <v>پاینده ساز فردوس</v>
          </cell>
          <cell r="C168" t="str">
            <v>1404/06/16</v>
          </cell>
          <cell r="D168" t="str">
            <v>1404/06/22</v>
          </cell>
        </row>
        <row r="169">
          <cell r="A169" t="str">
            <v>پ/68-1404</v>
          </cell>
          <cell r="B169" t="str">
            <v>خوش نوش همدان</v>
          </cell>
          <cell r="C169" t="str">
            <v>1404/06/30</v>
          </cell>
          <cell r="D169">
            <v>45923</v>
          </cell>
        </row>
        <row r="170">
          <cell r="A170" t="str">
            <v>پ/69-1404</v>
          </cell>
          <cell r="B170" t="str">
            <v>طوس قزوین</v>
          </cell>
          <cell r="C170" t="str">
            <v>1404/06/25</v>
          </cell>
          <cell r="D170" t="str">
            <v>1404/06/25</v>
          </cell>
        </row>
        <row r="171">
          <cell r="A171" t="str">
            <v>پ/70-1404</v>
          </cell>
          <cell r="B171" t="str">
            <v>تولیدی گازهای طبی و صنعتی طوس سبزوار</v>
          </cell>
          <cell r="C171" t="str">
            <v>1404/06/25</v>
          </cell>
          <cell r="D171" t="str">
            <v>1404/06/25</v>
          </cell>
        </row>
        <row r="172">
          <cell r="A172" t="str">
            <v>پ/71-1404</v>
          </cell>
          <cell r="B172" t="str">
            <v>عبیر شیمی</v>
          </cell>
          <cell r="C172" t="str">
            <v>1404/06/25</v>
          </cell>
          <cell r="D172" t="str">
            <v>1404/06/25</v>
          </cell>
        </row>
        <row r="173">
          <cell r="A173" t="str">
            <v>پ/72-1404</v>
          </cell>
          <cell r="B173" t="str">
            <v>طوس قزوین</v>
          </cell>
          <cell r="C173" t="str">
            <v>1404/07/08</v>
          </cell>
          <cell r="D173" t="str">
            <v>1404/07/08</v>
          </cell>
        </row>
        <row r="174">
          <cell r="A174" t="str">
            <v>پ/73-1404</v>
          </cell>
          <cell r="B174" t="str">
            <v>تولیدی گازهای طبی و صنعتی طوس سبزوار</v>
          </cell>
          <cell r="C174" t="str">
            <v>1404/07/01</v>
          </cell>
          <cell r="D174">
            <v>45929</v>
          </cell>
        </row>
        <row r="175">
          <cell r="A175" t="str">
            <v>پ/74-1404</v>
          </cell>
          <cell r="B175" t="str">
            <v>عبیر شیمی</v>
          </cell>
          <cell r="C175" t="str">
            <v>1404/07/01</v>
          </cell>
          <cell r="D175" t="str">
            <v>1404/07/07</v>
          </cell>
        </row>
        <row r="176">
          <cell r="A176" t="str">
            <v>پ/75-1404</v>
          </cell>
          <cell r="B176" t="str">
            <v>پارس اکسیر البرز شمالی</v>
          </cell>
          <cell r="C176" t="str">
            <v>1404/07/26</v>
          </cell>
          <cell r="D176" t="str">
            <v>1404/08/02</v>
          </cell>
        </row>
        <row r="177">
          <cell r="A177" t="str">
            <v>پ/76-1404</v>
          </cell>
          <cell r="B177" t="str">
            <v>شرکت گروه صنعتی پاژ گاز خراسان</v>
          </cell>
          <cell r="C177" t="str">
            <v>1404/07/26</v>
          </cell>
          <cell r="D177" t="str">
            <v>1404/08/02</v>
          </cell>
        </row>
        <row r="178">
          <cell r="A178" t="str">
            <v>پ/77-1404</v>
          </cell>
          <cell r="B178" t="str">
            <v>تعاونی ماهان گاز</v>
          </cell>
          <cell r="C178" t="str">
            <v>1404/08/03</v>
          </cell>
          <cell r="D178" t="str">
            <v>1405/01/01</v>
          </cell>
        </row>
        <row r="179">
          <cell r="A179" t="str">
            <v>پ/78-1404</v>
          </cell>
          <cell r="B179" t="str">
            <v>طوس قزوین</v>
          </cell>
          <cell r="C179" t="str">
            <v>1404/08/07</v>
          </cell>
          <cell r="D179" t="str">
            <v>1404/08/07</v>
          </cell>
        </row>
        <row r="180">
          <cell r="A180" t="str">
            <v>پ/79-1404</v>
          </cell>
          <cell r="B180" t="str">
            <v>تولیدی گازهای طبی و صنعتی طوس سبزوار</v>
          </cell>
          <cell r="C180" t="str">
            <v>1404/08/07</v>
          </cell>
          <cell r="D180" t="str">
            <v>1404/08/07</v>
          </cell>
        </row>
        <row r="181">
          <cell r="A181" t="str">
            <v>پ/80-1404</v>
          </cell>
          <cell r="B181" t="str">
            <v>اکسیژن ارومیه گاز</v>
          </cell>
          <cell r="C181" t="str">
            <v>1404/08/07</v>
          </cell>
          <cell r="D181" t="str">
            <v>1404/08/07</v>
          </cell>
        </row>
        <row r="182">
          <cell r="A182" t="str">
            <v>پ/81-1404</v>
          </cell>
          <cell r="B182" t="str">
            <v>طوس قزوین</v>
          </cell>
          <cell r="C182" t="str">
            <v>1404/08/17</v>
          </cell>
          <cell r="D182" t="str">
            <v>1404/08/21</v>
          </cell>
        </row>
        <row r="183">
          <cell r="A183" t="str">
            <v>پ/82-1404</v>
          </cell>
          <cell r="B183" t="str">
            <v>تولیدی گازهای طبی و صنعتی طوس سبزوار</v>
          </cell>
          <cell r="C183" t="str">
            <v>1404/08/17</v>
          </cell>
          <cell r="D183" t="str">
            <v>1404/08/21</v>
          </cell>
        </row>
        <row r="184">
          <cell r="A184" t="str">
            <v>پ/83-1404</v>
          </cell>
          <cell r="B184" t="str">
            <v>اکسیژن ارومیه گاز</v>
          </cell>
          <cell r="C184" t="str">
            <v>1404/08/17</v>
          </cell>
          <cell r="D184" t="str">
            <v>1404/08/21</v>
          </cell>
        </row>
        <row r="185">
          <cell r="A185" t="str">
            <v>پ/84-1404</v>
          </cell>
          <cell r="B185" t="str">
            <v>شرکت گروه صنعتی پاژ گاز خراسان</v>
          </cell>
          <cell r="C185" t="str">
            <v>1404/08/20</v>
          </cell>
          <cell r="D185" t="str">
            <v>1404/08/29</v>
          </cell>
        </row>
        <row r="186">
          <cell r="A186" t="str">
            <v>پ/85-1404</v>
          </cell>
          <cell r="B186" t="str">
            <v>جوش شیرین خراسان</v>
          </cell>
          <cell r="C186" t="str">
            <v>1404/08/20</v>
          </cell>
          <cell r="D186" t="str">
            <v>1404/08/29</v>
          </cell>
        </row>
        <row r="187">
          <cell r="A187" t="str">
            <v>پ/86-1404</v>
          </cell>
          <cell r="B187" t="str">
            <v>عراق اربیل</v>
          </cell>
          <cell r="C187" t="str">
            <v>1404/08/26</v>
          </cell>
          <cell r="D187" t="str">
            <v>1404/08/26</v>
          </cell>
        </row>
        <row r="188">
          <cell r="A188" t="str">
            <v>پ/88-1404</v>
          </cell>
          <cell r="B188" t="str">
            <v>پاینده ساز فردوس</v>
          </cell>
          <cell r="C188" t="str">
            <v>1404/08/20</v>
          </cell>
          <cell r="D188" t="str">
            <v>1404/08/29</v>
          </cell>
        </row>
        <row r="189">
          <cell r="A189" t="str">
            <v>پ/87-1404</v>
          </cell>
          <cell r="B189" t="str">
            <v>طوس قزوین</v>
          </cell>
          <cell r="C189" t="str">
            <v>1404/08/20</v>
          </cell>
          <cell r="D189" t="str">
            <v>1404/08/29</v>
          </cell>
        </row>
        <row r="190">
          <cell r="A190" t="str">
            <v>پ/89-1404</v>
          </cell>
          <cell r="B190" t="str">
            <v>پاینده ساز فردوس</v>
          </cell>
          <cell r="C190" t="str">
            <v>1404/08/26</v>
          </cell>
          <cell r="D190" t="str">
            <v>1404/08/29</v>
          </cell>
        </row>
        <row r="191">
          <cell r="A191" t="str">
            <v>پ/90-1404</v>
          </cell>
          <cell r="B191" t="str">
            <v>طوس قزوین</v>
          </cell>
          <cell r="C191" t="str">
            <v>1404/08/26</v>
          </cell>
          <cell r="D191" t="str">
            <v>1404/08/29</v>
          </cell>
        </row>
        <row r="192">
          <cell r="A192" t="str">
            <v>پ/91-1404</v>
          </cell>
          <cell r="B192" t="str">
            <v>محمود احمدی زلتی</v>
          </cell>
          <cell r="C192" t="str">
            <v>1404/09/05</v>
          </cell>
          <cell r="D192" t="str">
            <v>1404/09/06</v>
          </cell>
        </row>
        <row r="193">
          <cell r="A193" t="str">
            <v>پ/93-1404</v>
          </cell>
          <cell r="B193" t="str">
            <v>طوس قزوین</v>
          </cell>
          <cell r="C193" t="str">
            <v>1404/09/05</v>
          </cell>
          <cell r="D193" t="str">
            <v>1404/09/06</v>
          </cell>
        </row>
        <row r="194">
          <cell r="A194" t="str">
            <v>پ/94-1404</v>
          </cell>
          <cell r="B194" t="str">
            <v>اکسیژن ارومیه گاز</v>
          </cell>
          <cell r="C194" t="str">
            <v>1404/09/05</v>
          </cell>
          <cell r="D194" t="str">
            <v>1404/09/06</v>
          </cell>
        </row>
        <row r="195">
          <cell r="A195" t="str">
            <v>پ/95-1404</v>
          </cell>
          <cell r="B195" t="str">
            <v>طوس قزوین</v>
          </cell>
          <cell r="C195" t="str">
            <v>1404/09/10</v>
          </cell>
          <cell r="D195" t="str">
            <v>1404/09/15</v>
          </cell>
        </row>
        <row r="196">
          <cell r="A196" t="str">
            <v>پ/96-1404</v>
          </cell>
          <cell r="B196" t="str">
            <v>اکسیژن ارومیه گاز</v>
          </cell>
          <cell r="C196" t="str">
            <v>1404/09/10</v>
          </cell>
          <cell r="D196" t="str">
            <v>1404/09/15</v>
          </cell>
        </row>
        <row r="197">
          <cell r="A197" t="str">
            <v>پ/97-1404</v>
          </cell>
          <cell r="B197" t="str">
            <v>تولیدی گازهای طبی و صنعتی طوس سبزوار</v>
          </cell>
          <cell r="C197" t="str">
            <v>1404/09/19</v>
          </cell>
          <cell r="D197" t="str">
            <v>1404/09/19</v>
          </cell>
        </row>
        <row r="198">
          <cell r="A198" t="str">
            <v>پ/98-1404</v>
          </cell>
          <cell r="B198" t="str">
            <v>پاینده ساز فردوس</v>
          </cell>
          <cell r="C198" t="str">
            <v>1404/09/19</v>
          </cell>
          <cell r="D198" t="str">
            <v>1404/09/19</v>
          </cell>
        </row>
        <row r="199">
          <cell r="A199" t="str">
            <v>پ/99-1404</v>
          </cell>
          <cell r="B199" t="str">
            <v>تولیدی گازهای طبی و صنعتی طوس سبزوار</v>
          </cell>
          <cell r="C199" t="str">
            <v>1404/09/23</v>
          </cell>
          <cell r="D199" t="str">
            <v>1404/09/29</v>
          </cell>
        </row>
        <row r="200">
          <cell r="A200" t="str">
            <v>پ/100-1404</v>
          </cell>
          <cell r="B200" t="str">
            <v>پاینده ساز فردوس</v>
          </cell>
          <cell r="C200" t="str">
            <v>1404/09/23</v>
          </cell>
          <cell r="D200" t="str">
            <v>1404/09/29</v>
          </cell>
        </row>
        <row r="201">
          <cell r="A201" t="str">
            <v>پ/101-1404</v>
          </cell>
          <cell r="B201" t="str">
            <v>طاها اندیشان همپای البرز</v>
          </cell>
          <cell r="C201" t="str">
            <v>1404/09/25</v>
          </cell>
          <cell r="D201" t="str">
            <v>1404/10/09</v>
          </cell>
        </row>
        <row r="202">
          <cell r="A202" t="str">
            <v>پ/92-1404</v>
          </cell>
          <cell r="B202" t="str">
            <v>عراق اربیل</v>
          </cell>
          <cell r="C202" t="str">
            <v>1404/10/02</v>
          </cell>
          <cell r="D202" t="str">
            <v>1404/10/02</v>
          </cell>
        </row>
        <row r="203">
          <cell r="A203" t="str">
            <v>پ/102-1404</v>
          </cell>
          <cell r="B203" t="str">
            <v>خوش نوش همدان</v>
          </cell>
          <cell r="C203" t="str">
            <v>1404/10/07</v>
          </cell>
          <cell r="D203" t="str">
            <v>1404/10/09</v>
          </cell>
        </row>
        <row r="204">
          <cell r="A204" t="str">
            <v>پ/103-1404</v>
          </cell>
          <cell r="B204" t="str">
            <v>طوس قزوین</v>
          </cell>
          <cell r="C204" t="str">
            <v>1404/10/10</v>
          </cell>
          <cell r="D204" t="str">
            <v>1404/10/15</v>
          </cell>
        </row>
        <row r="205">
          <cell r="A205" t="str">
            <v>پ/104-1404</v>
          </cell>
          <cell r="B205" t="str">
            <v>طوس قزوین</v>
          </cell>
          <cell r="C205" t="str">
            <v>1404/10/03</v>
          </cell>
          <cell r="D205" t="str">
            <v>1404/10/03</v>
          </cell>
        </row>
        <row r="206">
          <cell r="A206" t="str">
            <v>پ/105-1404</v>
          </cell>
          <cell r="B206" t="str">
            <v>اکسیژن ارومیه گاز</v>
          </cell>
          <cell r="C206" t="str">
            <v>1404/10/17</v>
          </cell>
          <cell r="D206" t="str">
            <v>1404/10/18</v>
          </cell>
        </row>
        <row r="207">
          <cell r="A207" t="str">
            <v>پ/106-1404</v>
          </cell>
          <cell r="B207" t="str">
            <v>طوس قزوین</v>
          </cell>
          <cell r="C207" t="str">
            <v>1404/10/17</v>
          </cell>
          <cell r="D207" t="str">
            <v>1404/10/18</v>
          </cell>
        </row>
        <row r="208">
          <cell r="A208" t="str">
            <v>پ/107-1404</v>
          </cell>
          <cell r="B208" t="str">
            <v>تولیدی گازهای طبی و صنعتی طوس سبزوار</v>
          </cell>
          <cell r="C208" t="str">
            <v>1404/10/17</v>
          </cell>
          <cell r="D208" t="str">
            <v>1404/10/18</v>
          </cell>
        </row>
        <row r="209">
          <cell r="A209" t="str">
            <v>پ/92-1404-1</v>
          </cell>
          <cell r="B209" t="str">
            <v>عراق اربیل</v>
          </cell>
          <cell r="C209" t="str">
            <v>1404/10/02</v>
          </cell>
          <cell r="D209" t="str">
            <v>1404/10/02</v>
          </cell>
        </row>
        <row r="210">
          <cell r="A210" t="str">
            <v>پ/92-1404-2</v>
          </cell>
          <cell r="B210" t="str">
            <v>عراق اربیل</v>
          </cell>
          <cell r="C210" t="str">
            <v>1404/10/02</v>
          </cell>
          <cell r="D210" t="str">
            <v>1404/10/02</v>
          </cell>
        </row>
        <row r="211">
          <cell r="A211" t="str">
            <v>پ/108-1404</v>
          </cell>
          <cell r="B211" t="str">
            <v>پاینده ساز فردوس</v>
          </cell>
          <cell r="C211" t="str">
            <v>1404/10/17</v>
          </cell>
          <cell r="D211" t="str">
            <v>1404/10/18</v>
          </cell>
        </row>
        <row r="212">
          <cell r="A212" t="str">
            <v>پ/109-1404</v>
          </cell>
          <cell r="B212" t="str">
            <v>اکسیژن ارومیه گاز</v>
          </cell>
          <cell r="C212" t="str">
            <v>1404/10/22</v>
          </cell>
          <cell r="D212" t="str">
            <v>1404/10/25</v>
          </cell>
        </row>
        <row r="213">
          <cell r="A213" t="str">
            <v>پ/110-1404</v>
          </cell>
          <cell r="B213" t="str">
            <v>طوس قزوین</v>
          </cell>
          <cell r="C213" t="str">
            <v>1404/10/22</v>
          </cell>
          <cell r="D213" t="str">
            <v>1404/10/25</v>
          </cell>
        </row>
        <row r="214">
          <cell r="A214" t="str">
            <v>پ/111-1404</v>
          </cell>
          <cell r="B214" t="str">
            <v>تولیدی گازهای طبی و صنعتی طوس سبزوار</v>
          </cell>
          <cell r="C214" t="str">
            <v>1404/10/22</v>
          </cell>
          <cell r="D214">
            <v>46037</v>
          </cell>
        </row>
        <row r="215">
          <cell r="A215" t="str">
            <v>پ/112-1404</v>
          </cell>
          <cell r="B215" t="str">
            <v>پاینده ساز فردوس</v>
          </cell>
          <cell r="C215" t="str">
            <v>1404/10/22</v>
          </cell>
          <cell r="D215" t="str">
            <v>1404/10/25</v>
          </cell>
        </row>
        <row r="216">
          <cell r="A216" t="str">
            <v>پ/113-1404</v>
          </cell>
          <cell r="B216" t="str">
            <v>خوش نوش همدان</v>
          </cell>
          <cell r="C216" t="str">
            <v>1404/10/30</v>
          </cell>
          <cell r="D216">
            <v>46042</v>
          </cell>
        </row>
        <row r="217">
          <cell r="A217" t="str">
            <v>پ/114-1404</v>
          </cell>
          <cell r="B217" t="str">
            <v>طوس قزوین</v>
          </cell>
          <cell r="C217" t="str">
            <v>1404/11/01</v>
          </cell>
          <cell r="D217" t="str">
            <v>1404/11/01</v>
          </cell>
        </row>
        <row r="218">
          <cell r="A218" t="str">
            <v>پ/115-1404</v>
          </cell>
          <cell r="B218" t="str">
            <v>پاینده ساز فردوس</v>
          </cell>
          <cell r="C218" t="str">
            <v>1404/11/01</v>
          </cell>
          <cell r="D218" t="str">
            <v>1404/11/01</v>
          </cell>
        </row>
        <row r="219">
          <cell r="A219" t="str">
            <v>پ/116-1404</v>
          </cell>
          <cell r="B219" t="str">
            <v>طوس قزوین</v>
          </cell>
          <cell r="C219" t="str">
            <v>1404/11/06</v>
          </cell>
          <cell r="D219" t="str">
            <v>1404/11/22</v>
          </cell>
        </row>
        <row r="220">
          <cell r="A220" t="str">
            <v>پ/117-1404</v>
          </cell>
          <cell r="B220" t="str">
            <v>پاینده ساز فردوس</v>
          </cell>
          <cell r="C220" t="str">
            <v>1404/11/06</v>
          </cell>
          <cell r="D220" t="str">
            <v>1404/11/11</v>
          </cell>
        </row>
        <row r="221">
          <cell r="A221" t="str">
            <v>پ/118-1404</v>
          </cell>
          <cell r="B221" t="str">
            <v>تولیدی گازهای طبی و صنعتی طوس سبزوار</v>
          </cell>
          <cell r="C221" t="str">
            <v>1404/11/14</v>
          </cell>
          <cell r="D221" t="str">
            <v>1404/11/15</v>
          </cell>
        </row>
        <row r="222">
          <cell r="A222" t="str">
            <v>پ/119-1404</v>
          </cell>
          <cell r="B222" t="str">
            <v>عبیر شیمی</v>
          </cell>
          <cell r="C222" t="str">
            <v>1404/11/21</v>
          </cell>
          <cell r="D222" t="str">
            <v>1404/11/22</v>
          </cell>
        </row>
        <row r="223">
          <cell r="A223" t="str">
            <v>پ/120-1404</v>
          </cell>
          <cell r="B223" t="str">
            <v>طوس قزوین</v>
          </cell>
          <cell r="C223" t="str">
            <v>1404/11/21</v>
          </cell>
          <cell r="D223" t="str">
            <v>1404/11/22</v>
          </cell>
        </row>
        <row r="224">
          <cell r="A224" t="str">
            <v>الحاقیه پ/17-1402</v>
          </cell>
          <cell r="B224" t="str">
            <v>ماشین سازی پیشتازان گاز کربنیک اردستان</v>
          </cell>
          <cell r="C224" t="str">
            <v>1404/09/05</v>
          </cell>
          <cell r="D224" t="str">
            <v>1404/10/22</v>
          </cell>
        </row>
        <row r="225">
          <cell r="A225" t="str">
            <v>پ/92-1404-3</v>
          </cell>
          <cell r="B225" t="str">
            <v>عراق اربیل</v>
          </cell>
          <cell r="C225" t="str">
            <v>1404/10/02</v>
          </cell>
          <cell r="D225" t="str">
            <v>1404/10/02</v>
          </cell>
        </row>
        <row r="226">
          <cell r="A226" t="str">
            <v>پ/121-1404</v>
          </cell>
          <cell r="B226" t="str">
            <v>تولیدی گازهای طبی و صنعتی طوس سبزوار</v>
          </cell>
          <cell r="C226" t="str">
            <v>1404/11/26</v>
          </cell>
          <cell r="D226" t="str">
            <v>1404/12/01</v>
          </cell>
        </row>
        <row r="227">
          <cell r="A227" t="str">
            <v>پ/122-1404</v>
          </cell>
          <cell r="B227" t="str">
            <v>عبیر شیمی</v>
          </cell>
          <cell r="C227" t="str">
            <v>1404/11/26</v>
          </cell>
          <cell r="D227" t="str">
            <v>1404/12/01</v>
          </cell>
        </row>
        <row r="228">
          <cell r="A228" t="str">
            <v>پ/123-1404</v>
          </cell>
          <cell r="B228" t="str">
            <v>طوس قزوین</v>
          </cell>
          <cell r="C228" t="str">
            <v>1404/11/26</v>
          </cell>
          <cell r="D228" t="str">
            <v>1404/12/01</v>
          </cell>
        </row>
        <row r="229">
          <cell r="A229" t="str">
            <v>پ/124-1404</v>
          </cell>
          <cell r="B229" t="str">
            <v>محمود احمدی زلتی</v>
          </cell>
          <cell r="C229" t="str">
            <v>1404/12/25</v>
          </cell>
          <cell r="D229" t="str">
            <v>1404/12/27</v>
          </cell>
        </row>
        <row r="230">
          <cell r="A230" t="str">
            <v>پ/125-1404</v>
          </cell>
          <cell r="B230" t="str">
            <v>طاها اندیشان همپای البرز</v>
          </cell>
          <cell r="C230" t="str">
            <v>1404/12/25</v>
          </cell>
          <cell r="D230" t="str">
            <v>1404/12/27</v>
          </cell>
        </row>
        <row r="231">
          <cell r="A231" t="str">
            <v>پ/126-1404</v>
          </cell>
          <cell r="B231" t="str">
            <v>تعاونی ماهان گاز</v>
          </cell>
          <cell r="C231" t="str">
            <v>1404/12/26</v>
          </cell>
          <cell r="D231" t="str">
            <v>1404/12/27</v>
          </cell>
        </row>
        <row r="232">
          <cell r="A232" t="str">
            <v>پ/92-1404-4</v>
          </cell>
          <cell r="B232" t="str">
            <v>عراق اربیل</v>
          </cell>
          <cell r="C232" t="str">
            <v>1404/10/02</v>
          </cell>
          <cell r="D232" t="str">
            <v>1404/10/02</v>
          </cell>
        </row>
        <row r="233">
          <cell r="A233" t="str">
            <v>الحاقیه پ/13-1404</v>
          </cell>
          <cell r="B233" t="str">
            <v>عبیر شیمی</v>
          </cell>
          <cell r="C233" t="str">
            <v>1404/11/16</v>
          </cell>
          <cell r="D233" t="str">
            <v>1404/11/16</v>
          </cell>
        </row>
        <row r="234">
          <cell r="A234" t="str">
            <v>الحاقیه پ/50-1403-2</v>
          </cell>
          <cell r="B234" t="str">
            <v>گروه صنایع شیمیایی به آفرین گاز تیسفون</v>
          </cell>
          <cell r="C234" t="str">
            <v>1405/02/13</v>
          </cell>
          <cell r="D234" t="str">
            <v>1405/02/14</v>
          </cell>
        </row>
        <row r="235">
          <cell r="A235" t="str">
            <v>الحاقیه پ/69-1403-2</v>
          </cell>
          <cell r="B235" t="str">
            <v>سپهر سرمد</v>
          </cell>
          <cell r="C235" t="str">
            <v>1405/02/13</v>
          </cell>
          <cell r="D235" t="str">
            <v>1405/02/14</v>
          </cell>
        </row>
        <row r="236">
          <cell r="A236" t="str">
            <v>پ/01-1405</v>
          </cell>
          <cell r="B236" t="str">
            <v>طوفان کویر</v>
          </cell>
          <cell r="C236" t="str">
            <v>1405/02/13</v>
          </cell>
          <cell r="D236" t="str">
            <v>1405/02/14</v>
          </cell>
        </row>
        <row r="237">
          <cell r="A237" t="str">
            <v>پ/02-1405</v>
          </cell>
          <cell r="B237" t="str">
            <v>گاز کربنیک نورین ابهر</v>
          </cell>
          <cell r="C237" t="str">
            <v>1405/02/13</v>
          </cell>
          <cell r="D237" t="str">
            <v>1405/02/14</v>
          </cell>
        </row>
        <row r="238">
          <cell r="A238" t="str">
            <v>پ/03-1405</v>
          </cell>
          <cell r="B238" t="str">
            <v>راسا پایدار مصباح</v>
          </cell>
          <cell r="C238" t="str">
            <v>1405/02/21</v>
          </cell>
          <cell r="D238" t="str">
            <v>1405/02/22</v>
          </cell>
        </row>
        <row r="239">
          <cell r="A239" t="str">
            <v>الحاقیه پ/55-1403-2</v>
          </cell>
          <cell r="B239" t="str">
            <v>پارس کربنیک کردستان</v>
          </cell>
          <cell r="C239" t="str">
            <v>1405/02/13</v>
          </cell>
          <cell r="D239" t="str">
            <v>1405/02/14</v>
          </cell>
        </row>
        <row r="240">
          <cell r="A240" t="str">
            <v>الحاقیه پ/58-1403-2</v>
          </cell>
          <cell r="B240" t="str">
            <v>تعاونی ماهان گاز</v>
          </cell>
          <cell r="C240" t="str">
            <v>1405/02/13</v>
          </cell>
          <cell r="D240" t="str">
            <v>1405/02/14</v>
          </cell>
        </row>
        <row r="241">
          <cell r="A241" t="str">
            <v>الحاقیه پ/52-1403-2</v>
          </cell>
          <cell r="B241" t="str">
            <v>تولید گازهای طبی و صنعتی مددکاران اصفهان</v>
          </cell>
          <cell r="C241" t="str">
            <v>1405/02/13</v>
          </cell>
          <cell r="D241" t="str">
            <v>1405/02/14</v>
          </cell>
        </row>
        <row r="242">
          <cell r="A242" t="str">
            <v>الحاقیه پ/65-1403-2</v>
          </cell>
          <cell r="B242" t="str">
            <v>تولیدی گازهای طبی و صنعتی طوس سبزوار</v>
          </cell>
          <cell r="C242" t="str">
            <v>1405/02/13</v>
          </cell>
          <cell r="D242" t="str">
            <v>1405/02/14</v>
          </cell>
        </row>
        <row r="243">
          <cell r="A243" t="str">
            <v>الحاقیه پ/62-1403-2</v>
          </cell>
          <cell r="B243" t="str">
            <v>گاز اکسیژن طوس</v>
          </cell>
          <cell r="C243" t="str">
            <v>1405/02/13</v>
          </cell>
          <cell r="D243" t="str">
            <v>1405/02/14</v>
          </cell>
        </row>
        <row r="244">
          <cell r="A244" t="str">
            <v>الحاقیه پ/54-1403-2</v>
          </cell>
          <cell r="B244" t="str">
            <v>گاز کربنیک غرب</v>
          </cell>
          <cell r="C244" t="str">
            <v>1405/02/13</v>
          </cell>
          <cell r="D244" t="str">
            <v>1405/02/14</v>
          </cell>
        </row>
        <row r="245">
          <cell r="A245" t="str">
            <v>الحاقیه پ/59-1403-2</v>
          </cell>
          <cell r="B245" t="str">
            <v>جوش شیرین خراسان</v>
          </cell>
          <cell r="C245" t="str">
            <v>1405/02/13</v>
          </cell>
          <cell r="D245" t="str">
            <v>1405/02/14</v>
          </cell>
        </row>
        <row r="246">
          <cell r="A246" t="str">
            <v>پ/92-1404-5</v>
          </cell>
          <cell r="B246" t="str">
            <v>عراق اربیل</v>
          </cell>
          <cell r="C246" t="str">
            <v>1404/10/02</v>
          </cell>
          <cell r="D246" t="str">
            <v>1404/10/03</v>
          </cell>
        </row>
        <row r="247">
          <cell r="A247" t="str">
            <v>پ/92-1404-6</v>
          </cell>
          <cell r="B247" t="str">
            <v>عراق اربیل</v>
          </cell>
          <cell r="C247" t="str">
            <v>1404/10/02</v>
          </cell>
          <cell r="D247" t="str">
            <v>1404/10/03</v>
          </cell>
        </row>
      </sheetData>
      <sheetData sheetId="6">
        <row r="1">
          <cell r="C1" t="str">
            <v>شماره پیش فاکتور</v>
          </cell>
          <cell r="D1" t="str">
            <v>میزان بارگیری شده</v>
          </cell>
        </row>
        <row r="2">
          <cell r="C2" t="str">
            <v>پ/102-1404</v>
          </cell>
          <cell r="D2">
            <v>20090</v>
          </cell>
        </row>
        <row r="3">
          <cell r="C3" t="str">
            <v>پ/59-1404</v>
          </cell>
          <cell r="D3">
            <v>20890</v>
          </cell>
        </row>
        <row r="4">
          <cell r="C4" t="str">
            <v>الحاقیه پ/52-1403-2</v>
          </cell>
          <cell r="D4">
            <v>20040</v>
          </cell>
        </row>
        <row r="5">
          <cell r="C5" t="str">
            <v>پ/119-1404</v>
          </cell>
          <cell r="D5">
            <v>40</v>
          </cell>
        </row>
        <row r="6">
          <cell r="C6" t="str">
            <v>الحاقیه پ/13-1404</v>
          </cell>
          <cell r="D6">
            <v>20020</v>
          </cell>
        </row>
        <row r="7">
          <cell r="C7" t="str">
            <v>الحاقیه پ/54-1403-2</v>
          </cell>
          <cell r="D7">
            <v>23030</v>
          </cell>
        </row>
        <row r="8">
          <cell r="C8" t="str">
            <v>پ/51-1404</v>
          </cell>
          <cell r="D8">
            <v>10905</v>
          </cell>
        </row>
        <row r="9">
          <cell r="C9" t="str">
            <v>پ/59-1404</v>
          </cell>
          <cell r="D9">
            <v>9095</v>
          </cell>
        </row>
        <row r="10">
          <cell r="C10" t="str">
            <v>الحاقیه پ/52-1403-2</v>
          </cell>
          <cell r="D10">
            <v>7060</v>
          </cell>
        </row>
        <row r="11">
          <cell r="C11" t="str">
            <v>الحاقیه پ/50-1403-2</v>
          </cell>
          <cell r="D11">
            <v>7340</v>
          </cell>
        </row>
        <row r="12">
          <cell r="C12" t="str">
            <v>پ/91-1404</v>
          </cell>
          <cell r="D12">
            <v>14240</v>
          </cell>
        </row>
        <row r="13">
          <cell r="C13" t="str">
            <v>پ/03-1405</v>
          </cell>
          <cell r="D13">
            <v>20010</v>
          </cell>
        </row>
        <row r="14">
          <cell r="C14" t="str">
            <v>الحاقیه پ/52-1403-2</v>
          </cell>
          <cell r="D14">
            <v>19850</v>
          </cell>
        </row>
        <row r="15">
          <cell r="C15" t="str">
            <v>پ/118-1404</v>
          </cell>
          <cell r="D15">
            <v>17920</v>
          </cell>
        </row>
        <row r="16">
          <cell r="C16" t="str">
            <v>پ/76-1404</v>
          </cell>
          <cell r="D16">
            <v>20140</v>
          </cell>
        </row>
        <row r="17">
          <cell r="C17" t="str">
            <v>پ/100-1404</v>
          </cell>
          <cell r="D17">
            <v>12005</v>
          </cell>
        </row>
        <row r="18">
          <cell r="C18" t="str">
            <v>پ/112-1404</v>
          </cell>
          <cell r="D18">
            <v>8285</v>
          </cell>
        </row>
        <row r="19">
          <cell r="C19" t="str">
            <v>الحاقیه پ/58-1403-2</v>
          </cell>
          <cell r="D19">
            <v>11520</v>
          </cell>
        </row>
        <row r="20">
          <cell r="C20" t="str">
            <v>پ/75-1404</v>
          </cell>
          <cell r="D20">
            <v>20020</v>
          </cell>
        </row>
        <row r="21">
          <cell r="C21" t="str">
            <v>پ/114-1404</v>
          </cell>
          <cell r="D21">
            <v>20100</v>
          </cell>
        </row>
        <row r="22">
          <cell r="C22" t="str">
            <v>الحاقیه پ/13-1404</v>
          </cell>
          <cell r="D22">
            <v>20130</v>
          </cell>
        </row>
        <row r="23">
          <cell r="C23" t="str">
            <v>پ/76-1404</v>
          </cell>
          <cell r="D23">
            <v>20320</v>
          </cell>
        </row>
        <row r="24">
          <cell r="C24" t="str">
            <v>پ/46-1404</v>
          </cell>
          <cell r="D24">
            <v>1025</v>
          </cell>
        </row>
        <row r="25">
          <cell r="C25" t="str">
            <v>پ/51-1404</v>
          </cell>
          <cell r="D25">
            <v>19095</v>
          </cell>
        </row>
        <row r="26">
          <cell r="C26" t="str">
            <v>پ/32-1404</v>
          </cell>
          <cell r="D26">
            <v>955</v>
          </cell>
        </row>
        <row r="27">
          <cell r="C27" t="str">
            <v>پ/46-1404</v>
          </cell>
          <cell r="D27">
            <v>18975</v>
          </cell>
        </row>
        <row r="28">
          <cell r="C28" t="str">
            <v>پ/77-1404</v>
          </cell>
          <cell r="D28">
            <v>11490</v>
          </cell>
        </row>
        <row r="29">
          <cell r="C29" t="str">
            <v>الحاقیه پ/54-1403-2</v>
          </cell>
          <cell r="D29">
            <v>23000</v>
          </cell>
        </row>
        <row r="30">
          <cell r="C30" t="str">
            <v>الحاقیه پ/50-1403-2</v>
          </cell>
          <cell r="D30">
            <v>7370</v>
          </cell>
        </row>
        <row r="31">
          <cell r="C31" t="str">
            <v>الحاقیه پ/52-1403-2</v>
          </cell>
          <cell r="D31">
            <v>19870</v>
          </cell>
        </row>
        <row r="32">
          <cell r="C32" t="str">
            <v>پ/32-1404</v>
          </cell>
          <cell r="D32">
            <v>20120</v>
          </cell>
        </row>
        <row r="33">
          <cell r="C33" t="str">
            <v>پ/92-1404-5</v>
          </cell>
          <cell r="D33">
            <v>20910</v>
          </cell>
        </row>
        <row r="34">
          <cell r="C34" t="str">
            <v>پ/92-1404-5</v>
          </cell>
          <cell r="D34">
            <v>20890</v>
          </cell>
        </row>
        <row r="35">
          <cell r="C35" t="str">
            <v>پ/92-1404-5</v>
          </cell>
          <cell r="D35">
            <v>20370</v>
          </cell>
        </row>
        <row r="36">
          <cell r="C36" t="str">
            <v>پ/92-1404-5</v>
          </cell>
          <cell r="D36">
            <v>20530</v>
          </cell>
        </row>
        <row r="37">
          <cell r="C37" t="str">
            <v>پ/92-1404-5</v>
          </cell>
          <cell r="D37">
            <v>20600</v>
          </cell>
        </row>
        <row r="38">
          <cell r="C38" t="str">
            <v>پ/92-1404-5</v>
          </cell>
          <cell r="D38">
            <v>20230</v>
          </cell>
        </row>
        <row r="39">
          <cell r="C39" t="str">
            <v>پ/92-1404-5</v>
          </cell>
          <cell r="D39">
            <v>21110</v>
          </cell>
        </row>
        <row r="40">
          <cell r="C40" t="str">
            <v>پ/92-1404-5</v>
          </cell>
          <cell r="D40">
            <v>21030</v>
          </cell>
        </row>
        <row r="41">
          <cell r="C41" t="str">
            <v>پ/92-1404-5</v>
          </cell>
          <cell r="D41">
            <v>20960</v>
          </cell>
        </row>
        <row r="42">
          <cell r="C42" t="str">
            <v>پ/92-1404-5</v>
          </cell>
          <cell r="D42">
            <v>21080</v>
          </cell>
        </row>
        <row r="43">
          <cell r="C43" t="str">
            <v>پ/92-1404-5</v>
          </cell>
          <cell r="D43">
            <v>20940</v>
          </cell>
        </row>
        <row r="44">
          <cell r="C44" t="str">
            <v>پ/92-1404-5</v>
          </cell>
          <cell r="D44">
            <v>21100</v>
          </cell>
        </row>
        <row r="45">
          <cell r="C45" t="str">
            <v>پ/92-1404-5</v>
          </cell>
          <cell r="D45">
            <v>21210</v>
          </cell>
        </row>
        <row r="46">
          <cell r="C46" t="str">
            <v>پ/92-1404-5</v>
          </cell>
          <cell r="D46">
            <v>21010</v>
          </cell>
        </row>
        <row r="47">
          <cell r="C47" t="str">
            <v>پ/92-1404-5</v>
          </cell>
          <cell r="D47">
            <v>20680</v>
          </cell>
        </row>
        <row r="48">
          <cell r="C48" t="str">
            <v>پ/92-1404-5</v>
          </cell>
          <cell r="D48">
            <v>21040</v>
          </cell>
        </row>
        <row r="49">
          <cell r="C49" t="str">
            <v>پ/92-1404-5</v>
          </cell>
          <cell r="D49">
            <v>21000</v>
          </cell>
        </row>
        <row r="50">
          <cell r="C50" t="str">
            <v>پ/92-1404-5</v>
          </cell>
          <cell r="D50">
            <v>20660</v>
          </cell>
        </row>
        <row r="51">
          <cell r="C51" t="str">
            <v>پ/92-1404-5</v>
          </cell>
          <cell r="D51">
            <v>20600</v>
          </cell>
        </row>
        <row r="52">
          <cell r="C52" t="str">
            <v>پ/92-1404-5</v>
          </cell>
          <cell r="D52">
            <v>20160</v>
          </cell>
        </row>
        <row r="53">
          <cell r="C53" t="str">
            <v>پ/92-1404-5</v>
          </cell>
          <cell r="D53">
            <v>20550</v>
          </cell>
        </row>
        <row r="54">
          <cell r="C54" t="str">
            <v>پ/92-1404-5</v>
          </cell>
          <cell r="D54">
            <v>21050</v>
          </cell>
        </row>
        <row r="55">
          <cell r="C55" t="str">
            <v>پ/92-1404-5</v>
          </cell>
          <cell r="D55">
            <v>21110</v>
          </cell>
        </row>
        <row r="56">
          <cell r="C56" t="str">
            <v>پ/92-1404-4</v>
          </cell>
          <cell r="D56">
            <v>2850</v>
          </cell>
        </row>
        <row r="57">
          <cell r="C57" t="str">
            <v>پ/92-1404-5</v>
          </cell>
          <cell r="D57">
            <v>18260</v>
          </cell>
        </row>
        <row r="58">
          <cell r="C58" t="str">
            <v>پ/102-1404</v>
          </cell>
          <cell r="D58">
            <v>17960</v>
          </cell>
        </row>
        <row r="59">
          <cell r="C59" t="str">
            <v>پ/76-1404</v>
          </cell>
          <cell r="D59">
            <v>22000</v>
          </cell>
        </row>
        <row r="60">
          <cell r="C60" t="str">
            <v>الحاقیه پ/55-1403-2</v>
          </cell>
          <cell r="D60">
            <v>6540</v>
          </cell>
        </row>
        <row r="61">
          <cell r="C61" t="str">
            <v>الحاقیه پ/69-1403-2</v>
          </cell>
          <cell r="D61">
            <v>19880</v>
          </cell>
        </row>
        <row r="62">
          <cell r="C62" t="str">
            <v>الحاقیه پ/50-1403-2</v>
          </cell>
          <cell r="D62">
            <v>7260</v>
          </cell>
        </row>
        <row r="63">
          <cell r="C63" t="str">
            <v>الحاقیه پ/69-1403-2</v>
          </cell>
          <cell r="D63">
            <v>19890</v>
          </cell>
        </row>
        <row r="64">
          <cell r="C64" t="str">
            <v>پ/75-1404</v>
          </cell>
          <cell r="D64">
            <v>21770</v>
          </cell>
        </row>
        <row r="65">
          <cell r="C65" t="str">
            <v>پ/89-1404</v>
          </cell>
          <cell r="D65">
            <v>12135</v>
          </cell>
        </row>
        <row r="66">
          <cell r="C66" t="str">
            <v>پ/100-1404</v>
          </cell>
          <cell r="D66">
            <v>7995</v>
          </cell>
        </row>
        <row r="67">
          <cell r="C67" t="str">
            <v>پ/76-1404</v>
          </cell>
          <cell r="D67">
            <v>20010</v>
          </cell>
        </row>
        <row r="68">
          <cell r="C68" t="str">
            <v>پ/102-1404</v>
          </cell>
          <cell r="D68">
            <v>22080</v>
          </cell>
        </row>
        <row r="69">
          <cell r="C69" t="str">
            <v>پ/101-1404</v>
          </cell>
          <cell r="D69">
            <v>22680</v>
          </cell>
        </row>
        <row r="70">
          <cell r="C70" t="str">
            <v>پ/101-1404</v>
          </cell>
          <cell r="D70">
            <v>22530</v>
          </cell>
        </row>
        <row r="71">
          <cell r="C71" t="str">
            <v>پ/14-1404</v>
          </cell>
          <cell r="D71">
            <v>20850</v>
          </cell>
        </row>
        <row r="72">
          <cell r="C72" t="str">
            <v>پ/75-1404</v>
          </cell>
          <cell r="D72">
            <v>20400</v>
          </cell>
        </row>
        <row r="73">
          <cell r="C73" t="str">
            <v>پ/67-1403</v>
          </cell>
          <cell r="D73">
            <v>1440</v>
          </cell>
        </row>
        <row r="74">
          <cell r="C74" t="str">
            <v>پ/126-1404</v>
          </cell>
          <cell r="D74">
            <v>10350</v>
          </cell>
        </row>
        <row r="75">
          <cell r="C75" t="str">
            <v>الحاقیه پ/53-1403</v>
          </cell>
          <cell r="D75">
            <v>11055</v>
          </cell>
        </row>
        <row r="76">
          <cell r="C76" t="str">
            <v>پ/32-1404</v>
          </cell>
          <cell r="D76">
            <v>8785</v>
          </cell>
        </row>
        <row r="77">
          <cell r="C77" t="str">
            <v>الحاقیه پ/52-1403</v>
          </cell>
          <cell r="D77">
            <v>6940</v>
          </cell>
        </row>
        <row r="78">
          <cell r="C78" t="str">
            <v>الحاقیه پ/53-1403</v>
          </cell>
          <cell r="D78">
            <v>17740</v>
          </cell>
        </row>
        <row r="79">
          <cell r="C79" t="str">
            <v>پ/105-1404</v>
          </cell>
          <cell r="D79">
            <v>22100</v>
          </cell>
        </row>
        <row r="80">
          <cell r="C80" t="str">
            <v>پ/76-1404</v>
          </cell>
          <cell r="D80">
            <v>19940</v>
          </cell>
        </row>
        <row r="81">
          <cell r="C81" t="str">
            <v>الحاقیه پ/53-1403</v>
          </cell>
          <cell r="D81">
            <v>19820</v>
          </cell>
        </row>
        <row r="82">
          <cell r="C82" t="str">
            <v>پ/102-1404</v>
          </cell>
          <cell r="D82">
            <v>20140</v>
          </cell>
        </row>
        <row r="83">
          <cell r="C83" t="str">
            <v>پ/37-1404</v>
          </cell>
          <cell r="D83">
            <v>17530</v>
          </cell>
        </row>
        <row r="84">
          <cell r="C84" t="str">
            <v>الحاقیه پ/50-1403</v>
          </cell>
          <cell r="D84">
            <v>7090</v>
          </cell>
        </row>
        <row r="85">
          <cell r="C85" t="str">
            <v>پ/75-1404</v>
          </cell>
          <cell r="D85">
            <v>20080</v>
          </cell>
        </row>
        <row r="86">
          <cell r="C86" t="str">
            <v>الحاقیه پ/53-1403</v>
          </cell>
          <cell r="D86">
            <v>20020</v>
          </cell>
        </row>
        <row r="87">
          <cell r="C87" t="str">
            <v>پ/37-1404</v>
          </cell>
          <cell r="D87">
            <v>15950</v>
          </cell>
        </row>
        <row r="88">
          <cell r="C88" t="str">
            <v>الحاقیه پ/65-1403</v>
          </cell>
          <cell r="D88">
            <v>18170</v>
          </cell>
        </row>
        <row r="89">
          <cell r="C89" t="str">
            <v>الحاقیه پ/53-1403</v>
          </cell>
          <cell r="D89">
            <v>17620</v>
          </cell>
        </row>
        <row r="90">
          <cell r="C90" t="str">
            <v>پ/76-1404</v>
          </cell>
          <cell r="D90">
            <v>20890</v>
          </cell>
        </row>
        <row r="91">
          <cell r="C91" t="str">
            <v>الحاقیه پ/53-1403</v>
          </cell>
          <cell r="D91">
            <v>19970</v>
          </cell>
        </row>
        <row r="92">
          <cell r="C92" t="str">
            <v>پ/91-1404</v>
          </cell>
          <cell r="D92">
            <v>10100</v>
          </cell>
        </row>
        <row r="93">
          <cell r="C93" t="str">
            <v>پ/92-1404-4</v>
          </cell>
          <cell r="D93">
            <v>21000</v>
          </cell>
        </row>
        <row r="94">
          <cell r="C94" t="str">
            <v>پ/92-1404-4</v>
          </cell>
          <cell r="D94">
            <v>21090</v>
          </cell>
        </row>
        <row r="95">
          <cell r="C95" t="str">
            <v>پ/92-1404-4</v>
          </cell>
          <cell r="D95">
            <v>21170</v>
          </cell>
        </row>
        <row r="96">
          <cell r="C96" t="str">
            <v>پ/92-1404-4</v>
          </cell>
          <cell r="D96">
            <v>20300</v>
          </cell>
        </row>
        <row r="97">
          <cell r="C97" t="str">
            <v>پ/92-1404-4</v>
          </cell>
          <cell r="D97">
            <v>21010</v>
          </cell>
        </row>
        <row r="98">
          <cell r="C98" t="str">
            <v>پ/92-1404-4</v>
          </cell>
          <cell r="D98">
            <v>21100</v>
          </cell>
        </row>
        <row r="99">
          <cell r="C99" t="str">
            <v>پ/92-1404-4</v>
          </cell>
          <cell r="D99">
            <v>20990</v>
          </cell>
        </row>
        <row r="100">
          <cell r="C100" t="str">
            <v>پ/92-1404-4</v>
          </cell>
          <cell r="D100">
            <v>20580</v>
          </cell>
        </row>
        <row r="101">
          <cell r="C101" t="str">
            <v>پ/92-1404-4</v>
          </cell>
          <cell r="D101">
            <v>21010</v>
          </cell>
        </row>
        <row r="102">
          <cell r="C102" t="str">
            <v>پ/92-1404-4</v>
          </cell>
          <cell r="D102">
            <v>20940</v>
          </cell>
        </row>
        <row r="103">
          <cell r="C103" t="str">
            <v>پ/92-1404-4</v>
          </cell>
          <cell r="D103">
            <v>20990</v>
          </cell>
        </row>
        <row r="104">
          <cell r="C104" t="str">
            <v>پ/92-1404-4</v>
          </cell>
          <cell r="D104">
            <v>20070</v>
          </cell>
        </row>
        <row r="105">
          <cell r="C105" t="str">
            <v>پ/92-1404-4</v>
          </cell>
          <cell r="D105">
            <v>19830</v>
          </cell>
        </row>
        <row r="106">
          <cell r="C106" t="str">
            <v>پ/92-1404-4</v>
          </cell>
          <cell r="D106">
            <v>20140</v>
          </cell>
        </row>
        <row r="107">
          <cell r="C107" t="str">
            <v>پ/92-1404-4</v>
          </cell>
          <cell r="D107">
            <v>20040</v>
          </cell>
        </row>
        <row r="108">
          <cell r="C108" t="str">
            <v>پ/92-1404-4</v>
          </cell>
          <cell r="D108">
            <v>21010</v>
          </cell>
        </row>
        <row r="109">
          <cell r="C109" t="str">
            <v>پ/92-1404-4</v>
          </cell>
          <cell r="D109">
            <v>20710</v>
          </cell>
        </row>
        <row r="110">
          <cell r="C110" t="str">
            <v>پ/92-1404-4</v>
          </cell>
          <cell r="D110">
            <v>21010</v>
          </cell>
        </row>
        <row r="111">
          <cell r="C111" t="str">
            <v>پ/92-1404-4</v>
          </cell>
          <cell r="D111">
            <v>20590</v>
          </cell>
        </row>
        <row r="112">
          <cell r="C112" t="str">
            <v>پ/92-1404-4</v>
          </cell>
          <cell r="D112">
            <v>20130</v>
          </cell>
        </row>
        <row r="113">
          <cell r="C113" t="str">
            <v>پ/92-1404-4</v>
          </cell>
          <cell r="D113">
            <v>19970</v>
          </cell>
        </row>
        <row r="114">
          <cell r="C114" t="str">
            <v>پ/92-1404-4</v>
          </cell>
          <cell r="D114">
            <v>20150</v>
          </cell>
        </row>
        <row r="115">
          <cell r="C115" t="str">
            <v>پ/92-1404-4</v>
          </cell>
          <cell r="D115">
            <v>19990</v>
          </cell>
        </row>
        <row r="116">
          <cell r="C116" t="str">
            <v>پ/92-1404-4</v>
          </cell>
          <cell r="D116">
            <v>20130</v>
          </cell>
        </row>
        <row r="117">
          <cell r="C117" t="str">
            <v>پ/92-1404-3</v>
          </cell>
          <cell r="D117">
            <v>16700</v>
          </cell>
        </row>
        <row r="118">
          <cell r="C118" t="str">
            <v>پ/92-1404-4</v>
          </cell>
          <cell r="D118">
            <v>3200</v>
          </cell>
        </row>
        <row r="119">
          <cell r="C119" t="str">
            <v>پ/75-1404</v>
          </cell>
          <cell r="D119">
            <v>21960</v>
          </cell>
        </row>
        <row r="120">
          <cell r="C120" t="str">
            <v>پ/102-1404</v>
          </cell>
          <cell r="D120">
            <v>20180</v>
          </cell>
        </row>
        <row r="121">
          <cell r="C121" t="str">
            <v>پ/119-1404</v>
          </cell>
          <cell r="D121">
            <v>20060</v>
          </cell>
        </row>
        <row r="122">
          <cell r="C122" t="str">
            <v>الحاقیه پ/53-1403</v>
          </cell>
          <cell r="D122">
            <v>19990</v>
          </cell>
        </row>
        <row r="123">
          <cell r="C123" t="str">
            <v>پ/102-1404</v>
          </cell>
          <cell r="D123">
            <v>18120</v>
          </cell>
        </row>
        <row r="124">
          <cell r="C124" t="str">
            <v>پ/102-1404</v>
          </cell>
          <cell r="D124">
            <v>5280</v>
          </cell>
        </row>
        <row r="125">
          <cell r="C125" t="str">
            <v>پ/102-1404</v>
          </cell>
          <cell r="D125">
            <v>20190</v>
          </cell>
        </row>
        <row r="126">
          <cell r="C126" t="str">
            <v>الحاقیه پ/53-1403</v>
          </cell>
          <cell r="D126">
            <v>15790</v>
          </cell>
        </row>
        <row r="127">
          <cell r="C127" t="str">
            <v>الحاقیه پ/53-1403</v>
          </cell>
          <cell r="D127">
            <v>17310</v>
          </cell>
        </row>
        <row r="128">
          <cell r="C128" t="str">
            <v>پ/67-1403</v>
          </cell>
          <cell r="D128">
            <v>11460</v>
          </cell>
        </row>
        <row r="129">
          <cell r="C129" t="str">
            <v>الحاقیه پ/53-1403</v>
          </cell>
          <cell r="D129">
            <v>17370</v>
          </cell>
        </row>
        <row r="130">
          <cell r="C130" t="str">
            <v>پ/102-1404</v>
          </cell>
          <cell r="D130">
            <v>14880</v>
          </cell>
        </row>
        <row r="131">
          <cell r="C131" t="str">
            <v>پ/32-1404</v>
          </cell>
          <cell r="D131">
            <v>20140</v>
          </cell>
        </row>
        <row r="132">
          <cell r="C132" t="str">
            <v>پ/76-1404</v>
          </cell>
          <cell r="D132">
            <v>18720</v>
          </cell>
        </row>
        <row r="133">
          <cell r="C133" t="str">
            <v>الحاقیه پ/43-1402</v>
          </cell>
          <cell r="D133">
            <v>4050</v>
          </cell>
        </row>
        <row r="134">
          <cell r="C134" t="str">
            <v>الحاقیه پ/53-1403</v>
          </cell>
          <cell r="D134">
            <v>15750</v>
          </cell>
        </row>
        <row r="135">
          <cell r="C135" t="str">
            <v>پ/114-1404</v>
          </cell>
          <cell r="D135">
            <v>20570</v>
          </cell>
        </row>
        <row r="136">
          <cell r="C136" t="str">
            <v>پ/106-1404</v>
          </cell>
          <cell r="D136">
            <v>17865</v>
          </cell>
        </row>
        <row r="137">
          <cell r="C137" t="str">
            <v>پ/114-1404</v>
          </cell>
          <cell r="D137">
            <v>2785</v>
          </cell>
        </row>
        <row r="138">
          <cell r="C138" t="str">
            <v>پ/101-1404</v>
          </cell>
          <cell r="D138">
            <v>16050</v>
          </cell>
        </row>
        <row r="139">
          <cell r="C139" t="str">
            <v>پ/101-1404</v>
          </cell>
          <cell r="D139">
            <v>21940</v>
          </cell>
        </row>
        <row r="140">
          <cell r="C140" t="str">
            <v>پ/101-1404</v>
          </cell>
          <cell r="D140">
            <v>22950</v>
          </cell>
        </row>
        <row r="141">
          <cell r="C141" t="str">
            <v>پ/101-1404</v>
          </cell>
          <cell r="D141">
            <v>22010</v>
          </cell>
        </row>
        <row r="142">
          <cell r="C142" t="str">
            <v>پ/101-1404</v>
          </cell>
          <cell r="D142">
            <v>22120</v>
          </cell>
        </row>
        <row r="143">
          <cell r="C143" t="str">
            <v>پ/101-1404</v>
          </cell>
          <cell r="D143">
            <v>21860</v>
          </cell>
        </row>
        <row r="144">
          <cell r="C144" t="str">
            <v>پ/89-1404</v>
          </cell>
          <cell r="D144">
            <v>22300</v>
          </cell>
        </row>
        <row r="145">
          <cell r="C145" t="str">
            <v>الحاقیه پ/53-1403</v>
          </cell>
          <cell r="D145">
            <v>20090</v>
          </cell>
        </row>
        <row r="146">
          <cell r="C146" t="str">
            <v>الحاقیه پ/43-1402</v>
          </cell>
          <cell r="D146">
            <v>20760</v>
          </cell>
        </row>
        <row r="147">
          <cell r="C147" t="str">
            <v>الحاقیه پ/58-1403</v>
          </cell>
          <cell r="D147">
            <v>11720</v>
          </cell>
        </row>
        <row r="148">
          <cell r="C148" t="str">
            <v>الحاقیه پ/53-1403</v>
          </cell>
          <cell r="D148">
            <v>20090</v>
          </cell>
        </row>
        <row r="149">
          <cell r="C149" t="str">
            <v>پ/102-1404</v>
          </cell>
          <cell r="D149">
            <v>15840</v>
          </cell>
        </row>
        <row r="150">
          <cell r="C150" t="str">
            <v>الحاقیه پ/43-1402</v>
          </cell>
          <cell r="D150">
            <v>20120</v>
          </cell>
        </row>
        <row r="151">
          <cell r="C151" t="str">
            <v>پ/75-1404</v>
          </cell>
          <cell r="D151">
            <v>18870</v>
          </cell>
        </row>
        <row r="152">
          <cell r="C152" t="str">
            <v>پ/91-1404</v>
          </cell>
          <cell r="D152">
            <v>14420</v>
          </cell>
        </row>
        <row r="153">
          <cell r="C153" t="str">
            <v>الحاقیه پ/52-1403</v>
          </cell>
          <cell r="D153">
            <v>6040</v>
          </cell>
        </row>
        <row r="154">
          <cell r="C154" t="str">
            <v>پ/104-1404</v>
          </cell>
          <cell r="D154">
            <v>18045</v>
          </cell>
        </row>
        <row r="155">
          <cell r="C155" t="str">
            <v>پ/106-1404</v>
          </cell>
          <cell r="D155">
            <v>2135</v>
          </cell>
        </row>
        <row r="156">
          <cell r="C156" t="str">
            <v>پ/92-1404-3</v>
          </cell>
          <cell r="D156">
            <v>20830</v>
          </cell>
        </row>
        <row r="157">
          <cell r="C157" t="str">
            <v>پ/92-1404-3</v>
          </cell>
          <cell r="D157">
            <v>20990</v>
          </cell>
        </row>
        <row r="158">
          <cell r="C158" t="str">
            <v>پ/92-1404-3</v>
          </cell>
          <cell r="D158">
            <v>20950</v>
          </cell>
        </row>
        <row r="159">
          <cell r="C159" t="str">
            <v>پ/92-1404-3</v>
          </cell>
          <cell r="D159">
            <v>20930</v>
          </cell>
        </row>
        <row r="160">
          <cell r="C160" t="str">
            <v>پ/92-1404-3</v>
          </cell>
          <cell r="D160">
            <v>20950</v>
          </cell>
        </row>
        <row r="161">
          <cell r="C161" t="str">
            <v>پ/92-1404-3</v>
          </cell>
          <cell r="D161">
            <v>20970</v>
          </cell>
        </row>
        <row r="162">
          <cell r="C162" t="str">
            <v>پ/92-1404-3</v>
          </cell>
          <cell r="D162">
            <v>20870</v>
          </cell>
        </row>
        <row r="163">
          <cell r="C163" t="str">
            <v>پ/92-1404-3</v>
          </cell>
          <cell r="D163">
            <v>20860</v>
          </cell>
        </row>
        <row r="164">
          <cell r="C164" t="str">
            <v>پ/92-1404-3</v>
          </cell>
          <cell r="D164">
            <v>20600</v>
          </cell>
        </row>
        <row r="165">
          <cell r="C165" t="str">
            <v>پ/92-1404-3</v>
          </cell>
          <cell r="D165">
            <v>20920</v>
          </cell>
        </row>
        <row r="166">
          <cell r="C166" t="str">
            <v>پ/92-1404-3</v>
          </cell>
          <cell r="D166">
            <v>20470</v>
          </cell>
        </row>
        <row r="167">
          <cell r="C167" t="str">
            <v>پ/92-1404-3</v>
          </cell>
          <cell r="D167">
            <v>20400</v>
          </cell>
        </row>
        <row r="168">
          <cell r="C168" t="str">
            <v>پ/92-1404-3</v>
          </cell>
          <cell r="D168">
            <v>20570</v>
          </cell>
        </row>
        <row r="169">
          <cell r="C169" t="str">
            <v>پ/92-1404-3</v>
          </cell>
          <cell r="D169">
            <v>20590</v>
          </cell>
        </row>
        <row r="170">
          <cell r="C170" t="str">
            <v>پ/92-1404-3</v>
          </cell>
          <cell r="D170">
            <v>20590</v>
          </cell>
        </row>
        <row r="171">
          <cell r="C171" t="str">
            <v>پ/92-1404-3</v>
          </cell>
          <cell r="D171">
            <v>20010</v>
          </cell>
        </row>
        <row r="172">
          <cell r="C172" t="str">
            <v>پ/92-1404-3</v>
          </cell>
          <cell r="D172">
            <v>20530</v>
          </cell>
        </row>
        <row r="173">
          <cell r="C173" t="str">
            <v>پ/92-1404-3</v>
          </cell>
          <cell r="D173">
            <v>20820</v>
          </cell>
        </row>
        <row r="174">
          <cell r="C174" t="str">
            <v>پ/92-1404-3</v>
          </cell>
          <cell r="D174">
            <v>21170</v>
          </cell>
        </row>
        <row r="175">
          <cell r="C175" t="str">
            <v>پ/44-1404</v>
          </cell>
          <cell r="D175">
            <v>17305</v>
          </cell>
        </row>
        <row r="176">
          <cell r="C176" t="str">
            <v>پ/89-1404</v>
          </cell>
          <cell r="D176">
            <v>5565</v>
          </cell>
        </row>
        <row r="177">
          <cell r="C177" t="str">
            <v>پ/92-1404-3</v>
          </cell>
          <cell r="D177">
            <v>19950</v>
          </cell>
        </row>
        <row r="178">
          <cell r="C178" t="str">
            <v>پ/76-1404</v>
          </cell>
          <cell r="D178">
            <v>22130</v>
          </cell>
        </row>
        <row r="179">
          <cell r="C179" t="str">
            <v>پ/92-1404-3</v>
          </cell>
          <cell r="D179">
            <v>20190</v>
          </cell>
        </row>
        <row r="180">
          <cell r="C180" t="str">
            <v>پ/92-1404-3</v>
          </cell>
          <cell r="D180">
            <v>19910</v>
          </cell>
        </row>
        <row r="181">
          <cell r="C181" t="str">
            <v>الحاقیه پ/52-1403</v>
          </cell>
          <cell r="D181">
            <v>19940</v>
          </cell>
        </row>
        <row r="182">
          <cell r="C182" t="str">
            <v>پ/67-1403</v>
          </cell>
          <cell r="D182">
            <v>11570</v>
          </cell>
        </row>
        <row r="183">
          <cell r="C183" t="str">
            <v>پ/92-1404-3</v>
          </cell>
          <cell r="D183">
            <v>20130</v>
          </cell>
        </row>
        <row r="184">
          <cell r="C184" t="str">
            <v>الحاقیه پ/13-1404</v>
          </cell>
          <cell r="D184">
            <v>20060</v>
          </cell>
        </row>
        <row r="185">
          <cell r="C185" t="str">
            <v>پ/92-1404-2</v>
          </cell>
          <cell r="D185">
            <v>10850</v>
          </cell>
        </row>
        <row r="186">
          <cell r="C186" t="str">
            <v>پ/92-1404-3</v>
          </cell>
          <cell r="D186">
            <v>9100</v>
          </cell>
        </row>
        <row r="187">
          <cell r="C187" t="str">
            <v>پ/75-1404</v>
          </cell>
          <cell r="D187">
            <v>22060</v>
          </cell>
        </row>
        <row r="188">
          <cell r="C188" t="str">
            <v>الحاقیه پ/53-1403</v>
          </cell>
          <cell r="D188">
            <v>20030</v>
          </cell>
        </row>
        <row r="189">
          <cell r="C189" t="str">
            <v>پ/96-1404</v>
          </cell>
          <cell r="D189">
            <v>23150</v>
          </cell>
        </row>
        <row r="190">
          <cell r="C190" t="str">
            <v>الحاقیه پ/58-1403</v>
          </cell>
          <cell r="D190">
            <v>10730</v>
          </cell>
        </row>
        <row r="191">
          <cell r="C191" t="str">
            <v>الحاقیه پ/64-1403</v>
          </cell>
          <cell r="D191">
            <v>7845</v>
          </cell>
        </row>
        <row r="192">
          <cell r="C192" t="str">
            <v>الحاقیه پ/13-1404</v>
          </cell>
          <cell r="D192">
            <v>12615</v>
          </cell>
        </row>
        <row r="193">
          <cell r="C193" t="str">
            <v>الحاقیه پ/64-1403</v>
          </cell>
          <cell r="D193">
            <v>20240</v>
          </cell>
        </row>
        <row r="194">
          <cell r="C194" t="str">
            <v>پ/119-1404</v>
          </cell>
          <cell r="D194">
            <v>19900</v>
          </cell>
        </row>
        <row r="195">
          <cell r="C195" t="str">
            <v>پ/67-1403</v>
          </cell>
          <cell r="D195">
            <v>10980</v>
          </cell>
        </row>
        <row r="196">
          <cell r="C196" t="str">
            <v>پ/118-1404</v>
          </cell>
          <cell r="D196">
            <v>19900</v>
          </cell>
        </row>
        <row r="197">
          <cell r="C197" t="str">
            <v>پ/102-1404</v>
          </cell>
          <cell r="D197">
            <v>20130</v>
          </cell>
        </row>
        <row r="198">
          <cell r="C198" t="str">
            <v>پ/102-1404</v>
          </cell>
          <cell r="D198">
            <v>20000</v>
          </cell>
        </row>
        <row r="199">
          <cell r="C199" t="str">
            <v>پ/91-1404</v>
          </cell>
          <cell r="D199">
            <v>14320</v>
          </cell>
        </row>
        <row r="200">
          <cell r="C200" t="str">
            <v>الحاقیه پ/43-1402</v>
          </cell>
          <cell r="D200">
            <v>12060</v>
          </cell>
        </row>
        <row r="201">
          <cell r="C201" t="str">
            <v>پ/76-1404</v>
          </cell>
          <cell r="D201">
            <v>19990</v>
          </cell>
        </row>
        <row r="202">
          <cell r="C202" t="str">
            <v>الحاقیه پ/54-1403</v>
          </cell>
          <cell r="D202">
            <v>17130</v>
          </cell>
        </row>
        <row r="203">
          <cell r="C203" t="str">
            <v>پ/104-1404</v>
          </cell>
          <cell r="D203">
            <v>17990</v>
          </cell>
        </row>
        <row r="204">
          <cell r="C204" t="str">
            <v>الحاقیه پ/58-1403</v>
          </cell>
          <cell r="D204">
            <v>11470</v>
          </cell>
        </row>
        <row r="205">
          <cell r="C205" t="str">
            <v>الحاقیه پ/53-1403</v>
          </cell>
          <cell r="D205">
            <v>19030</v>
          </cell>
        </row>
        <row r="206">
          <cell r="C206" t="str">
            <v>پ/75-1404</v>
          </cell>
          <cell r="D206">
            <v>19010</v>
          </cell>
        </row>
        <row r="207">
          <cell r="C207" t="str">
            <v>پ/76-1404</v>
          </cell>
          <cell r="D207">
            <v>19200</v>
          </cell>
        </row>
        <row r="208">
          <cell r="C208" t="str">
            <v>پ/68-1404</v>
          </cell>
          <cell r="D208">
            <v>7110</v>
          </cell>
        </row>
        <row r="209">
          <cell r="C209" t="str">
            <v>پ/102-1404</v>
          </cell>
          <cell r="D209">
            <v>10930</v>
          </cell>
        </row>
        <row r="210">
          <cell r="C210" t="str">
            <v>پ/33-1404</v>
          </cell>
          <cell r="D210">
            <v>17475</v>
          </cell>
        </row>
        <row r="211">
          <cell r="C211" t="str">
            <v>پ/44-1404</v>
          </cell>
          <cell r="D211">
            <v>2695</v>
          </cell>
        </row>
        <row r="212">
          <cell r="C212" t="str">
            <v>الحاقیه پ/43-1402</v>
          </cell>
          <cell r="D212">
            <v>17990</v>
          </cell>
        </row>
        <row r="213">
          <cell r="C213" t="str">
            <v>پ/75-1404</v>
          </cell>
          <cell r="D213">
            <v>20060</v>
          </cell>
        </row>
        <row r="214">
          <cell r="C214" t="str">
            <v>پ/68-1404</v>
          </cell>
          <cell r="D214">
            <v>22210</v>
          </cell>
        </row>
        <row r="215">
          <cell r="C215" t="str">
            <v>الحاقیه پ/17-1402</v>
          </cell>
          <cell r="D215">
            <v>22580</v>
          </cell>
        </row>
        <row r="216">
          <cell r="C216" t="str">
            <v>پ/104-1404</v>
          </cell>
          <cell r="D216">
            <v>17460</v>
          </cell>
        </row>
        <row r="217">
          <cell r="C217" t="str">
            <v>الحاقیه پ/53-1403</v>
          </cell>
          <cell r="D217">
            <v>20740</v>
          </cell>
        </row>
        <row r="218">
          <cell r="C218" t="str">
            <v>پ/101-1404</v>
          </cell>
          <cell r="D218">
            <v>22570</v>
          </cell>
        </row>
        <row r="219">
          <cell r="C219" t="str">
            <v>الحاقیه پ/43-1402</v>
          </cell>
          <cell r="D219">
            <v>20860</v>
          </cell>
        </row>
        <row r="220">
          <cell r="C220" t="str">
            <v>پ/104-1404</v>
          </cell>
          <cell r="D220">
            <v>20580</v>
          </cell>
        </row>
        <row r="221">
          <cell r="C221" t="str">
            <v>الحاقیه پ/53-1403</v>
          </cell>
          <cell r="D221">
            <v>20250</v>
          </cell>
        </row>
        <row r="222">
          <cell r="C222" t="str">
            <v>پ/68-1404</v>
          </cell>
          <cell r="D222">
            <v>22290</v>
          </cell>
        </row>
        <row r="223">
          <cell r="C223" t="str">
            <v>الحاقیه پ/43-1402</v>
          </cell>
          <cell r="D223">
            <v>15110</v>
          </cell>
        </row>
        <row r="224">
          <cell r="C224" t="str">
            <v>پ/76-1404</v>
          </cell>
          <cell r="D224">
            <v>19060</v>
          </cell>
        </row>
        <row r="225">
          <cell r="C225" t="str">
            <v>الحاقیه پ/55-1403</v>
          </cell>
          <cell r="D225">
            <v>6720</v>
          </cell>
        </row>
        <row r="226">
          <cell r="C226" t="str">
            <v>الحاقیه پ/63-1403</v>
          </cell>
          <cell r="D226">
            <v>19415</v>
          </cell>
        </row>
        <row r="227">
          <cell r="C227" t="str">
            <v>پ/115-1404</v>
          </cell>
          <cell r="D227">
            <v>620</v>
          </cell>
        </row>
        <row r="228">
          <cell r="C228" t="str">
            <v>پ/33-1404</v>
          </cell>
          <cell r="D228">
            <v>2525</v>
          </cell>
        </row>
        <row r="229">
          <cell r="C229" t="str">
            <v>پ/35-1403</v>
          </cell>
          <cell r="D229">
            <v>20400</v>
          </cell>
        </row>
        <row r="230">
          <cell r="C230" t="str">
            <v>پ/101-1404</v>
          </cell>
          <cell r="D230">
            <v>2180</v>
          </cell>
        </row>
        <row r="231">
          <cell r="C231" t="str">
            <v>الحاقیه پ/69-1403</v>
          </cell>
          <cell r="D231">
            <v>19740</v>
          </cell>
        </row>
        <row r="232">
          <cell r="C232" t="str">
            <v>الحاقیه پ/65-1403</v>
          </cell>
          <cell r="D232">
            <v>18150</v>
          </cell>
        </row>
        <row r="233">
          <cell r="C233" t="str">
            <v>پ/76-1404</v>
          </cell>
          <cell r="D233">
            <v>18910</v>
          </cell>
        </row>
        <row r="234">
          <cell r="C234" t="str">
            <v>پ/75-1404</v>
          </cell>
          <cell r="D234">
            <v>18430</v>
          </cell>
        </row>
        <row r="235">
          <cell r="C235" t="str">
            <v>پ/91-1404</v>
          </cell>
          <cell r="D235">
            <v>14500</v>
          </cell>
        </row>
        <row r="236">
          <cell r="C236" t="str">
            <v>پ/108-1404</v>
          </cell>
          <cell r="D236">
            <v>3440</v>
          </cell>
        </row>
        <row r="237">
          <cell r="C237" t="str">
            <v>پ/115-1404</v>
          </cell>
          <cell r="D237">
            <v>19380</v>
          </cell>
        </row>
        <row r="238">
          <cell r="C238" t="str">
            <v>الحاقیه پ/54-1403</v>
          </cell>
          <cell r="D238">
            <v>10350</v>
          </cell>
        </row>
        <row r="239">
          <cell r="C239" t="str">
            <v>الحاقیه پ/52-1403</v>
          </cell>
          <cell r="D239">
            <v>7130</v>
          </cell>
        </row>
        <row r="240">
          <cell r="C240" t="str">
            <v>پ/104-1404</v>
          </cell>
          <cell r="D240">
            <v>16280</v>
          </cell>
        </row>
        <row r="241">
          <cell r="C241" t="str">
            <v>الحاقیه پ/55-1403</v>
          </cell>
          <cell r="D241">
            <v>6860</v>
          </cell>
        </row>
        <row r="242">
          <cell r="C242" t="str">
            <v>پ/67-1403</v>
          </cell>
          <cell r="D242">
            <v>11540</v>
          </cell>
        </row>
        <row r="243">
          <cell r="C243" t="str">
            <v>الحاقیه پ/64-1403</v>
          </cell>
        </row>
        <row r="244">
          <cell r="C244" t="str">
            <v>الحاقیه پ/62-1403</v>
          </cell>
          <cell r="D244">
            <v>18830</v>
          </cell>
        </row>
        <row r="245">
          <cell r="C245" t="str">
            <v>پ/76-1404</v>
          </cell>
          <cell r="D245">
            <v>18410</v>
          </cell>
        </row>
        <row r="246">
          <cell r="C246" t="str">
            <v>الحاقیه پ/43-1402</v>
          </cell>
          <cell r="D246">
            <v>5360</v>
          </cell>
        </row>
        <row r="247">
          <cell r="C247" t="str">
            <v>پ/68-1404</v>
          </cell>
          <cell r="D247">
            <v>4160</v>
          </cell>
        </row>
        <row r="248">
          <cell r="C248" t="str">
            <v>پ/75-1404</v>
          </cell>
          <cell r="D248">
            <v>19430</v>
          </cell>
        </row>
        <row r="249">
          <cell r="C249" t="str">
            <v>پ/68-1404</v>
          </cell>
          <cell r="D249">
            <v>5640</v>
          </cell>
        </row>
        <row r="250">
          <cell r="C250" t="str">
            <v>الحاقیه پ/52-1403</v>
          </cell>
          <cell r="D250">
            <v>7110</v>
          </cell>
        </row>
        <row r="251">
          <cell r="C251" t="str">
            <v>الحاقیه پ/53-1403</v>
          </cell>
          <cell r="D251">
            <v>16080</v>
          </cell>
        </row>
        <row r="252">
          <cell r="C252" t="str">
            <v>پ/68-1404</v>
          </cell>
          <cell r="D252">
            <v>5880</v>
          </cell>
        </row>
        <row r="253">
          <cell r="C253" t="str">
            <v>پ/107-1404</v>
          </cell>
          <cell r="D253">
            <v>4590</v>
          </cell>
        </row>
        <row r="254">
          <cell r="C254" t="str">
            <v>پ/26-1404</v>
          </cell>
          <cell r="D254">
            <v>11180</v>
          </cell>
        </row>
        <row r="255">
          <cell r="C255" t="str">
            <v>الحاقیه پ/65-1403</v>
          </cell>
          <cell r="D255">
            <v>2470</v>
          </cell>
        </row>
        <row r="256">
          <cell r="C256" t="str">
            <v>الحاقیه پ/54-1403</v>
          </cell>
          <cell r="D256">
            <v>19160</v>
          </cell>
        </row>
        <row r="257">
          <cell r="C257" t="str">
            <v>پ/92-1404-2</v>
          </cell>
          <cell r="D257">
            <v>20830</v>
          </cell>
        </row>
        <row r="258">
          <cell r="C258" t="str">
            <v>پ/68-1404</v>
          </cell>
          <cell r="D258">
            <v>5600</v>
          </cell>
        </row>
        <row r="259">
          <cell r="C259" t="str">
            <v>الحاقیه پ/63-1403</v>
          </cell>
          <cell r="D259">
            <v>22740</v>
          </cell>
        </row>
        <row r="260">
          <cell r="C260" t="str">
            <v>پ/93-1404</v>
          </cell>
          <cell r="D260">
            <v>10935</v>
          </cell>
        </row>
        <row r="261">
          <cell r="C261" t="str">
            <v>پ/104-1404</v>
          </cell>
          <cell r="D261">
            <v>9645</v>
          </cell>
        </row>
        <row r="262">
          <cell r="C262" t="str">
            <v>الحاقیه پ/43-1402</v>
          </cell>
          <cell r="D262">
            <v>20180</v>
          </cell>
        </row>
        <row r="263">
          <cell r="C263" t="str">
            <v>الحاقیه پ/58-1403</v>
          </cell>
          <cell r="D263">
            <v>11370</v>
          </cell>
        </row>
        <row r="264">
          <cell r="C264" t="str">
            <v>پ/92-1404-2</v>
          </cell>
          <cell r="D264">
            <v>20770</v>
          </cell>
        </row>
        <row r="265">
          <cell r="C265" t="str">
            <v>پ/92-1404-2</v>
          </cell>
          <cell r="D265">
            <v>20640</v>
          </cell>
        </row>
        <row r="266">
          <cell r="C266" t="str">
            <v>پ/92-1404-2</v>
          </cell>
          <cell r="D266">
            <v>20920</v>
          </cell>
        </row>
        <row r="267">
          <cell r="C267" t="str">
            <v>پ/92-1404-2</v>
          </cell>
          <cell r="D267">
            <v>20530</v>
          </cell>
        </row>
        <row r="268">
          <cell r="C268" t="str">
            <v>پ/92-1404-2</v>
          </cell>
          <cell r="D268">
            <v>20600</v>
          </cell>
        </row>
        <row r="269">
          <cell r="C269" t="str">
            <v>پ/66-1404</v>
          </cell>
          <cell r="D269">
            <v>4890</v>
          </cell>
        </row>
        <row r="270">
          <cell r="C270" t="str">
            <v>پ/26-1404</v>
          </cell>
          <cell r="D270">
            <v>8820</v>
          </cell>
        </row>
        <row r="271">
          <cell r="C271" t="str">
            <v>پ/107-1404</v>
          </cell>
          <cell r="D271">
            <v>18050</v>
          </cell>
        </row>
        <row r="272">
          <cell r="C272" t="str">
            <v>الحاقیه پ/52-1403</v>
          </cell>
          <cell r="D272">
            <v>6200</v>
          </cell>
        </row>
        <row r="273">
          <cell r="C273" t="str">
            <v>پ/68-1404</v>
          </cell>
          <cell r="D273">
            <v>5460</v>
          </cell>
        </row>
        <row r="274">
          <cell r="C274" t="str">
            <v>پ/67-1403</v>
          </cell>
          <cell r="D274">
            <v>11400</v>
          </cell>
        </row>
        <row r="275">
          <cell r="C275" t="str">
            <v>پ/68-1404</v>
          </cell>
          <cell r="D275">
            <v>5600</v>
          </cell>
        </row>
        <row r="276">
          <cell r="C276" t="str">
            <v>پ/98-1404</v>
          </cell>
          <cell r="D276">
            <v>6230</v>
          </cell>
        </row>
        <row r="277">
          <cell r="C277" t="str">
            <v>پ/108-1404</v>
          </cell>
          <cell r="D277">
            <v>16560</v>
          </cell>
        </row>
        <row r="278">
          <cell r="C278" t="str">
            <v>الحاقیه پ/65-1403</v>
          </cell>
          <cell r="D278">
            <v>19980</v>
          </cell>
        </row>
        <row r="279">
          <cell r="C279" t="str">
            <v>پ/92-1404-2</v>
          </cell>
          <cell r="D279">
            <v>19970</v>
          </cell>
        </row>
        <row r="280">
          <cell r="C280" t="str">
            <v>پ/92-1404-2</v>
          </cell>
          <cell r="D280">
            <v>21570</v>
          </cell>
        </row>
        <row r="281">
          <cell r="C281" t="str">
            <v>پ/92-1404-2</v>
          </cell>
          <cell r="D281">
            <v>21130</v>
          </cell>
        </row>
        <row r="282">
          <cell r="C282" t="str">
            <v>پ/75-1404</v>
          </cell>
          <cell r="D282">
            <v>20270</v>
          </cell>
        </row>
        <row r="283">
          <cell r="C283" t="str">
            <v>پ/76-1404</v>
          </cell>
          <cell r="D283">
            <v>18140</v>
          </cell>
        </row>
        <row r="284">
          <cell r="C284" t="str">
            <v>پ/68-1404</v>
          </cell>
          <cell r="D284">
            <v>5500</v>
          </cell>
        </row>
        <row r="285">
          <cell r="C285" t="str">
            <v>پ/75-1404</v>
          </cell>
          <cell r="D285">
            <v>23290</v>
          </cell>
        </row>
        <row r="286">
          <cell r="C286" t="str">
            <v>پ/91-1404</v>
          </cell>
          <cell r="D286">
            <v>14410</v>
          </cell>
        </row>
        <row r="287">
          <cell r="C287" t="str">
            <v>پ/68-1404</v>
          </cell>
          <cell r="D287">
            <v>5660</v>
          </cell>
        </row>
        <row r="288">
          <cell r="C288" t="str">
            <v>پ/91-1404</v>
          </cell>
          <cell r="D288">
            <v>14420</v>
          </cell>
        </row>
        <row r="289">
          <cell r="C289" t="str">
            <v>پ/68-1404</v>
          </cell>
          <cell r="D289">
            <v>5620</v>
          </cell>
        </row>
        <row r="290">
          <cell r="C290" t="str">
            <v>پ/49-1403</v>
          </cell>
          <cell r="D290">
            <v>18760</v>
          </cell>
        </row>
        <row r="291">
          <cell r="C291" t="str">
            <v>الحاقیه پ/53-1403</v>
          </cell>
          <cell r="D291">
            <v>16280</v>
          </cell>
        </row>
        <row r="292">
          <cell r="C292" t="str">
            <v>پ/68-1404</v>
          </cell>
          <cell r="D292">
            <v>5470</v>
          </cell>
        </row>
        <row r="293">
          <cell r="C293" t="str">
            <v>پ/49-1403</v>
          </cell>
          <cell r="D293">
            <v>18810</v>
          </cell>
        </row>
        <row r="294">
          <cell r="C294" t="str">
            <v>پ/92-1404-2</v>
          </cell>
          <cell r="D294">
            <v>21160</v>
          </cell>
        </row>
        <row r="295">
          <cell r="C295" t="str">
            <v>پ/92-1404-2</v>
          </cell>
          <cell r="D295">
            <v>20060</v>
          </cell>
        </row>
        <row r="296">
          <cell r="C296" t="str">
            <v>پ/92-1404-2</v>
          </cell>
          <cell r="D296">
            <v>20360</v>
          </cell>
        </row>
        <row r="297">
          <cell r="C297" t="str">
            <v>پ/92-1404-2</v>
          </cell>
          <cell r="D297">
            <v>20580</v>
          </cell>
        </row>
        <row r="298">
          <cell r="C298" t="str">
            <v>پ/92-1404-2</v>
          </cell>
          <cell r="D298">
            <v>20570</v>
          </cell>
        </row>
        <row r="299">
          <cell r="C299" t="str">
            <v>پ/92-1404-2</v>
          </cell>
          <cell r="D299">
            <v>20160</v>
          </cell>
        </row>
        <row r="300">
          <cell r="C300" t="str">
            <v>پ/92-1404-2</v>
          </cell>
          <cell r="D300">
            <v>20610</v>
          </cell>
        </row>
        <row r="301">
          <cell r="C301" t="str">
            <v>پ/92-1404-2</v>
          </cell>
          <cell r="D301">
            <v>20360</v>
          </cell>
        </row>
        <row r="302">
          <cell r="C302" t="str">
            <v>پ/92-1404-2</v>
          </cell>
          <cell r="D302">
            <v>20280</v>
          </cell>
        </row>
        <row r="303">
          <cell r="C303" t="str">
            <v>پ/92-1404-2</v>
          </cell>
          <cell r="D303">
            <v>20530</v>
          </cell>
        </row>
        <row r="304">
          <cell r="C304" t="str">
            <v>پ/92-1404-2</v>
          </cell>
          <cell r="D304">
            <v>20430</v>
          </cell>
        </row>
        <row r="305">
          <cell r="C305" t="str">
            <v>پ/92-1404-2</v>
          </cell>
          <cell r="D305">
            <v>20180</v>
          </cell>
        </row>
        <row r="306">
          <cell r="C306" t="str">
            <v>پ/92-1404-2</v>
          </cell>
          <cell r="D306">
            <v>21400</v>
          </cell>
        </row>
        <row r="307">
          <cell r="C307" t="str">
            <v>پ/92-1404-2</v>
          </cell>
          <cell r="D307">
            <v>20250</v>
          </cell>
        </row>
        <row r="308">
          <cell r="C308" t="str">
            <v>پ/92-1404-1</v>
          </cell>
          <cell r="D308">
            <v>4860</v>
          </cell>
        </row>
        <row r="309">
          <cell r="C309" t="str">
            <v>پ/92-1404-2</v>
          </cell>
          <cell r="D309">
            <v>15260</v>
          </cell>
        </row>
        <row r="310">
          <cell r="C310" t="str">
            <v>پ/92-1404-1</v>
          </cell>
          <cell r="D310">
            <v>20080</v>
          </cell>
        </row>
        <row r="311">
          <cell r="C311" t="str">
            <v>پ/92-1404-1</v>
          </cell>
          <cell r="D311">
            <v>20510</v>
          </cell>
        </row>
        <row r="312">
          <cell r="C312" t="str">
            <v>پ/92-1404-1</v>
          </cell>
          <cell r="D312">
            <v>20190</v>
          </cell>
        </row>
        <row r="313">
          <cell r="C313" t="str">
            <v>پ/92-1404-1</v>
          </cell>
          <cell r="D313">
            <v>21580</v>
          </cell>
        </row>
        <row r="314">
          <cell r="C314" t="str">
            <v>پ/92-1404-1</v>
          </cell>
          <cell r="D314">
            <v>20615</v>
          </cell>
        </row>
        <row r="315">
          <cell r="C315" t="str">
            <v>پ/92-1404-1</v>
          </cell>
          <cell r="D315">
            <v>20390</v>
          </cell>
        </row>
        <row r="316">
          <cell r="C316" t="str">
            <v>پ/92-1404-1</v>
          </cell>
          <cell r="D316">
            <v>20300</v>
          </cell>
        </row>
        <row r="317">
          <cell r="C317" t="str">
            <v>پ/92-1404-1</v>
          </cell>
          <cell r="D317">
            <v>20675</v>
          </cell>
        </row>
        <row r="318">
          <cell r="C318" t="str">
            <v>پ/92-1404-1</v>
          </cell>
          <cell r="D318">
            <v>20465</v>
          </cell>
        </row>
        <row r="319">
          <cell r="C319" t="str">
            <v>پ/92-1404-1</v>
          </cell>
          <cell r="D319">
            <v>20660</v>
          </cell>
        </row>
        <row r="320">
          <cell r="C320" t="str">
            <v>پ/92-1404-1</v>
          </cell>
          <cell r="D320">
            <v>20470</v>
          </cell>
        </row>
        <row r="321">
          <cell r="C321" t="str">
            <v>پ/92-1404-1</v>
          </cell>
          <cell r="D321">
            <v>20240</v>
          </cell>
        </row>
        <row r="322">
          <cell r="C322" t="str">
            <v>پ/92-1404-1</v>
          </cell>
          <cell r="D322">
            <v>20580</v>
          </cell>
        </row>
        <row r="323">
          <cell r="C323" t="str">
            <v>پ/92-1404-1</v>
          </cell>
          <cell r="D323">
            <v>20220</v>
          </cell>
        </row>
        <row r="324">
          <cell r="C324" t="str">
            <v>پ/92-1404-1</v>
          </cell>
          <cell r="D324">
            <v>20510</v>
          </cell>
        </row>
        <row r="325">
          <cell r="C325" t="str">
            <v>پ/92-1404-1</v>
          </cell>
          <cell r="D325">
            <v>20490</v>
          </cell>
        </row>
        <row r="326">
          <cell r="C326" t="str">
            <v>پ/92-1404-1</v>
          </cell>
          <cell r="D326">
            <v>21180</v>
          </cell>
        </row>
        <row r="327">
          <cell r="C327" t="str">
            <v>پ/92-1404-1</v>
          </cell>
          <cell r="D327">
            <v>20460</v>
          </cell>
        </row>
        <row r="328">
          <cell r="C328" t="str">
            <v>پ/92-1404-1</v>
          </cell>
          <cell r="D328">
            <v>20915</v>
          </cell>
        </row>
        <row r="329">
          <cell r="C329" t="str">
            <v>پ/92-1404-1</v>
          </cell>
          <cell r="D329">
            <v>21100</v>
          </cell>
        </row>
        <row r="330">
          <cell r="C330" t="str">
            <v>پ/92-1404-1</v>
          </cell>
          <cell r="D330">
            <v>21055</v>
          </cell>
        </row>
        <row r="331">
          <cell r="C331" t="str">
            <v>پ/92-1404-1</v>
          </cell>
          <cell r="D331">
            <v>20850</v>
          </cell>
        </row>
        <row r="332">
          <cell r="C332" t="str">
            <v>پ/92-1404-1</v>
          </cell>
          <cell r="D332">
            <v>20815</v>
          </cell>
        </row>
        <row r="333">
          <cell r="C333" t="str">
            <v>پ/92-1404-1</v>
          </cell>
          <cell r="D333">
            <v>20790</v>
          </cell>
        </row>
        <row r="334">
          <cell r="C334" t="str">
            <v>پ/68-1404</v>
          </cell>
          <cell r="D334">
            <v>5380</v>
          </cell>
        </row>
        <row r="335">
          <cell r="C335" t="str">
            <v>پ/35-1403</v>
          </cell>
          <cell r="D335">
            <v>22790</v>
          </cell>
        </row>
        <row r="336">
          <cell r="C336" t="str">
            <v>الحاقیه پ/52-1403</v>
          </cell>
          <cell r="D336">
            <v>18980</v>
          </cell>
        </row>
        <row r="337">
          <cell r="C337" t="str">
            <v>پ/68-1404</v>
          </cell>
          <cell r="D337">
            <v>5750</v>
          </cell>
        </row>
        <row r="338">
          <cell r="C338" t="str">
            <v>پ/15-1404</v>
          </cell>
          <cell r="D338">
            <v>23560</v>
          </cell>
        </row>
        <row r="339">
          <cell r="C339" t="str">
            <v>پ/13-1404</v>
          </cell>
          <cell r="D339">
            <v>20310</v>
          </cell>
        </row>
        <row r="340">
          <cell r="C340" t="str">
            <v>پ/107-1404</v>
          </cell>
          <cell r="D340">
            <v>7360</v>
          </cell>
        </row>
        <row r="341">
          <cell r="C341" t="str">
            <v>پ/97-1404</v>
          </cell>
          <cell r="D341">
            <v>11390</v>
          </cell>
        </row>
        <row r="342">
          <cell r="C342" t="str">
            <v>الحاقیه پ/52-1403</v>
          </cell>
          <cell r="D342">
            <v>19810</v>
          </cell>
        </row>
        <row r="343">
          <cell r="C343" t="str">
            <v>پ/68-1404</v>
          </cell>
          <cell r="D343">
            <v>5490</v>
          </cell>
        </row>
        <row r="344">
          <cell r="C344" t="str">
            <v>پ/88-1404</v>
          </cell>
          <cell r="D344">
            <v>9110</v>
          </cell>
        </row>
        <row r="345">
          <cell r="C345" t="str">
            <v>پ/98-1404</v>
          </cell>
          <cell r="D345">
            <v>13770</v>
          </cell>
        </row>
        <row r="346">
          <cell r="C346" t="str">
            <v>الحاقیه پ/55-1403</v>
          </cell>
          <cell r="D346">
            <v>6720</v>
          </cell>
        </row>
        <row r="347">
          <cell r="C347" t="str">
            <v>پ/68-1404</v>
          </cell>
          <cell r="D347">
            <v>3890</v>
          </cell>
        </row>
        <row r="348">
          <cell r="C348" t="str">
            <v>الحاقیه پ/58-1403</v>
          </cell>
          <cell r="D348">
            <v>11920</v>
          </cell>
        </row>
        <row r="349">
          <cell r="C349" t="str">
            <v>پ/93-1404</v>
          </cell>
          <cell r="D349">
            <v>21190</v>
          </cell>
        </row>
        <row r="350">
          <cell r="C350" t="str">
            <v>الحاقیه پ/52-1403</v>
          </cell>
          <cell r="D350">
            <v>19880</v>
          </cell>
        </row>
        <row r="351">
          <cell r="C351" t="str">
            <v>الحاقیه پ/69-1403</v>
          </cell>
          <cell r="D351">
            <v>7320</v>
          </cell>
        </row>
        <row r="352">
          <cell r="C352" t="str">
            <v>پ/91-1404</v>
          </cell>
          <cell r="D352">
            <v>14560</v>
          </cell>
        </row>
        <row r="353">
          <cell r="C353" t="str">
            <v>پ/49-1403</v>
          </cell>
          <cell r="D353">
            <v>18770</v>
          </cell>
        </row>
        <row r="354">
          <cell r="C354" t="str">
            <v>پ/67-1403</v>
          </cell>
          <cell r="D354">
            <v>11650</v>
          </cell>
        </row>
        <row r="355">
          <cell r="C355" t="str">
            <v>پ/68-1404</v>
          </cell>
          <cell r="D355">
            <v>17930</v>
          </cell>
        </row>
        <row r="356">
          <cell r="C356" t="str">
            <v>الحاقیه پ/54-1403</v>
          </cell>
          <cell r="D356">
            <v>23140</v>
          </cell>
        </row>
        <row r="357">
          <cell r="C357" t="str">
            <v>الحاقیه پ/52-1403</v>
          </cell>
          <cell r="D357">
            <v>20110</v>
          </cell>
        </row>
        <row r="358">
          <cell r="C358" t="str">
            <v>پ/13-1404</v>
          </cell>
        </row>
        <row r="359">
          <cell r="C359" t="str">
            <v>پ/21-1404</v>
          </cell>
          <cell r="D359">
            <v>5330</v>
          </cell>
        </row>
        <row r="360">
          <cell r="C360" t="str">
            <v>پ/66-1404</v>
          </cell>
          <cell r="D360">
            <v>15110</v>
          </cell>
        </row>
        <row r="361">
          <cell r="C361" t="str">
            <v>پ/49-1403</v>
          </cell>
          <cell r="D361">
            <v>22100</v>
          </cell>
        </row>
        <row r="362">
          <cell r="C362" t="str">
            <v>الحاقیه پ/69-1403</v>
          </cell>
          <cell r="D362">
            <v>7560</v>
          </cell>
        </row>
        <row r="363">
          <cell r="C363" t="str">
            <v>پ/68-1404</v>
          </cell>
          <cell r="D363">
            <v>4560</v>
          </cell>
        </row>
        <row r="364">
          <cell r="C364" t="str">
            <v>پ/68-1404</v>
          </cell>
          <cell r="D364">
            <v>22300</v>
          </cell>
        </row>
        <row r="365">
          <cell r="C365" t="str">
            <v>الحاقیه پ/52-1403</v>
          </cell>
          <cell r="D365">
            <v>7810</v>
          </cell>
        </row>
        <row r="366">
          <cell r="C366" t="str">
            <v>الحاقیه پ/55-1403</v>
          </cell>
          <cell r="D366">
            <v>6710</v>
          </cell>
        </row>
        <row r="367">
          <cell r="C367" t="str">
            <v>الحاقیه پ/43-1402</v>
          </cell>
          <cell r="D367">
            <v>21520</v>
          </cell>
        </row>
        <row r="368">
          <cell r="C368" t="str">
            <v>پ/49-1403</v>
          </cell>
          <cell r="D368">
            <v>23000</v>
          </cell>
        </row>
        <row r="369">
          <cell r="C369" t="str">
            <v>الحاقیه پ/53-1403</v>
          </cell>
          <cell r="D369">
            <v>20280</v>
          </cell>
        </row>
        <row r="370">
          <cell r="C370" t="str">
            <v>پ/67-1404</v>
          </cell>
          <cell r="D370">
            <v>13150</v>
          </cell>
        </row>
        <row r="371">
          <cell r="C371" t="str">
            <v>الحاقیه پ/63-1403</v>
          </cell>
          <cell r="D371">
            <v>7870</v>
          </cell>
        </row>
        <row r="372">
          <cell r="C372" t="str">
            <v>پ/91-1404</v>
          </cell>
          <cell r="D372">
            <v>14410</v>
          </cell>
        </row>
        <row r="373">
          <cell r="C373" t="str">
            <v>پ/91-1404</v>
          </cell>
          <cell r="D373">
            <v>14500</v>
          </cell>
        </row>
        <row r="374">
          <cell r="C374" t="str">
            <v>الحاقیه پ/52-1403</v>
          </cell>
          <cell r="D374">
            <v>7580</v>
          </cell>
        </row>
        <row r="375">
          <cell r="C375" t="str">
            <v>پ/68-1404</v>
          </cell>
          <cell r="D375">
            <v>8830</v>
          </cell>
        </row>
        <row r="376">
          <cell r="C376" t="str">
            <v>الحاقیه پ/64-1403</v>
          </cell>
          <cell r="D376">
            <v>20260</v>
          </cell>
        </row>
        <row r="377">
          <cell r="C377" t="str">
            <v>پ/68-1404</v>
          </cell>
          <cell r="D377">
            <v>22240</v>
          </cell>
        </row>
        <row r="378">
          <cell r="C378" t="str">
            <v>پ/68-1404</v>
          </cell>
          <cell r="D378">
            <v>5580</v>
          </cell>
        </row>
        <row r="379">
          <cell r="C379" t="str">
            <v>پ/68-1404</v>
          </cell>
          <cell r="D379">
            <v>5630</v>
          </cell>
        </row>
        <row r="380">
          <cell r="C380" t="str">
            <v>الحاقیه پ/52-1403</v>
          </cell>
          <cell r="D380">
            <v>7270</v>
          </cell>
        </row>
        <row r="381">
          <cell r="C381" t="str">
            <v>الحاقیه پ/69-1403</v>
          </cell>
          <cell r="D381">
            <v>7030</v>
          </cell>
        </row>
        <row r="382">
          <cell r="C382" t="str">
            <v>پ/68-1404</v>
          </cell>
          <cell r="D382">
            <v>22280</v>
          </cell>
        </row>
        <row r="383">
          <cell r="C383" t="str">
            <v>پ/48-1404</v>
          </cell>
          <cell r="D383">
            <v>18090</v>
          </cell>
        </row>
        <row r="384">
          <cell r="C384" t="str">
            <v>الحاقیه پ/52-1403</v>
          </cell>
          <cell r="D384">
            <v>20055</v>
          </cell>
        </row>
        <row r="385">
          <cell r="C385" t="str">
            <v>پ/68-1404</v>
          </cell>
          <cell r="D385">
            <v>16230</v>
          </cell>
        </row>
        <row r="386">
          <cell r="C386" t="str">
            <v>الحاقیه پ/55-1403</v>
          </cell>
          <cell r="D386">
            <v>6525</v>
          </cell>
        </row>
        <row r="387">
          <cell r="C387" t="str">
            <v>پ/97-1404</v>
          </cell>
          <cell r="D387">
            <v>18270</v>
          </cell>
        </row>
        <row r="388">
          <cell r="C388" t="str">
            <v>پ/88-1404</v>
          </cell>
          <cell r="D388">
            <v>22820</v>
          </cell>
        </row>
        <row r="389">
          <cell r="C389" t="str">
            <v>پ/87-1404</v>
          </cell>
          <cell r="D389">
            <v>3365</v>
          </cell>
        </row>
        <row r="390">
          <cell r="C390" t="str">
            <v>پ/93-1404</v>
          </cell>
          <cell r="D390">
            <v>17875</v>
          </cell>
        </row>
        <row r="391">
          <cell r="C391" t="str">
            <v>الحاقیه پ/58-1403</v>
          </cell>
          <cell r="D391">
            <v>11580</v>
          </cell>
        </row>
        <row r="392">
          <cell r="C392" t="str">
            <v>پ/35-1403</v>
          </cell>
          <cell r="D392">
            <v>23245</v>
          </cell>
        </row>
        <row r="393">
          <cell r="C393" t="str">
            <v>پ/15-1404</v>
          </cell>
          <cell r="D393">
            <v>21115</v>
          </cell>
        </row>
        <row r="394">
          <cell r="C394" t="str">
            <v>الحاقیه پ/54-1403</v>
          </cell>
          <cell r="D394">
            <v>22235</v>
          </cell>
        </row>
        <row r="395">
          <cell r="C395" t="str">
            <v>پ/68-1404</v>
          </cell>
          <cell r="D395">
            <v>22290</v>
          </cell>
        </row>
        <row r="396">
          <cell r="C396" t="str">
            <v>پ/49-1403</v>
          </cell>
          <cell r="D396">
            <v>20530</v>
          </cell>
        </row>
        <row r="397">
          <cell r="C397" t="str">
            <v>پ/68-1404</v>
          </cell>
          <cell r="D397">
            <v>22210</v>
          </cell>
        </row>
        <row r="398">
          <cell r="C398" t="str">
            <v>پ/28-1404</v>
          </cell>
          <cell r="D398">
            <v>12770</v>
          </cell>
        </row>
        <row r="399">
          <cell r="C399" t="str">
            <v>الحاقیه پ/43-1402</v>
          </cell>
          <cell r="D399">
            <v>7525</v>
          </cell>
        </row>
        <row r="400">
          <cell r="C400" t="str">
            <v>پ/91-1404</v>
          </cell>
          <cell r="D400">
            <v>14655</v>
          </cell>
        </row>
        <row r="401">
          <cell r="C401" t="str">
            <v>الحاقیه پ/50-1403</v>
          </cell>
          <cell r="D401">
            <v>7295</v>
          </cell>
        </row>
        <row r="402">
          <cell r="C402" t="str">
            <v>پ/49-1403</v>
          </cell>
          <cell r="D402">
            <v>20650</v>
          </cell>
        </row>
        <row r="403">
          <cell r="C403" t="str">
            <v>الحاقیه پ/69-1403</v>
          </cell>
          <cell r="D403">
            <v>19970</v>
          </cell>
        </row>
        <row r="404">
          <cell r="C404" t="str">
            <v>الحاقیه پ/52-1403</v>
          </cell>
          <cell r="D404">
            <v>19925</v>
          </cell>
        </row>
        <row r="405">
          <cell r="C405" t="str">
            <v>پ/13-1404</v>
          </cell>
          <cell r="D405">
            <v>20225</v>
          </cell>
        </row>
        <row r="406">
          <cell r="C406" t="str">
            <v>پ/15-1404</v>
          </cell>
          <cell r="D406">
            <v>23190</v>
          </cell>
        </row>
        <row r="407">
          <cell r="C407" t="str">
            <v>الحاقیه پ/52-1403</v>
          </cell>
          <cell r="D407">
            <v>7335</v>
          </cell>
        </row>
        <row r="408">
          <cell r="C408" t="str">
            <v>الحاقیه پ/55-1403</v>
          </cell>
          <cell r="D408">
            <v>6775</v>
          </cell>
        </row>
        <row r="409">
          <cell r="C409" t="str">
            <v>پ/15-1404</v>
          </cell>
          <cell r="D409">
            <v>23370</v>
          </cell>
        </row>
        <row r="410">
          <cell r="C410" t="str">
            <v>پ/68-1404</v>
          </cell>
          <cell r="D410">
            <v>12100</v>
          </cell>
        </row>
        <row r="411">
          <cell r="C411" t="str">
            <v>الحاقیه پ/69-1403</v>
          </cell>
          <cell r="D411">
            <v>20090</v>
          </cell>
        </row>
        <row r="412">
          <cell r="C412" t="str">
            <v>پ/21-1404</v>
          </cell>
          <cell r="D412">
            <v>18270</v>
          </cell>
        </row>
        <row r="413">
          <cell r="C413" t="str">
            <v>پ/67-1403</v>
          </cell>
          <cell r="D413">
            <v>11630</v>
          </cell>
        </row>
        <row r="414">
          <cell r="C414" t="str">
            <v>پ/49-1403</v>
          </cell>
          <cell r="D414">
            <v>22125</v>
          </cell>
        </row>
        <row r="415">
          <cell r="C415" t="str">
            <v>الحاقیه پ/52-1403</v>
          </cell>
          <cell r="D415">
            <v>7530</v>
          </cell>
        </row>
        <row r="416">
          <cell r="C416" t="str">
            <v>پ/91-1404</v>
          </cell>
          <cell r="D416">
            <v>14510</v>
          </cell>
        </row>
        <row r="417">
          <cell r="C417" t="str">
            <v>الحاقیه پ/55-1403</v>
          </cell>
          <cell r="D417">
            <v>6750</v>
          </cell>
        </row>
        <row r="418">
          <cell r="C418" t="str">
            <v>الحاقیه پ/54-1403</v>
          </cell>
          <cell r="D418">
            <v>13435</v>
          </cell>
        </row>
        <row r="419">
          <cell r="C419" t="str">
            <v>الحاقیه پ/53-1403</v>
          </cell>
          <cell r="D419">
            <v>20910</v>
          </cell>
        </row>
        <row r="420">
          <cell r="C420" t="str">
            <v>پ/68-1404</v>
          </cell>
          <cell r="D420">
            <v>16815</v>
          </cell>
        </row>
        <row r="421">
          <cell r="C421" t="str">
            <v>پ/11-1404</v>
          </cell>
          <cell r="D421">
            <v>15870</v>
          </cell>
        </row>
        <row r="422">
          <cell r="C422" t="str">
            <v>پ/67-1404</v>
          </cell>
          <cell r="D422">
            <v>6850</v>
          </cell>
        </row>
        <row r="423">
          <cell r="C423" t="str">
            <v>پ/49-1403</v>
          </cell>
          <cell r="D423">
            <v>20215</v>
          </cell>
        </row>
        <row r="424">
          <cell r="C424" t="str">
            <v>الحاقیه پ/50-1403</v>
          </cell>
          <cell r="D424">
            <v>7960</v>
          </cell>
        </row>
        <row r="425">
          <cell r="C425" t="str">
            <v>الحاقیه پ/55-1403</v>
          </cell>
          <cell r="D425">
            <v>6885</v>
          </cell>
        </row>
        <row r="426">
          <cell r="C426" t="str">
            <v>الحاقیه پ/58-1403</v>
          </cell>
          <cell r="D426">
            <v>11645</v>
          </cell>
        </row>
        <row r="427">
          <cell r="C427" t="str">
            <v>پ/97-1404</v>
          </cell>
          <cell r="D427">
            <v>20340</v>
          </cell>
        </row>
        <row r="428">
          <cell r="C428" t="str">
            <v>الحاقیه پ/64-1403</v>
          </cell>
          <cell r="D428">
            <v>20390</v>
          </cell>
        </row>
        <row r="429">
          <cell r="C429" t="str">
            <v>پ/86-1404</v>
          </cell>
          <cell r="D429">
            <v>4710</v>
          </cell>
        </row>
        <row r="430">
          <cell r="C430" t="str">
            <v>پ/27-1402</v>
          </cell>
          <cell r="D430">
            <v>15330</v>
          </cell>
        </row>
        <row r="431">
          <cell r="C431" t="str">
            <v>پ/27-1402</v>
          </cell>
          <cell r="D431">
            <v>20400</v>
          </cell>
        </row>
        <row r="432">
          <cell r="C432" t="str">
            <v>پ/27-1402</v>
          </cell>
          <cell r="D432">
            <v>20345</v>
          </cell>
        </row>
        <row r="433">
          <cell r="C433" t="str">
            <v>پ/27-1402</v>
          </cell>
          <cell r="D433">
            <v>20235</v>
          </cell>
        </row>
        <row r="434">
          <cell r="C434" t="str">
            <v>پ/27-1402</v>
          </cell>
          <cell r="D434">
            <v>21030</v>
          </cell>
        </row>
        <row r="435">
          <cell r="C435" t="str">
            <v>پ/92-1404-6</v>
          </cell>
          <cell r="D435">
            <v>329220</v>
          </cell>
        </row>
        <row r="436">
          <cell r="C436" t="str">
            <v>پ/92-1404-5</v>
          </cell>
          <cell r="D436">
            <v>2920</v>
          </cell>
        </row>
        <row r="437">
          <cell r="C437" t="str">
            <v>پ/92-1404-6</v>
          </cell>
          <cell r="D437">
            <v>170780</v>
          </cell>
        </row>
        <row r="438">
          <cell r="C438" t="str">
            <v>پ/92-1404</v>
          </cell>
          <cell r="D438">
            <v>37940</v>
          </cell>
        </row>
        <row r="439">
          <cell r="C439" t="str">
            <v>پ/68-1404</v>
          </cell>
          <cell r="D439">
            <v>19485</v>
          </cell>
        </row>
        <row r="440">
          <cell r="C440" t="str">
            <v>الحاقیه پ/69-1403</v>
          </cell>
          <cell r="D440">
            <v>20495</v>
          </cell>
        </row>
        <row r="441">
          <cell r="C441" t="str">
            <v>الحاقیه پ/52-1403</v>
          </cell>
          <cell r="D441">
            <v>6875</v>
          </cell>
        </row>
        <row r="442">
          <cell r="C442" t="str">
            <v>پ/68-1404</v>
          </cell>
          <cell r="D442">
            <v>22360</v>
          </cell>
        </row>
        <row r="443">
          <cell r="C443" t="str">
            <v>پ/64-1404</v>
          </cell>
          <cell r="D443">
            <v>14820</v>
          </cell>
        </row>
        <row r="444">
          <cell r="C444" t="str">
            <v>پ/88-1404</v>
          </cell>
          <cell r="D444">
            <v>8070</v>
          </cell>
        </row>
        <row r="445">
          <cell r="C445" t="str">
            <v>پ/91-1404</v>
          </cell>
          <cell r="D445">
            <v>14595</v>
          </cell>
        </row>
        <row r="446">
          <cell r="C446" t="str">
            <v>الحاقیه پ/43-1402</v>
          </cell>
          <cell r="D446">
            <v>19225</v>
          </cell>
        </row>
        <row r="447">
          <cell r="C447" t="str">
            <v>پ/15-1404</v>
          </cell>
          <cell r="D447">
            <v>23475</v>
          </cell>
        </row>
        <row r="448">
          <cell r="C448" t="str">
            <v>پ/28-1404</v>
          </cell>
          <cell r="D448">
            <v>20365</v>
          </cell>
        </row>
        <row r="449">
          <cell r="C449" t="str">
            <v>پ/68-1404</v>
          </cell>
          <cell r="D449">
            <v>20365</v>
          </cell>
        </row>
        <row r="450">
          <cell r="C450" t="str">
            <v>پ/49-1403</v>
          </cell>
          <cell r="D450">
            <v>18945</v>
          </cell>
        </row>
        <row r="451">
          <cell r="C451" t="str">
            <v>پ/49-1403</v>
          </cell>
          <cell r="D451">
            <v>19085</v>
          </cell>
        </row>
        <row r="452">
          <cell r="C452" t="str">
            <v>پ/68-1404</v>
          </cell>
          <cell r="D452">
            <v>19820</v>
          </cell>
        </row>
        <row r="453">
          <cell r="C453" t="str">
            <v>الحاقیه پ/55-1403</v>
          </cell>
          <cell r="D453">
            <v>6820</v>
          </cell>
        </row>
        <row r="454">
          <cell r="C454" t="str">
            <v>پ/68-1404</v>
          </cell>
          <cell r="D454">
            <v>20385</v>
          </cell>
        </row>
        <row r="455">
          <cell r="C455" t="str">
            <v>پ/49-1403</v>
          </cell>
          <cell r="D455">
            <v>20125</v>
          </cell>
        </row>
        <row r="456">
          <cell r="C456" t="str">
            <v>پ/11-1404</v>
          </cell>
          <cell r="D456">
            <v>22805</v>
          </cell>
        </row>
        <row r="457">
          <cell r="C457" t="str">
            <v>پ/21-1404</v>
          </cell>
          <cell r="D457">
            <v>17330</v>
          </cell>
        </row>
        <row r="458">
          <cell r="C458" t="str">
            <v>پ/68-1404</v>
          </cell>
          <cell r="D458">
            <v>16915</v>
          </cell>
        </row>
        <row r="459">
          <cell r="C459" t="str">
            <v>پ/49-1403</v>
          </cell>
          <cell r="D459">
            <v>20045</v>
          </cell>
        </row>
        <row r="460">
          <cell r="C460" t="str">
            <v>پ/87-1404</v>
          </cell>
          <cell r="D460">
            <v>21190</v>
          </cell>
        </row>
        <row r="461">
          <cell r="C461" t="str">
            <v>پ/67-1403</v>
          </cell>
          <cell r="D461">
            <v>11910</v>
          </cell>
        </row>
        <row r="462">
          <cell r="C462" t="str">
            <v>پ/35-1403</v>
          </cell>
          <cell r="D462">
            <v>23140</v>
          </cell>
        </row>
        <row r="463">
          <cell r="C463" t="str">
            <v>پ/15-1404</v>
          </cell>
          <cell r="D463">
            <v>13255</v>
          </cell>
        </row>
        <row r="464">
          <cell r="C464" t="str">
            <v>پ/68-1404</v>
          </cell>
          <cell r="D464">
            <v>20290</v>
          </cell>
        </row>
        <row r="465">
          <cell r="C465" t="str">
            <v>پ/91-1404</v>
          </cell>
          <cell r="D465">
            <v>14480</v>
          </cell>
        </row>
        <row r="466">
          <cell r="C466" t="str">
            <v>پ/68-1404</v>
          </cell>
          <cell r="D466">
            <v>20375</v>
          </cell>
        </row>
        <row r="467">
          <cell r="C467" t="str">
            <v>الحاقیه پ/55-1403</v>
          </cell>
          <cell r="D467">
            <v>6560</v>
          </cell>
        </row>
        <row r="468">
          <cell r="C468" t="str">
            <v>الحاقیه پ/52-1403</v>
          </cell>
          <cell r="D468">
            <v>20040</v>
          </cell>
        </row>
        <row r="469">
          <cell r="C469" t="str">
            <v>پ/13-1404</v>
          </cell>
          <cell r="D469">
            <v>20295</v>
          </cell>
        </row>
        <row r="470">
          <cell r="C470" t="str">
            <v>الحاقیه پ/54-1403</v>
          </cell>
          <cell r="D470">
            <v>23265</v>
          </cell>
        </row>
        <row r="471">
          <cell r="C471" t="str">
            <v>پ/15-1404</v>
          </cell>
          <cell r="D471">
            <v>19560</v>
          </cell>
        </row>
        <row r="472">
          <cell r="C472" t="str">
            <v>پ/04-1404</v>
          </cell>
          <cell r="D472">
            <v>14105</v>
          </cell>
        </row>
        <row r="473">
          <cell r="C473" t="str">
            <v>پ/28-1404</v>
          </cell>
          <cell r="D473">
            <v>6865</v>
          </cell>
        </row>
        <row r="474">
          <cell r="C474" t="str">
            <v>الحاقیه پ/52-1403</v>
          </cell>
          <cell r="D474">
            <v>20230</v>
          </cell>
        </row>
        <row r="475">
          <cell r="C475" t="str">
            <v>الحاقیه پ/58-1403</v>
          </cell>
          <cell r="D475">
            <v>11700</v>
          </cell>
        </row>
        <row r="476">
          <cell r="C476" t="str">
            <v>پ/91-1404</v>
          </cell>
          <cell r="D476">
            <v>14555</v>
          </cell>
        </row>
        <row r="477">
          <cell r="C477" t="str">
            <v>الحاقیه پ/55-1403</v>
          </cell>
          <cell r="D477">
            <v>6590</v>
          </cell>
        </row>
        <row r="478">
          <cell r="C478" t="str">
            <v>پ/78-1404</v>
          </cell>
          <cell r="D478">
            <v>800</v>
          </cell>
        </row>
        <row r="479">
          <cell r="C479" t="str">
            <v>پ/72-1404</v>
          </cell>
          <cell r="D479">
            <v>4625</v>
          </cell>
        </row>
        <row r="480">
          <cell r="C480" t="str">
            <v>پ/87-1404</v>
          </cell>
          <cell r="D480">
            <v>15445</v>
          </cell>
        </row>
        <row r="481">
          <cell r="C481" t="str">
            <v>الحاقیه پ/59-1403</v>
          </cell>
          <cell r="D481">
            <v>18765</v>
          </cell>
        </row>
        <row r="482">
          <cell r="C482" t="str">
            <v>پ/41-1404</v>
          </cell>
          <cell r="D482">
            <v>17750</v>
          </cell>
        </row>
        <row r="483">
          <cell r="C483" t="str">
            <v>پ/64-1404</v>
          </cell>
          <cell r="D483">
            <v>5180</v>
          </cell>
        </row>
        <row r="484">
          <cell r="C484" t="str">
            <v>پ/79-1404</v>
          </cell>
          <cell r="D484">
            <v>4045</v>
          </cell>
        </row>
        <row r="485">
          <cell r="C485" t="str">
            <v>پ/21-1404</v>
          </cell>
          <cell r="D485">
            <v>14260</v>
          </cell>
        </row>
        <row r="486">
          <cell r="C486" t="str">
            <v>پ/94-1404</v>
          </cell>
          <cell r="D486">
            <v>6700</v>
          </cell>
        </row>
        <row r="487">
          <cell r="C487" t="str">
            <v>پ/15-1404</v>
          </cell>
          <cell r="D487">
            <v>16565</v>
          </cell>
        </row>
        <row r="488">
          <cell r="C488" t="str">
            <v>پ/32-1403</v>
          </cell>
          <cell r="D488">
            <v>6035</v>
          </cell>
        </row>
        <row r="489">
          <cell r="C489" t="str">
            <v>پ/68-1404</v>
          </cell>
          <cell r="D489">
            <v>14300</v>
          </cell>
        </row>
        <row r="490">
          <cell r="C490" t="str">
            <v>پ/32-1403</v>
          </cell>
          <cell r="D490">
            <v>19875</v>
          </cell>
        </row>
        <row r="491">
          <cell r="C491" t="str">
            <v>پ/04-1404</v>
          </cell>
          <cell r="D491">
            <v>19060</v>
          </cell>
        </row>
        <row r="492">
          <cell r="C492" t="str">
            <v>پ/91-1404</v>
          </cell>
          <cell r="D492">
            <v>14540</v>
          </cell>
        </row>
        <row r="493">
          <cell r="C493" t="str">
            <v>الحاقیه پ/52-1403</v>
          </cell>
          <cell r="D493">
            <v>7430</v>
          </cell>
        </row>
        <row r="494">
          <cell r="C494" t="str">
            <v>پ/49-1403</v>
          </cell>
          <cell r="D494">
            <v>19160</v>
          </cell>
        </row>
        <row r="495">
          <cell r="C495" t="str">
            <v>پ/32-1403</v>
          </cell>
          <cell r="D495">
            <v>16135</v>
          </cell>
        </row>
        <row r="496">
          <cell r="C496" t="str">
            <v>پ/32-1403</v>
          </cell>
          <cell r="D496">
            <v>18395</v>
          </cell>
        </row>
        <row r="497">
          <cell r="C497" t="str">
            <v>پ/32-1403</v>
          </cell>
          <cell r="D497">
            <v>16235</v>
          </cell>
        </row>
        <row r="498">
          <cell r="C498" t="str">
            <v>پ/78-1404</v>
          </cell>
          <cell r="D498">
            <v>19200</v>
          </cell>
        </row>
        <row r="499">
          <cell r="C499" t="str">
            <v>پ/04-1404</v>
          </cell>
          <cell r="D499">
            <v>8140</v>
          </cell>
        </row>
        <row r="500">
          <cell r="C500" t="str">
            <v>پ/45-1404</v>
          </cell>
          <cell r="D500">
            <v>9280</v>
          </cell>
        </row>
        <row r="501">
          <cell r="C501" t="str">
            <v>پ/13-1404</v>
          </cell>
          <cell r="D501">
            <v>10970</v>
          </cell>
        </row>
        <row r="502">
          <cell r="C502" t="str">
            <v>پ/94-1404</v>
          </cell>
          <cell r="D502">
            <v>23300</v>
          </cell>
        </row>
        <row r="503">
          <cell r="C503" t="str">
            <v>پ/04-1404</v>
          </cell>
          <cell r="D503">
            <v>21165</v>
          </cell>
        </row>
        <row r="504">
          <cell r="C504" t="str">
            <v>الحاقیه پ/54-1403</v>
          </cell>
          <cell r="D504">
            <v>14840</v>
          </cell>
        </row>
        <row r="505">
          <cell r="C505" t="str">
            <v>پ/72-1404</v>
          </cell>
          <cell r="D505">
            <v>20785</v>
          </cell>
        </row>
        <row r="506">
          <cell r="C506" t="str">
            <v>پ/11-1404</v>
          </cell>
          <cell r="D506">
            <v>22885</v>
          </cell>
        </row>
        <row r="507">
          <cell r="C507" t="str">
            <v>الحاقیه پ/59-1403</v>
          </cell>
          <cell r="D507">
            <v>19725</v>
          </cell>
        </row>
        <row r="508">
          <cell r="C508" t="str">
            <v>پ/32-1403</v>
          </cell>
          <cell r="D508">
            <v>20235</v>
          </cell>
        </row>
        <row r="509">
          <cell r="C509" t="str">
            <v>پ/21-1404</v>
          </cell>
          <cell r="D509">
            <v>19810</v>
          </cell>
        </row>
        <row r="510">
          <cell r="C510" t="str">
            <v>الحاقیه پ/55-1403</v>
          </cell>
          <cell r="D510">
            <v>6745</v>
          </cell>
        </row>
        <row r="511">
          <cell r="C511" t="str">
            <v>پ/62-1404</v>
          </cell>
          <cell r="D511">
            <v>18555</v>
          </cell>
        </row>
        <row r="512">
          <cell r="C512" t="str">
            <v>پ/04-1404</v>
          </cell>
          <cell r="D512">
            <v>2530</v>
          </cell>
        </row>
        <row r="513">
          <cell r="C513" t="str">
            <v>پ/91-1404</v>
          </cell>
          <cell r="D513">
            <v>14310</v>
          </cell>
        </row>
        <row r="514">
          <cell r="C514" t="str">
            <v>الحاقیه پ/57-1403</v>
          </cell>
          <cell r="D514">
            <v>13650</v>
          </cell>
        </row>
        <row r="515">
          <cell r="C515" t="str">
            <v>پ/91-1404</v>
          </cell>
          <cell r="D515">
            <v>775</v>
          </cell>
        </row>
        <row r="516">
          <cell r="C516" t="str">
            <v>پ/32-1403</v>
          </cell>
          <cell r="D516">
            <v>22180</v>
          </cell>
        </row>
        <row r="517">
          <cell r="C517" t="str">
            <v>پ/30-1404</v>
          </cell>
          <cell r="D517">
            <v>20000</v>
          </cell>
        </row>
        <row r="518">
          <cell r="C518" t="str">
            <v>پ/41-1404</v>
          </cell>
          <cell r="D518">
            <v>2250</v>
          </cell>
        </row>
        <row r="519">
          <cell r="C519" t="str">
            <v>پ/35-1403</v>
          </cell>
          <cell r="D519">
            <v>20035</v>
          </cell>
        </row>
        <row r="520">
          <cell r="C520" t="str">
            <v>پ/72-1404</v>
          </cell>
          <cell r="D520">
            <v>21150</v>
          </cell>
        </row>
        <row r="521">
          <cell r="C521" t="str">
            <v>پ/67-1403</v>
          </cell>
          <cell r="D521">
            <v>11505</v>
          </cell>
        </row>
        <row r="522">
          <cell r="C522" t="str">
            <v>پ/62-1404</v>
          </cell>
          <cell r="D522">
            <v>21130</v>
          </cell>
        </row>
        <row r="523">
          <cell r="C523" t="str">
            <v>الحاقیه پ/69-1403</v>
          </cell>
          <cell r="D523">
            <v>7260</v>
          </cell>
        </row>
        <row r="524">
          <cell r="C524" t="str">
            <v>الحاقیه پ/55-1403</v>
          </cell>
          <cell r="D524">
            <v>6860</v>
          </cell>
        </row>
        <row r="525">
          <cell r="C525" t="str">
            <v>الحاقیه پ/69-1403</v>
          </cell>
          <cell r="D525">
            <v>7345</v>
          </cell>
        </row>
        <row r="526">
          <cell r="C526" t="str">
            <v>پ/72-1404</v>
          </cell>
          <cell r="D526">
            <v>20280</v>
          </cell>
        </row>
        <row r="527">
          <cell r="C527" t="str">
            <v>پ/35-1403</v>
          </cell>
          <cell r="D527">
            <v>22975</v>
          </cell>
        </row>
        <row r="528">
          <cell r="C528" t="str">
            <v>پ/83-1404</v>
          </cell>
          <cell r="D528">
            <v>15335</v>
          </cell>
        </row>
        <row r="529">
          <cell r="C529" t="str">
            <v>پ/15-1404</v>
          </cell>
          <cell r="D529">
            <v>7855</v>
          </cell>
        </row>
        <row r="530">
          <cell r="C530" t="str">
            <v>پ/32-1403</v>
          </cell>
          <cell r="D530">
            <v>22275</v>
          </cell>
        </row>
        <row r="531">
          <cell r="C531" t="str">
            <v>الحاقیه پ/52-1403</v>
          </cell>
          <cell r="D531">
            <v>7285</v>
          </cell>
        </row>
        <row r="532">
          <cell r="C532" t="str">
            <v>الحاقیه پ/54-1403</v>
          </cell>
          <cell r="D532">
            <v>23145</v>
          </cell>
        </row>
        <row r="533">
          <cell r="C533" t="str">
            <v>الحاقیه پ/57-1403</v>
          </cell>
          <cell r="D533">
            <v>14485</v>
          </cell>
        </row>
        <row r="534">
          <cell r="C534" t="str">
            <v>الحاقیه پ/50-1403</v>
          </cell>
          <cell r="D534">
            <v>7765</v>
          </cell>
        </row>
        <row r="535">
          <cell r="C535" t="str">
            <v>پ/32-1403</v>
          </cell>
          <cell r="D535">
            <v>20255</v>
          </cell>
        </row>
        <row r="536">
          <cell r="C536" t="str">
            <v>الحاقیه پ/58-1403</v>
          </cell>
          <cell r="D536">
            <v>11400</v>
          </cell>
        </row>
        <row r="537">
          <cell r="C537" t="str">
            <v>الحاقیه پ/52-1403</v>
          </cell>
          <cell r="D537">
            <v>20150</v>
          </cell>
        </row>
        <row r="538">
          <cell r="C538" t="str">
            <v>پ/32-1403</v>
          </cell>
          <cell r="D538">
            <v>17195</v>
          </cell>
        </row>
        <row r="539">
          <cell r="C539" t="str">
            <v>پ/79-1404</v>
          </cell>
          <cell r="D539">
            <v>20015</v>
          </cell>
        </row>
        <row r="540">
          <cell r="C540" t="str">
            <v>پ/62-1404</v>
          </cell>
          <cell r="D540">
            <v>20315</v>
          </cell>
        </row>
        <row r="541">
          <cell r="C541" t="str">
            <v>پ/80-1404</v>
          </cell>
          <cell r="D541">
            <v>8395</v>
          </cell>
        </row>
        <row r="542">
          <cell r="C542" t="str">
            <v>پ/83-1404</v>
          </cell>
          <cell r="D542">
            <v>14665</v>
          </cell>
        </row>
        <row r="543">
          <cell r="C543" t="str">
            <v>پ/72-1404</v>
          </cell>
          <cell r="D543">
            <v>20120</v>
          </cell>
        </row>
        <row r="544">
          <cell r="C544" t="str">
            <v>پ/45-1404</v>
          </cell>
          <cell r="D544">
            <v>20275</v>
          </cell>
        </row>
        <row r="545">
          <cell r="C545" t="str">
            <v>الحاقیه پ/43-1402</v>
          </cell>
          <cell r="D545">
            <v>12365</v>
          </cell>
        </row>
        <row r="546">
          <cell r="C546" t="str">
            <v>پ/32-1403</v>
          </cell>
          <cell r="D546">
            <v>14290</v>
          </cell>
        </row>
        <row r="547">
          <cell r="C547" t="str">
            <v>پ/11-1404</v>
          </cell>
          <cell r="D547">
            <v>20360</v>
          </cell>
        </row>
        <row r="548">
          <cell r="C548" t="str">
            <v>پ/67-1403</v>
          </cell>
          <cell r="D548">
            <v>11070</v>
          </cell>
        </row>
        <row r="549">
          <cell r="C549" t="str">
            <v>الحاقیه پ/52-1403</v>
          </cell>
          <cell r="D549">
            <v>20045</v>
          </cell>
        </row>
        <row r="550">
          <cell r="C550" t="str">
            <v>پ/32-1403</v>
          </cell>
          <cell r="D550">
            <v>22280</v>
          </cell>
        </row>
        <row r="551">
          <cell r="C551" t="str">
            <v>پ/32-1403</v>
          </cell>
          <cell r="D551">
            <v>22245</v>
          </cell>
        </row>
        <row r="552">
          <cell r="C552" t="str">
            <v>الحاقیه پ/50-1403</v>
          </cell>
          <cell r="D552">
            <v>7785</v>
          </cell>
        </row>
        <row r="553">
          <cell r="C553" t="str">
            <v>الحاقیه پ/52-1403</v>
          </cell>
          <cell r="D553">
            <v>19980</v>
          </cell>
        </row>
        <row r="554">
          <cell r="C554" t="str">
            <v>الحاقیه پ/57-1403</v>
          </cell>
          <cell r="D554">
            <v>14465</v>
          </cell>
        </row>
        <row r="555">
          <cell r="C555" t="str">
            <v>الحاقیه پ/69-1403</v>
          </cell>
          <cell r="D555">
            <v>7275</v>
          </cell>
        </row>
        <row r="556">
          <cell r="C556" t="str">
            <v>الحاقیه پ/51-1403</v>
          </cell>
          <cell r="D556">
            <v>17410</v>
          </cell>
        </row>
        <row r="557">
          <cell r="C557" t="str">
            <v>پ/79-1404</v>
          </cell>
          <cell r="D557">
            <v>2615</v>
          </cell>
        </row>
        <row r="558">
          <cell r="C558" t="str">
            <v>الحاقیه پ/58-1403</v>
          </cell>
          <cell r="D558">
            <v>11990</v>
          </cell>
        </row>
        <row r="559">
          <cell r="C559" t="str">
            <v>پ/38-1404</v>
          </cell>
          <cell r="D559">
            <v>9625</v>
          </cell>
        </row>
        <row r="560">
          <cell r="C560" t="str">
            <v>پ/45-1404</v>
          </cell>
          <cell r="D560">
            <v>10445</v>
          </cell>
        </row>
        <row r="561">
          <cell r="C561" t="str">
            <v>پ/32-1403</v>
          </cell>
          <cell r="D561">
            <v>22240</v>
          </cell>
        </row>
        <row r="562">
          <cell r="C562" t="str">
            <v>پ/23-1403</v>
          </cell>
          <cell r="D562">
            <v>4430</v>
          </cell>
        </row>
        <row r="563">
          <cell r="C563" t="str">
            <v>الحاقیه پ/63-1403</v>
          </cell>
          <cell r="D563">
            <v>17725</v>
          </cell>
        </row>
        <row r="564">
          <cell r="C564" t="str">
            <v>پ/50-1404</v>
          </cell>
          <cell r="D564">
            <v>540</v>
          </cell>
        </row>
        <row r="565">
          <cell r="C565" t="str">
            <v>پ/80-1404</v>
          </cell>
          <cell r="D565">
            <v>21605</v>
          </cell>
        </row>
        <row r="566">
          <cell r="C566" t="str">
            <v>الحاقیه پ/54-1403</v>
          </cell>
          <cell r="D566">
            <v>15170</v>
          </cell>
        </row>
        <row r="567">
          <cell r="C567" t="str">
            <v>پ/27-1402</v>
          </cell>
          <cell r="D567">
            <v>20735</v>
          </cell>
        </row>
        <row r="568">
          <cell r="C568" t="str">
            <v>پ/27-1402</v>
          </cell>
          <cell r="D568">
            <v>21420</v>
          </cell>
        </row>
        <row r="569">
          <cell r="C569" t="str">
            <v>پ/27-1402</v>
          </cell>
          <cell r="D569">
            <v>20930</v>
          </cell>
        </row>
        <row r="570">
          <cell r="C570" t="str">
            <v>پ/67-1403</v>
          </cell>
          <cell r="D570">
            <v>11495</v>
          </cell>
        </row>
        <row r="571">
          <cell r="C571" t="str">
            <v>الحاقیه پ/55-1403</v>
          </cell>
          <cell r="D571">
            <v>6825</v>
          </cell>
        </row>
        <row r="572">
          <cell r="C572" t="str">
            <v>الحاقیه پ/62-1403</v>
          </cell>
          <cell r="D572">
            <v>21095</v>
          </cell>
        </row>
        <row r="573">
          <cell r="C573" t="str">
            <v>پ/32-1403</v>
          </cell>
          <cell r="D573">
            <v>22625</v>
          </cell>
        </row>
        <row r="574">
          <cell r="C574" t="str">
            <v>الحاقیه پ/43-1402</v>
          </cell>
          <cell r="D574">
            <v>12100</v>
          </cell>
        </row>
        <row r="575">
          <cell r="C575" t="str">
            <v>پ/72-1404</v>
          </cell>
          <cell r="D575">
            <v>8070</v>
          </cell>
        </row>
        <row r="576">
          <cell r="C576" t="str">
            <v>الحاقیه پ/57-1403</v>
          </cell>
          <cell r="D576">
            <v>14600</v>
          </cell>
        </row>
        <row r="577">
          <cell r="C577" t="str">
            <v>پ/32-1403</v>
          </cell>
          <cell r="D577">
            <v>5445</v>
          </cell>
        </row>
        <row r="578">
          <cell r="C578" t="str">
            <v>الحاقیه پ/55-1403</v>
          </cell>
          <cell r="D578">
            <v>6600</v>
          </cell>
        </row>
        <row r="579">
          <cell r="C579" t="str">
            <v>الحاقیه پ/52-1403</v>
          </cell>
          <cell r="D579">
            <v>20360</v>
          </cell>
        </row>
        <row r="580">
          <cell r="C580" t="str">
            <v>پ/50-1404</v>
          </cell>
          <cell r="D580">
            <v>22210</v>
          </cell>
        </row>
        <row r="581">
          <cell r="C581" t="str">
            <v>پ/69-1404</v>
          </cell>
          <cell r="D581">
            <v>3510</v>
          </cell>
        </row>
        <row r="582">
          <cell r="C582" t="str">
            <v>پ/72-1404</v>
          </cell>
          <cell r="D582">
            <v>4970</v>
          </cell>
        </row>
        <row r="583">
          <cell r="C583" t="str">
            <v>پ/32-1403</v>
          </cell>
          <cell r="D583">
            <v>13005</v>
          </cell>
        </row>
        <row r="584">
          <cell r="C584" t="str">
            <v>پ/35-1403</v>
          </cell>
          <cell r="D584">
            <v>23270</v>
          </cell>
        </row>
        <row r="585">
          <cell r="C585" t="str">
            <v>الحاقیه پ/53-1403</v>
          </cell>
          <cell r="D585">
            <v>20965</v>
          </cell>
        </row>
        <row r="586">
          <cell r="C586" t="str">
            <v>پ/32-1403</v>
          </cell>
          <cell r="D586">
            <v>5505</v>
          </cell>
        </row>
        <row r="587">
          <cell r="C587" t="str">
            <v>الحاقیه پ/43-1402</v>
          </cell>
          <cell r="D587">
            <v>21145</v>
          </cell>
        </row>
        <row r="588">
          <cell r="C588" t="str">
            <v>پ/32-1403</v>
          </cell>
          <cell r="D588">
            <v>20200</v>
          </cell>
        </row>
        <row r="589">
          <cell r="C589" t="str">
            <v>پ/69-1404</v>
          </cell>
          <cell r="D589">
            <v>12085</v>
          </cell>
        </row>
        <row r="590">
          <cell r="C590" t="str">
            <v>پ/69-1404</v>
          </cell>
          <cell r="D590">
            <v>18735</v>
          </cell>
        </row>
        <row r="591">
          <cell r="C591" t="str">
            <v>پ/32-1403</v>
          </cell>
          <cell r="D591">
            <v>22310</v>
          </cell>
        </row>
        <row r="592">
          <cell r="C592" t="str">
            <v>الحاقیه پ/58-1403</v>
          </cell>
          <cell r="D592">
            <v>11460</v>
          </cell>
        </row>
        <row r="593">
          <cell r="C593" t="str">
            <v>پ/38-1404</v>
          </cell>
          <cell r="D593">
            <v>20150</v>
          </cell>
        </row>
        <row r="594">
          <cell r="C594" t="str">
            <v>پ/49-1403</v>
          </cell>
          <cell r="D594">
            <v>19200</v>
          </cell>
        </row>
        <row r="595">
          <cell r="C595" t="str">
            <v>الحاقیه پ/53-1403</v>
          </cell>
          <cell r="D595">
            <v>21055</v>
          </cell>
        </row>
        <row r="596">
          <cell r="C596" t="str">
            <v>پ/27-1402</v>
          </cell>
          <cell r="D596">
            <v>20710</v>
          </cell>
        </row>
        <row r="597">
          <cell r="C597" t="str">
            <v>پ/27-1402</v>
          </cell>
          <cell r="D597">
            <v>20545</v>
          </cell>
        </row>
        <row r="598">
          <cell r="C598" t="str">
            <v>الحاقیه پ/50-1403</v>
          </cell>
          <cell r="D598">
            <v>7855</v>
          </cell>
        </row>
        <row r="599">
          <cell r="C599" t="str">
            <v>پ/50-1404</v>
          </cell>
          <cell r="D599">
            <v>7250</v>
          </cell>
        </row>
        <row r="600">
          <cell r="C600" t="str">
            <v>پ/54-1404</v>
          </cell>
          <cell r="D600">
            <v>16035</v>
          </cell>
        </row>
        <row r="601">
          <cell r="C601" t="str">
            <v>پ/27-1402</v>
          </cell>
          <cell r="D601">
            <v>20265</v>
          </cell>
        </row>
        <row r="602">
          <cell r="C602" t="str">
            <v>پ/27-1402</v>
          </cell>
          <cell r="D602">
            <v>20450</v>
          </cell>
        </row>
        <row r="603">
          <cell r="C603" t="str">
            <v>پ/67-1403</v>
          </cell>
          <cell r="D603">
            <v>11375</v>
          </cell>
        </row>
        <row r="604">
          <cell r="C604" t="str">
            <v>پ/32-1403</v>
          </cell>
          <cell r="D604">
            <v>22245</v>
          </cell>
        </row>
        <row r="605">
          <cell r="C605" t="str">
            <v>پ/32-1403</v>
          </cell>
          <cell r="D605">
            <v>22205</v>
          </cell>
        </row>
        <row r="606">
          <cell r="C606" t="str">
            <v>الحاقیه پ/43-1402</v>
          </cell>
          <cell r="D606">
            <v>20870</v>
          </cell>
        </row>
        <row r="607">
          <cell r="C607" t="str">
            <v>پ/32-1403</v>
          </cell>
          <cell r="D607">
            <v>5510</v>
          </cell>
        </row>
        <row r="608">
          <cell r="C608" t="str">
            <v>پ/32-1403</v>
          </cell>
          <cell r="D608">
            <v>5655</v>
          </cell>
        </row>
        <row r="609">
          <cell r="C609" t="str">
            <v>الحاقیه پ/57-1403</v>
          </cell>
          <cell r="D609">
            <v>14455</v>
          </cell>
        </row>
        <row r="610">
          <cell r="C610" t="str">
            <v>پ/32-1403</v>
          </cell>
          <cell r="D610">
            <v>4465</v>
          </cell>
        </row>
        <row r="611">
          <cell r="C611" t="str">
            <v>الحاقیه پ/43-1402</v>
          </cell>
          <cell r="D611">
            <v>7105</v>
          </cell>
        </row>
        <row r="612">
          <cell r="C612" t="str">
            <v>پ/23-1403</v>
          </cell>
          <cell r="D612">
            <v>22085</v>
          </cell>
        </row>
        <row r="613">
          <cell r="C613" t="str">
            <v>پ/70-1404</v>
          </cell>
          <cell r="D613">
            <v>15825</v>
          </cell>
        </row>
        <row r="614">
          <cell r="C614" t="str">
            <v>پ/79-1404</v>
          </cell>
          <cell r="D614">
            <v>3325</v>
          </cell>
        </row>
        <row r="615">
          <cell r="C615" t="str">
            <v>پ/27-1402</v>
          </cell>
          <cell r="D615">
            <v>21160</v>
          </cell>
        </row>
        <row r="616">
          <cell r="C616" t="str">
            <v>پ/27-1402</v>
          </cell>
          <cell r="D616">
            <v>21050</v>
          </cell>
        </row>
        <row r="617">
          <cell r="C617" t="str">
            <v>پ/32-1403</v>
          </cell>
          <cell r="D617">
            <v>22135</v>
          </cell>
        </row>
        <row r="618">
          <cell r="C618" t="str">
            <v>پ/32-1403</v>
          </cell>
          <cell r="D618">
            <v>22185</v>
          </cell>
        </row>
        <row r="619">
          <cell r="C619" t="str">
            <v>الحاقیه پ/58-1403</v>
          </cell>
          <cell r="D619">
            <v>11375</v>
          </cell>
        </row>
        <row r="620">
          <cell r="C620" t="str">
            <v>پ/32-1403</v>
          </cell>
          <cell r="D620">
            <v>19360</v>
          </cell>
        </row>
        <row r="621">
          <cell r="C621" t="str">
            <v>پ/38-1404</v>
          </cell>
          <cell r="D621">
            <v>20075</v>
          </cell>
        </row>
        <row r="622">
          <cell r="C622" t="str">
            <v>الحاقیه پ/52-1403</v>
          </cell>
          <cell r="D622">
            <v>19985</v>
          </cell>
        </row>
        <row r="623">
          <cell r="C623" t="str">
            <v>پ/35-1403</v>
          </cell>
          <cell r="D623">
            <v>21985</v>
          </cell>
        </row>
        <row r="624">
          <cell r="C624" t="str">
            <v>پ/27-1402</v>
          </cell>
          <cell r="D624">
            <v>20670</v>
          </cell>
        </row>
        <row r="625">
          <cell r="C625" t="str">
            <v>پ/27-1402</v>
          </cell>
          <cell r="D625">
            <v>20665</v>
          </cell>
        </row>
        <row r="626">
          <cell r="C626" t="str">
            <v>پ/27-1402</v>
          </cell>
          <cell r="D626">
            <v>20580</v>
          </cell>
        </row>
        <row r="627">
          <cell r="C627" t="str">
            <v>الحاقیه پ/59-1403</v>
          </cell>
          <cell r="D627">
            <v>20130</v>
          </cell>
        </row>
        <row r="628">
          <cell r="C628" t="str">
            <v>الحاقیه پ/54-1403</v>
          </cell>
          <cell r="D628">
            <v>21705</v>
          </cell>
        </row>
        <row r="629">
          <cell r="C629" t="str">
            <v>الحاقیه پ/50-1403</v>
          </cell>
          <cell r="D629">
            <v>7760</v>
          </cell>
        </row>
        <row r="630">
          <cell r="C630" t="str">
            <v>الحاقیه پ/55-1403</v>
          </cell>
          <cell r="D630">
            <v>6640</v>
          </cell>
        </row>
        <row r="631">
          <cell r="C631" t="str">
            <v>الحاقیه پ/57-1403</v>
          </cell>
          <cell r="D631">
            <v>13675</v>
          </cell>
        </row>
        <row r="632">
          <cell r="C632" t="str">
            <v>پ/27-1402</v>
          </cell>
          <cell r="D632">
            <v>21155</v>
          </cell>
        </row>
        <row r="633">
          <cell r="C633" t="str">
            <v>پ/27-1402</v>
          </cell>
          <cell r="D633">
            <v>20500</v>
          </cell>
        </row>
        <row r="634">
          <cell r="C634" t="str">
            <v>پ/32-1403</v>
          </cell>
          <cell r="D634">
            <v>20195</v>
          </cell>
        </row>
        <row r="635">
          <cell r="C635" t="str">
            <v>پ/34-1404</v>
          </cell>
          <cell r="D635">
            <v>8155</v>
          </cell>
        </row>
        <row r="636">
          <cell r="C636" t="str">
            <v>پ/54-1404</v>
          </cell>
          <cell r="D636">
            <v>13965</v>
          </cell>
        </row>
        <row r="637">
          <cell r="C637" t="str">
            <v>پ/27-1402</v>
          </cell>
          <cell r="D637">
            <v>21030</v>
          </cell>
        </row>
        <row r="638">
          <cell r="C638" t="str">
            <v>پ/27-1402</v>
          </cell>
          <cell r="D638">
            <v>21020</v>
          </cell>
        </row>
        <row r="639">
          <cell r="C639" t="str">
            <v>الحاقیه پ/59-1403</v>
          </cell>
          <cell r="D639">
            <v>22025</v>
          </cell>
        </row>
        <row r="640">
          <cell r="C640" t="str">
            <v>الحاقیه پ/51-1403</v>
          </cell>
          <cell r="D640">
            <v>16175</v>
          </cell>
        </row>
        <row r="641">
          <cell r="C641" t="str">
            <v>پ/23-1403</v>
          </cell>
          <cell r="D641">
            <v>23025</v>
          </cell>
        </row>
        <row r="642">
          <cell r="C642" t="str">
            <v>الحاقیه پ/69-1403</v>
          </cell>
          <cell r="D642">
            <v>7485</v>
          </cell>
        </row>
        <row r="643">
          <cell r="C643" t="str">
            <v>پ/49-1403</v>
          </cell>
          <cell r="D643">
            <v>21040</v>
          </cell>
        </row>
        <row r="644">
          <cell r="C644" t="str">
            <v>الحاقیه پ/43-1402</v>
          </cell>
          <cell r="D644">
            <v>20075</v>
          </cell>
        </row>
        <row r="645">
          <cell r="C645" t="str">
            <v>پ/32-1403</v>
          </cell>
          <cell r="D645">
            <v>22185</v>
          </cell>
        </row>
        <row r="646">
          <cell r="C646" t="str">
            <v>الحاقیه پ/69-1403</v>
          </cell>
          <cell r="D646">
            <v>7685</v>
          </cell>
        </row>
        <row r="647">
          <cell r="C647" t="str">
            <v>پ/56-1404</v>
          </cell>
          <cell r="D647">
            <v>5425</v>
          </cell>
        </row>
        <row r="648">
          <cell r="C648" t="str">
            <v>پ/69-1404</v>
          </cell>
          <cell r="D648">
            <v>15670</v>
          </cell>
        </row>
        <row r="649">
          <cell r="C649" t="str">
            <v>پ/67-1403</v>
          </cell>
          <cell r="D649">
            <v>10975</v>
          </cell>
        </row>
        <row r="650">
          <cell r="C650" t="str">
            <v>پ/32-1403</v>
          </cell>
          <cell r="D650">
            <v>22160</v>
          </cell>
        </row>
        <row r="651">
          <cell r="C651" t="str">
            <v>الحاقیه پ/53-1403</v>
          </cell>
          <cell r="D651">
            <v>21120</v>
          </cell>
        </row>
        <row r="652">
          <cell r="C652" t="str">
            <v>الحاقیه پ/52-1403</v>
          </cell>
          <cell r="D652">
            <v>20065</v>
          </cell>
        </row>
        <row r="653">
          <cell r="C653" t="str">
            <v>پ/56-1404</v>
          </cell>
          <cell r="D653">
            <v>20045</v>
          </cell>
        </row>
        <row r="654">
          <cell r="C654" t="str">
            <v>الحاقیه پ/43-1402</v>
          </cell>
          <cell r="D654">
            <v>19935</v>
          </cell>
        </row>
        <row r="655">
          <cell r="C655" t="str">
            <v>پ/63-1404</v>
          </cell>
          <cell r="D655">
            <v>15155</v>
          </cell>
        </row>
        <row r="656">
          <cell r="C656" t="str">
            <v>پ/70-1404</v>
          </cell>
          <cell r="D656">
            <v>4175</v>
          </cell>
        </row>
        <row r="657">
          <cell r="C657" t="str">
            <v>پ/27-1402</v>
          </cell>
          <cell r="D657">
            <v>21020</v>
          </cell>
        </row>
        <row r="658">
          <cell r="C658" t="str">
            <v>پ/27-1402</v>
          </cell>
          <cell r="D658">
            <v>20705</v>
          </cell>
        </row>
        <row r="659">
          <cell r="C659" t="str">
            <v>پ/27-1402</v>
          </cell>
          <cell r="D659">
            <v>20630</v>
          </cell>
        </row>
        <row r="660">
          <cell r="C660" t="str">
            <v>الحاقیه پ/53-1403</v>
          </cell>
          <cell r="D660">
            <v>19735</v>
          </cell>
        </row>
        <row r="661">
          <cell r="C661" t="str">
            <v>الحاقیه پ/59-1403</v>
          </cell>
          <cell r="D661">
            <v>21850</v>
          </cell>
        </row>
        <row r="662">
          <cell r="C662" t="str">
            <v>پ/27-1402</v>
          </cell>
          <cell r="D662">
            <v>21100</v>
          </cell>
        </row>
        <row r="663">
          <cell r="C663" t="str">
            <v>پ/27-1402</v>
          </cell>
          <cell r="D663">
            <v>21000</v>
          </cell>
        </row>
        <row r="664">
          <cell r="C664" t="str">
            <v>پ/27-1402</v>
          </cell>
          <cell r="D664">
            <v>21030</v>
          </cell>
        </row>
        <row r="665">
          <cell r="C665" t="str">
            <v>پ/32-1403</v>
          </cell>
          <cell r="D665">
            <v>19850</v>
          </cell>
        </row>
        <row r="666">
          <cell r="C666" t="str">
            <v>پ/49-1403</v>
          </cell>
          <cell r="D666">
            <v>22040</v>
          </cell>
        </row>
        <row r="667">
          <cell r="C667" t="str">
            <v>پ/32-1403</v>
          </cell>
          <cell r="D667">
            <v>17780</v>
          </cell>
        </row>
        <row r="668">
          <cell r="C668" t="str">
            <v>الحاقیه پ/59-1403</v>
          </cell>
          <cell r="D668">
            <v>20260</v>
          </cell>
        </row>
        <row r="669">
          <cell r="C669" t="str">
            <v>الحاقیه پ/69-1403</v>
          </cell>
          <cell r="D669">
            <v>19805</v>
          </cell>
        </row>
        <row r="670">
          <cell r="C670" t="str">
            <v>الحاقیه پ/43-1402</v>
          </cell>
          <cell r="D670">
            <v>8020</v>
          </cell>
        </row>
        <row r="671">
          <cell r="C671" t="str">
            <v>پ/20-1404</v>
          </cell>
          <cell r="D671">
            <v>185</v>
          </cell>
        </row>
        <row r="672">
          <cell r="C672" t="str">
            <v>پ/34-1404</v>
          </cell>
          <cell r="D672">
            <v>21845</v>
          </cell>
        </row>
        <row r="673">
          <cell r="C673" t="str">
            <v>الحاقیه پ/62-1403</v>
          </cell>
          <cell r="D673">
            <v>19040</v>
          </cell>
        </row>
        <row r="674">
          <cell r="C674" t="str">
            <v>پ/71-1404</v>
          </cell>
          <cell r="D674">
            <v>9895</v>
          </cell>
        </row>
        <row r="675">
          <cell r="C675" t="str">
            <v>الحاقیه پ/64-1403</v>
          </cell>
          <cell r="D675">
            <v>10115</v>
          </cell>
        </row>
        <row r="676">
          <cell r="C676" t="str">
            <v>پ/49-1403</v>
          </cell>
          <cell r="D676">
            <v>21020</v>
          </cell>
        </row>
        <row r="677">
          <cell r="C677" t="str">
            <v>پ/32-1403</v>
          </cell>
          <cell r="D677">
            <v>22225</v>
          </cell>
        </row>
        <row r="678">
          <cell r="C678" t="str">
            <v>پ/19-1403</v>
          </cell>
          <cell r="D678">
            <v>5365</v>
          </cell>
        </row>
        <row r="679">
          <cell r="C679" t="str">
            <v>الحاقیه پ/58-1403</v>
          </cell>
          <cell r="D679">
            <v>6585</v>
          </cell>
        </row>
        <row r="680">
          <cell r="C680" t="str">
            <v>پ/56-1404</v>
          </cell>
          <cell r="D680">
            <v>9015</v>
          </cell>
        </row>
        <row r="681">
          <cell r="C681" t="str">
            <v>الحاقیه پ/52-1403</v>
          </cell>
          <cell r="D681">
            <v>18130</v>
          </cell>
        </row>
        <row r="682">
          <cell r="C682" t="str">
            <v>پ/27-1402</v>
          </cell>
          <cell r="D682">
            <v>20530</v>
          </cell>
        </row>
        <row r="683">
          <cell r="C683" t="str">
            <v>پ/27-1402</v>
          </cell>
          <cell r="D683">
            <v>20600</v>
          </cell>
        </row>
        <row r="684">
          <cell r="C684" t="str">
            <v>الحاقیه پ/50-1403</v>
          </cell>
          <cell r="D684">
            <v>7735</v>
          </cell>
        </row>
        <row r="685">
          <cell r="C685" t="str">
            <v>الحاقیه پ/43-1402</v>
          </cell>
          <cell r="D685">
            <v>17925</v>
          </cell>
        </row>
        <row r="686">
          <cell r="C686" t="str">
            <v>الحاقیه پ/59-1403</v>
          </cell>
          <cell r="D686">
            <v>18265</v>
          </cell>
        </row>
        <row r="687">
          <cell r="C687" t="str">
            <v>پ/19-1403</v>
          </cell>
          <cell r="D687">
            <v>11435</v>
          </cell>
        </row>
        <row r="688">
          <cell r="C688" t="str">
            <v>الحاقیه پ/57-1403</v>
          </cell>
          <cell r="D688">
            <v>14060</v>
          </cell>
        </row>
        <row r="689">
          <cell r="C689" t="str">
            <v>پ/27-1402</v>
          </cell>
          <cell r="D689">
            <v>20585</v>
          </cell>
        </row>
        <row r="690">
          <cell r="C690" t="str">
            <v>پ/27-1402</v>
          </cell>
          <cell r="D690">
            <v>20580</v>
          </cell>
        </row>
        <row r="691">
          <cell r="C691" t="str">
            <v>پ/27-1402</v>
          </cell>
          <cell r="D691">
            <v>20490</v>
          </cell>
        </row>
        <row r="692">
          <cell r="C692" t="str">
            <v>الحاقیه پ/53-1403</v>
          </cell>
          <cell r="D692">
            <v>14110</v>
          </cell>
        </row>
        <row r="693">
          <cell r="C693" t="str">
            <v>الحاقیه پ/51-1403</v>
          </cell>
          <cell r="D693">
            <v>18045</v>
          </cell>
        </row>
        <row r="694">
          <cell r="C694" t="str">
            <v>پ/23-1403</v>
          </cell>
          <cell r="D694">
            <v>18090</v>
          </cell>
        </row>
        <row r="695">
          <cell r="C695" t="str">
            <v>پ/20-1404</v>
          </cell>
          <cell r="D695">
            <v>19040</v>
          </cell>
        </row>
        <row r="696">
          <cell r="C696" t="str">
            <v>پ/32-1403</v>
          </cell>
          <cell r="D696">
            <v>20560</v>
          </cell>
        </row>
        <row r="697">
          <cell r="C697" t="str">
            <v>پ/27-1402</v>
          </cell>
          <cell r="D697">
            <v>20725</v>
          </cell>
        </row>
        <row r="698">
          <cell r="C698" t="str">
            <v>پ/27-1402</v>
          </cell>
          <cell r="D698">
            <v>20895</v>
          </cell>
        </row>
        <row r="699">
          <cell r="C699" t="str">
            <v>پ/27-1402</v>
          </cell>
          <cell r="D699">
            <v>20575</v>
          </cell>
        </row>
        <row r="700">
          <cell r="C700" t="str">
            <v>پ/32-1403</v>
          </cell>
          <cell r="D700">
            <v>22075</v>
          </cell>
        </row>
        <row r="701">
          <cell r="C701" t="str">
            <v>پ/65-1404</v>
          </cell>
          <cell r="D701">
            <v>4525</v>
          </cell>
        </row>
        <row r="702">
          <cell r="C702" t="str">
            <v>پ/56-1404</v>
          </cell>
          <cell r="D702">
            <v>15515</v>
          </cell>
        </row>
        <row r="703">
          <cell r="C703" t="str">
            <v>پ/19-1403</v>
          </cell>
          <cell r="D703">
            <v>11400</v>
          </cell>
        </row>
        <row r="704">
          <cell r="C704" t="str">
            <v>الحاقیه پ/43-1402</v>
          </cell>
          <cell r="D704">
            <v>18115</v>
          </cell>
        </row>
        <row r="705">
          <cell r="C705" t="str">
            <v>الحاقیه پ/52-1403</v>
          </cell>
          <cell r="D705">
            <v>7460</v>
          </cell>
        </row>
        <row r="706">
          <cell r="C706" t="str">
            <v>الحاقیه پ/69-1403</v>
          </cell>
          <cell r="D706">
            <v>20005</v>
          </cell>
        </row>
        <row r="707">
          <cell r="C707" t="str">
            <v>الحاقیه پ/53-1403</v>
          </cell>
          <cell r="D707">
            <v>19115</v>
          </cell>
        </row>
        <row r="708">
          <cell r="C708" t="str">
            <v>پ/35-1403</v>
          </cell>
          <cell r="D708">
            <v>20930</v>
          </cell>
        </row>
        <row r="709">
          <cell r="C709" t="str">
            <v>پ/27-1402</v>
          </cell>
          <cell r="D709">
            <v>20975</v>
          </cell>
        </row>
        <row r="710">
          <cell r="C710" t="str">
            <v>پ/27-1402</v>
          </cell>
          <cell r="D710">
            <v>20660</v>
          </cell>
        </row>
        <row r="711">
          <cell r="C711" t="str">
            <v>پ/19-1403</v>
          </cell>
          <cell r="D711">
            <v>11370</v>
          </cell>
        </row>
        <row r="712">
          <cell r="C712" t="str">
            <v>پ/49-1403</v>
          </cell>
          <cell r="D712">
            <v>20250</v>
          </cell>
        </row>
        <row r="713">
          <cell r="C713" t="str">
            <v>الحاقیه پ/57-1403</v>
          </cell>
          <cell r="D713">
            <v>14535</v>
          </cell>
        </row>
        <row r="714">
          <cell r="C714" t="str">
            <v>الحاقیه پ/55-1403</v>
          </cell>
          <cell r="D714">
            <v>6660</v>
          </cell>
        </row>
        <row r="715">
          <cell r="C715" t="str">
            <v>پ/27-1404</v>
          </cell>
          <cell r="D715">
            <v>9950</v>
          </cell>
        </row>
        <row r="716">
          <cell r="C716" t="str">
            <v>پ/38-1404</v>
          </cell>
          <cell r="D716">
            <v>10150</v>
          </cell>
        </row>
        <row r="717">
          <cell r="C717" t="str">
            <v>پ/65-1404</v>
          </cell>
          <cell r="D717">
            <v>20020</v>
          </cell>
        </row>
        <row r="718">
          <cell r="C718" t="str">
            <v>الحاقیه پ/43-1402</v>
          </cell>
          <cell r="D718">
            <v>20220</v>
          </cell>
        </row>
        <row r="719">
          <cell r="C719" t="str">
            <v>پ/27-1402</v>
          </cell>
          <cell r="D719">
            <v>20450</v>
          </cell>
        </row>
        <row r="720">
          <cell r="C720" t="str">
            <v>پ/20-1404</v>
          </cell>
          <cell r="D720">
            <v>22195</v>
          </cell>
        </row>
        <row r="721">
          <cell r="C721" t="str">
            <v>پ/40-1404</v>
          </cell>
          <cell r="D721">
            <v>13545</v>
          </cell>
        </row>
        <row r="722">
          <cell r="C722" t="str">
            <v>پ/63-1404</v>
          </cell>
          <cell r="D722">
            <v>4845</v>
          </cell>
        </row>
        <row r="723">
          <cell r="C723" t="str">
            <v>الحاقیه پ/59-1403</v>
          </cell>
          <cell r="D723">
            <v>19165</v>
          </cell>
        </row>
        <row r="724">
          <cell r="C724" t="str">
            <v>پ/27-1402</v>
          </cell>
          <cell r="D724">
            <v>20615</v>
          </cell>
        </row>
        <row r="725">
          <cell r="C725" t="str">
            <v>الحاقیه پ/54-1403</v>
          </cell>
          <cell r="D725">
            <v>20195</v>
          </cell>
        </row>
        <row r="726">
          <cell r="C726" t="str">
            <v>الحاقیه پ/69-1403</v>
          </cell>
          <cell r="D726">
            <v>7165</v>
          </cell>
        </row>
        <row r="727">
          <cell r="C727" t="str">
            <v>الحاقیه پ/55-1403</v>
          </cell>
          <cell r="D727">
            <v>6725</v>
          </cell>
        </row>
        <row r="728">
          <cell r="C728" t="str">
            <v>الحاقیه پ/53-1403</v>
          </cell>
          <cell r="D728">
            <v>12050</v>
          </cell>
        </row>
        <row r="729">
          <cell r="C729" t="str">
            <v>پ/65-1404</v>
          </cell>
          <cell r="D729">
            <v>8110</v>
          </cell>
        </row>
        <row r="730">
          <cell r="C730" t="str">
            <v>الحاقیه پ/43-1402</v>
          </cell>
          <cell r="D730">
            <v>12100</v>
          </cell>
        </row>
        <row r="731">
          <cell r="C731" t="str">
            <v>الحاقیه پ/52-1403</v>
          </cell>
          <cell r="D731">
            <v>20025</v>
          </cell>
        </row>
        <row r="732">
          <cell r="C732" t="str">
            <v>پ/65-1404</v>
          </cell>
          <cell r="D732">
            <v>20065</v>
          </cell>
        </row>
        <row r="733">
          <cell r="C733" t="str">
            <v>الحاقیه پ/43-1402</v>
          </cell>
          <cell r="D733">
            <v>19735</v>
          </cell>
        </row>
        <row r="734">
          <cell r="C734" t="str">
            <v>الحاقیه پ/53-1403</v>
          </cell>
          <cell r="D734">
            <v>20050</v>
          </cell>
        </row>
        <row r="735">
          <cell r="C735" t="str">
            <v>پ/27-1402</v>
          </cell>
          <cell r="D735">
            <v>20165</v>
          </cell>
        </row>
        <row r="736">
          <cell r="C736" t="str">
            <v>پ/27-1402</v>
          </cell>
          <cell r="D736">
            <v>20680</v>
          </cell>
        </row>
        <row r="737">
          <cell r="C737" t="str">
            <v>پ/49-1403</v>
          </cell>
          <cell r="D737">
            <v>18655</v>
          </cell>
        </row>
        <row r="738">
          <cell r="C738" t="str">
            <v>پ/27-1402</v>
          </cell>
          <cell r="D738">
            <v>20895</v>
          </cell>
        </row>
        <row r="739">
          <cell r="C739" t="str">
            <v>پ/27-1402</v>
          </cell>
          <cell r="D739">
            <v>20680</v>
          </cell>
        </row>
        <row r="740">
          <cell r="C740" t="str">
            <v>الحاقیه پ/57-1403</v>
          </cell>
          <cell r="D740">
            <v>14590</v>
          </cell>
        </row>
        <row r="741">
          <cell r="C741" t="str">
            <v>الحاقیه پ/50-1403</v>
          </cell>
          <cell r="D741">
            <v>7850</v>
          </cell>
        </row>
        <row r="742">
          <cell r="C742" t="str">
            <v>پ/19-1403</v>
          </cell>
          <cell r="D742">
            <v>10105</v>
          </cell>
        </row>
        <row r="743">
          <cell r="C743" t="str">
            <v>پ/39-1404</v>
          </cell>
          <cell r="D743">
            <v>4610</v>
          </cell>
        </row>
        <row r="744">
          <cell r="C744" t="str">
            <v>پ/65-1404</v>
          </cell>
          <cell r="D744">
            <v>7280</v>
          </cell>
        </row>
        <row r="745">
          <cell r="C745" t="str">
            <v>الحاقیه پ/59-1403</v>
          </cell>
          <cell r="D745">
            <v>18535</v>
          </cell>
        </row>
        <row r="746">
          <cell r="C746" t="str">
            <v>الحاقیه پ/43-1402</v>
          </cell>
          <cell r="D746">
            <v>7930</v>
          </cell>
        </row>
        <row r="747">
          <cell r="C747" t="str">
            <v>الحاقیه پ/55-1403</v>
          </cell>
          <cell r="D747">
            <v>6660</v>
          </cell>
        </row>
        <row r="748">
          <cell r="C748" t="str">
            <v>پ/49-1403</v>
          </cell>
          <cell r="D748">
            <v>18505</v>
          </cell>
        </row>
        <row r="749">
          <cell r="C749" t="str">
            <v>پ/71-1404</v>
          </cell>
          <cell r="D749">
            <v>20105</v>
          </cell>
        </row>
        <row r="750">
          <cell r="C750" t="str">
            <v>پ/27-1402</v>
          </cell>
          <cell r="D750">
            <v>21125</v>
          </cell>
        </row>
        <row r="751">
          <cell r="C751" t="str">
            <v>الحاقیه پ/59-1403</v>
          </cell>
          <cell r="D751">
            <v>20025</v>
          </cell>
        </row>
        <row r="752">
          <cell r="C752" t="str">
            <v>پ/23-1403</v>
          </cell>
          <cell r="D752">
            <v>22065</v>
          </cell>
        </row>
        <row r="753">
          <cell r="C753" t="str">
            <v>پ/27-1402</v>
          </cell>
          <cell r="D753">
            <v>21030</v>
          </cell>
        </row>
        <row r="754">
          <cell r="C754" t="str">
            <v>پ/27-1402</v>
          </cell>
          <cell r="D754">
            <v>21120</v>
          </cell>
        </row>
        <row r="755">
          <cell r="C755" t="str">
            <v>پ/27-1402</v>
          </cell>
          <cell r="D755">
            <v>20955</v>
          </cell>
        </row>
        <row r="756">
          <cell r="C756" t="str">
            <v>پ/47-1404</v>
          </cell>
          <cell r="D756">
            <v>4635</v>
          </cell>
        </row>
        <row r="757">
          <cell r="C757" t="str">
            <v>پ/39-1404</v>
          </cell>
          <cell r="D757">
            <v>15390</v>
          </cell>
        </row>
        <row r="758">
          <cell r="C758" t="str">
            <v>الحاقیه پ/51-1403</v>
          </cell>
          <cell r="D758">
            <v>19035</v>
          </cell>
        </row>
        <row r="759">
          <cell r="C759" t="str">
            <v>الحاقیه پ/43-1402</v>
          </cell>
          <cell r="D759">
            <v>20525</v>
          </cell>
        </row>
        <row r="760">
          <cell r="C760" t="str">
            <v>الحاقیه پ/53-1403</v>
          </cell>
          <cell r="D760">
            <v>20200</v>
          </cell>
        </row>
        <row r="761">
          <cell r="C761" t="str">
            <v>پ/19-1403</v>
          </cell>
          <cell r="D761">
            <v>11325</v>
          </cell>
        </row>
        <row r="762">
          <cell r="C762" t="str">
            <v>الحاقیه پ/53-1403</v>
          </cell>
          <cell r="D762">
            <v>19975</v>
          </cell>
        </row>
        <row r="763">
          <cell r="C763" t="str">
            <v>پ/27-1402</v>
          </cell>
          <cell r="D763">
            <v>20885</v>
          </cell>
        </row>
        <row r="764">
          <cell r="C764" t="str">
            <v>پ/27-1402</v>
          </cell>
          <cell r="D764">
            <v>20725</v>
          </cell>
        </row>
        <row r="765">
          <cell r="C765" t="str">
            <v>پ/49-1403</v>
          </cell>
          <cell r="D765">
            <v>18965</v>
          </cell>
        </row>
        <row r="766">
          <cell r="C766" t="str">
            <v>الحاقیه پ/69-1403</v>
          </cell>
          <cell r="D766">
            <v>7350</v>
          </cell>
        </row>
        <row r="767">
          <cell r="C767" t="str">
            <v>پ/27-1402</v>
          </cell>
          <cell r="D767">
            <v>20530</v>
          </cell>
        </row>
        <row r="768">
          <cell r="C768" t="str">
            <v>پ/27-1402</v>
          </cell>
          <cell r="D768">
            <v>20435</v>
          </cell>
        </row>
        <row r="769">
          <cell r="C769" t="str">
            <v>پ/27-1402</v>
          </cell>
          <cell r="D769">
            <v>20485</v>
          </cell>
        </row>
        <row r="770">
          <cell r="C770" t="str">
            <v>الحاقیه پ/55-1403</v>
          </cell>
          <cell r="D770">
            <v>6785</v>
          </cell>
        </row>
        <row r="771">
          <cell r="C771" t="str">
            <v>الحاقیه پ/69-1403</v>
          </cell>
          <cell r="D771">
            <v>7070</v>
          </cell>
        </row>
        <row r="772">
          <cell r="C772" t="str">
            <v>پ/05-1404</v>
          </cell>
          <cell r="D772">
            <v>13480</v>
          </cell>
        </row>
        <row r="773">
          <cell r="C773" t="str">
            <v>پ/20-1404</v>
          </cell>
          <cell r="D773">
            <v>8580</v>
          </cell>
        </row>
        <row r="774">
          <cell r="C774" t="str">
            <v>پ/32-1403</v>
          </cell>
          <cell r="D774">
            <v>15220</v>
          </cell>
        </row>
        <row r="775">
          <cell r="C775" t="str">
            <v>پ/35-1404</v>
          </cell>
          <cell r="D775">
            <v>11645</v>
          </cell>
        </row>
        <row r="776">
          <cell r="C776" t="str">
            <v>پ/40-1404</v>
          </cell>
          <cell r="D776">
            <v>6455</v>
          </cell>
        </row>
        <row r="777">
          <cell r="C777" t="str">
            <v>الحاقیه پ/43-1402</v>
          </cell>
          <cell r="D777">
            <v>18890</v>
          </cell>
        </row>
        <row r="778">
          <cell r="C778" t="str">
            <v>الحاقیه پ/52-1403</v>
          </cell>
          <cell r="D778">
            <v>20040</v>
          </cell>
        </row>
        <row r="779">
          <cell r="C779" t="str">
            <v>الحاقیه پ/57-1403</v>
          </cell>
          <cell r="D779">
            <v>14190</v>
          </cell>
        </row>
        <row r="780">
          <cell r="C780" t="str">
            <v>پ/27-1404</v>
          </cell>
          <cell r="D780">
            <v>20050</v>
          </cell>
        </row>
        <row r="781">
          <cell r="C781" t="str">
            <v>الحاقیه پ/55-1403</v>
          </cell>
          <cell r="D781">
            <v>6725</v>
          </cell>
        </row>
        <row r="782">
          <cell r="C782" t="str">
            <v>پ/47-1404</v>
          </cell>
          <cell r="D782">
            <v>19950</v>
          </cell>
        </row>
        <row r="783">
          <cell r="C783" t="str">
            <v>پ/27-1402</v>
          </cell>
          <cell r="D783">
            <v>20485</v>
          </cell>
        </row>
        <row r="784">
          <cell r="C784" t="str">
            <v>پ/27-1402</v>
          </cell>
          <cell r="D784">
            <v>20605</v>
          </cell>
        </row>
        <row r="785">
          <cell r="C785" t="str">
            <v>پ/27-1402</v>
          </cell>
          <cell r="D785">
            <v>20885</v>
          </cell>
        </row>
        <row r="786">
          <cell r="C786" t="str">
            <v>پ/27-1402</v>
          </cell>
          <cell r="D786">
            <v>20965</v>
          </cell>
        </row>
        <row r="787">
          <cell r="C787" t="str">
            <v>پ/27-1402</v>
          </cell>
          <cell r="D787">
            <v>20975</v>
          </cell>
        </row>
        <row r="788">
          <cell r="C788" t="str">
            <v>الحاقیه پ/59-1403</v>
          </cell>
          <cell r="D788">
            <v>19600</v>
          </cell>
        </row>
        <row r="789">
          <cell r="C789" t="str">
            <v>الحاقیه پ/50-1403</v>
          </cell>
          <cell r="D789">
            <v>7795</v>
          </cell>
        </row>
        <row r="790">
          <cell r="C790" t="str">
            <v>پ/49-1403</v>
          </cell>
          <cell r="D790">
            <v>20085</v>
          </cell>
        </row>
        <row r="791">
          <cell r="C791" t="str">
            <v>الحاقیه پ/51-1403</v>
          </cell>
          <cell r="D791">
            <v>19850</v>
          </cell>
        </row>
        <row r="792">
          <cell r="C792" t="str">
            <v>پ/32-1403</v>
          </cell>
          <cell r="D792">
            <v>20210</v>
          </cell>
        </row>
        <row r="793">
          <cell r="C793" t="str">
            <v>الحاقیه پ/59-1403</v>
          </cell>
          <cell r="D793">
            <v>18930</v>
          </cell>
        </row>
        <row r="794">
          <cell r="C794" t="str">
            <v>الحاقیه پ/43-1402</v>
          </cell>
          <cell r="D794">
            <v>20115</v>
          </cell>
        </row>
        <row r="795">
          <cell r="C795" t="str">
            <v>پ/19-1403</v>
          </cell>
          <cell r="D795">
            <v>11455</v>
          </cell>
        </row>
        <row r="796">
          <cell r="C796" t="str">
            <v>پ/27-1402</v>
          </cell>
          <cell r="D796">
            <v>21175</v>
          </cell>
        </row>
        <row r="797">
          <cell r="C797" t="str">
            <v>پ/27-1402</v>
          </cell>
          <cell r="D797">
            <v>21105</v>
          </cell>
        </row>
        <row r="798">
          <cell r="C798" t="str">
            <v>الحاقیه پ/53-1403</v>
          </cell>
          <cell r="D798">
            <v>19950</v>
          </cell>
        </row>
        <row r="799">
          <cell r="C799" t="str">
            <v>پ/05-1404</v>
          </cell>
          <cell r="D799">
            <v>22170</v>
          </cell>
        </row>
        <row r="800">
          <cell r="C800" t="str">
            <v>پ/27-1402</v>
          </cell>
          <cell r="D800">
            <v>21230</v>
          </cell>
        </row>
        <row r="801">
          <cell r="C801" t="str">
            <v>پ/27-1402</v>
          </cell>
          <cell r="D801">
            <v>21435</v>
          </cell>
        </row>
        <row r="802">
          <cell r="C802" t="str">
            <v>الحاقیه پ/69-1403</v>
          </cell>
          <cell r="D802">
            <v>20330</v>
          </cell>
        </row>
        <row r="803">
          <cell r="C803" t="str">
            <v>پ/08-1404</v>
          </cell>
          <cell r="D803">
            <v>20000</v>
          </cell>
        </row>
        <row r="804">
          <cell r="C804" t="str">
            <v>پ/23-1403</v>
          </cell>
          <cell r="D804">
            <v>1085</v>
          </cell>
        </row>
        <row r="805">
          <cell r="C805" t="str">
            <v>الحاقیه پ/54-1403</v>
          </cell>
          <cell r="D805">
            <v>22040</v>
          </cell>
        </row>
        <row r="806">
          <cell r="C806" t="str">
            <v>پ/29-1404</v>
          </cell>
          <cell r="D806">
            <v>10145</v>
          </cell>
        </row>
        <row r="807">
          <cell r="C807" t="str">
            <v>پ/47-1404</v>
          </cell>
          <cell r="D807">
            <v>5415</v>
          </cell>
        </row>
        <row r="808">
          <cell r="C808" t="str">
            <v>الحاقیه پ/52-1403</v>
          </cell>
          <cell r="D808">
            <v>7255</v>
          </cell>
        </row>
        <row r="809">
          <cell r="C809" t="str">
            <v>پ/05-1404</v>
          </cell>
          <cell r="D809">
            <v>22230</v>
          </cell>
        </row>
        <row r="810">
          <cell r="C810" t="str">
            <v>پ/35-1404</v>
          </cell>
          <cell r="D810">
            <v>18580</v>
          </cell>
        </row>
        <row r="811">
          <cell r="C811" t="str">
            <v>الحاقیه پ/43-1402</v>
          </cell>
          <cell r="D811">
            <v>20015</v>
          </cell>
        </row>
        <row r="812">
          <cell r="C812" t="str">
            <v>الحاقیه پ/53-1403</v>
          </cell>
          <cell r="D812">
            <v>20060</v>
          </cell>
        </row>
        <row r="813">
          <cell r="C813" t="str">
            <v>پ/08-1404</v>
          </cell>
          <cell r="D813">
            <v>20000</v>
          </cell>
        </row>
        <row r="814">
          <cell r="C814" t="str">
            <v>پ/19-1403</v>
          </cell>
          <cell r="D814">
            <v>11960</v>
          </cell>
        </row>
        <row r="815">
          <cell r="C815" t="str">
            <v>الحاقیه پ/43-1402</v>
          </cell>
          <cell r="D815">
            <v>8035</v>
          </cell>
        </row>
        <row r="816">
          <cell r="C816" t="str">
            <v>پ/19-1403</v>
          </cell>
          <cell r="D816">
            <v>11285</v>
          </cell>
        </row>
        <row r="817">
          <cell r="C817" t="str">
            <v>الحاقیه پ/52-1403</v>
          </cell>
          <cell r="D817">
            <v>20550</v>
          </cell>
        </row>
        <row r="818">
          <cell r="C818" t="str">
            <v>پ/05-1404</v>
          </cell>
          <cell r="D818">
            <v>22145</v>
          </cell>
        </row>
        <row r="819">
          <cell r="C819" t="str">
            <v>پ/29-1404</v>
          </cell>
          <cell r="D819">
            <v>20000</v>
          </cell>
        </row>
        <row r="820">
          <cell r="C820" t="str">
            <v>پ/49-1403</v>
          </cell>
          <cell r="D820">
            <v>19090</v>
          </cell>
        </row>
        <row r="821">
          <cell r="C821" t="str">
            <v>الحاقیه پ/43-1402</v>
          </cell>
          <cell r="D821">
            <v>20160</v>
          </cell>
        </row>
        <row r="822">
          <cell r="C822" t="str">
            <v>پ/35-1403</v>
          </cell>
          <cell r="D822">
            <v>21795</v>
          </cell>
        </row>
        <row r="823">
          <cell r="C823" t="str">
            <v>پ/27-1402</v>
          </cell>
          <cell r="D823">
            <v>20640</v>
          </cell>
        </row>
        <row r="824">
          <cell r="C824" t="str">
            <v>پ/27-1402</v>
          </cell>
          <cell r="D824">
            <v>20540</v>
          </cell>
        </row>
        <row r="825">
          <cell r="C825" t="str">
            <v>پ/27-1402</v>
          </cell>
          <cell r="D825">
            <v>20520</v>
          </cell>
        </row>
        <row r="826">
          <cell r="C826" t="str">
            <v>پ/19-1403</v>
          </cell>
          <cell r="D826">
            <v>11295</v>
          </cell>
        </row>
        <row r="827">
          <cell r="C827" t="str">
            <v>الحاقیه پ/51-1403</v>
          </cell>
          <cell r="D827">
            <v>19045</v>
          </cell>
        </row>
        <row r="828">
          <cell r="C828" t="str">
            <v>الحاقیه پ/57-1403</v>
          </cell>
          <cell r="D828">
            <v>14355</v>
          </cell>
        </row>
        <row r="829">
          <cell r="C829" t="str">
            <v>الحاقیه پ/54-1403</v>
          </cell>
          <cell r="D829">
            <v>22020</v>
          </cell>
        </row>
        <row r="830">
          <cell r="C830" t="str">
            <v>الحاقیه پ/53-1403</v>
          </cell>
          <cell r="D830">
            <v>20035</v>
          </cell>
        </row>
        <row r="831">
          <cell r="C831" t="str">
            <v>پ/32-1403</v>
          </cell>
          <cell r="D831">
            <v>22225</v>
          </cell>
        </row>
        <row r="832">
          <cell r="C832" t="str">
            <v>پ/27-1402</v>
          </cell>
          <cell r="D832">
            <v>20705</v>
          </cell>
        </row>
        <row r="833">
          <cell r="C833" t="str">
            <v>پ/27-1402</v>
          </cell>
          <cell r="D833">
            <v>20690</v>
          </cell>
        </row>
        <row r="834">
          <cell r="C834" t="str">
            <v>الحاقیه پ/63-1403</v>
          </cell>
          <cell r="D834">
            <v>20225</v>
          </cell>
        </row>
        <row r="835">
          <cell r="C835" t="str">
            <v>الحاقیه پ/50-1403</v>
          </cell>
          <cell r="D835">
            <v>7750</v>
          </cell>
        </row>
        <row r="836">
          <cell r="C836" t="str">
            <v>الحاقیه پ/54-1403</v>
          </cell>
          <cell r="D836">
            <v>22110</v>
          </cell>
        </row>
        <row r="837">
          <cell r="C837" t="str">
            <v>پ/58-1404</v>
          </cell>
          <cell r="D837">
            <v>11115</v>
          </cell>
        </row>
        <row r="838">
          <cell r="C838" t="str">
            <v>الحاقیه پ/64-1403</v>
          </cell>
          <cell r="D838">
            <v>9005</v>
          </cell>
        </row>
        <row r="839">
          <cell r="C839" t="str">
            <v>الحاقیه پ/52-1403</v>
          </cell>
          <cell r="D839">
            <v>7165</v>
          </cell>
        </row>
        <row r="840">
          <cell r="C840" t="str">
            <v>الحاقیه پ/52-1403</v>
          </cell>
          <cell r="D840">
            <v>7520</v>
          </cell>
        </row>
        <row r="841">
          <cell r="C841" t="str">
            <v>الحاقیه پ/62-1403</v>
          </cell>
          <cell r="D841">
            <v>18180</v>
          </cell>
        </row>
        <row r="842">
          <cell r="C842" t="str">
            <v>پ/27-1402</v>
          </cell>
          <cell r="D842">
            <v>20385</v>
          </cell>
        </row>
        <row r="843">
          <cell r="C843" t="str">
            <v>الحاقیه پ/43-1402</v>
          </cell>
          <cell r="D843">
            <v>18950</v>
          </cell>
        </row>
        <row r="844">
          <cell r="C844" t="str">
            <v>پ/35-1403</v>
          </cell>
          <cell r="D844">
            <v>22085</v>
          </cell>
        </row>
        <row r="845">
          <cell r="C845" t="str">
            <v>پ/49-1404</v>
          </cell>
          <cell r="D845">
            <v>1095</v>
          </cell>
        </row>
        <row r="846">
          <cell r="C846" t="str">
            <v>پ/58-1404</v>
          </cell>
          <cell r="D846">
            <v>18885</v>
          </cell>
        </row>
        <row r="847">
          <cell r="C847" t="str">
            <v>الحاقیه پ/53-1403</v>
          </cell>
          <cell r="D847">
            <v>19985</v>
          </cell>
        </row>
        <row r="848">
          <cell r="C848" t="str">
            <v>الحاقیه پ/69-1403</v>
          </cell>
          <cell r="D848">
            <v>7220</v>
          </cell>
        </row>
        <row r="849">
          <cell r="C849" t="str">
            <v>پ/19-1403</v>
          </cell>
          <cell r="D849">
            <v>11935</v>
          </cell>
        </row>
        <row r="850">
          <cell r="C850" t="str">
            <v>پ/27-1402</v>
          </cell>
          <cell r="D850">
            <v>20735</v>
          </cell>
        </row>
        <row r="851">
          <cell r="C851" t="str">
            <v>پ/27-1402</v>
          </cell>
          <cell r="D851">
            <v>20590</v>
          </cell>
        </row>
        <row r="852">
          <cell r="C852" t="str">
            <v>پ/05-1404</v>
          </cell>
          <cell r="D852">
            <v>22260</v>
          </cell>
        </row>
        <row r="853">
          <cell r="C853" t="str">
            <v>الحاقیه پ/59-1403</v>
          </cell>
          <cell r="D853">
            <v>18965</v>
          </cell>
        </row>
        <row r="854">
          <cell r="C854" t="str">
            <v>پ/27-1402</v>
          </cell>
          <cell r="D854">
            <v>20280</v>
          </cell>
        </row>
        <row r="855">
          <cell r="C855" t="str">
            <v>پ/27-1402</v>
          </cell>
          <cell r="D855">
            <v>19775</v>
          </cell>
        </row>
        <row r="856">
          <cell r="C856" t="str">
            <v>پ/49-1403</v>
          </cell>
          <cell r="D856">
            <v>19120</v>
          </cell>
        </row>
        <row r="857">
          <cell r="C857" t="str">
            <v>الحاقیه پ/54-1403</v>
          </cell>
          <cell r="D857">
            <v>22245</v>
          </cell>
        </row>
        <row r="858">
          <cell r="C858" t="str">
            <v>الحاقیه پ/52-1403</v>
          </cell>
          <cell r="D858">
            <v>7570</v>
          </cell>
        </row>
        <row r="859">
          <cell r="C859" t="str">
            <v>الحاقیه پ/50-1403</v>
          </cell>
          <cell r="D859">
            <v>7770</v>
          </cell>
        </row>
        <row r="860">
          <cell r="C860" t="str">
            <v>الحاقیه پ/52-1403</v>
          </cell>
          <cell r="D860">
            <v>7440</v>
          </cell>
        </row>
        <row r="861">
          <cell r="C861" t="str">
            <v>پ/68-1403</v>
          </cell>
          <cell r="D861">
            <v>8830</v>
          </cell>
        </row>
        <row r="862">
          <cell r="C862" t="str">
            <v>پ/35-1404</v>
          </cell>
          <cell r="D862">
            <v>9775</v>
          </cell>
        </row>
        <row r="863">
          <cell r="C863" t="str">
            <v>الحاقیه پ/57-1403</v>
          </cell>
          <cell r="D863">
            <v>14180</v>
          </cell>
        </row>
        <row r="864">
          <cell r="C864" t="str">
            <v>الحاقیه پ/52-1403</v>
          </cell>
          <cell r="D864">
            <v>7320</v>
          </cell>
        </row>
        <row r="865">
          <cell r="C865" t="str">
            <v>پ/24-1404</v>
          </cell>
          <cell r="D865">
            <v>170</v>
          </cell>
        </row>
        <row r="866">
          <cell r="C866" t="str">
            <v>پ/29-1404</v>
          </cell>
          <cell r="D866">
            <v>19855</v>
          </cell>
        </row>
        <row r="867">
          <cell r="C867" t="str">
            <v>پ/27-1402</v>
          </cell>
          <cell r="D867">
            <v>21015</v>
          </cell>
        </row>
        <row r="868">
          <cell r="C868" t="str">
            <v>پ/27-1402</v>
          </cell>
          <cell r="D868">
            <v>20625</v>
          </cell>
        </row>
        <row r="869">
          <cell r="C869" t="str">
            <v>پ/27-1402</v>
          </cell>
          <cell r="D869">
            <v>20590</v>
          </cell>
        </row>
        <row r="870">
          <cell r="C870" t="str">
            <v>پ/27-1402</v>
          </cell>
          <cell r="D870">
            <v>20560</v>
          </cell>
        </row>
        <row r="871">
          <cell r="C871" t="str">
            <v>پ/32-1403</v>
          </cell>
          <cell r="D871">
            <v>22160</v>
          </cell>
        </row>
        <row r="872">
          <cell r="C872" t="str">
            <v>الحاقیه پ/55-1403</v>
          </cell>
          <cell r="D872">
            <v>20100</v>
          </cell>
        </row>
        <row r="873">
          <cell r="C873" t="str">
            <v>الحاقیه پ/53-1403</v>
          </cell>
          <cell r="D873">
            <v>20020</v>
          </cell>
        </row>
        <row r="874">
          <cell r="C874" t="str">
            <v>الحاقیه پ/43-1402</v>
          </cell>
          <cell r="D874">
            <v>7090</v>
          </cell>
        </row>
        <row r="875">
          <cell r="C875" t="str">
            <v>الحاقیه پ/53-1403</v>
          </cell>
          <cell r="D875">
            <v>11935</v>
          </cell>
        </row>
        <row r="876">
          <cell r="C876" t="str">
            <v>الحاقیه پ/60-1403</v>
          </cell>
          <cell r="D876">
            <v>22045</v>
          </cell>
        </row>
        <row r="877">
          <cell r="C877" t="str">
            <v>پ/05-1404</v>
          </cell>
          <cell r="D877">
            <v>115</v>
          </cell>
        </row>
        <row r="878">
          <cell r="C878" t="str">
            <v>الحاقیه پ/59-1403</v>
          </cell>
          <cell r="D878">
            <v>19070</v>
          </cell>
        </row>
        <row r="879">
          <cell r="C879" t="str">
            <v>الحاقیه پ/69-1403</v>
          </cell>
          <cell r="D879">
            <v>7560</v>
          </cell>
        </row>
        <row r="880">
          <cell r="C880" t="str">
            <v>پ/27-1402</v>
          </cell>
          <cell r="D880">
            <v>20545</v>
          </cell>
        </row>
        <row r="881">
          <cell r="C881" t="str">
            <v>پ/42-1404</v>
          </cell>
          <cell r="D881">
            <v>1130</v>
          </cell>
        </row>
        <row r="882">
          <cell r="C882" t="str">
            <v>پ/49-1404</v>
          </cell>
          <cell r="D882">
            <v>18905</v>
          </cell>
        </row>
        <row r="883">
          <cell r="C883" t="str">
            <v>پ/27-1402</v>
          </cell>
          <cell r="D883">
            <v>20635</v>
          </cell>
        </row>
        <row r="884">
          <cell r="C884" t="str">
            <v>الحاقیه پ/53-1403</v>
          </cell>
          <cell r="D884">
            <v>19905</v>
          </cell>
        </row>
        <row r="885">
          <cell r="C885" t="str">
            <v>پ/27-1402</v>
          </cell>
          <cell r="D885">
            <v>20520</v>
          </cell>
        </row>
        <row r="886">
          <cell r="C886" t="str">
            <v>پ/27-1402</v>
          </cell>
          <cell r="D886">
            <v>20495</v>
          </cell>
        </row>
        <row r="887">
          <cell r="C887" t="str">
            <v>پ/49-1403</v>
          </cell>
          <cell r="D887">
            <v>19075</v>
          </cell>
        </row>
        <row r="888">
          <cell r="C888" t="str">
            <v>الحاقیه پ/50-1403</v>
          </cell>
          <cell r="D888">
            <v>7785</v>
          </cell>
        </row>
        <row r="889">
          <cell r="C889" t="str">
            <v>الحاقیه پ/52-1403</v>
          </cell>
          <cell r="D889">
            <v>6965</v>
          </cell>
        </row>
        <row r="890">
          <cell r="C890" t="str">
            <v>پ/19-1403</v>
          </cell>
          <cell r="D890">
            <v>11525</v>
          </cell>
        </row>
        <row r="891">
          <cell r="C891" t="str">
            <v>الحاقیه پ/43-1402</v>
          </cell>
          <cell r="D891">
            <v>8340</v>
          </cell>
        </row>
        <row r="892">
          <cell r="C892" t="str">
            <v>پ/27-1402</v>
          </cell>
          <cell r="D892">
            <v>21040</v>
          </cell>
        </row>
        <row r="893">
          <cell r="C893" t="str">
            <v>پ/27-1402</v>
          </cell>
          <cell r="D893">
            <v>20525</v>
          </cell>
        </row>
        <row r="894">
          <cell r="C894" t="str">
            <v>الحاقیه پ/53-1403</v>
          </cell>
          <cell r="D894">
            <v>19825</v>
          </cell>
        </row>
        <row r="895">
          <cell r="C895" t="str">
            <v>الحاقیه پ/52-1403</v>
          </cell>
          <cell r="D895">
            <v>7815</v>
          </cell>
        </row>
        <row r="896">
          <cell r="C896" t="str">
            <v>الحاقیه پ/54-1403</v>
          </cell>
          <cell r="D896">
            <v>21675</v>
          </cell>
        </row>
        <row r="897">
          <cell r="C897" t="str">
            <v>الحاقیه پ/55-1403</v>
          </cell>
          <cell r="D897">
            <v>19980</v>
          </cell>
        </row>
        <row r="898">
          <cell r="C898" t="str">
            <v>پ/27-1402</v>
          </cell>
          <cell r="D898">
            <v>20630</v>
          </cell>
        </row>
        <row r="899">
          <cell r="C899" t="str">
            <v>پ/27-1402</v>
          </cell>
          <cell r="D899">
            <v>20605</v>
          </cell>
        </row>
        <row r="900">
          <cell r="C900" t="str">
            <v>الحاقیه پ/59-1403</v>
          </cell>
          <cell r="D900">
            <v>18525</v>
          </cell>
        </row>
        <row r="901">
          <cell r="C901" t="str">
            <v>الحاقیه پ/60-1403</v>
          </cell>
          <cell r="D901">
            <v>22100</v>
          </cell>
        </row>
        <row r="902">
          <cell r="C902" t="str">
            <v>الحاقیه پ/59-1403</v>
          </cell>
          <cell r="D902">
            <v>18955</v>
          </cell>
        </row>
        <row r="903">
          <cell r="C903" t="str">
            <v>پ/42-1404</v>
          </cell>
          <cell r="D903">
            <v>18935</v>
          </cell>
        </row>
        <row r="904">
          <cell r="C904" t="str">
            <v>پ/24-1404</v>
          </cell>
          <cell r="D904">
            <v>19955</v>
          </cell>
        </row>
        <row r="905">
          <cell r="C905" t="str">
            <v>پ/27-1402</v>
          </cell>
          <cell r="D905">
            <v>20490</v>
          </cell>
        </row>
        <row r="906">
          <cell r="C906" t="str">
            <v>پ/27-1402</v>
          </cell>
          <cell r="D906">
            <v>20735</v>
          </cell>
        </row>
        <row r="907">
          <cell r="C907" t="str">
            <v>الحاقیه پ/51-1403</v>
          </cell>
          <cell r="D907">
            <v>18575</v>
          </cell>
        </row>
        <row r="908">
          <cell r="C908" t="str">
            <v>الحاقیه پ/43-1402</v>
          </cell>
          <cell r="D908">
            <v>15015</v>
          </cell>
        </row>
        <row r="909">
          <cell r="C909" t="str">
            <v>الحاقیه پ/43-1402</v>
          </cell>
          <cell r="D909">
            <v>8370</v>
          </cell>
        </row>
        <row r="910">
          <cell r="C910" t="str">
            <v>الحاقیه پ/57-1403</v>
          </cell>
          <cell r="D910">
            <v>14490</v>
          </cell>
        </row>
        <row r="911">
          <cell r="C911" t="str">
            <v>پ/68-1403</v>
          </cell>
          <cell r="D911">
            <v>18525</v>
          </cell>
        </row>
        <row r="912">
          <cell r="C912" t="str">
            <v>پ/49-1403</v>
          </cell>
          <cell r="D912">
            <v>19020</v>
          </cell>
        </row>
        <row r="913">
          <cell r="C913" t="str">
            <v>پ/19-1403</v>
          </cell>
          <cell r="D913">
            <v>11615</v>
          </cell>
        </row>
        <row r="914">
          <cell r="C914" t="str">
            <v>الحاقیه پ/53-1403</v>
          </cell>
          <cell r="D914">
            <v>20045</v>
          </cell>
        </row>
        <row r="915">
          <cell r="C915" t="str">
            <v>الحاقیه پ/50-1403</v>
          </cell>
          <cell r="D915">
            <v>7755</v>
          </cell>
        </row>
        <row r="916">
          <cell r="C916" t="str">
            <v>پ/27-1402</v>
          </cell>
          <cell r="D916">
            <v>20565</v>
          </cell>
        </row>
        <row r="917">
          <cell r="C917" t="str">
            <v>پ/27-1402</v>
          </cell>
          <cell r="D917">
            <v>20485</v>
          </cell>
        </row>
        <row r="918">
          <cell r="C918" t="str">
            <v>الحاقیه پ/69-1403</v>
          </cell>
          <cell r="D918">
            <v>7515</v>
          </cell>
        </row>
        <row r="919">
          <cell r="C919" t="str">
            <v>پ/24-1404</v>
          </cell>
          <cell r="D919">
            <v>19875</v>
          </cell>
        </row>
        <row r="920">
          <cell r="C920" t="str">
            <v>پ/19-1403</v>
          </cell>
          <cell r="D920">
            <v>11510</v>
          </cell>
        </row>
        <row r="921">
          <cell r="C921" t="str">
            <v>الحاقیه پ/51-1403</v>
          </cell>
          <cell r="D921">
            <v>18475</v>
          </cell>
        </row>
        <row r="922">
          <cell r="C922" t="str">
            <v>پ/42-1404</v>
          </cell>
          <cell r="D922">
            <v>19935</v>
          </cell>
        </row>
        <row r="923">
          <cell r="C923" t="str">
            <v>پ/32-1403</v>
          </cell>
          <cell r="D923">
            <v>22270</v>
          </cell>
        </row>
        <row r="924">
          <cell r="C924" t="str">
            <v>الحاقیه پ/54-1403</v>
          </cell>
          <cell r="D924">
            <v>22055</v>
          </cell>
        </row>
        <row r="925">
          <cell r="C925" t="str">
            <v>پ/27-1402</v>
          </cell>
          <cell r="D925">
            <v>20595</v>
          </cell>
        </row>
        <row r="926">
          <cell r="C926" t="str">
            <v>پ/27-1402</v>
          </cell>
          <cell r="D926">
            <v>20640</v>
          </cell>
        </row>
        <row r="927">
          <cell r="C927" t="str">
            <v>پ/27-1402</v>
          </cell>
          <cell r="D927">
            <v>20315</v>
          </cell>
        </row>
        <row r="928">
          <cell r="C928" t="str">
            <v>الحاقیه پ/53-1403</v>
          </cell>
          <cell r="D928">
            <v>19660</v>
          </cell>
        </row>
        <row r="929">
          <cell r="C929" t="str">
            <v>پ/27-1402</v>
          </cell>
          <cell r="D929">
            <v>20605</v>
          </cell>
        </row>
        <row r="930">
          <cell r="C930" t="str">
            <v>پ/27-1402</v>
          </cell>
          <cell r="D930">
            <v>20500</v>
          </cell>
        </row>
        <row r="931">
          <cell r="C931" t="str">
            <v>پ/49-1403</v>
          </cell>
          <cell r="D931">
            <v>18885</v>
          </cell>
        </row>
        <row r="932">
          <cell r="C932" t="str">
            <v>پ/73-1403</v>
          </cell>
          <cell r="D932">
            <v>1415</v>
          </cell>
        </row>
        <row r="933">
          <cell r="C933" t="str">
            <v>الحاقیه پ/43-1402</v>
          </cell>
          <cell r="D933">
            <v>18645</v>
          </cell>
        </row>
        <row r="934">
          <cell r="C934" t="str">
            <v>الحاقیه پ/52-1403</v>
          </cell>
          <cell r="D934">
            <v>7355</v>
          </cell>
        </row>
        <row r="935">
          <cell r="C935" t="str">
            <v>الحاقیه پ/60-1403</v>
          </cell>
          <cell r="D935">
            <v>22030</v>
          </cell>
        </row>
        <row r="936">
          <cell r="C936" t="str">
            <v>پ/68-1403</v>
          </cell>
          <cell r="D936">
            <v>18370</v>
          </cell>
        </row>
        <row r="937">
          <cell r="C937" t="str">
            <v>الحاقیه پ/52-1403</v>
          </cell>
          <cell r="D937">
            <v>7310</v>
          </cell>
        </row>
        <row r="938">
          <cell r="C938" t="str">
            <v>پ/27-1402</v>
          </cell>
          <cell r="D938">
            <v>20565</v>
          </cell>
        </row>
        <row r="939">
          <cell r="C939" t="str">
            <v>پ/73-1403</v>
          </cell>
          <cell r="D939">
            <v>20060</v>
          </cell>
        </row>
        <row r="940">
          <cell r="C940" t="str">
            <v>پ/27-1402</v>
          </cell>
          <cell r="D940">
            <v>20405</v>
          </cell>
        </row>
        <row r="941">
          <cell r="C941" t="str">
            <v>الحاقیه پ/50-1403</v>
          </cell>
          <cell r="D941">
            <v>7625</v>
          </cell>
        </row>
        <row r="942">
          <cell r="C942" t="str">
            <v>پ/73-1403</v>
          </cell>
          <cell r="D942">
            <v>10095</v>
          </cell>
        </row>
        <row r="943">
          <cell r="C943" t="str">
            <v>الحاقیه پ/69-1403</v>
          </cell>
          <cell r="D943">
            <v>7460</v>
          </cell>
        </row>
        <row r="944">
          <cell r="C944" t="str">
            <v>پ/73-1403</v>
          </cell>
          <cell r="D944">
            <v>19970</v>
          </cell>
        </row>
        <row r="945">
          <cell r="C945" t="str">
            <v>الحاقیه پ/57-1403</v>
          </cell>
          <cell r="D945">
            <v>14355</v>
          </cell>
        </row>
        <row r="946">
          <cell r="C946" t="str">
            <v>الحاقیه پ/54-1403</v>
          </cell>
          <cell r="D946">
            <v>22170</v>
          </cell>
        </row>
        <row r="947">
          <cell r="C947" t="str">
            <v>الحاقیه پ/53-1403</v>
          </cell>
          <cell r="D947">
            <v>19915</v>
          </cell>
        </row>
        <row r="948">
          <cell r="C948" t="str">
            <v>الحاقیه پ/53-1403</v>
          </cell>
          <cell r="D948">
            <v>20100</v>
          </cell>
        </row>
        <row r="949">
          <cell r="C949" t="str">
            <v>الحاقیه پ/53-1403</v>
          </cell>
          <cell r="D949">
            <v>20000</v>
          </cell>
        </row>
        <row r="950">
          <cell r="C950" t="str">
            <v>پ/49-1403</v>
          </cell>
          <cell r="D950">
            <v>19945</v>
          </cell>
        </row>
        <row r="951">
          <cell r="C951" t="str">
            <v>پ/27-1402</v>
          </cell>
          <cell r="D951">
            <v>20470</v>
          </cell>
        </row>
        <row r="952">
          <cell r="C952" t="str">
            <v>پ/27-1402</v>
          </cell>
          <cell r="D952">
            <v>20505</v>
          </cell>
        </row>
        <row r="953">
          <cell r="C953" t="str">
            <v>پ/55-1404</v>
          </cell>
          <cell r="D953">
            <v>8875</v>
          </cell>
        </row>
        <row r="954">
          <cell r="C954" t="str">
            <v>پ/49-1403</v>
          </cell>
          <cell r="D954">
            <v>17970</v>
          </cell>
        </row>
        <row r="955">
          <cell r="C955" t="str">
            <v>پ/49-1403</v>
          </cell>
          <cell r="D955">
            <v>20080</v>
          </cell>
        </row>
        <row r="956">
          <cell r="C956" t="str">
            <v>پ/27-1402</v>
          </cell>
          <cell r="D956">
            <v>21085</v>
          </cell>
        </row>
        <row r="957">
          <cell r="C957" t="str">
            <v>پ/27-1402</v>
          </cell>
          <cell r="D957">
            <v>21035</v>
          </cell>
        </row>
        <row r="958">
          <cell r="C958" t="str">
            <v>پ/16-1404</v>
          </cell>
          <cell r="D958">
            <v>14145</v>
          </cell>
        </row>
        <row r="959">
          <cell r="C959" t="str">
            <v>پ/68-1403</v>
          </cell>
          <cell r="D959">
            <v>4275</v>
          </cell>
        </row>
        <row r="960">
          <cell r="C960" t="str">
            <v>الحاقیه پ/64-1403</v>
          </cell>
          <cell r="D960">
            <v>19930</v>
          </cell>
        </row>
        <row r="961">
          <cell r="C961" t="str">
            <v>الحاقیه پ/53-1403</v>
          </cell>
          <cell r="D961">
            <v>20085</v>
          </cell>
        </row>
        <row r="962">
          <cell r="C962" t="str">
            <v>الحاقیه پ/54-1403</v>
          </cell>
          <cell r="D962">
            <v>22145</v>
          </cell>
        </row>
        <row r="963">
          <cell r="C963" t="str">
            <v>الحاقیه پ/69-1403</v>
          </cell>
          <cell r="D963">
            <v>7525</v>
          </cell>
        </row>
        <row r="964">
          <cell r="C964" t="str">
            <v>پ/17-1404</v>
          </cell>
          <cell r="D964">
            <v>18910</v>
          </cell>
        </row>
        <row r="965">
          <cell r="C965" t="str">
            <v>الحاقیه پ/62-1403</v>
          </cell>
          <cell r="D965">
            <v>1015</v>
          </cell>
        </row>
        <row r="966">
          <cell r="C966" t="str">
            <v>پ/27-1402</v>
          </cell>
          <cell r="D966">
            <v>20580</v>
          </cell>
        </row>
        <row r="967">
          <cell r="C967" t="str">
            <v>پ/27-1402</v>
          </cell>
          <cell r="D967">
            <v>20515</v>
          </cell>
        </row>
        <row r="968">
          <cell r="C968" t="str">
            <v>الحاقیه پ/60-1403</v>
          </cell>
          <cell r="D968">
            <v>18175</v>
          </cell>
        </row>
        <row r="969">
          <cell r="C969" t="str">
            <v>الحاقیه پ/69-1403</v>
          </cell>
          <cell r="D969">
            <v>7240</v>
          </cell>
        </row>
        <row r="970">
          <cell r="C970" t="str">
            <v>الحاقیه پ/53-1403</v>
          </cell>
          <cell r="D970">
            <v>20245</v>
          </cell>
        </row>
        <row r="971">
          <cell r="C971" t="str">
            <v>پ/49-1403</v>
          </cell>
          <cell r="D971">
            <v>18055</v>
          </cell>
        </row>
        <row r="972">
          <cell r="C972" t="str">
            <v>الحاقیه پ/53-1403</v>
          </cell>
          <cell r="D972">
            <v>7435</v>
          </cell>
        </row>
        <row r="973">
          <cell r="C973" t="str">
            <v>الحاقیه پ/53-1403</v>
          </cell>
          <cell r="D973">
            <v>19920</v>
          </cell>
        </row>
        <row r="974">
          <cell r="C974" t="str">
            <v>پ/27-1402</v>
          </cell>
          <cell r="D974">
            <v>20595</v>
          </cell>
        </row>
        <row r="975">
          <cell r="C975" t="str">
            <v>پ/27-1402</v>
          </cell>
          <cell r="D975">
            <v>20640</v>
          </cell>
        </row>
        <row r="976">
          <cell r="C976" t="str">
            <v>پ/19-1403</v>
          </cell>
          <cell r="D976">
            <v>11530</v>
          </cell>
        </row>
        <row r="977">
          <cell r="C977" t="str">
            <v>الحاقیه پ/69-1403</v>
          </cell>
          <cell r="D977">
            <v>7400</v>
          </cell>
        </row>
        <row r="978">
          <cell r="C978" t="str">
            <v>پ/19-1404</v>
          </cell>
          <cell r="D978">
            <v>12200</v>
          </cell>
        </row>
        <row r="979">
          <cell r="C979" t="str">
            <v>پ/16-1404</v>
          </cell>
          <cell r="D979">
            <v>5855</v>
          </cell>
        </row>
        <row r="980">
          <cell r="C980" t="str">
            <v>الحاقیه پ/50-1403</v>
          </cell>
          <cell r="D980">
            <v>7705</v>
          </cell>
        </row>
        <row r="981">
          <cell r="C981" t="str">
            <v>پ/49-1403</v>
          </cell>
          <cell r="D981">
            <v>19010</v>
          </cell>
        </row>
        <row r="982">
          <cell r="C982" t="str">
            <v>الحاقیه پ/53-1403</v>
          </cell>
          <cell r="D982">
            <v>19950</v>
          </cell>
        </row>
        <row r="983">
          <cell r="C983" t="str">
            <v>الحاقیه پ/53-1403</v>
          </cell>
          <cell r="D983">
            <v>7805</v>
          </cell>
        </row>
        <row r="984">
          <cell r="C984" t="str">
            <v>پ/49-1403</v>
          </cell>
          <cell r="D984">
            <v>18990</v>
          </cell>
        </row>
        <row r="985">
          <cell r="C985" t="str">
            <v>الحاقیه پ/69-1403</v>
          </cell>
          <cell r="D985">
            <v>7430</v>
          </cell>
        </row>
        <row r="986">
          <cell r="C986" t="str">
            <v>الحاقیه پ/43-1402</v>
          </cell>
          <cell r="D986">
            <v>8070</v>
          </cell>
        </row>
        <row r="987">
          <cell r="C987" t="str">
            <v>الحاقیه پ/63-1403</v>
          </cell>
          <cell r="D987">
            <v>12025</v>
          </cell>
        </row>
        <row r="988">
          <cell r="C988" t="str">
            <v>پ/19-1404</v>
          </cell>
          <cell r="D988">
            <v>17800</v>
          </cell>
        </row>
        <row r="989">
          <cell r="C989" t="str">
            <v>پ/36-1404</v>
          </cell>
          <cell r="D989">
            <v>1010</v>
          </cell>
        </row>
        <row r="990">
          <cell r="C990" t="str">
            <v>الحاقیه پ/64-1403</v>
          </cell>
          <cell r="D990">
            <v>19015</v>
          </cell>
        </row>
        <row r="991">
          <cell r="C991" t="str">
            <v>پ/27-1402</v>
          </cell>
          <cell r="D991">
            <v>20620</v>
          </cell>
        </row>
        <row r="992">
          <cell r="C992" t="str">
            <v>پ/27-1402</v>
          </cell>
          <cell r="D992">
            <v>20505</v>
          </cell>
        </row>
        <row r="993">
          <cell r="C993" t="str">
            <v>پ/27-1402</v>
          </cell>
          <cell r="D993">
            <v>20560</v>
          </cell>
        </row>
        <row r="994">
          <cell r="C994" t="str">
            <v>پ/35-1403</v>
          </cell>
          <cell r="D994">
            <v>22100</v>
          </cell>
        </row>
        <row r="995">
          <cell r="C995" t="str">
            <v>الحاقیه پ/54-1403</v>
          </cell>
          <cell r="D995">
            <v>22080</v>
          </cell>
        </row>
        <row r="996">
          <cell r="C996" t="str">
            <v>پ/17-1404</v>
          </cell>
          <cell r="D996">
            <v>15000</v>
          </cell>
        </row>
        <row r="997">
          <cell r="C997" t="str">
            <v>الحاقیه پ/43-1402</v>
          </cell>
          <cell r="D997">
            <v>8075</v>
          </cell>
        </row>
        <row r="998">
          <cell r="C998" t="str">
            <v>پ/19-1403</v>
          </cell>
          <cell r="D998">
            <v>11565</v>
          </cell>
        </row>
        <row r="999">
          <cell r="C999" t="str">
            <v>الحاقیه پ/43-1402</v>
          </cell>
          <cell r="D999">
            <v>19915</v>
          </cell>
        </row>
        <row r="1000">
          <cell r="C1000" t="str">
            <v>الحاقیه پ/60-1403</v>
          </cell>
          <cell r="D1000">
            <v>22085</v>
          </cell>
        </row>
        <row r="1001">
          <cell r="C1001" t="str">
            <v>الحاقیه پ/43-1402</v>
          </cell>
          <cell r="D1001">
            <v>9890</v>
          </cell>
        </row>
        <row r="1002">
          <cell r="C1002" t="str">
            <v>پ/32-1403</v>
          </cell>
          <cell r="D1002">
            <v>22070</v>
          </cell>
        </row>
        <row r="1003">
          <cell r="C1003" t="str">
            <v>پ/27-1402</v>
          </cell>
          <cell r="D1003">
            <v>20515</v>
          </cell>
        </row>
        <row r="1004">
          <cell r="C1004" t="str">
            <v>پ/27-1402</v>
          </cell>
          <cell r="D1004">
            <v>20545</v>
          </cell>
        </row>
        <row r="1005">
          <cell r="C1005" t="str">
            <v>الحاقیه پ/52-1403</v>
          </cell>
          <cell r="D1005">
            <v>7040</v>
          </cell>
        </row>
        <row r="1006">
          <cell r="C1006" t="str">
            <v>الحاقیه پ/43-1402</v>
          </cell>
          <cell r="D1006">
            <v>17900</v>
          </cell>
        </row>
        <row r="1007">
          <cell r="C1007" t="str">
            <v>الحاقیه پ/57-1403</v>
          </cell>
          <cell r="D1007">
            <v>14220</v>
          </cell>
        </row>
        <row r="1008">
          <cell r="C1008" t="str">
            <v>الحاقیه پ/51-1403</v>
          </cell>
          <cell r="D1008">
            <v>18465</v>
          </cell>
        </row>
        <row r="1009">
          <cell r="C1009" t="str">
            <v>پ/27-1402</v>
          </cell>
          <cell r="D1009">
            <v>20530</v>
          </cell>
        </row>
        <row r="1010">
          <cell r="C1010" t="str">
            <v>پ/27-1402</v>
          </cell>
          <cell r="D1010">
            <v>20525</v>
          </cell>
        </row>
        <row r="1011">
          <cell r="C1011" t="str">
            <v>پ/49-1403</v>
          </cell>
          <cell r="D1011">
            <v>19045</v>
          </cell>
        </row>
        <row r="1012">
          <cell r="C1012" t="str">
            <v>الحاقیه پ/43-1402</v>
          </cell>
          <cell r="D1012">
            <v>19770</v>
          </cell>
        </row>
        <row r="1013">
          <cell r="C1013" t="str">
            <v>الحاقیه پ/52-1403</v>
          </cell>
          <cell r="D1013">
            <v>7090</v>
          </cell>
        </row>
        <row r="1014">
          <cell r="C1014" t="str">
            <v>الحاقیه پ/69-1403</v>
          </cell>
          <cell r="D1014">
            <v>7575</v>
          </cell>
        </row>
        <row r="1015">
          <cell r="C1015" t="str">
            <v>پ/49-1403</v>
          </cell>
          <cell r="D1015">
            <v>19070</v>
          </cell>
        </row>
        <row r="1016">
          <cell r="C1016" t="str">
            <v>پ/36-1404</v>
          </cell>
          <cell r="D1016">
            <v>20040</v>
          </cell>
        </row>
        <row r="1017">
          <cell r="C1017" t="str">
            <v>پ/49-1403</v>
          </cell>
          <cell r="D1017">
            <v>19020</v>
          </cell>
        </row>
        <row r="1018">
          <cell r="C1018" t="str">
            <v>الحاقیه پ/43-1402</v>
          </cell>
          <cell r="D1018">
            <v>20050</v>
          </cell>
        </row>
        <row r="1019">
          <cell r="C1019" t="str">
            <v>الحاقیه پ/43-1402</v>
          </cell>
          <cell r="D1019">
            <v>20080</v>
          </cell>
        </row>
        <row r="1020">
          <cell r="C1020" t="str">
            <v>پ/36-1404</v>
          </cell>
          <cell r="D1020">
            <v>20010</v>
          </cell>
        </row>
        <row r="1021">
          <cell r="C1021" t="str">
            <v>الحاقیه پ/43-1402</v>
          </cell>
          <cell r="D1021">
            <v>19910</v>
          </cell>
        </row>
        <row r="1022">
          <cell r="C1022" t="str">
            <v>الحاقیه پ/43-1402</v>
          </cell>
          <cell r="D1022">
            <v>7060</v>
          </cell>
        </row>
        <row r="1023">
          <cell r="C1023" t="str">
            <v>پ/27-1402</v>
          </cell>
          <cell r="D1023">
            <v>21015</v>
          </cell>
        </row>
        <row r="1024">
          <cell r="C1024" t="str">
            <v>پ/27-1402</v>
          </cell>
          <cell r="D1024">
            <v>21045</v>
          </cell>
        </row>
        <row r="1025">
          <cell r="C1025" t="str">
            <v>پ/27-1402</v>
          </cell>
          <cell r="D1025">
            <v>21025</v>
          </cell>
        </row>
        <row r="1026">
          <cell r="C1026" t="str">
            <v>پ/06-1404</v>
          </cell>
          <cell r="D1026">
            <v>3910</v>
          </cell>
        </row>
        <row r="1027">
          <cell r="C1027" t="str">
            <v>پ/17-1404</v>
          </cell>
          <cell r="D1027">
            <v>16090</v>
          </cell>
        </row>
        <row r="1028">
          <cell r="C1028" t="str">
            <v>پ/31-1404</v>
          </cell>
          <cell r="D1028">
            <v>8505</v>
          </cell>
        </row>
        <row r="1029">
          <cell r="C1029" t="str">
            <v>الحاقیه پ/60-1403</v>
          </cell>
          <cell r="D1029">
            <v>13565</v>
          </cell>
        </row>
        <row r="1030">
          <cell r="C1030" t="str">
            <v>الحاقیه پ/57-1403</v>
          </cell>
          <cell r="D1030">
            <v>13880</v>
          </cell>
        </row>
        <row r="1031">
          <cell r="C1031" t="str">
            <v>پ/49-1403</v>
          </cell>
          <cell r="D1031">
            <v>18940</v>
          </cell>
        </row>
        <row r="1032">
          <cell r="C1032" t="str">
            <v>الحاقیه پ/43-1402</v>
          </cell>
          <cell r="D1032">
            <v>17790</v>
          </cell>
        </row>
        <row r="1033">
          <cell r="C1033" t="str">
            <v>پ/27-1402</v>
          </cell>
          <cell r="D1033">
            <v>20575</v>
          </cell>
        </row>
        <row r="1034">
          <cell r="C1034" t="str">
            <v>پ/27-1402</v>
          </cell>
          <cell r="D1034">
            <v>20360</v>
          </cell>
        </row>
        <row r="1035">
          <cell r="C1035" t="str">
            <v>پ/35-1403</v>
          </cell>
          <cell r="D1035">
            <v>20260</v>
          </cell>
        </row>
        <row r="1036">
          <cell r="C1036" t="str">
            <v>پ/36-1404</v>
          </cell>
          <cell r="D1036">
            <v>18940</v>
          </cell>
        </row>
        <row r="1037">
          <cell r="C1037" t="str">
            <v>پ/19-1403</v>
          </cell>
          <cell r="D1037">
            <v>8000</v>
          </cell>
        </row>
        <row r="1038">
          <cell r="C1038" t="str">
            <v>پ/27-1402</v>
          </cell>
          <cell r="D1038">
            <v>19915</v>
          </cell>
        </row>
        <row r="1039">
          <cell r="C1039" t="str">
            <v>پ/27-1402</v>
          </cell>
          <cell r="D1039">
            <v>20405</v>
          </cell>
        </row>
        <row r="1040">
          <cell r="C1040" t="str">
            <v>پ/23-1403</v>
          </cell>
          <cell r="D1040">
            <v>22010</v>
          </cell>
        </row>
        <row r="1041">
          <cell r="C1041" t="str">
            <v>الحاقیه پ/43-1402</v>
          </cell>
          <cell r="D1041">
            <v>19995</v>
          </cell>
        </row>
        <row r="1042">
          <cell r="C1042" t="str">
            <v>پ/49-1403</v>
          </cell>
          <cell r="D1042">
            <v>19660</v>
          </cell>
        </row>
        <row r="1043">
          <cell r="C1043" t="str">
            <v>الحاقیه پ/43-1402</v>
          </cell>
          <cell r="D1043">
            <v>20015</v>
          </cell>
        </row>
        <row r="1044">
          <cell r="C1044" t="str">
            <v>الحاقیه پ/43-1402</v>
          </cell>
          <cell r="D1044">
            <v>19965</v>
          </cell>
        </row>
        <row r="1045">
          <cell r="C1045" t="str">
            <v>الحاقیه پ/50-1403</v>
          </cell>
          <cell r="D1045">
            <v>7805</v>
          </cell>
        </row>
        <row r="1046">
          <cell r="C1046" t="str">
            <v>پ/32-1403</v>
          </cell>
          <cell r="D1046">
            <v>18305</v>
          </cell>
        </row>
        <row r="1047">
          <cell r="C1047" t="str">
            <v>الحاقیه پ/52-1403</v>
          </cell>
          <cell r="D1047">
            <v>7460</v>
          </cell>
        </row>
        <row r="1048">
          <cell r="C1048" t="str">
            <v>پ/27-1402</v>
          </cell>
          <cell r="D1048">
            <v>20385</v>
          </cell>
        </row>
        <row r="1049">
          <cell r="C1049" t="str">
            <v>پ/27-1402</v>
          </cell>
          <cell r="D1049">
            <v>20540</v>
          </cell>
        </row>
        <row r="1050">
          <cell r="C1050" t="str">
            <v>الحاقیه پ/69-1403</v>
          </cell>
          <cell r="D1050">
            <v>7270</v>
          </cell>
        </row>
        <row r="1051">
          <cell r="C1051" t="str">
            <v>پ/27-1402</v>
          </cell>
          <cell r="D1051">
            <v>20410</v>
          </cell>
        </row>
        <row r="1052">
          <cell r="C1052" t="str">
            <v>پ/31-1404</v>
          </cell>
          <cell r="D1052">
            <v>18405</v>
          </cell>
        </row>
        <row r="1053">
          <cell r="C1053" t="str">
            <v>الحاقیه پ/43-1402</v>
          </cell>
          <cell r="D1053">
            <v>18980</v>
          </cell>
        </row>
        <row r="1054">
          <cell r="C1054" t="str">
            <v>پ/35-1403</v>
          </cell>
          <cell r="D1054">
            <v>21905</v>
          </cell>
        </row>
        <row r="1055">
          <cell r="C1055" t="str">
            <v>پ/18-1404</v>
          </cell>
          <cell r="D1055">
            <v>17570</v>
          </cell>
        </row>
        <row r="1056">
          <cell r="C1056" t="str">
            <v>پ/31-1404</v>
          </cell>
          <cell r="D1056">
            <v>3090</v>
          </cell>
        </row>
        <row r="1057">
          <cell r="C1057" t="str">
            <v>الحاقیه پ/51-1403</v>
          </cell>
          <cell r="D1057">
            <v>17985</v>
          </cell>
        </row>
        <row r="1058">
          <cell r="C1058" t="str">
            <v>پ/23-1404</v>
          </cell>
          <cell r="D1058">
            <v>10030</v>
          </cell>
        </row>
        <row r="1059">
          <cell r="C1059" t="str">
            <v>الحاقیه پ/64-1403</v>
          </cell>
          <cell r="D1059">
            <v>9945</v>
          </cell>
        </row>
        <row r="1060">
          <cell r="C1060" t="str">
            <v>الحاقیه پ/51-1403</v>
          </cell>
          <cell r="D1060">
            <v>18035</v>
          </cell>
        </row>
        <row r="1061">
          <cell r="C1061" t="str">
            <v>الحاقیه پ/55-1403</v>
          </cell>
          <cell r="D1061">
            <v>19970</v>
          </cell>
        </row>
        <row r="1062">
          <cell r="C1062" t="str">
            <v>الحاقیه پ/43-1402</v>
          </cell>
          <cell r="D1062">
            <v>19020</v>
          </cell>
        </row>
        <row r="1063">
          <cell r="C1063" t="str">
            <v>پ/27-1402</v>
          </cell>
          <cell r="D1063">
            <v>21025</v>
          </cell>
        </row>
        <row r="1064">
          <cell r="C1064" t="str">
            <v>پ/27-1402</v>
          </cell>
          <cell r="D1064">
            <v>21035</v>
          </cell>
        </row>
        <row r="1065">
          <cell r="C1065" t="str">
            <v>پ/27-1402</v>
          </cell>
          <cell r="D1065">
            <v>20950</v>
          </cell>
        </row>
        <row r="1066">
          <cell r="C1066" t="str">
            <v>پ/27-1402</v>
          </cell>
          <cell r="D1066">
            <v>20600</v>
          </cell>
        </row>
        <row r="1067">
          <cell r="C1067" t="str">
            <v>الحاقیه پ/50-1403</v>
          </cell>
          <cell r="D1067">
            <v>7870</v>
          </cell>
        </row>
        <row r="1068">
          <cell r="C1068" t="str">
            <v>پ/02-1404</v>
          </cell>
          <cell r="D1068">
            <v>14800</v>
          </cell>
        </row>
        <row r="1069">
          <cell r="C1069" t="str">
            <v>الحاقیه پ/43-1402</v>
          </cell>
          <cell r="D1069">
            <v>4910</v>
          </cell>
        </row>
        <row r="1070">
          <cell r="C1070" t="str">
            <v>پ/23-1403</v>
          </cell>
          <cell r="D1070">
            <v>21970</v>
          </cell>
        </row>
        <row r="1071">
          <cell r="C1071" t="str">
            <v>پ/19-1403</v>
          </cell>
          <cell r="D1071">
            <v>11435</v>
          </cell>
        </row>
        <row r="1072">
          <cell r="C1072" t="str">
            <v>الحاقیه پ/69-1403</v>
          </cell>
          <cell r="D1072">
            <v>7390</v>
          </cell>
        </row>
        <row r="1073">
          <cell r="C1073" t="str">
            <v>الحاقیه پ/69-1403</v>
          </cell>
          <cell r="D1073">
            <v>7320</v>
          </cell>
        </row>
        <row r="1074">
          <cell r="C1074" t="str">
            <v>الحاقیه پ/52-1403</v>
          </cell>
          <cell r="D1074">
            <v>7265</v>
          </cell>
        </row>
        <row r="1075">
          <cell r="C1075" t="str">
            <v>الحاقیه پ/52-1403</v>
          </cell>
          <cell r="D1075">
            <v>7485</v>
          </cell>
        </row>
        <row r="1076">
          <cell r="C1076" t="str">
            <v>پ/27-1402</v>
          </cell>
          <cell r="D1076">
            <v>20975</v>
          </cell>
        </row>
        <row r="1077">
          <cell r="C1077" t="str">
            <v>پ/27-1402</v>
          </cell>
          <cell r="D1077">
            <v>21080</v>
          </cell>
        </row>
        <row r="1078">
          <cell r="C1078" t="str">
            <v>الحاقیه پ/69-1403</v>
          </cell>
          <cell r="D1078">
            <v>7455</v>
          </cell>
        </row>
        <row r="1079">
          <cell r="C1079" t="str">
            <v>پ/49-1403</v>
          </cell>
          <cell r="D1079">
            <v>18970</v>
          </cell>
        </row>
        <row r="1080">
          <cell r="C1080" t="str">
            <v>پ/06-1404</v>
          </cell>
          <cell r="D1080">
            <v>19935</v>
          </cell>
        </row>
        <row r="1081">
          <cell r="C1081" t="str">
            <v>پ/49-1403</v>
          </cell>
          <cell r="D1081">
            <v>18130</v>
          </cell>
        </row>
        <row r="1082">
          <cell r="C1082" t="str">
            <v>پ/49-1403</v>
          </cell>
          <cell r="D1082">
            <v>19065</v>
          </cell>
        </row>
        <row r="1083">
          <cell r="C1083" t="str">
            <v>پ/32-1403</v>
          </cell>
          <cell r="D1083">
            <v>22020</v>
          </cell>
        </row>
        <row r="1084">
          <cell r="C1084" t="str">
            <v>پ/49-1403</v>
          </cell>
          <cell r="D1084">
            <v>18900</v>
          </cell>
        </row>
        <row r="1085">
          <cell r="C1085" t="str">
            <v>پ/27-1402</v>
          </cell>
          <cell r="D1085">
            <v>20980</v>
          </cell>
        </row>
        <row r="1086">
          <cell r="C1086" t="str">
            <v>پ/27-1402</v>
          </cell>
          <cell r="D1086">
            <v>20460</v>
          </cell>
        </row>
        <row r="1087">
          <cell r="C1087" t="str">
            <v>پ/27-1402</v>
          </cell>
          <cell r="D1087">
            <v>20990</v>
          </cell>
        </row>
        <row r="1088">
          <cell r="C1088" t="str">
            <v>پ/06-1404</v>
          </cell>
          <cell r="D1088">
            <v>16155</v>
          </cell>
        </row>
        <row r="1089">
          <cell r="C1089" t="str">
            <v>پ/02-1404</v>
          </cell>
          <cell r="D1089">
            <v>8125</v>
          </cell>
        </row>
        <row r="1090">
          <cell r="C1090" t="str">
            <v>الحاقیه پ/52-1403</v>
          </cell>
          <cell r="D1090">
            <v>7365</v>
          </cell>
        </row>
        <row r="1091">
          <cell r="C1091" t="str">
            <v>پ/02-1404</v>
          </cell>
          <cell r="D1091">
            <v>19960</v>
          </cell>
        </row>
        <row r="1092">
          <cell r="C1092" t="str">
            <v>پ/23-1404</v>
          </cell>
          <cell r="D1092">
            <v>19970</v>
          </cell>
        </row>
        <row r="1093">
          <cell r="C1093" t="str">
            <v>پ/25-1404</v>
          </cell>
          <cell r="D1093">
            <v>20145</v>
          </cell>
        </row>
        <row r="1094">
          <cell r="C1094" t="str">
            <v>پ/71-1403</v>
          </cell>
          <cell r="D1094">
            <v>12885</v>
          </cell>
        </row>
        <row r="1095">
          <cell r="C1095" t="str">
            <v>پ/02-1404</v>
          </cell>
          <cell r="D1095">
            <v>7115</v>
          </cell>
        </row>
        <row r="1096">
          <cell r="C1096" t="str">
            <v>الحاقیه پ/51-1403</v>
          </cell>
          <cell r="D1096">
            <v>18170</v>
          </cell>
        </row>
        <row r="1097">
          <cell r="C1097" t="str">
            <v>پ/27-1402</v>
          </cell>
          <cell r="D1097">
            <v>21015</v>
          </cell>
        </row>
        <row r="1098">
          <cell r="C1098" t="str">
            <v>پ/27-1402</v>
          </cell>
          <cell r="D1098">
            <v>20545</v>
          </cell>
        </row>
        <row r="1099">
          <cell r="C1099" t="str">
            <v>الحاقیه پ/39-1403</v>
          </cell>
          <cell r="D1099">
            <v>5390</v>
          </cell>
        </row>
        <row r="1100">
          <cell r="C1100" t="str">
            <v>الحاقیه پ/50-1403</v>
          </cell>
          <cell r="D1100">
            <v>2290</v>
          </cell>
        </row>
        <row r="1101">
          <cell r="C1101" t="str">
            <v>الحاقیه پ/69-1403</v>
          </cell>
          <cell r="D1101">
            <v>7380</v>
          </cell>
        </row>
        <row r="1102">
          <cell r="C1102" t="str">
            <v>پ/71-1403</v>
          </cell>
          <cell r="D1102">
            <v>7075</v>
          </cell>
        </row>
        <row r="1103">
          <cell r="C1103" t="str">
            <v>الحاقیه پ/69-1403</v>
          </cell>
          <cell r="D1103">
            <v>7290</v>
          </cell>
        </row>
        <row r="1104">
          <cell r="C1104" t="str">
            <v>پ/27-1402</v>
          </cell>
          <cell r="D1104">
            <v>20535</v>
          </cell>
        </row>
        <row r="1105">
          <cell r="C1105" t="str">
            <v>پ/27-1402</v>
          </cell>
          <cell r="D1105">
            <v>20555</v>
          </cell>
        </row>
        <row r="1106">
          <cell r="C1106" t="str">
            <v>پ/32-1403</v>
          </cell>
          <cell r="D1106">
            <v>22160</v>
          </cell>
        </row>
        <row r="1107">
          <cell r="C1107" t="str">
            <v>الحاقیه پ/54-1403</v>
          </cell>
          <cell r="D1107">
            <v>20135</v>
          </cell>
        </row>
        <row r="1108">
          <cell r="C1108" t="str">
            <v>پ/49-1403</v>
          </cell>
          <cell r="D1108">
            <v>19005</v>
          </cell>
        </row>
        <row r="1109">
          <cell r="C1109" t="str">
            <v>پ/22-1403</v>
          </cell>
          <cell r="D1109">
            <v>10005</v>
          </cell>
        </row>
        <row r="1110">
          <cell r="C1110" t="str">
            <v>پ/71-1403</v>
          </cell>
          <cell r="D1110">
            <v>10040</v>
          </cell>
        </row>
        <row r="1111">
          <cell r="C1111" t="str">
            <v>الحاقیه پ/57-1403</v>
          </cell>
          <cell r="D1111">
            <v>14210</v>
          </cell>
        </row>
        <row r="1112">
          <cell r="C1112" t="str">
            <v>پ/07-1404</v>
          </cell>
          <cell r="D1112">
            <v>19805</v>
          </cell>
        </row>
        <row r="1113">
          <cell r="C1113" t="str">
            <v>پ/18-1404</v>
          </cell>
          <cell r="D1113">
            <v>2430</v>
          </cell>
        </row>
        <row r="1114">
          <cell r="C1114" t="str">
            <v>پ/49-1403</v>
          </cell>
          <cell r="D1114">
            <v>19125</v>
          </cell>
        </row>
        <row r="1115">
          <cell r="C1115" t="str">
            <v>الحاقیه پ/51-1403</v>
          </cell>
          <cell r="D1115">
            <v>16910</v>
          </cell>
        </row>
        <row r="1116">
          <cell r="C1116" t="str">
            <v>پ/49-1403</v>
          </cell>
          <cell r="D1116">
            <v>7045</v>
          </cell>
        </row>
        <row r="1117">
          <cell r="C1117" t="str">
            <v>الحاقیه پ/69-1403</v>
          </cell>
          <cell r="D1117">
            <v>20005</v>
          </cell>
        </row>
        <row r="1118">
          <cell r="C1118" t="str">
            <v>الحاقیه پ/52-1403</v>
          </cell>
          <cell r="D1118">
            <v>7535</v>
          </cell>
        </row>
        <row r="1119">
          <cell r="C1119" t="str">
            <v>الحاقیه پ/52-1403</v>
          </cell>
          <cell r="D1119">
            <v>7250</v>
          </cell>
        </row>
        <row r="1120">
          <cell r="C1120" t="str">
            <v>پ/22-1403</v>
          </cell>
          <cell r="D1120">
            <v>19990</v>
          </cell>
        </row>
        <row r="1121">
          <cell r="C1121" t="str">
            <v>پ/22-1403</v>
          </cell>
          <cell r="D1121">
            <v>20005</v>
          </cell>
        </row>
        <row r="1122">
          <cell r="C1122" t="str">
            <v>پ/27-1402</v>
          </cell>
          <cell r="D1122">
            <v>20940</v>
          </cell>
        </row>
        <row r="1123">
          <cell r="C1123" t="str">
            <v>پ/27-1402</v>
          </cell>
          <cell r="D1123">
            <v>20510</v>
          </cell>
        </row>
        <row r="1124">
          <cell r="C1124" t="str">
            <v>پ/27-1402</v>
          </cell>
          <cell r="D1124">
            <v>20695</v>
          </cell>
        </row>
        <row r="1125">
          <cell r="C1125" t="str">
            <v>پ/27-1402</v>
          </cell>
          <cell r="D1125">
            <v>21075</v>
          </cell>
        </row>
        <row r="1126">
          <cell r="C1126" t="str">
            <v>پ/19-1403</v>
          </cell>
          <cell r="D1126">
            <v>10360</v>
          </cell>
        </row>
        <row r="1127">
          <cell r="C1127" t="str">
            <v>الحاقیه پ/51-1403</v>
          </cell>
          <cell r="D1127">
            <v>17985</v>
          </cell>
        </row>
        <row r="1128">
          <cell r="C1128" t="str">
            <v>پ/32-1403</v>
          </cell>
          <cell r="D1128">
            <v>20070</v>
          </cell>
        </row>
        <row r="1129">
          <cell r="C1129" t="str">
            <v>پ/49-1403</v>
          </cell>
          <cell r="D1129">
            <v>18600</v>
          </cell>
        </row>
        <row r="1130">
          <cell r="C1130" t="str">
            <v>پ/49-1403</v>
          </cell>
          <cell r="D1130">
            <v>18985</v>
          </cell>
        </row>
        <row r="1131">
          <cell r="C1131" t="str">
            <v>الحاقیه پ/64-1403</v>
          </cell>
          <cell r="D1131">
            <v>19950</v>
          </cell>
        </row>
        <row r="1132">
          <cell r="C1132" t="str">
            <v>الحاقیه پ/39-1403</v>
          </cell>
          <cell r="D1132">
            <v>7715</v>
          </cell>
        </row>
        <row r="1133">
          <cell r="C1133" t="str">
            <v>پ/49-1403</v>
          </cell>
          <cell r="D1133">
            <v>19995</v>
          </cell>
        </row>
        <row r="1134">
          <cell r="C1134" t="str">
            <v>پ/49-1403</v>
          </cell>
          <cell r="D1134">
            <v>19155</v>
          </cell>
        </row>
        <row r="1135">
          <cell r="C1135" t="str">
            <v>پ/32-1403</v>
          </cell>
          <cell r="D1135">
            <v>20570</v>
          </cell>
        </row>
        <row r="1136">
          <cell r="C1136" t="str">
            <v>پ/03-1404</v>
          </cell>
          <cell r="D1136">
            <v>19910</v>
          </cell>
        </row>
        <row r="1137">
          <cell r="C1137" t="str">
            <v>پ/07-1404</v>
          </cell>
          <cell r="D1137">
            <v>195</v>
          </cell>
        </row>
        <row r="1138">
          <cell r="C1138" t="str">
            <v>پ/49-1403</v>
          </cell>
          <cell r="D1138">
            <v>18955</v>
          </cell>
        </row>
        <row r="1139">
          <cell r="C1139" t="str">
            <v>پ/27-1402</v>
          </cell>
          <cell r="D1139">
            <v>20430</v>
          </cell>
        </row>
        <row r="1140">
          <cell r="C1140" t="str">
            <v>پ/27-1402</v>
          </cell>
          <cell r="D1140">
            <v>20505</v>
          </cell>
        </row>
        <row r="1141">
          <cell r="C1141" t="str">
            <v>پ/35-1403</v>
          </cell>
          <cell r="D1141">
            <v>22105</v>
          </cell>
        </row>
        <row r="1142">
          <cell r="C1142" t="str">
            <v>پ/49-1403</v>
          </cell>
          <cell r="D1142">
            <v>18870</v>
          </cell>
        </row>
        <row r="1143">
          <cell r="C1143" t="str">
            <v>پ/35-1403</v>
          </cell>
          <cell r="D1143">
            <v>22060</v>
          </cell>
        </row>
        <row r="1144">
          <cell r="C1144" t="str">
            <v>پ/19-1403</v>
          </cell>
          <cell r="D1144">
            <v>11445</v>
          </cell>
        </row>
        <row r="1145">
          <cell r="C1145" t="str">
            <v>الحاقیه پ/53-1403</v>
          </cell>
          <cell r="D1145">
            <v>20025</v>
          </cell>
        </row>
        <row r="1146">
          <cell r="C1146" t="str">
            <v>الحاقیه پ/64-1403</v>
          </cell>
          <cell r="D1146">
            <v>20055</v>
          </cell>
        </row>
        <row r="1147">
          <cell r="C1147" t="str">
            <v>الحاقیه پ/53-1403</v>
          </cell>
          <cell r="D1147">
            <v>8125</v>
          </cell>
        </row>
        <row r="1148">
          <cell r="C1148" t="str">
            <v>الحاقیه پ/53-1403</v>
          </cell>
          <cell r="D1148">
            <v>18835</v>
          </cell>
        </row>
        <row r="1149">
          <cell r="C1149" t="str">
            <v>الحاقیه پ/53-1403</v>
          </cell>
          <cell r="D1149">
            <v>15085</v>
          </cell>
        </row>
        <row r="1150">
          <cell r="C1150" t="str">
            <v>الحاقیه پ/61-1403</v>
          </cell>
          <cell r="D1150">
            <v>3535</v>
          </cell>
        </row>
        <row r="1151">
          <cell r="C1151" t="str">
            <v>الحاقیه پ/53-1403</v>
          </cell>
          <cell r="D1151">
            <v>16465</v>
          </cell>
        </row>
        <row r="1152">
          <cell r="C1152" t="str">
            <v>الحاقیه پ/69-1403</v>
          </cell>
          <cell r="D1152">
            <v>7305</v>
          </cell>
        </row>
        <row r="1153">
          <cell r="C1153" t="str">
            <v>الحاقیه پ/61-1403</v>
          </cell>
          <cell r="D1153">
            <v>20115</v>
          </cell>
        </row>
        <row r="1154">
          <cell r="C1154" t="str">
            <v>الحاقیه پ/69-1403</v>
          </cell>
          <cell r="D1154">
            <v>7500</v>
          </cell>
        </row>
        <row r="1155">
          <cell r="C1155" t="str">
            <v>الحاقیه پ/69-1403</v>
          </cell>
          <cell r="D1155">
            <v>6670</v>
          </cell>
        </row>
        <row r="1156">
          <cell r="C1156" t="str">
            <v>پ/19-1403</v>
          </cell>
          <cell r="D1156">
            <v>11520</v>
          </cell>
        </row>
        <row r="1157">
          <cell r="C1157" t="str">
            <v>پ/32-1403</v>
          </cell>
          <cell r="D1157">
            <v>18690</v>
          </cell>
        </row>
        <row r="1158">
          <cell r="C1158" t="str">
            <v>الحاقیه پ/54-1403</v>
          </cell>
          <cell r="D1158">
            <v>22840</v>
          </cell>
        </row>
        <row r="1159">
          <cell r="C1159" t="str">
            <v>الحاقیه پ/69-1403</v>
          </cell>
          <cell r="D1159">
            <v>19770</v>
          </cell>
        </row>
        <row r="1160">
          <cell r="C1160" t="str">
            <v>الحاقیه پ/61-1403</v>
          </cell>
          <cell r="D1160">
            <v>19945</v>
          </cell>
        </row>
        <row r="1161">
          <cell r="C1161" t="str">
            <v>الحاقیه پ/61-1403</v>
          </cell>
          <cell r="D1161">
            <v>19990</v>
          </cell>
        </row>
        <row r="1162">
          <cell r="C1162" t="str">
            <v>پ/32-1403</v>
          </cell>
          <cell r="D1162">
            <v>22385</v>
          </cell>
        </row>
        <row r="1163">
          <cell r="C1163" t="str">
            <v>الحاقیه پ/51-1403</v>
          </cell>
          <cell r="D1163">
            <v>18020</v>
          </cell>
        </row>
        <row r="1164">
          <cell r="C1164" t="str">
            <v>پ/19-1403</v>
          </cell>
          <cell r="D1164">
            <v>10625</v>
          </cell>
        </row>
        <row r="1165">
          <cell r="C1165" t="str">
            <v>پ/23-1403</v>
          </cell>
          <cell r="D1165">
            <v>18050</v>
          </cell>
        </row>
        <row r="1166">
          <cell r="C1166" t="str">
            <v>الحاقیه پ/69-1403</v>
          </cell>
          <cell r="D1166">
            <v>7355</v>
          </cell>
        </row>
        <row r="1167">
          <cell r="C1167" t="str">
            <v>پ/27-1402</v>
          </cell>
          <cell r="D1167">
            <v>20950</v>
          </cell>
        </row>
        <row r="1168">
          <cell r="C1168" t="str">
            <v>پ/27-1402</v>
          </cell>
          <cell r="D1168">
            <v>20970</v>
          </cell>
        </row>
        <row r="1169">
          <cell r="C1169" t="str">
            <v>الحاقیه پ/39-1403</v>
          </cell>
          <cell r="D1169">
            <v>7805</v>
          </cell>
        </row>
        <row r="1170">
          <cell r="C1170" t="str">
            <v>پ/21-1403</v>
          </cell>
          <cell r="D1170">
            <v>19955</v>
          </cell>
        </row>
        <row r="1171">
          <cell r="C1171" t="str">
            <v>الحاقیه پ/69-1403</v>
          </cell>
          <cell r="D1171">
            <v>7345</v>
          </cell>
        </row>
        <row r="1172">
          <cell r="C1172" t="str">
            <v>پ/21-1403</v>
          </cell>
          <cell r="D1172">
            <v>9060</v>
          </cell>
        </row>
        <row r="1173">
          <cell r="C1173" t="str">
            <v>پ/27-1402</v>
          </cell>
          <cell r="D1173">
            <v>19875</v>
          </cell>
        </row>
        <row r="1174">
          <cell r="C1174" t="str">
            <v>پ/21-1403</v>
          </cell>
          <cell r="D1174">
            <v>18645</v>
          </cell>
        </row>
        <row r="1175">
          <cell r="C1175" t="str">
            <v>الحاقیه پ/69-1403</v>
          </cell>
          <cell r="D1175">
            <v>7570</v>
          </cell>
        </row>
        <row r="1176">
          <cell r="C1176" t="str">
            <v>پ/27-1402</v>
          </cell>
          <cell r="D1176">
            <v>20610</v>
          </cell>
        </row>
        <row r="1177">
          <cell r="C1177" t="str">
            <v>الحاقیه پ/54-1403</v>
          </cell>
          <cell r="D1177">
            <v>22050</v>
          </cell>
        </row>
        <row r="1178">
          <cell r="C1178" t="str">
            <v>پ/03-1404</v>
          </cell>
          <cell r="D1178">
            <v>14250</v>
          </cell>
        </row>
        <row r="1179">
          <cell r="C1179" t="str">
            <v>پ/10-1404</v>
          </cell>
          <cell r="D1179">
            <v>5985</v>
          </cell>
        </row>
        <row r="1180">
          <cell r="C1180" t="str">
            <v>پ/27-1402</v>
          </cell>
          <cell r="D1180">
            <v>20575</v>
          </cell>
        </row>
        <row r="1181">
          <cell r="C1181" t="str">
            <v>پ/27-1402</v>
          </cell>
          <cell r="D1181">
            <v>20555</v>
          </cell>
        </row>
        <row r="1182">
          <cell r="C1182" t="str">
            <v>الحاقیه پ/39-1403</v>
          </cell>
          <cell r="D1182">
            <v>7800</v>
          </cell>
        </row>
        <row r="1183">
          <cell r="C1183" t="str">
            <v>پ/27-1402</v>
          </cell>
          <cell r="D1183">
            <v>20635</v>
          </cell>
        </row>
        <row r="1184">
          <cell r="C1184" t="str">
            <v>الحاقیه پ/52-1403</v>
          </cell>
          <cell r="D1184">
            <v>7490</v>
          </cell>
        </row>
        <row r="1185">
          <cell r="C1185" t="str">
            <v>الحاقیه پ/62-1403</v>
          </cell>
          <cell r="D1185">
            <v>20015</v>
          </cell>
        </row>
        <row r="1186">
          <cell r="C1186" t="str">
            <v>الحاقیه پ/51-1403</v>
          </cell>
          <cell r="D1186">
            <v>18505</v>
          </cell>
        </row>
        <row r="1187">
          <cell r="C1187" t="str">
            <v>پ/35-1403</v>
          </cell>
          <cell r="D1187">
            <v>22495</v>
          </cell>
        </row>
        <row r="1188">
          <cell r="C1188" t="str">
            <v>پ/21-1403</v>
          </cell>
          <cell r="D1188">
            <v>19125</v>
          </cell>
        </row>
        <row r="1189">
          <cell r="C1189" t="str">
            <v>الحاقیه پ/69-1403</v>
          </cell>
          <cell r="D1189">
            <v>7490</v>
          </cell>
        </row>
        <row r="1190">
          <cell r="C1190" t="str">
            <v>الحاقیه پ/61-1403</v>
          </cell>
          <cell r="D1190">
            <v>19990</v>
          </cell>
        </row>
        <row r="1191">
          <cell r="C1191" t="str">
            <v>الحاقیه پ/61-1403</v>
          </cell>
          <cell r="D1191">
            <v>16065</v>
          </cell>
        </row>
        <row r="1192">
          <cell r="C1192" t="str">
            <v>الحاقیه پ/57-1403</v>
          </cell>
          <cell r="D1192">
            <v>14320</v>
          </cell>
        </row>
        <row r="1193">
          <cell r="C1193" t="str">
            <v>پ/44-1403</v>
          </cell>
          <cell r="D1193">
            <v>8660</v>
          </cell>
        </row>
        <row r="1194">
          <cell r="C1194" t="str">
            <v>الحاقیه پ/51-1403</v>
          </cell>
          <cell r="D1194">
            <v>9315</v>
          </cell>
        </row>
        <row r="1195">
          <cell r="C1195" t="str">
            <v>پ/19-1403</v>
          </cell>
          <cell r="D1195">
            <v>11635</v>
          </cell>
        </row>
        <row r="1196">
          <cell r="C1196" t="str">
            <v>پ/42-1403</v>
          </cell>
          <cell r="D1196">
            <v>16750</v>
          </cell>
        </row>
        <row r="1197">
          <cell r="C1197" t="str">
            <v>الحاقیه پ/64-1403</v>
          </cell>
          <cell r="D1197">
            <v>3250</v>
          </cell>
        </row>
        <row r="1198">
          <cell r="C1198" t="str">
            <v>الحاقیه پ/52-1403</v>
          </cell>
          <cell r="D1198">
            <v>7370</v>
          </cell>
        </row>
        <row r="1199">
          <cell r="C1199" t="str">
            <v>الحاقیه پ/61-1403</v>
          </cell>
          <cell r="D1199">
            <v>20000</v>
          </cell>
        </row>
        <row r="1200">
          <cell r="C1200" t="str">
            <v>الحاقیه پ/69-1403</v>
          </cell>
          <cell r="D1200">
            <v>7420</v>
          </cell>
        </row>
        <row r="1201">
          <cell r="C1201" t="str">
            <v>پ/32-1403</v>
          </cell>
          <cell r="D1201">
            <v>22075</v>
          </cell>
        </row>
        <row r="1202">
          <cell r="C1202" t="str">
            <v>الحاقیه پ/52-1403</v>
          </cell>
          <cell r="D1202">
            <v>7250</v>
          </cell>
        </row>
        <row r="1203">
          <cell r="C1203" t="str">
            <v>الحاقیه پ/52-1403</v>
          </cell>
          <cell r="D1203">
            <v>7490</v>
          </cell>
        </row>
        <row r="1204">
          <cell r="C1204" t="str">
            <v>پ/23-1403</v>
          </cell>
          <cell r="D1204">
            <v>21190</v>
          </cell>
        </row>
        <row r="1205">
          <cell r="C1205" t="str">
            <v>الحاقیه پ/52-1403</v>
          </cell>
          <cell r="D1205">
            <v>7500</v>
          </cell>
        </row>
        <row r="1206">
          <cell r="C1206" t="str">
            <v>پ/24-1403</v>
          </cell>
          <cell r="D1206">
            <v>9030</v>
          </cell>
        </row>
        <row r="1207">
          <cell r="C1207" t="str">
            <v>الحاقیه پ/69-1403</v>
          </cell>
          <cell r="D1207">
            <v>7440</v>
          </cell>
        </row>
        <row r="1208">
          <cell r="C1208" t="str">
            <v>پ/27-1402</v>
          </cell>
          <cell r="D1208">
            <v>20440</v>
          </cell>
        </row>
        <row r="1209">
          <cell r="C1209" t="str">
            <v>الحاقیه پ/69-1403</v>
          </cell>
          <cell r="D1209">
            <v>7525</v>
          </cell>
        </row>
        <row r="1210">
          <cell r="C1210" t="str">
            <v>پ/27-1402</v>
          </cell>
          <cell r="D1210">
            <v>20445</v>
          </cell>
        </row>
        <row r="1211">
          <cell r="C1211" t="str">
            <v>پ/27-1402</v>
          </cell>
          <cell r="D1211">
            <v>20530</v>
          </cell>
        </row>
        <row r="1212">
          <cell r="C1212" t="str">
            <v>پ/27-1402</v>
          </cell>
          <cell r="D1212">
            <v>20525</v>
          </cell>
        </row>
        <row r="1213">
          <cell r="C1213" t="str">
            <v>پ/27-1402</v>
          </cell>
          <cell r="D1213">
            <v>20530</v>
          </cell>
        </row>
        <row r="1214">
          <cell r="C1214" t="str">
            <v>پ/44-1403</v>
          </cell>
          <cell r="D1214">
            <v>18025</v>
          </cell>
        </row>
        <row r="1215">
          <cell r="C1215" t="str">
            <v>پ/27-1402</v>
          </cell>
          <cell r="D1215">
            <v>20540</v>
          </cell>
        </row>
        <row r="1216">
          <cell r="C1216" t="str">
            <v>پ/21-1403</v>
          </cell>
          <cell r="D1216">
            <v>18645</v>
          </cell>
        </row>
        <row r="1217">
          <cell r="C1217" t="str">
            <v>پ/27-1402</v>
          </cell>
          <cell r="D1217">
            <v>20460</v>
          </cell>
        </row>
        <row r="1218">
          <cell r="C1218" t="str">
            <v>پ/35-1403</v>
          </cell>
          <cell r="D1218">
            <v>21685</v>
          </cell>
        </row>
        <row r="1219">
          <cell r="C1219" t="str">
            <v>الحاقیه پ/61-1403</v>
          </cell>
          <cell r="D1219">
            <v>17980</v>
          </cell>
        </row>
        <row r="1220">
          <cell r="C1220" t="str">
            <v>پ/21-1403</v>
          </cell>
          <cell r="D1220">
            <v>18525</v>
          </cell>
        </row>
        <row r="1221">
          <cell r="C1221" t="str">
            <v>الحاقیه پ/69-1403</v>
          </cell>
          <cell r="D1221">
            <v>19975</v>
          </cell>
        </row>
        <row r="1222">
          <cell r="C1222" t="str">
            <v>الحاقیه پ/61-1403</v>
          </cell>
          <cell r="D1222">
            <v>20005</v>
          </cell>
        </row>
        <row r="1223">
          <cell r="C1223" t="str">
            <v>الحاقیه پ/61-1403</v>
          </cell>
          <cell r="D1223">
            <v>18750</v>
          </cell>
        </row>
        <row r="1224">
          <cell r="C1224" t="str">
            <v>پ/19-1403</v>
          </cell>
          <cell r="D1224">
            <v>11780</v>
          </cell>
        </row>
        <row r="1225">
          <cell r="C1225" t="str">
            <v>پ/34-1403</v>
          </cell>
          <cell r="D1225">
            <v>9615</v>
          </cell>
        </row>
        <row r="1226">
          <cell r="C1226" t="str">
            <v>الحاقیه پ/54-1403</v>
          </cell>
          <cell r="D1226">
            <v>10355</v>
          </cell>
        </row>
        <row r="1227">
          <cell r="C1227" t="str">
            <v>پ/10-1404</v>
          </cell>
          <cell r="D1227">
            <v>23190</v>
          </cell>
        </row>
        <row r="1228">
          <cell r="C1228" t="str">
            <v>الحاقیه پ/52-1403</v>
          </cell>
          <cell r="D1228">
            <v>7140</v>
          </cell>
        </row>
        <row r="1229">
          <cell r="C1229" t="str">
            <v>الحاقیه پ/52-1403</v>
          </cell>
          <cell r="D1229">
            <v>7165</v>
          </cell>
        </row>
        <row r="1230">
          <cell r="C1230" t="str">
            <v>الحاقیه پ/61-1403</v>
          </cell>
          <cell r="D1230">
            <v>17880</v>
          </cell>
        </row>
        <row r="1231">
          <cell r="C1231" t="str">
            <v>پ/44-1403</v>
          </cell>
          <cell r="D1231">
            <v>17990</v>
          </cell>
        </row>
        <row r="1232">
          <cell r="C1232" t="str">
            <v>الحاقیه پ/52-1403</v>
          </cell>
          <cell r="D1232">
            <v>7515</v>
          </cell>
        </row>
        <row r="1233">
          <cell r="C1233" t="str">
            <v>پ/21-1403</v>
          </cell>
          <cell r="D1233">
            <v>18990</v>
          </cell>
        </row>
        <row r="1234">
          <cell r="C1234" t="str">
            <v>پ/34-1403</v>
          </cell>
          <cell r="D1234">
            <v>19840</v>
          </cell>
        </row>
        <row r="1235">
          <cell r="C1235" t="str">
            <v>الحاقیه پ/69-1403</v>
          </cell>
          <cell r="D1235">
            <v>7535</v>
          </cell>
        </row>
        <row r="1236">
          <cell r="C1236" t="str">
            <v>پ/19-1403</v>
          </cell>
          <cell r="D1236">
            <v>11800</v>
          </cell>
        </row>
        <row r="1237">
          <cell r="C1237" t="str">
            <v>پ/23-1403</v>
          </cell>
          <cell r="D1237">
            <v>21070</v>
          </cell>
        </row>
        <row r="1238">
          <cell r="C1238" t="str">
            <v>پ/21-1403</v>
          </cell>
          <cell r="D1238">
            <v>19300</v>
          </cell>
        </row>
        <row r="1239">
          <cell r="C1239" t="str">
            <v>الحاقیه پ/69-1403</v>
          </cell>
          <cell r="D1239">
            <v>7465</v>
          </cell>
        </row>
        <row r="1240">
          <cell r="C1240" t="str">
            <v>الحاقیه پ/61-1403</v>
          </cell>
          <cell r="D1240">
            <v>17685</v>
          </cell>
        </row>
        <row r="1241">
          <cell r="C1241" t="str">
            <v>پ/23-1403</v>
          </cell>
          <cell r="D1241">
            <v>20190</v>
          </cell>
        </row>
        <row r="1242">
          <cell r="C1242" t="str">
            <v>الحاقیه پ/52-1403</v>
          </cell>
          <cell r="D1242">
            <v>20020</v>
          </cell>
        </row>
        <row r="1243">
          <cell r="C1243" t="str">
            <v>الحاقیه پ/61-1403</v>
          </cell>
          <cell r="D1243">
            <v>19970</v>
          </cell>
        </row>
        <row r="1244">
          <cell r="C1244" t="str">
            <v>پ/19-1403</v>
          </cell>
          <cell r="D1244">
            <v>10150</v>
          </cell>
        </row>
        <row r="1245">
          <cell r="C1245" t="str">
            <v>الحاقیه پ/55-1403</v>
          </cell>
          <cell r="D1245">
            <v>6690</v>
          </cell>
        </row>
        <row r="1246">
          <cell r="C1246" t="str">
            <v>الحاقیه پ/57-1403</v>
          </cell>
          <cell r="D1246">
            <v>14335</v>
          </cell>
        </row>
        <row r="1247">
          <cell r="C1247" t="str">
            <v>الحاقیه پ/69-1403</v>
          </cell>
          <cell r="D1247">
            <v>7365</v>
          </cell>
        </row>
        <row r="1248">
          <cell r="C1248" t="str">
            <v>الحاقیه پ/61-1403</v>
          </cell>
          <cell r="D1248">
            <v>20005</v>
          </cell>
        </row>
        <row r="1249">
          <cell r="C1249" t="str">
            <v>الحاقیه پ/61-1403</v>
          </cell>
          <cell r="D1249">
            <v>8100</v>
          </cell>
        </row>
        <row r="1250">
          <cell r="C1250" t="str">
            <v>الحاقیه پ/52-1403</v>
          </cell>
          <cell r="D1250">
            <v>7200</v>
          </cell>
        </row>
        <row r="1251">
          <cell r="C1251" t="str">
            <v>الحاقیه پ/61-1403</v>
          </cell>
          <cell r="D1251">
            <v>20015</v>
          </cell>
        </row>
        <row r="1252">
          <cell r="C1252" t="str">
            <v>الحاقیه پ/61-1403</v>
          </cell>
          <cell r="D1252">
            <v>19970</v>
          </cell>
        </row>
        <row r="1253">
          <cell r="C1253" t="str">
            <v>الحاقیه پ/52-1403</v>
          </cell>
          <cell r="D1253">
            <v>7455</v>
          </cell>
        </row>
        <row r="1254">
          <cell r="C1254" t="str">
            <v>پ/23-1403</v>
          </cell>
          <cell r="D1254">
            <v>20170</v>
          </cell>
        </row>
        <row r="1255">
          <cell r="C1255" t="str">
            <v>پ/42-1403</v>
          </cell>
          <cell r="D1255">
            <v>19945</v>
          </cell>
        </row>
        <row r="1256">
          <cell r="C1256" t="str">
            <v>پ/31-1403</v>
          </cell>
          <cell r="D1256">
            <v>10283</v>
          </cell>
        </row>
        <row r="1257">
          <cell r="C1257" t="str">
            <v>الحاقیه پ/52-1403</v>
          </cell>
          <cell r="D1257">
            <v>9837</v>
          </cell>
        </row>
        <row r="1258">
          <cell r="C1258" t="str">
            <v>پ/21-1403</v>
          </cell>
          <cell r="D1258">
            <v>19145</v>
          </cell>
        </row>
        <row r="1259">
          <cell r="C1259" t="str">
            <v>پ/43-1402</v>
          </cell>
          <cell r="D1259">
            <v>18135</v>
          </cell>
        </row>
        <row r="1260">
          <cell r="C1260" t="str">
            <v>پ/34-1403</v>
          </cell>
          <cell r="D1260">
            <v>19875</v>
          </cell>
        </row>
        <row r="1261">
          <cell r="C1261" t="str">
            <v>پ/31-1403</v>
          </cell>
          <cell r="D1261">
            <v>7275</v>
          </cell>
        </row>
        <row r="1262">
          <cell r="C1262" t="str">
            <v>پ/43-1402</v>
          </cell>
          <cell r="D1262">
            <v>17800</v>
          </cell>
        </row>
        <row r="1263">
          <cell r="C1263" t="str">
            <v>پ/32-1403</v>
          </cell>
          <cell r="D1263">
            <v>22020</v>
          </cell>
        </row>
        <row r="1264">
          <cell r="C1264" t="str">
            <v>پ/43-1402</v>
          </cell>
          <cell r="D1264">
            <v>8125</v>
          </cell>
        </row>
        <row r="1265">
          <cell r="C1265" t="str">
            <v>پ/35-1403</v>
          </cell>
          <cell r="D1265">
            <v>20945</v>
          </cell>
        </row>
        <row r="1266">
          <cell r="C1266" t="str">
            <v>پ/19-1403</v>
          </cell>
          <cell r="D1266">
            <v>11545</v>
          </cell>
        </row>
        <row r="1267">
          <cell r="C1267" t="str">
            <v>پ/31-1403</v>
          </cell>
          <cell r="D1267">
            <v>7280</v>
          </cell>
        </row>
        <row r="1268">
          <cell r="C1268" t="str">
            <v>پ/19-1403</v>
          </cell>
          <cell r="D1268">
            <v>11620</v>
          </cell>
        </row>
        <row r="1269">
          <cell r="C1269" t="str">
            <v>پ/10-1404</v>
          </cell>
          <cell r="D1269">
            <v>22025</v>
          </cell>
        </row>
        <row r="1270">
          <cell r="C1270" t="str">
            <v>الحاقیه پ/55-1403</v>
          </cell>
          <cell r="D1270">
            <v>10045</v>
          </cell>
        </row>
        <row r="1271">
          <cell r="C1271" t="str">
            <v>پ/31-1403</v>
          </cell>
          <cell r="D1271">
            <v>7230</v>
          </cell>
        </row>
        <row r="1272">
          <cell r="C1272" t="str">
            <v>پ/21-1403</v>
          </cell>
          <cell r="D1272">
            <v>17985</v>
          </cell>
        </row>
        <row r="1273">
          <cell r="C1273" t="str">
            <v>پ/27-1402</v>
          </cell>
          <cell r="D1273">
            <v>20410</v>
          </cell>
        </row>
        <row r="1274">
          <cell r="C1274" t="str">
            <v>پ/43-1402</v>
          </cell>
          <cell r="D1274">
            <v>19960</v>
          </cell>
        </row>
        <row r="1275">
          <cell r="C1275" t="str">
            <v>پ/43-1402</v>
          </cell>
          <cell r="D1275">
            <v>8015</v>
          </cell>
        </row>
        <row r="1276">
          <cell r="C1276" t="str">
            <v>پ/43-1402</v>
          </cell>
          <cell r="D1276">
            <v>18985</v>
          </cell>
        </row>
        <row r="1277">
          <cell r="C1277" t="str">
            <v>پ/27-1402</v>
          </cell>
          <cell r="D1277">
            <v>20565</v>
          </cell>
        </row>
        <row r="1278">
          <cell r="C1278" t="str">
            <v>پ/43-1402</v>
          </cell>
          <cell r="D1278">
            <v>19990</v>
          </cell>
        </row>
        <row r="1279">
          <cell r="C1279" t="str">
            <v>پ/24-1403</v>
          </cell>
          <cell r="D1279">
            <v>9140</v>
          </cell>
        </row>
        <row r="1280">
          <cell r="C1280" t="str">
            <v>پ/21-1403</v>
          </cell>
          <cell r="D1280">
            <v>10160</v>
          </cell>
        </row>
        <row r="1281">
          <cell r="C1281" t="str">
            <v>پ/23-1403</v>
          </cell>
          <cell r="D1281">
            <v>20105</v>
          </cell>
        </row>
        <row r="1282">
          <cell r="C1282" t="str">
            <v>پ/47-1403</v>
          </cell>
          <cell r="D1282">
            <v>12590</v>
          </cell>
        </row>
        <row r="1283">
          <cell r="C1283" t="str">
            <v>پ/44-1403</v>
          </cell>
          <cell r="D1283">
            <v>5325</v>
          </cell>
        </row>
        <row r="1284">
          <cell r="C1284" t="str">
            <v>پ/24-1403</v>
          </cell>
          <cell r="D1284">
            <v>9055</v>
          </cell>
        </row>
        <row r="1285">
          <cell r="C1285" t="str">
            <v>پ/27-1402</v>
          </cell>
          <cell r="D1285">
            <v>20500</v>
          </cell>
        </row>
        <row r="1286">
          <cell r="C1286" t="str">
            <v>پ/27-1402</v>
          </cell>
          <cell r="D1286">
            <v>20455</v>
          </cell>
        </row>
        <row r="1287">
          <cell r="C1287" t="str">
            <v>پ/20-1403</v>
          </cell>
          <cell r="D1287">
            <v>19000</v>
          </cell>
        </row>
        <row r="1288">
          <cell r="C1288" t="str">
            <v>پ/42-1403</v>
          </cell>
          <cell r="D1288">
            <v>20005</v>
          </cell>
        </row>
        <row r="1289">
          <cell r="C1289" t="str">
            <v>پ/43-1402</v>
          </cell>
          <cell r="D1289">
            <v>18990</v>
          </cell>
        </row>
        <row r="1290">
          <cell r="C1290" t="str">
            <v>پ/47-1403</v>
          </cell>
          <cell r="D1290">
            <v>17965</v>
          </cell>
        </row>
        <row r="1291">
          <cell r="C1291" t="str">
            <v>پ/31-1403</v>
          </cell>
          <cell r="D1291">
            <v>7475</v>
          </cell>
        </row>
        <row r="1292">
          <cell r="C1292" t="str">
            <v>پ/21-1403</v>
          </cell>
          <cell r="D1292">
            <v>19440</v>
          </cell>
        </row>
        <row r="1293">
          <cell r="C1293" t="str">
            <v>پ/27-1402</v>
          </cell>
          <cell r="D1293">
            <v>20300</v>
          </cell>
        </row>
        <row r="1294">
          <cell r="C1294" t="str">
            <v>پ/27-1402</v>
          </cell>
          <cell r="D1294">
            <v>20555</v>
          </cell>
        </row>
        <row r="1295">
          <cell r="C1295" t="str">
            <v>پ/31-1403</v>
          </cell>
          <cell r="D1295">
            <v>7545</v>
          </cell>
        </row>
        <row r="1296">
          <cell r="C1296" t="str">
            <v>پ/19-1403</v>
          </cell>
          <cell r="D1296">
            <v>11475</v>
          </cell>
        </row>
        <row r="1297">
          <cell r="C1297" t="str">
            <v>پ/31-1403</v>
          </cell>
          <cell r="D1297">
            <v>7330</v>
          </cell>
        </row>
        <row r="1298">
          <cell r="C1298" t="str">
            <v>پ/20-1403</v>
          </cell>
          <cell r="D1298">
            <v>19110</v>
          </cell>
        </row>
        <row r="1299">
          <cell r="C1299" t="str">
            <v>الحاقیه پ/39-1403</v>
          </cell>
          <cell r="D1299">
            <v>7765</v>
          </cell>
        </row>
        <row r="1300">
          <cell r="C1300" t="str">
            <v>پ/35-1403</v>
          </cell>
          <cell r="D1300">
            <v>20975</v>
          </cell>
        </row>
        <row r="1301">
          <cell r="C1301" t="str">
            <v>پ/20-1403</v>
          </cell>
          <cell r="D1301">
            <v>18355</v>
          </cell>
        </row>
        <row r="1302">
          <cell r="C1302" t="str">
            <v>پ/55-1403</v>
          </cell>
          <cell r="D1302">
            <v>19975</v>
          </cell>
        </row>
        <row r="1303">
          <cell r="C1303" t="str">
            <v>پ/19-1403</v>
          </cell>
          <cell r="D1303">
            <v>11860</v>
          </cell>
        </row>
        <row r="1304">
          <cell r="C1304" t="str">
            <v>پ/34-1403</v>
          </cell>
          <cell r="D1304">
            <v>19960</v>
          </cell>
        </row>
        <row r="1305">
          <cell r="C1305" t="str">
            <v>پ/42-1403</v>
          </cell>
          <cell r="D1305">
            <v>20255</v>
          </cell>
        </row>
        <row r="1306">
          <cell r="C1306" t="str">
            <v>پ/27-1402</v>
          </cell>
          <cell r="D1306">
            <v>20400</v>
          </cell>
        </row>
        <row r="1307">
          <cell r="C1307" t="str">
            <v>پ/27-1402</v>
          </cell>
          <cell r="D1307">
            <v>20585</v>
          </cell>
        </row>
        <row r="1308">
          <cell r="C1308" t="str">
            <v>پ/21-1403</v>
          </cell>
          <cell r="D1308">
            <v>18120</v>
          </cell>
        </row>
        <row r="1309">
          <cell r="C1309" t="str">
            <v>پ/03-1404</v>
          </cell>
          <cell r="D1309">
            <v>15840</v>
          </cell>
        </row>
        <row r="1310">
          <cell r="C1310" t="str">
            <v>پ/72-1403</v>
          </cell>
          <cell r="D1310">
            <v>4060</v>
          </cell>
        </row>
        <row r="1311">
          <cell r="C1311" t="str">
            <v>پ/27-1402</v>
          </cell>
          <cell r="D1311">
            <v>20465</v>
          </cell>
        </row>
        <row r="1312">
          <cell r="C1312" t="str">
            <v>پ/27-1402</v>
          </cell>
          <cell r="D1312">
            <v>20410</v>
          </cell>
        </row>
        <row r="1313">
          <cell r="C1313" t="str">
            <v>پ/31-1403</v>
          </cell>
          <cell r="D1313">
            <v>7445</v>
          </cell>
        </row>
        <row r="1314">
          <cell r="C1314" t="str">
            <v>پ/43-1402</v>
          </cell>
          <cell r="D1314">
            <v>18110</v>
          </cell>
        </row>
        <row r="1315">
          <cell r="C1315" t="str">
            <v>پ/23-1403</v>
          </cell>
          <cell r="D1315">
            <v>19960</v>
          </cell>
        </row>
        <row r="1316">
          <cell r="C1316" t="str">
            <v>پ/32-1403</v>
          </cell>
          <cell r="D1316">
            <v>20090</v>
          </cell>
        </row>
        <row r="1317">
          <cell r="C1317" t="str">
            <v>پ/31-1403</v>
          </cell>
          <cell r="D1317">
            <v>7345</v>
          </cell>
        </row>
        <row r="1318">
          <cell r="C1318" t="str">
            <v>پ/47-1403</v>
          </cell>
          <cell r="D1318">
            <v>18590</v>
          </cell>
        </row>
        <row r="1319">
          <cell r="C1319" t="str">
            <v>پ/34-1403</v>
          </cell>
          <cell r="D1319">
            <v>20045</v>
          </cell>
        </row>
        <row r="1320">
          <cell r="C1320" t="str">
            <v>پ/43-1402</v>
          </cell>
          <cell r="D1320">
            <v>19025</v>
          </cell>
        </row>
        <row r="1321">
          <cell r="C1321" t="str">
            <v>پ/27-1402</v>
          </cell>
          <cell r="D1321">
            <v>20935</v>
          </cell>
        </row>
        <row r="1322">
          <cell r="C1322" t="str">
            <v>پ/27-1402</v>
          </cell>
          <cell r="D1322">
            <v>21040</v>
          </cell>
        </row>
        <row r="1323">
          <cell r="C1323" t="str">
            <v>پ/57-1403</v>
          </cell>
          <cell r="D1323">
            <v>14550</v>
          </cell>
        </row>
        <row r="1324">
          <cell r="C1324" t="str">
            <v>پ/31-1403</v>
          </cell>
          <cell r="D1324">
            <v>4020</v>
          </cell>
        </row>
        <row r="1325">
          <cell r="C1325" t="str">
            <v>پ/21-1403</v>
          </cell>
          <cell r="D1325">
            <v>19220</v>
          </cell>
        </row>
        <row r="1326">
          <cell r="C1326" t="str">
            <v>پ/27-1402</v>
          </cell>
          <cell r="D1326">
            <v>20940</v>
          </cell>
        </row>
        <row r="1327">
          <cell r="C1327" t="str">
            <v>پ/27-1402</v>
          </cell>
          <cell r="D1327">
            <v>20950</v>
          </cell>
        </row>
        <row r="1328">
          <cell r="C1328" t="str">
            <v>پ/20-1403</v>
          </cell>
          <cell r="D1328">
            <v>18945</v>
          </cell>
        </row>
        <row r="1329">
          <cell r="C1329" t="str">
            <v>پ/31-1403</v>
          </cell>
          <cell r="D1329">
            <v>7470</v>
          </cell>
        </row>
        <row r="1330">
          <cell r="C1330" t="str">
            <v>پ/31-1403</v>
          </cell>
          <cell r="D1330">
            <v>6950</v>
          </cell>
        </row>
        <row r="1331">
          <cell r="C1331" t="str">
            <v>پ/19-1403</v>
          </cell>
          <cell r="D1331">
            <v>11325</v>
          </cell>
        </row>
        <row r="1332">
          <cell r="C1332" t="str">
            <v>پ/27-1402</v>
          </cell>
          <cell r="D1332">
            <v>20685</v>
          </cell>
        </row>
        <row r="1333">
          <cell r="C1333" t="str">
            <v>پ/27-1402</v>
          </cell>
          <cell r="D1333">
            <v>20460</v>
          </cell>
        </row>
        <row r="1334">
          <cell r="C1334" t="str">
            <v>پ/31-1403</v>
          </cell>
          <cell r="D1334">
            <v>7310</v>
          </cell>
        </row>
        <row r="1335">
          <cell r="C1335" t="str">
            <v>پ/20-1403</v>
          </cell>
          <cell r="D1335">
            <v>17755</v>
          </cell>
        </row>
        <row r="1336">
          <cell r="C1336" t="str">
            <v>پ/31-1403</v>
          </cell>
          <cell r="D1336">
            <v>7305</v>
          </cell>
        </row>
        <row r="1337">
          <cell r="C1337" t="str">
            <v>پ/72-1403</v>
          </cell>
          <cell r="D1337">
            <v>20060</v>
          </cell>
        </row>
        <row r="1338">
          <cell r="C1338" t="str">
            <v>پ/21-1403</v>
          </cell>
          <cell r="D1338">
            <v>19095</v>
          </cell>
        </row>
        <row r="1339">
          <cell r="C1339" t="str">
            <v>پ/43-1402</v>
          </cell>
          <cell r="D1339">
            <v>17940</v>
          </cell>
        </row>
        <row r="1340">
          <cell r="C1340" t="str">
            <v>پ/27-1402</v>
          </cell>
          <cell r="D1340">
            <v>21005</v>
          </cell>
        </row>
        <row r="1341">
          <cell r="C1341" t="str">
            <v>پ/27-1402</v>
          </cell>
          <cell r="D1341">
            <v>20955</v>
          </cell>
        </row>
        <row r="1342">
          <cell r="C1342" t="str">
            <v>پ/24-1403</v>
          </cell>
          <cell r="D1342">
            <v>9060</v>
          </cell>
        </row>
        <row r="1343">
          <cell r="C1343" t="str">
            <v>پ/43-1402</v>
          </cell>
          <cell r="D1343">
            <v>7995</v>
          </cell>
        </row>
        <row r="1344">
          <cell r="C1344" t="str">
            <v>الحاقیه پ/39-1403</v>
          </cell>
          <cell r="D1344">
            <v>7700</v>
          </cell>
        </row>
        <row r="1345">
          <cell r="C1345" t="str">
            <v>پ/42-1403</v>
          </cell>
          <cell r="D1345">
            <v>19930</v>
          </cell>
        </row>
        <row r="1346">
          <cell r="C1346" t="str">
            <v>پ/31-1403</v>
          </cell>
          <cell r="D1346">
            <v>7185</v>
          </cell>
        </row>
        <row r="1347">
          <cell r="C1347" t="str">
            <v>پ/32-1403</v>
          </cell>
          <cell r="D1347">
            <v>20005</v>
          </cell>
        </row>
        <row r="1348">
          <cell r="C1348" t="str">
            <v>پ/21-1403</v>
          </cell>
          <cell r="D1348">
            <v>19050</v>
          </cell>
        </row>
        <row r="1349">
          <cell r="C1349" t="str">
            <v>پ/35-1403</v>
          </cell>
          <cell r="D1349">
            <v>21015</v>
          </cell>
        </row>
        <row r="1350">
          <cell r="C1350" t="str">
            <v>پ/31-1403</v>
          </cell>
          <cell r="D1350">
            <v>7535</v>
          </cell>
        </row>
        <row r="1351">
          <cell r="C1351" t="str">
            <v>الحاقیه پ/39-1403</v>
          </cell>
          <cell r="D1351">
            <v>7715</v>
          </cell>
        </row>
        <row r="1352">
          <cell r="C1352" t="str">
            <v>پ/31-1403</v>
          </cell>
          <cell r="D1352">
            <v>7450</v>
          </cell>
        </row>
        <row r="1353">
          <cell r="C1353" t="str">
            <v>پ/24-1403</v>
          </cell>
          <cell r="D1353">
            <v>9005</v>
          </cell>
        </row>
        <row r="1354">
          <cell r="C1354" t="str">
            <v>پ/27-1402</v>
          </cell>
          <cell r="D1354">
            <v>20420</v>
          </cell>
        </row>
        <row r="1355">
          <cell r="C1355" t="str">
            <v>پ/27-1402</v>
          </cell>
          <cell r="D1355">
            <v>20555</v>
          </cell>
        </row>
        <row r="1356">
          <cell r="C1356" t="str">
            <v>پ/27-1402</v>
          </cell>
          <cell r="D1356">
            <v>20370</v>
          </cell>
        </row>
        <row r="1357">
          <cell r="C1357" t="str">
            <v>پ/23-1403</v>
          </cell>
          <cell r="D1357">
            <v>19945</v>
          </cell>
        </row>
        <row r="1358">
          <cell r="C1358" t="str">
            <v>پ/20-1403</v>
          </cell>
          <cell r="D1358">
            <v>18800</v>
          </cell>
        </row>
        <row r="1359">
          <cell r="C1359" t="str">
            <v>پ/69-1403</v>
          </cell>
          <cell r="D1359">
            <v>7435</v>
          </cell>
        </row>
        <row r="1360">
          <cell r="C1360" t="str">
            <v>پ/19-1403</v>
          </cell>
          <cell r="D1360">
            <v>11585</v>
          </cell>
        </row>
        <row r="1361">
          <cell r="C1361" t="str">
            <v>پ/43-1402</v>
          </cell>
          <cell r="D1361">
            <v>18965</v>
          </cell>
        </row>
        <row r="1362">
          <cell r="C1362" t="str">
            <v>پ/27-1402</v>
          </cell>
          <cell r="D1362">
            <v>20990</v>
          </cell>
        </row>
        <row r="1363">
          <cell r="C1363" t="str">
            <v>پ/27-1402</v>
          </cell>
          <cell r="D1363">
            <v>20935</v>
          </cell>
        </row>
        <row r="1364">
          <cell r="C1364" t="str">
            <v>پ/69-1403</v>
          </cell>
          <cell r="D1364">
            <v>7430</v>
          </cell>
        </row>
        <row r="1365">
          <cell r="C1365" t="str">
            <v>پ/19-1403</v>
          </cell>
          <cell r="D1365">
            <v>11305</v>
          </cell>
        </row>
        <row r="1366">
          <cell r="C1366" t="str">
            <v>پ/35-1403</v>
          </cell>
          <cell r="D1366">
            <v>21185</v>
          </cell>
        </row>
        <row r="1367">
          <cell r="C1367" t="str">
            <v>پ/21-1403</v>
          </cell>
          <cell r="D1367">
            <v>9805</v>
          </cell>
        </row>
        <row r="1368">
          <cell r="C1368" t="str">
            <v>پ/24-1403</v>
          </cell>
          <cell r="D1368">
            <v>8490</v>
          </cell>
        </row>
        <row r="1369">
          <cell r="C1369" t="str">
            <v>پ/43-1402</v>
          </cell>
          <cell r="D1369">
            <v>7285</v>
          </cell>
        </row>
        <row r="1370">
          <cell r="C1370" t="str">
            <v>پ/70-1403</v>
          </cell>
          <cell r="D1370">
            <v>9955</v>
          </cell>
        </row>
        <row r="1371">
          <cell r="C1371" t="str">
            <v>پ/72-1403</v>
          </cell>
          <cell r="D1371">
            <v>10240</v>
          </cell>
        </row>
        <row r="1372">
          <cell r="C1372" t="str">
            <v>پ/27-1402</v>
          </cell>
          <cell r="D1372">
            <v>20460</v>
          </cell>
        </row>
        <row r="1373">
          <cell r="C1373" t="str">
            <v>پ/27-1402</v>
          </cell>
          <cell r="D1373">
            <v>20515</v>
          </cell>
        </row>
        <row r="1374">
          <cell r="C1374" t="str">
            <v>پ/27-1402</v>
          </cell>
          <cell r="D1374">
            <v>20615</v>
          </cell>
        </row>
        <row r="1375">
          <cell r="C1375" t="str">
            <v>پ/69-1403</v>
          </cell>
          <cell r="D1375">
            <v>7380</v>
          </cell>
        </row>
        <row r="1376">
          <cell r="C1376" t="str">
            <v>پ/43-1402</v>
          </cell>
          <cell r="D1376">
            <v>17875</v>
          </cell>
        </row>
        <row r="1377">
          <cell r="C1377" t="str">
            <v>پ/43-1402</v>
          </cell>
          <cell r="D1377">
            <v>18890</v>
          </cell>
        </row>
        <row r="1378">
          <cell r="C1378" t="str">
            <v>پ/23-1403</v>
          </cell>
          <cell r="D1378">
            <v>21055</v>
          </cell>
        </row>
        <row r="1379">
          <cell r="C1379" t="str">
            <v>پ/19-1403</v>
          </cell>
          <cell r="D1379">
            <v>12030</v>
          </cell>
        </row>
        <row r="1380">
          <cell r="C1380" t="str">
            <v>پ/42-1403</v>
          </cell>
          <cell r="D1380">
            <v>20040</v>
          </cell>
        </row>
        <row r="1381">
          <cell r="C1381" t="str">
            <v>پ/48-1403</v>
          </cell>
          <cell r="D1381">
            <v>13320</v>
          </cell>
        </row>
        <row r="1382">
          <cell r="C1382" t="str">
            <v>پ/32-1403</v>
          </cell>
          <cell r="D1382">
            <v>7705</v>
          </cell>
        </row>
        <row r="1383">
          <cell r="C1383" t="str">
            <v>پ/69-1403</v>
          </cell>
          <cell r="D1383">
            <v>7510</v>
          </cell>
        </row>
        <row r="1384">
          <cell r="C1384" t="str">
            <v>پ/31-1403</v>
          </cell>
          <cell r="D1384">
            <v>4965</v>
          </cell>
        </row>
        <row r="1385">
          <cell r="C1385" t="str">
            <v>پ/20-1403</v>
          </cell>
          <cell r="D1385">
            <v>18765</v>
          </cell>
        </row>
        <row r="1386">
          <cell r="C1386" t="str">
            <v>پ/27-1402</v>
          </cell>
          <cell r="D1386">
            <v>21070</v>
          </cell>
        </row>
        <row r="1387">
          <cell r="C1387" t="str">
            <v>پ/27-1402</v>
          </cell>
          <cell r="D1387">
            <v>20565</v>
          </cell>
        </row>
        <row r="1388">
          <cell r="C1388" t="str">
            <v>پ/27-1402</v>
          </cell>
          <cell r="D1388">
            <v>20780</v>
          </cell>
        </row>
        <row r="1389">
          <cell r="C1389" t="str">
            <v>پ/21-1403</v>
          </cell>
          <cell r="D1389">
            <v>19100</v>
          </cell>
        </row>
        <row r="1390">
          <cell r="C1390" t="str">
            <v>پ/20-1403</v>
          </cell>
          <cell r="D1390">
            <v>9955</v>
          </cell>
        </row>
        <row r="1391">
          <cell r="C1391" t="str">
            <v>پ/21-1403</v>
          </cell>
          <cell r="D1391">
            <v>18120</v>
          </cell>
        </row>
        <row r="1392">
          <cell r="C1392" t="str">
            <v>پ/24-1403</v>
          </cell>
          <cell r="D1392">
            <v>9055</v>
          </cell>
        </row>
        <row r="1393">
          <cell r="C1393" t="str">
            <v>پ/19-1403</v>
          </cell>
          <cell r="D1393">
            <v>10495</v>
          </cell>
        </row>
        <row r="1394">
          <cell r="C1394" t="str">
            <v>پ/20-1403</v>
          </cell>
          <cell r="D1394">
            <v>17765</v>
          </cell>
        </row>
        <row r="1395">
          <cell r="C1395" t="str">
            <v>پ/57-1403</v>
          </cell>
          <cell r="D1395">
            <v>14400</v>
          </cell>
        </row>
        <row r="1396">
          <cell r="C1396" t="str">
            <v>پ/66-1403</v>
          </cell>
          <cell r="D1396">
            <v>10065</v>
          </cell>
        </row>
        <row r="1397">
          <cell r="C1397" t="str">
            <v>پ/70-1403</v>
          </cell>
          <cell r="D1397">
            <v>10045</v>
          </cell>
        </row>
        <row r="1398">
          <cell r="C1398" t="str">
            <v>پ/27-1402</v>
          </cell>
          <cell r="D1398">
            <v>20370</v>
          </cell>
        </row>
        <row r="1399">
          <cell r="C1399" t="str">
            <v>پ/31-1403</v>
          </cell>
          <cell r="D1399">
            <v>7285</v>
          </cell>
        </row>
        <row r="1400">
          <cell r="C1400" t="str">
            <v>پ/62-1403</v>
          </cell>
          <cell r="D1400">
            <v>17960</v>
          </cell>
        </row>
        <row r="1401">
          <cell r="C1401" t="str">
            <v>پ/31-1403</v>
          </cell>
          <cell r="D1401">
            <v>7510</v>
          </cell>
        </row>
        <row r="1402">
          <cell r="C1402" t="str">
            <v>پ/20-1403</v>
          </cell>
          <cell r="D1402">
            <v>17880</v>
          </cell>
        </row>
        <row r="1403">
          <cell r="C1403" t="str">
            <v>پ/21-1403</v>
          </cell>
          <cell r="D1403">
            <v>17855</v>
          </cell>
        </row>
        <row r="1404">
          <cell r="C1404" t="str">
            <v>پ/27-1402</v>
          </cell>
          <cell r="D1404">
            <v>20475</v>
          </cell>
        </row>
        <row r="1405">
          <cell r="C1405" t="str">
            <v>پ/24-1403</v>
          </cell>
          <cell r="D1405">
            <v>9065</v>
          </cell>
        </row>
        <row r="1406">
          <cell r="C1406" t="str">
            <v>پ/27-1402</v>
          </cell>
          <cell r="D1406">
            <v>20490</v>
          </cell>
        </row>
        <row r="1407">
          <cell r="C1407" t="str">
            <v>پ/27-1402</v>
          </cell>
          <cell r="D1407">
            <v>20470</v>
          </cell>
        </row>
        <row r="1408">
          <cell r="C1408" t="str">
            <v>پ/36-1403</v>
          </cell>
          <cell r="D1408">
            <v>945</v>
          </cell>
        </row>
        <row r="1409">
          <cell r="C1409" t="str">
            <v>پ/35-1403</v>
          </cell>
          <cell r="D1409">
            <v>20620</v>
          </cell>
        </row>
        <row r="1410">
          <cell r="C1410" t="str">
            <v>پ/20-1403</v>
          </cell>
          <cell r="D1410">
            <v>18925</v>
          </cell>
        </row>
        <row r="1411">
          <cell r="C1411" t="str">
            <v>پ/43-1402</v>
          </cell>
          <cell r="D1411">
            <v>18145</v>
          </cell>
        </row>
        <row r="1412">
          <cell r="C1412" t="str">
            <v>پ/43-1402</v>
          </cell>
          <cell r="D1412">
            <v>17885</v>
          </cell>
        </row>
        <row r="1413">
          <cell r="C1413" t="str">
            <v>پ/48-1403</v>
          </cell>
          <cell r="D1413">
            <v>19975</v>
          </cell>
        </row>
        <row r="1414">
          <cell r="C1414" t="str">
            <v>پ/34-1403</v>
          </cell>
          <cell r="D1414">
            <v>19860</v>
          </cell>
        </row>
        <row r="1415">
          <cell r="C1415" t="str">
            <v>پ/21-1403</v>
          </cell>
          <cell r="D1415">
            <v>18190</v>
          </cell>
        </row>
        <row r="1416">
          <cell r="C1416" t="str">
            <v>پ/19-1403</v>
          </cell>
          <cell r="D1416">
            <v>11920</v>
          </cell>
        </row>
        <row r="1417">
          <cell r="C1417" t="str">
            <v>پ/47-1403</v>
          </cell>
          <cell r="D1417">
            <v>17975</v>
          </cell>
        </row>
        <row r="1418">
          <cell r="C1418" t="str">
            <v>پ/23-1403</v>
          </cell>
          <cell r="D1418">
            <v>20040</v>
          </cell>
        </row>
        <row r="1419">
          <cell r="C1419" t="str">
            <v>پ/27-1402</v>
          </cell>
          <cell r="D1419">
            <v>21110</v>
          </cell>
        </row>
        <row r="1420">
          <cell r="C1420" t="str">
            <v>پ/27-1402</v>
          </cell>
          <cell r="D1420">
            <v>21230</v>
          </cell>
        </row>
        <row r="1421">
          <cell r="C1421" t="str">
            <v>پ/31-1403</v>
          </cell>
          <cell r="D1421">
            <v>7385</v>
          </cell>
        </row>
        <row r="1422">
          <cell r="C1422" t="str">
            <v>پ/10-1403</v>
          </cell>
          <cell r="D1422">
            <v>20100</v>
          </cell>
        </row>
        <row r="1423">
          <cell r="C1423" t="str">
            <v>پ/31-1403</v>
          </cell>
          <cell r="D1423">
            <v>7220</v>
          </cell>
        </row>
        <row r="1424">
          <cell r="C1424" t="str">
            <v>پ/24-1403</v>
          </cell>
          <cell r="D1424">
            <v>9065</v>
          </cell>
        </row>
        <row r="1425">
          <cell r="C1425" t="str">
            <v>پ/39-1403</v>
          </cell>
          <cell r="D1425">
            <v>7085</v>
          </cell>
        </row>
        <row r="1426">
          <cell r="C1426" t="str">
            <v>پ/31-1403</v>
          </cell>
          <cell r="D1426">
            <v>7075</v>
          </cell>
        </row>
        <row r="1427">
          <cell r="C1427" t="str">
            <v>پ/20-1403</v>
          </cell>
          <cell r="D1427">
            <v>18040</v>
          </cell>
        </row>
        <row r="1428">
          <cell r="C1428" t="str">
            <v>پ/24-1403</v>
          </cell>
          <cell r="D1428">
            <v>9015</v>
          </cell>
        </row>
        <row r="1429">
          <cell r="C1429" t="str">
            <v>پ/24-1403</v>
          </cell>
          <cell r="D1429">
            <v>9000</v>
          </cell>
        </row>
        <row r="1430">
          <cell r="C1430" t="str">
            <v>پ/21-1403</v>
          </cell>
          <cell r="D1430">
            <v>17930</v>
          </cell>
        </row>
        <row r="1431">
          <cell r="C1431" t="str">
            <v>پ/66-1403</v>
          </cell>
          <cell r="D1431">
            <v>20130</v>
          </cell>
        </row>
        <row r="1432">
          <cell r="C1432" t="str">
            <v>پ/48-1403</v>
          </cell>
          <cell r="D1432">
            <v>12065</v>
          </cell>
        </row>
        <row r="1433">
          <cell r="C1433" t="str">
            <v>پ/39-1403</v>
          </cell>
          <cell r="D1433">
            <v>7655</v>
          </cell>
        </row>
        <row r="1434">
          <cell r="C1434" t="str">
            <v>پ/27-1402</v>
          </cell>
          <cell r="D1434">
            <v>20505</v>
          </cell>
        </row>
        <row r="1435">
          <cell r="C1435" t="str">
            <v>پ/27-1402</v>
          </cell>
          <cell r="D1435">
            <v>20495</v>
          </cell>
        </row>
        <row r="1436">
          <cell r="C1436" t="str">
            <v>پ/43-1402</v>
          </cell>
          <cell r="D1436">
            <v>18020</v>
          </cell>
        </row>
        <row r="1437">
          <cell r="C1437" t="str">
            <v>پ/48-1403</v>
          </cell>
          <cell r="D1437">
            <v>5050</v>
          </cell>
        </row>
        <row r="1438">
          <cell r="C1438" t="str">
            <v>پ/42-1403</v>
          </cell>
          <cell r="D1438">
            <v>18040</v>
          </cell>
        </row>
        <row r="1439">
          <cell r="C1439" t="str">
            <v>پ/43-1402</v>
          </cell>
          <cell r="D1439">
            <v>18135</v>
          </cell>
        </row>
        <row r="1440">
          <cell r="C1440" t="str">
            <v>پ/20-1403</v>
          </cell>
          <cell r="D1440">
            <v>17920</v>
          </cell>
        </row>
        <row r="1441">
          <cell r="C1441" t="str">
            <v>پ/36-1403</v>
          </cell>
          <cell r="D1441">
            <v>17985</v>
          </cell>
        </row>
        <row r="1442">
          <cell r="C1442" t="str">
            <v>پ/27-1402</v>
          </cell>
          <cell r="D1442">
            <v>20925</v>
          </cell>
        </row>
        <row r="1443">
          <cell r="C1443" t="str">
            <v>پ/27-1402</v>
          </cell>
          <cell r="D1443">
            <v>20655</v>
          </cell>
        </row>
        <row r="1444">
          <cell r="C1444" t="str">
            <v>پ/19-1403</v>
          </cell>
          <cell r="D1444">
            <v>11490</v>
          </cell>
        </row>
        <row r="1445">
          <cell r="C1445" t="str">
            <v>پ/24-1403</v>
          </cell>
          <cell r="D1445">
            <v>9100</v>
          </cell>
        </row>
        <row r="1446">
          <cell r="C1446" t="str">
            <v>پ/24-1403</v>
          </cell>
          <cell r="D1446">
            <v>9055</v>
          </cell>
        </row>
        <row r="1447">
          <cell r="C1447" t="str">
            <v>پ/27-1402</v>
          </cell>
          <cell r="D1447">
            <v>20840</v>
          </cell>
        </row>
        <row r="1448">
          <cell r="C1448" t="str">
            <v>پ/21-1403</v>
          </cell>
          <cell r="D1448">
            <v>18125</v>
          </cell>
        </row>
        <row r="1449">
          <cell r="C1449" t="str">
            <v>پ/20-1403</v>
          </cell>
          <cell r="D1449">
            <v>18895</v>
          </cell>
        </row>
        <row r="1450">
          <cell r="C1450" t="str">
            <v>پ/43-1402</v>
          </cell>
          <cell r="D1450">
            <v>19925</v>
          </cell>
        </row>
        <row r="1451">
          <cell r="C1451" t="str">
            <v>پ/20-1403</v>
          </cell>
          <cell r="D1451">
            <v>18895</v>
          </cell>
        </row>
        <row r="1452">
          <cell r="C1452" t="str">
            <v>پ/66-1403</v>
          </cell>
          <cell r="D1452">
            <v>22055</v>
          </cell>
        </row>
        <row r="1453">
          <cell r="C1453" t="str">
            <v>پ/21-1403</v>
          </cell>
          <cell r="D1453">
            <v>18830</v>
          </cell>
        </row>
        <row r="1454">
          <cell r="C1454" t="str">
            <v>پ/48-1403</v>
          </cell>
          <cell r="D1454">
            <v>5240</v>
          </cell>
        </row>
        <row r="1455">
          <cell r="C1455" t="str">
            <v>پ/19-1403</v>
          </cell>
          <cell r="D1455">
            <v>11710</v>
          </cell>
        </row>
        <row r="1456">
          <cell r="C1456" t="str">
            <v>پ/27-1402</v>
          </cell>
          <cell r="D1456">
            <v>20575</v>
          </cell>
        </row>
        <row r="1457">
          <cell r="C1457" t="str">
            <v>پ/27-1402</v>
          </cell>
          <cell r="D1457">
            <v>20455</v>
          </cell>
        </row>
        <row r="1458">
          <cell r="C1458" t="str">
            <v>پ/27-1402</v>
          </cell>
          <cell r="D1458">
            <v>20460</v>
          </cell>
        </row>
        <row r="1459">
          <cell r="C1459" t="str">
            <v>پ/27-1402</v>
          </cell>
          <cell r="D1459">
            <v>20290</v>
          </cell>
        </row>
        <row r="1460">
          <cell r="C1460" t="str">
            <v>پ/24-1403</v>
          </cell>
          <cell r="D1460">
            <v>9005</v>
          </cell>
        </row>
        <row r="1461">
          <cell r="C1461" t="str">
            <v>پ/20-1403</v>
          </cell>
          <cell r="D1461">
            <v>18995</v>
          </cell>
        </row>
        <row r="1462">
          <cell r="C1462" t="str">
            <v>پ/40-1403</v>
          </cell>
          <cell r="D1462">
            <v>13605</v>
          </cell>
        </row>
        <row r="1463">
          <cell r="C1463" t="str">
            <v>پ/43-1402</v>
          </cell>
          <cell r="D1463">
            <v>17900</v>
          </cell>
        </row>
        <row r="1464">
          <cell r="C1464" t="str">
            <v>پ/19-1403</v>
          </cell>
          <cell r="D1464">
            <v>11795</v>
          </cell>
        </row>
        <row r="1465">
          <cell r="C1465" t="str">
            <v>پ/27-1402</v>
          </cell>
          <cell r="D1465">
            <v>20560</v>
          </cell>
        </row>
        <row r="1466">
          <cell r="C1466" t="str">
            <v>پ/27-1402</v>
          </cell>
          <cell r="D1466">
            <v>20455</v>
          </cell>
        </row>
        <row r="1467">
          <cell r="C1467" t="str">
            <v>پ/27-1402</v>
          </cell>
          <cell r="D1467">
            <v>20635</v>
          </cell>
        </row>
        <row r="1468">
          <cell r="C1468" t="str">
            <v>پ/48-1403</v>
          </cell>
          <cell r="D1468">
            <v>5440</v>
          </cell>
        </row>
        <row r="1469">
          <cell r="C1469" t="str">
            <v>پ/10-1403</v>
          </cell>
          <cell r="D1469">
            <v>9430</v>
          </cell>
        </row>
        <row r="1470">
          <cell r="C1470" t="str">
            <v>پ/31-1403</v>
          </cell>
          <cell r="D1470">
            <v>7405</v>
          </cell>
        </row>
        <row r="1471">
          <cell r="C1471" t="str">
            <v>پ/48-1403</v>
          </cell>
          <cell r="D1471">
            <v>5410</v>
          </cell>
        </row>
        <row r="1472">
          <cell r="C1472" t="str">
            <v>پ/31-1403</v>
          </cell>
          <cell r="D1472">
            <v>7370</v>
          </cell>
        </row>
        <row r="1473">
          <cell r="C1473" t="str">
            <v>پ/41-1402</v>
          </cell>
          <cell r="D1473">
            <v>4620</v>
          </cell>
        </row>
        <row r="1474">
          <cell r="C1474" t="str">
            <v>پ/01-1404</v>
          </cell>
          <cell r="D1474">
            <v>5330</v>
          </cell>
        </row>
        <row r="1475">
          <cell r="C1475" t="str">
            <v>پ/36-1403</v>
          </cell>
          <cell r="D1475">
            <v>21135</v>
          </cell>
        </row>
        <row r="1476">
          <cell r="C1476" t="str">
            <v>پ/48-1403</v>
          </cell>
          <cell r="D1476">
            <v>5405</v>
          </cell>
        </row>
        <row r="1477">
          <cell r="C1477" t="str">
            <v>پ/48-1403</v>
          </cell>
          <cell r="D1477">
            <v>5445</v>
          </cell>
        </row>
        <row r="1478">
          <cell r="C1478" t="str">
            <v>پ/43-1402</v>
          </cell>
          <cell r="D1478">
            <v>19990</v>
          </cell>
        </row>
        <row r="1479">
          <cell r="C1479" t="str">
            <v>پ/36-1403</v>
          </cell>
          <cell r="D1479">
            <v>21985</v>
          </cell>
        </row>
        <row r="1480">
          <cell r="C1480" t="str">
            <v>پ/19-1403</v>
          </cell>
          <cell r="D1480">
            <v>11835</v>
          </cell>
        </row>
        <row r="1481">
          <cell r="C1481" t="str">
            <v>پ/66-1403</v>
          </cell>
          <cell r="D1481">
            <v>22240</v>
          </cell>
        </row>
        <row r="1482">
          <cell r="C1482" t="str">
            <v>پ/41-1402</v>
          </cell>
          <cell r="D1482">
            <v>9930</v>
          </cell>
        </row>
        <row r="1483">
          <cell r="C1483" t="str">
            <v>پ/10-1403</v>
          </cell>
          <cell r="D1483">
            <v>14955</v>
          </cell>
        </row>
        <row r="1484">
          <cell r="C1484" t="str">
            <v>پ/27-1402</v>
          </cell>
          <cell r="D1484">
            <v>20790</v>
          </cell>
        </row>
        <row r="1485">
          <cell r="C1485" t="str">
            <v>پ/27-1402</v>
          </cell>
          <cell r="D1485">
            <v>20795</v>
          </cell>
        </row>
        <row r="1486">
          <cell r="C1486" t="str">
            <v>پ/20-1403</v>
          </cell>
          <cell r="D1486">
            <v>19205</v>
          </cell>
        </row>
        <row r="1487">
          <cell r="C1487" t="str">
            <v>پ/36-1403</v>
          </cell>
          <cell r="D1487">
            <v>22160</v>
          </cell>
        </row>
        <row r="1488">
          <cell r="C1488" t="str">
            <v>پ/24-1403</v>
          </cell>
          <cell r="D1488">
            <v>8970</v>
          </cell>
        </row>
        <row r="1489">
          <cell r="C1489" t="str">
            <v>پ/48-1403</v>
          </cell>
          <cell r="D1489">
            <v>5405</v>
          </cell>
        </row>
        <row r="1490">
          <cell r="C1490" t="str">
            <v>پ/24-1403</v>
          </cell>
          <cell r="D1490">
            <v>9085</v>
          </cell>
        </row>
        <row r="1491">
          <cell r="C1491" t="str">
            <v>پ/48-1403</v>
          </cell>
          <cell r="D1491">
            <v>5435</v>
          </cell>
        </row>
        <row r="1492">
          <cell r="C1492" t="str">
            <v>پ/48-1403</v>
          </cell>
          <cell r="D1492">
            <v>5390</v>
          </cell>
        </row>
        <row r="1493">
          <cell r="C1493" t="str">
            <v>پ/48-1403</v>
          </cell>
          <cell r="D1493">
            <v>5405</v>
          </cell>
        </row>
        <row r="1494">
          <cell r="C1494" t="str">
            <v>پ/31-1403</v>
          </cell>
          <cell r="D1494">
            <v>7390</v>
          </cell>
        </row>
        <row r="1495">
          <cell r="C1495" t="str">
            <v>پ/31-1403</v>
          </cell>
          <cell r="D1495">
            <v>7365</v>
          </cell>
        </row>
        <row r="1496">
          <cell r="C1496" t="str">
            <v>پ/20-1403</v>
          </cell>
          <cell r="D1496">
            <v>18840</v>
          </cell>
        </row>
        <row r="1497">
          <cell r="C1497" t="str">
            <v>پ/43-1402</v>
          </cell>
          <cell r="D1497">
            <v>14040</v>
          </cell>
        </row>
        <row r="1498">
          <cell r="C1498" t="str">
            <v>پ/48-1403</v>
          </cell>
          <cell r="D1498">
            <v>5290</v>
          </cell>
        </row>
        <row r="1499">
          <cell r="C1499" t="str">
            <v>پ/48-1403</v>
          </cell>
          <cell r="D1499">
            <v>5355</v>
          </cell>
        </row>
        <row r="1500">
          <cell r="C1500" t="str">
            <v>پ/31-1403</v>
          </cell>
          <cell r="D1500">
            <v>7505</v>
          </cell>
        </row>
        <row r="1501">
          <cell r="C1501" t="str">
            <v>پ/43-1402</v>
          </cell>
          <cell r="D1501">
            <v>19655</v>
          </cell>
        </row>
        <row r="1502">
          <cell r="C1502" t="str">
            <v>پ/31-1403</v>
          </cell>
          <cell r="D1502">
            <v>7440</v>
          </cell>
        </row>
        <row r="1503">
          <cell r="C1503" t="str">
            <v>پ/42-1403</v>
          </cell>
          <cell r="D1503">
            <v>20140</v>
          </cell>
        </row>
        <row r="1504">
          <cell r="C1504" t="str">
            <v>پ/48-1403</v>
          </cell>
          <cell r="D1504">
            <v>5420</v>
          </cell>
        </row>
        <row r="1505">
          <cell r="C1505" t="str">
            <v>پ/48-1403</v>
          </cell>
          <cell r="D1505">
            <v>5440</v>
          </cell>
        </row>
        <row r="1506">
          <cell r="C1506" t="str">
            <v>پ/31-1403</v>
          </cell>
          <cell r="D1506">
            <v>7390</v>
          </cell>
        </row>
        <row r="1507">
          <cell r="C1507" t="str">
            <v>پ/48-1403</v>
          </cell>
          <cell r="D1507">
            <v>5305</v>
          </cell>
        </row>
        <row r="1508">
          <cell r="C1508" t="str">
            <v>پ/48-1403</v>
          </cell>
          <cell r="D1508">
            <v>5465</v>
          </cell>
        </row>
        <row r="1509">
          <cell r="C1509" t="str">
            <v>پ/21-1403</v>
          </cell>
          <cell r="D1509">
            <v>15575</v>
          </cell>
        </row>
        <row r="1510">
          <cell r="C1510" t="str">
            <v>پ/48-1403</v>
          </cell>
          <cell r="D1510">
            <v>5325</v>
          </cell>
        </row>
        <row r="1511">
          <cell r="C1511" t="str">
            <v>پ/20-1403</v>
          </cell>
          <cell r="D1511">
            <v>19000</v>
          </cell>
        </row>
        <row r="1512">
          <cell r="C1512" t="str">
            <v>پ/48-1403</v>
          </cell>
          <cell r="D1512">
            <v>5380</v>
          </cell>
        </row>
        <row r="1513">
          <cell r="C1513" t="str">
            <v>پ/48-1403</v>
          </cell>
          <cell r="D1513">
            <v>5290</v>
          </cell>
        </row>
        <row r="1514">
          <cell r="C1514" t="str">
            <v>پ/21-1403</v>
          </cell>
          <cell r="D1514">
            <v>18945</v>
          </cell>
        </row>
        <row r="1515">
          <cell r="C1515" t="str">
            <v>پ/23-1403</v>
          </cell>
          <cell r="D1515">
            <v>22080</v>
          </cell>
        </row>
        <row r="1516">
          <cell r="C1516" t="str">
            <v>پ/31-1403</v>
          </cell>
          <cell r="D1516">
            <v>7250</v>
          </cell>
        </row>
        <row r="1517">
          <cell r="C1517" t="str">
            <v>پ/20-1403</v>
          </cell>
          <cell r="D1517">
            <v>19045</v>
          </cell>
        </row>
        <row r="1518">
          <cell r="C1518" t="str">
            <v>پ/27-1402</v>
          </cell>
          <cell r="D1518">
            <v>20925</v>
          </cell>
        </row>
        <row r="1519">
          <cell r="C1519" t="str">
            <v>پ/27-1402</v>
          </cell>
          <cell r="D1519">
            <v>21020</v>
          </cell>
        </row>
        <row r="1520">
          <cell r="C1520" t="str">
            <v>پ/20-1403</v>
          </cell>
          <cell r="D1520">
            <v>18700</v>
          </cell>
        </row>
        <row r="1521">
          <cell r="C1521" t="str">
            <v>پ/19-1403</v>
          </cell>
          <cell r="D1521">
            <v>9805</v>
          </cell>
        </row>
        <row r="1522">
          <cell r="C1522" t="str">
            <v>پ/20-1403</v>
          </cell>
          <cell r="D1522">
            <v>19030</v>
          </cell>
        </row>
        <row r="1523">
          <cell r="C1523" t="str">
            <v>پ/27-1402</v>
          </cell>
          <cell r="D1523">
            <v>20410</v>
          </cell>
        </row>
        <row r="1524">
          <cell r="C1524" t="str">
            <v>پ/27-1402</v>
          </cell>
          <cell r="D1524">
            <v>20505</v>
          </cell>
        </row>
        <row r="1525">
          <cell r="C1525" t="str">
            <v>پ/20-1403</v>
          </cell>
          <cell r="D1525">
            <v>19115</v>
          </cell>
        </row>
        <row r="1526">
          <cell r="C1526" t="str">
            <v>پ/21-1403</v>
          </cell>
          <cell r="D1526">
            <v>18925</v>
          </cell>
        </row>
        <row r="1527">
          <cell r="C1527" t="str">
            <v>پ/19-1403</v>
          </cell>
          <cell r="D1527">
            <v>11490</v>
          </cell>
        </row>
        <row r="1528">
          <cell r="C1528" t="str">
            <v>پ/21-1403</v>
          </cell>
          <cell r="D1528">
            <v>19430</v>
          </cell>
        </row>
        <row r="1529">
          <cell r="C1529" t="str">
            <v>پ/45-1403</v>
          </cell>
          <cell r="D1529">
            <v>8625</v>
          </cell>
        </row>
        <row r="1530">
          <cell r="C1530" t="str">
            <v>پ/66-1403</v>
          </cell>
          <cell r="D1530">
            <v>11410</v>
          </cell>
        </row>
        <row r="1531">
          <cell r="C1531" t="str">
            <v>پ/42-1403</v>
          </cell>
          <cell r="D1531">
            <v>19910</v>
          </cell>
        </row>
        <row r="1532">
          <cell r="C1532" t="str">
            <v>پ/27-1402</v>
          </cell>
          <cell r="D1532">
            <v>20855</v>
          </cell>
        </row>
        <row r="1533">
          <cell r="C1533" t="str">
            <v>پ/27-1402</v>
          </cell>
          <cell r="D1533">
            <v>20975</v>
          </cell>
        </row>
        <row r="1534">
          <cell r="C1534" t="str">
            <v>پ/27-1402</v>
          </cell>
          <cell r="D1534">
            <v>21160</v>
          </cell>
        </row>
        <row r="1535">
          <cell r="C1535" t="str">
            <v>پ/27-1402</v>
          </cell>
          <cell r="D1535">
            <v>20980</v>
          </cell>
        </row>
        <row r="1536">
          <cell r="C1536" t="str">
            <v>پ/43-1402</v>
          </cell>
          <cell r="D1536">
            <v>19100</v>
          </cell>
        </row>
        <row r="1537">
          <cell r="C1537" t="str">
            <v>پ/27-1402</v>
          </cell>
          <cell r="D1537">
            <v>21095</v>
          </cell>
        </row>
        <row r="1538">
          <cell r="C1538" t="str">
            <v>پ/27-1402</v>
          </cell>
          <cell r="D1538">
            <v>20545</v>
          </cell>
        </row>
        <row r="1539">
          <cell r="C1539" t="str">
            <v>پ/27-1402</v>
          </cell>
          <cell r="D1539">
            <v>20390</v>
          </cell>
        </row>
        <row r="1540">
          <cell r="C1540" t="str">
            <v>پ/27-1402</v>
          </cell>
          <cell r="D1540">
            <v>20830</v>
          </cell>
        </row>
        <row r="1541">
          <cell r="C1541" t="str">
            <v>پ/39-1403</v>
          </cell>
          <cell r="D1541">
            <v>7700</v>
          </cell>
        </row>
        <row r="1542">
          <cell r="C1542" t="str">
            <v>پ/20-1403</v>
          </cell>
          <cell r="D1542">
            <v>19105</v>
          </cell>
        </row>
        <row r="1543">
          <cell r="C1543" t="str">
            <v>پ/36-1403</v>
          </cell>
          <cell r="D1543">
            <v>21045</v>
          </cell>
        </row>
        <row r="1544">
          <cell r="C1544" t="str">
            <v>پ/20-1403</v>
          </cell>
          <cell r="D1544">
            <v>18895</v>
          </cell>
        </row>
        <row r="1545">
          <cell r="C1545" t="str">
            <v>پ/24-1403</v>
          </cell>
          <cell r="D1545">
            <v>8930</v>
          </cell>
        </row>
        <row r="1546">
          <cell r="C1546" t="str">
            <v>پ/31-1403</v>
          </cell>
          <cell r="D1546">
            <v>7195</v>
          </cell>
        </row>
        <row r="1547">
          <cell r="C1547" t="str">
            <v>پ/42-1403</v>
          </cell>
          <cell r="D1547">
            <v>20090</v>
          </cell>
        </row>
        <row r="1548">
          <cell r="C1548" t="str">
            <v>پ/29-1403</v>
          </cell>
          <cell r="D1548">
            <v>18375</v>
          </cell>
        </row>
        <row r="1549">
          <cell r="C1549" t="str">
            <v>پ/20-1403</v>
          </cell>
          <cell r="D1549">
            <v>18980</v>
          </cell>
        </row>
        <row r="1550">
          <cell r="C1550" t="str">
            <v>پ/47-1403</v>
          </cell>
          <cell r="D1550">
            <v>17970</v>
          </cell>
        </row>
        <row r="1551">
          <cell r="C1551" t="str">
            <v>پ/48-1403</v>
          </cell>
          <cell r="D1551">
            <v>18090</v>
          </cell>
        </row>
        <row r="1552">
          <cell r="C1552" t="str">
            <v>پ/27-1402</v>
          </cell>
          <cell r="D1552">
            <v>20570</v>
          </cell>
        </row>
        <row r="1553">
          <cell r="C1553" t="str">
            <v>پ/27-1402</v>
          </cell>
          <cell r="D1553">
            <v>20770</v>
          </cell>
        </row>
        <row r="1554">
          <cell r="C1554" t="str">
            <v>پ/40-1403</v>
          </cell>
          <cell r="D1554">
            <v>20090</v>
          </cell>
        </row>
        <row r="1555">
          <cell r="C1555" t="str">
            <v>پ/21-1403</v>
          </cell>
          <cell r="D1555">
            <v>19130</v>
          </cell>
        </row>
        <row r="1556">
          <cell r="C1556" t="str">
            <v>پ/42-1403</v>
          </cell>
          <cell r="D1556">
            <v>19870</v>
          </cell>
        </row>
        <row r="1557">
          <cell r="C1557" t="str">
            <v>پ/45-1403</v>
          </cell>
          <cell r="D1557">
            <v>22235</v>
          </cell>
        </row>
        <row r="1558">
          <cell r="C1558" t="str">
            <v>پ/43-1403</v>
          </cell>
          <cell r="D1558">
            <v>18030</v>
          </cell>
        </row>
        <row r="1559">
          <cell r="C1559" t="str">
            <v>پ/47-1403</v>
          </cell>
          <cell r="D1559">
            <v>810</v>
          </cell>
        </row>
        <row r="1560">
          <cell r="C1560" t="str">
            <v>پ/10-1403</v>
          </cell>
          <cell r="D1560">
            <v>11430</v>
          </cell>
        </row>
        <row r="1561">
          <cell r="C1561" t="str">
            <v>پ/24-1403</v>
          </cell>
          <cell r="D1561">
            <v>8905</v>
          </cell>
        </row>
        <row r="1562">
          <cell r="C1562" t="str">
            <v>پ/43-1402</v>
          </cell>
          <cell r="D1562">
            <v>20060</v>
          </cell>
        </row>
        <row r="1563">
          <cell r="C1563" t="str">
            <v>پ/23-1403</v>
          </cell>
          <cell r="D1563">
            <v>19965</v>
          </cell>
        </row>
        <row r="1564">
          <cell r="C1564" t="str">
            <v>پ/27-1402</v>
          </cell>
          <cell r="D1564">
            <v>20780</v>
          </cell>
        </row>
        <row r="1565">
          <cell r="C1565" t="str">
            <v>پ/19-1403</v>
          </cell>
          <cell r="D1565">
            <v>11790</v>
          </cell>
        </row>
        <row r="1566">
          <cell r="C1566" t="str">
            <v>پ/27-1402</v>
          </cell>
          <cell r="D1566">
            <v>20725</v>
          </cell>
        </row>
        <row r="1567">
          <cell r="C1567" t="str">
            <v>پ/21-1403</v>
          </cell>
          <cell r="D1567">
            <v>18715</v>
          </cell>
        </row>
        <row r="1568">
          <cell r="C1568" t="str">
            <v>پ/36-1403</v>
          </cell>
          <cell r="D1568">
            <v>22010</v>
          </cell>
        </row>
        <row r="1569">
          <cell r="C1569" t="str">
            <v>پ/20-1403</v>
          </cell>
          <cell r="D1569">
            <v>19055</v>
          </cell>
        </row>
        <row r="1570">
          <cell r="C1570" t="str">
            <v>پ/39-1403</v>
          </cell>
          <cell r="D1570">
            <v>7115</v>
          </cell>
        </row>
        <row r="1571">
          <cell r="C1571" t="str">
            <v>پ/20-1403</v>
          </cell>
          <cell r="D1571">
            <v>19045</v>
          </cell>
        </row>
        <row r="1572">
          <cell r="C1572" t="str">
            <v>پ/34-1403</v>
          </cell>
          <cell r="D1572">
            <v>20030</v>
          </cell>
        </row>
        <row r="1573">
          <cell r="C1573" t="str">
            <v>پ/31-1403</v>
          </cell>
          <cell r="D1573">
            <v>7510</v>
          </cell>
        </row>
        <row r="1574">
          <cell r="C1574" t="str">
            <v>پ/10-1403</v>
          </cell>
          <cell r="D1574">
            <v>12450</v>
          </cell>
        </row>
        <row r="1575">
          <cell r="C1575" t="str">
            <v>پ/43-1403</v>
          </cell>
          <cell r="D1575">
            <v>14020</v>
          </cell>
        </row>
        <row r="1576">
          <cell r="C1576" t="str">
            <v>پ/20-1403</v>
          </cell>
          <cell r="D1576">
            <v>17980</v>
          </cell>
        </row>
        <row r="1577">
          <cell r="C1577" t="str">
            <v>پ/17-1403</v>
          </cell>
          <cell r="D1577">
            <v>2845</v>
          </cell>
        </row>
        <row r="1578">
          <cell r="C1578" t="str">
            <v>پ/45-1403</v>
          </cell>
          <cell r="D1578">
            <v>19140</v>
          </cell>
        </row>
        <row r="1579">
          <cell r="C1579" t="str">
            <v>پ/24-1403</v>
          </cell>
          <cell r="D1579">
            <v>9000</v>
          </cell>
        </row>
        <row r="1580">
          <cell r="C1580" t="str">
            <v>پ/41-1402</v>
          </cell>
          <cell r="D1580">
            <v>10005</v>
          </cell>
        </row>
        <row r="1581">
          <cell r="C1581" t="str">
            <v>پ/27-1402</v>
          </cell>
          <cell r="D1581">
            <v>20400</v>
          </cell>
        </row>
        <row r="1582">
          <cell r="C1582" t="str">
            <v>پ/27-1402</v>
          </cell>
          <cell r="D1582">
            <v>21110</v>
          </cell>
        </row>
        <row r="1583">
          <cell r="C1583" t="str">
            <v>پ/20-1403</v>
          </cell>
          <cell r="D1583">
            <v>18300</v>
          </cell>
        </row>
        <row r="1584">
          <cell r="C1584" t="str">
            <v>پ/36-1403</v>
          </cell>
          <cell r="D1584">
            <v>19455</v>
          </cell>
        </row>
        <row r="1585">
          <cell r="C1585" t="str">
            <v>پ/33-1403</v>
          </cell>
          <cell r="D1585">
            <v>280</v>
          </cell>
        </row>
        <row r="1586">
          <cell r="C1586" t="str">
            <v>پ/43-1402</v>
          </cell>
          <cell r="D1586">
            <v>17735</v>
          </cell>
        </row>
        <row r="1587">
          <cell r="C1587" t="str">
            <v>پ/23-1403</v>
          </cell>
          <cell r="D1587">
            <v>20040</v>
          </cell>
        </row>
        <row r="1588">
          <cell r="C1588" t="str">
            <v>پ/21-1403</v>
          </cell>
          <cell r="D1588">
            <v>18980</v>
          </cell>
        </row>
        <row r="1589">
          <cell r="C1589" t="str">
            <v>پ/19-1403</v>
          </cell>
          <cell r="D1589">
            <v>11405</v>
          </cell>
        </row>
        <row r="1590">
          <cell r="C1590" t="str">
            <v>پ/33-1403</v>
          </cell>
          <cell r="D1590">
            <v>18105</v>
          </cell>
        </row>
        <row r="1591">
          <cell r="C1591" t="str">
            <v>پ/27-1402</v>
          </cell>
          <cell r="D1591">
            <v>20880</v>
          </cell>
        </row>
        <row r="1592">
          <cell r="C1592" t="str">
            <v>پ/27-1402</v>
          </cell>
          <cell r="D1592">
            <v>20960</v>
          </cell>
        </row>
        <row r="1593">
          <cell r="C1593" t="str">
            <v>پ/27-1402</v>
          </cell>
          <cell r="D1593">
            <v>21645</v>
          </cell>
        </row>
        <row r="1594">
          <cell r="C1594" t="str">
            <v>پ/33-1403</v>
          </cell>
          <cell r="D1594">
            <v>18985</v>
          </cell>
        </row>
        <row r="1595">
          <cell r="C1595" t="str">
            <v>پ/34-1403</v>
          </cell>
          <cell r="D1595">
            <v>10330</v>
          </cell>
        </row>
        <row r="1596">
          <cell r="C1596" t="str">
            <v>پ/21-1403</v>
          </cell>
          <cell r="D1596">
            <v>20090</v>
          </cell>
        </row>
        <row r="1597">
          <cell r="C1597" t="str">
            <v>پ/24-1403</v>
          </cell>
          <cell r="D1597">
            <v>8040</v>
          </cell>
        </row>
        <row r="1598">
          <cell r="C1598" t="str">
            <v>پ/39-1403</v>
          </cell>
          <cell r="D1598">
            <v>7740</v>
          </cell>
        </row>
        <row r="1599">
          <cell r="C1599" t="str">
            <v>پ/34-1403</v>
          </cell>
          <cell r="D1599">
            <v>10380</v>
          </cell>
        </row>
        <row r="1600">
          <cell r="C1600" t="str">
            <v>پ/24-1403</v>
          </cell>
          <cell r="D1600">
            <v>8940</v>
          </cell>
        </row>
        <row r="1601">
          <cell r="C1601" t="str">
            <v>پ/43-1403</v>
          </cell>
          <cell r="D1601">
            <v>17950</v>
          </cell>
        </row>
        <row r="1602">
          <cell r="C1602" t="str">
            <v>پ/20-1403</v>
          </cell>
          <cell r="D1602">
            <v>18950</v>
          </cell>
        </row>
        <row r="1603">
          <cell r="C1603" t="str">
            <v>پ/23-1403</v>
          </cell>
          <cell r="D1603">
            <v>20150</v>
          </cell>
        </row>
        <row r="1604">
          <cell r="C1604" t="str">
            <v>پ/42-1403</v>
          </cell>
          <cell r="D1604">
            <v>20025</v>
          </cell>
        </row>
        <row r="1605">
          <cell r="C1605" t="str">
            <v>پ/24-1403</v>
          </cell>
          <cell r="D1605">
            <v>5065</v>
          </cell>
        </row>
        <row r="1606">
          <cell r="C1606" t="str">
            <v>پ/48-1403</v>
          </cell>
          <cell r="D1606">
            <v>20100</v>
          </cell>
        </row>
        <row r="1607">
          <cell r="C1607" t="str">
            <v>پ/42-1403</v>
          </cell>
          <cell r="D1607">
            <v>19990</v>
          </cell>
        </row>
        <row r="1608">
          <cell r="C1608" t="str">
            <v>پ/10-1403</v>
          </cell>
          <cell r="D1608">
            <v>9910</v>
          </cell>
        </row>
        <row r="1609">
          <cell r="C1609" t="str">
            <v>پ/31-1403</v>
          </cell>
          <cell r="D1609">
            <v>7355</v>
          </cell>
        </row>
        <row r="1610">
          <cell r="C1610" t="str">
            <v>پ/31-1403</v>
          </cell>
          <cell r="D1610">
            <v>7310</v>
          </cell>
        </row>
        <row r="1611">
          <cell r="C1611" t="str">
            <v>پ/17-1403</v>
          </cell>
          <cell r="D1611">
            <v>22275</v>
          </cell>
        </row>
        <row r="1612">
          <cell r="C1612" t="str">
            <v>پ/11-1403</v>
          </cell>
          <cell r="D1612">
            <v>3990</v>
          </cell>
        </row>
        <row r="1613">
          <cell r="C1613" t="str">
            <v>پ/19-1403</v>
          </cell>
          <cell r="D1613">
            <v>8095</v>
          </cell>
        </row>
        <row r="1614">
          <cell r="C1614" t="str">
            <v>پ/33-1403</v>
          </cell>
          <cell r="D1614">
            <v>18450</v>
          </cell>
        </row>
        <row r="1615">
          <cell r="C1615" t="str">
            <v>پ/23-1403</v>
          </cell>
          <cell r="D1615">
            <v>20150</v>
          </cell>
        </row>
        <row r="1616">
          <cell r="C1616" t="str">
            <v>پ/21-1403</v>
          </cell>
          <cell r="D1616">
            <v>18790</v>
          </cell>
        </row>
        <row r="1617">
          <cell r="C1617" t="str">
            <v>پ/20-1403</v>
          </cell>
          <cell r="D1617">
            <v>19020</v>
          </cell>
        </row>
        <row r="1618">
          <cell r="C1618" t="str">
            <v>پ/48-1403</v>
          </cell>
          <cell r="D1618">
            <v>21940</v>
          </cell>
        </row>
        <row r="1619">
          <cell r="C1619" t="str">
            <v>پ/39-1403</v>
          </cell>
          <cell r="D1619">
            <v>7760</v>
          </cell>
        </row>
        <row r="1620">
          <cell r="C1620" t="str">
            <v>پ/36-1403</v>
          </cell>
          <cell r="D1620">
            <v>22105</v>
          </cell>
        </row>
        <row r="1621">
          <cell r="C1621" t="str">
            <v>پ/24-1403</v>
          </cell>
          <cell r="D1621">
            <v>9140</v>
          </cell>
        </row>
        <row r="1622">
          <cell r="C1622" t="str">
            <v>پ/27-1402</v>
          </cell>
          <cell r="D1622">
            <v>20825</v>
          </cell>
        </row>
        <row r="1623">
          <cell r="C1623" t="str">
            <v>پ/27-1402</v>
          </cell>
          <cell r="D1623">
            <v>20640</v>
          </cell>
        </row>
        <row r="1624">
          <cell r="C1624" t="str">
            <v>پ/27-1402</v>
          </cell>
          <cell r="D1624">
            <v>20930</v>
          </cell>
        </row>
        <row r="1625">
          <cell r="C1625" t="str">
            <v>پ/10-1403</v>
          </cell>
          <cell r="D1625">
            <v>10010</v>
          </cell>
        </row>
        <row r="1626">
          <cell r="C1626" t="str">
            <v>پ/23-1403</v>
          </cell>
          <cell r="D1626">
            <v>20015</v>
          </cell>
        </row>
        <row r="1627">
          <cell r="C1627" t="str">
            <v>پ/46-1403</v>
          </cell>
          <cell r="D1627">
            <v>14030</v>
          </cell>
        </row>
        <row r="1628">
          <cell r="C1628" t="str">
            <v>پ/23-1403</v>
          </cell>
          <cell r="D1628">
            <v>5060</v>
          </cell>
        </row>
        <row r="1629">
          <cell r="C1629" t="str">
            <v>پ/46-1403</v>
          </cell>
          <cell r="D1629">
            <v>10095</v>
          </cell>
        </row>
        <row r="1630">
          <cell r="C1630" t="str">
            <v>پ/27-1402</v>
          </cell>
          <cell r="D1630">
            <v>20550</v>
          </cell>
        </row>
        <row r="1631">
          <cell r="C1631" t="str">
            <v>پ/27-1402</v>
          </cell>
          <cell r="D1631">
            <v>20525</v>
          </cell>
        </row>
        <row r="1632">
          <cell r="C1632" t="str">
            <v>پ/33-1403</v>
          </cell>
          <cell r="D1632">
            <v>20020</v>
          </cell>
        </row>
        <row r="1633">
          <cell r="C1633" t="str">
            <v>پ/20-1403</v>
          </cell>
          <cell r="D1633">
            <v>19050</v>
          </cell>
        </row>
        <row r="1634">
          <cell r="C1634" t="str">
            <v>پ/21-1403</v>
          </cell>
          <cell r="D1634">
            <v>18720</v>
          </cell>
        </row>
        <row r="1635">
          <cell r="C1635" t="str">
            <v>پ/7-1403</v>
          </cell>
          <cell r="D1635">
            <v>14125</v>
          </cell>
        </row>
        <row r="1636">
          <cell r="C1636" t="str">
            <v>پ/40-1403</v>
          </cell>
          <cell r="D1636">
            <v>6220</v>
          </cell>
        </row>
        <row r="1637">
          <cell r="C1637" t="str">
            <v>پ/24-1403</v>
          </cell>
          <cell r="D1637">
            <v>9125</v>
          </cell>
        </row>
        <row r="1638">
          <cell r="C1638" t="str">
            <v>پ/11-1403</v>
          </cell>
          <cell r="D1638">
            <v>11945</v>
          </cell>
        </row>
        <row r="1639">
          <cell r="C1639" t="str">
            <v>پ/34-1403</v>
          </cell>
          <cell r="D1639">
            <v>18050</v>
          </cell>
        </row>
        <row r="1640">
          <cell r="C1640" t="str">
            <v>پ/31-1403</v>
          </cell>
          <cell r="D1640">
            <v>7530</v>
          </cell>
        </row>
        <row r="1641">
          <cell r="C1641" t="str">
            <v>پ/31-1403</v>
          </cell>
          <cell r="D1641">
            <v>7190</v>
          </cell>
        </row>
        <row r="1642">
          <cell r="C1642" t="str">
            <v>پ/41-1403</v>
          </cell>
          <cell r="D1642">
            <v>9950</v>
          </cell>
        </row>
        <row r="1643">
          <cell r="C1643" t="str">
            <v>پ/33-1403</v>
          </cell>
          <cell r="D1643">
            <v>10060</v>
          </cell>
        </row>
        <row r="1644">
          <cell r="C1644" t="str">
            <v>پ/48-1403</v>
          </cell>
          <cell r="D1644">
            <v>20050</v>
          </cell>
        </row>
        <row r="1645">
          <cell r="C1645" t="str">
            <v>پ/42-1403</v>
          </cell>
          <cell r="D1645">
            <v>19955</v>
          </cell>
        </row>
        <row r="1646">
          <cell r="C1646" t="str">
            <v>پ/31-1403</v>
          </cell>
          <cell r="D1646">
            <v>7525</v>
          </cell>
        </row>
        <row r="1647">
          <cell r="C1647" t="str">
            <v>پ/20-1403</v>
          </cell>
          <cell r="D1647">
            <v>18960</v>
          </cell>
        </row>
        <row r="1648">
          <cell r="C1648" t="str">
            <v>پ/36-1403</v>
          </cell>
          <cell r="D1648">
            <v>22200</v>
          </cell>
        </row>
        <row r="1649">
          <cell r="C1649" t="str">
            <v>پ/41-1402</v>
          </cell>
          <cell r="D1649">
            <v>10060</v>
          </cell>
        </row>
        <row r="1650">
          <cell r="C1650" t="str">
            <v>پ/10-1403</v>
          </cell>
          <cell r="D1650">
            <v>17935</v>
          </cell>
        </row>
        <row r="1651">
          <cell r="C1651" t="str">
            <v>پ/34-1403</v>
          </cell>
          <cell r="D1651">
            <v>22095</v>
          </cell>
        </row>
        <row r="1652">
          <cell r="C1652" t="str">
            <v>پ/27-1402</v>
          </cell>
          <cell r="D1652">
            <v>20865</v>
          </cell>
        </row>
        <row r="1653">
          <cell r="C1653" t="str">
            <v>پ/27-1402</v>
          </cell>
          <cell r="D1653">
            <v>20735</v>
          </cell>
        </row>
        <row r="1654">
          <cell r="C1654" t="str">
            <v>پ/24-1403</v>
          </cell>
          <cell r="D1654">
            <v>9045</v>
          </cell>
        </row>
        <row r="1655">
          <cell r="C1655" t="str">
            <v>پ/27-1402</v>
          </cell>
          <cell r="D1655">
            <v>20490</v>
          </cell>
        </row>
        <row r="1656">
          <cell r="C1656" t="str">
            <v>پ/48-1403</v>
          </cell>
          <cell r="D1656">
            <v>20310</v>
          </cell>
        </row>
        <row r="1657">
          <cell r="C1657" t="str">
            <v>پ/24-1403</v>
          </cell>
          <cell r="D1657">
            <v>9115</v>
          </cell>
        </row>
        <row r="1658">
          <cell r="C1658" t="str">
            <v>پ/20-1403</v>
          </cell>
          <cell r="D1658">
            <v>19095</v>
          </cell>
        </row>
        <row r="1659">
          <cell r="C1659" t="str">
            <v>پ/41-1403</v>
          </cell>
          <cell r="D1659">
            <v>20065</v>
          </cell>
        </row>
        <row r="1660">
          <cell r="C1660" t="str">
            <v>پ/11-1403</v>
          </cell>
          <cell r="D1660">
            <v>10125</v>
          </cell>
        </row>
        <row r="1661">
          <cell r="C1661" t="str">
            <v>پ/13-1403</v>
          </cell>
          <cell r="D1661">
            <v>18125</v>
          </cell>
        </row>
        <row r="1662">
          <cell r="C1662" t="str">
            <v>پ/20-1403</v>
          </cell>
          <cell r="D1662">
            <v>9935</v>
          </cell>
        </row>
        <row r="1663">
          <cell r="C1663" t="str">
            <v>پ/41-1402</v>
          </cell>
          <cell r="D1663">
            <v>9750</v>
          </cell>
        </row>
        <row r="1664">
          <cell r="C1664" t="str">
            <v>پ/27-1402</v>
          </cell>
          <cell r="D1664">
            <v>21055</v>
          </cell>
        </row>
        <row r="1665">
          <cell r="C1665" t="str">
            <v>پ/27-1402</v>
          </cell>
          <cell r="D1665">
            <v>20765</v>
          </cell>
        </row>
        <row r="1666">
          <cell r="C1666" t="str">
            <v>پ/41-1403</v>
          </cell>
          <cell r="D1666">
            <v>19985</v>
          </cell>
        </row>
        <row r="1667">
          <cell r="C1667" t="str">
            <v>پ/36-1403</v>
          </cell>
          <cell r="D1667">
            <v>21175</v>
          </cell>
        </row>
        <row r="1668">
          <cell r="C1668" t="str">
            <v>پ/48-1403</v>
          </cell>
          <cell r="D1668">
            <v>18020</v>
          </cell>
        </row>
        <row r="1669">
          <cell r="C1669" t="str">
            <v>پ/31-1403</v>
          </cell>
          <cell r="D1669">
            <v>7605</v>
          </cell>
        </row>
        <row r="1670">
          <cell r="C1670" t="str">
            <v>پ/24-1403</v>
          </cell>
          <cell r="D1670">
            <v>9055</v>
          </cell>
        </row>
        <row r="1671">
          <cell r="C1671" t="str">
            <v>پ/21-1403</v>
          </cell>
          <cell r="D1671">
            <v>10025</v>
          </cell>
        </row>
        <row r="1672">
          <cell r="C1672" t="str">
            <v>پ/11-1403</v>
          </cell>
          <cell r="D1672">
            <v>11695</v>
          </cell>
        </row>
        <row r="1673">
          <cell r="C1673" t="str">
            <v>پ/20-1403</v>
          </cell>
          <cell r="D1673">
            <v>18940</v>
          </cell>
        </row>
        <row r="1674">
          <cell r="C1674" t="str">
            <v>پ/46-1403</v>
          </cell>
          <cell r="D1674">
            <v>20045</v>
          </cell>
        </row>
        <row r="1675">
          <cell r="C1675" t="str">
            <v>پ/17-1403</v>
          </cell>
          <cell r="D1675">
            <v>20015</v>
          </cell>
        </row>
        <row r="1676">
          <cell r="C1676" t="str">
            <v>پ/21-1403</v>
          </cell>
          <cell r="D1676">
            <v>18855</v>
          </cell>
        </row>
        <row r="1677">
          <cell r="C1677" t="str">
            <v>پ/48-1403</v>
          </cell>
          <cell r="D1677">
            <v>20015</v>
          </cell>
        </row>
        <row r="1678">
          <cell r="C1678" t="str">
            <v>پ/42-1403</v>
          </cell>
          <cell r="D1678">
            <v>19870</v>
          </cell>
        </row>
        <row r="1679">
          <cell r="C1679" t="str">
            <v>پ/31-1403</v>
          </cell>
          <cell r="D1679">
            <v>6860</v>
          </cell>
        </row>
        <row r="1680">
          <cell r="C1680" t="str">
            <v>پ/34-1403</v>
          </cell>
          <cell r="D1680">
            <v>19995</v>
          </cell>
        </row>
        <row r="1681">
          <cell r="C1681" t="str">
            <v>پ/10-1403</v>
          </cell>
          <cell r="D1681">
            <v>21020</v>
          </cell>
        </row>
        <row r="1682">
          <cell r="C1682" t="str">
            <v>پ/31-1403</v>
          </cell>
          <cell r="D1682">
            <v>7070</v>
          </cell>
        </row>
        <row r="1683">
          <cell r="C1683" t="str">
            <v>پ/8-1403</v>
          </cell>
          <cell r="D1683">
            <v>5150</v>
          </cell>
        </row>
        <row r="1684">
          <cell r="C1684" t="str">
            <v>پ/31-1403</v>
          </cell>
          <cell r="D1684">
            <v>1840</v>
          </cell>
        </row>
        <row r="1685">
          <cell r="C1685" t="str">
            <v>پ/42-1403</v>
          </cell>
          <cell r="D1685">
            <v>16170</v>
          </cell>
        </row>
        <row r="1686">
          <cell r="C1686" t="str">
            <v>پ/11-1403</v>
          </cell>
          <cell r="D1686">
            <v>11900</v>
          </cell>
        </row>
        <row r="1687">
          <cell r="C1687" t="str">
            <v>پ/42-1403</v>
          </cell>
          <cell r="D1687">
            <v>5765</v>
          </cell>
        </row>
        <row r="1688">
          <cell r="C1688" t="str">
            <v>پ/46-1403</v>
          </cell>
          <cell r="D1688">
            <v>21755</v>
          </cell>
        </row>
        <row r="1689">
          <cell r="C1689" t="str">
            <v>پ/27-1402</v>
          </cell>
          <cell r="D1689">
            <v>21080</v>
          </cell>
        </row>
        <row r="1690">
          <cell r="C1690" t="str">
            <v>پ/27-1402</v>
          </cell>
          <cell r="D1690">
            <v>20600</v>
          </cell>
        </row>
        <row r="1691">
          <cell r="C1691" t="str">
            <v>پ/27-1402</v>
          </cell>
          <cell r="D1691">
            <v>21020</v>
          </cell>
        </row>
        <row r="1692">
          <cell r="C1692" t="str">
            <v>پ/27-1402</v>
          </cell>
          <cell r="D1692">
            <v>20840</v>
          </cell>
        </row>
        <row r="1693">
          <cell r="C1693" t="str">
            <v>پ/24-1403</v>
          </cell>
          <cell r="D1693">
            <v>9040</v>
          </cell>
        </row>
        <row r="1694">
          <cell r="C1694" t="str">
            <v>پ/36-1403</v>
          </cell>
          <cell r="D1694">
            <v>20045</v>
          </cell>
        </row>
        <row r="1695">
          <cell r="C1695" t="str">
            <v>پ/24-1403</v>
          </cell>
          <cell r="D1695">
            <v>9015</v>
          </cell>
        </row>
        <row r="1696">
          <cell r="C1696" t="str">
            <v>پ/20-1403</v>
          </cell>
          <cell r="D1696">
            <v>17970</v>
          </cell>
        </row>
        <row r="1697">
          <cell r="C1697" t="str">
            <v>پ/43-1402</v>
          </cell>
          <cell r="D1697">
            <v>18100</v>
          </cell>
        </row>
        <row r="1698">
          <cell r="C1698" t="str">
            <v>پ/27-1402</v>
          </cell>
          <cell r="D1698">
            <v>20445</v>
          </cell>
        </row>
        <row r="1699">
          <cell r="C1699" t="str">
            <v>پ/48-1403</v>
          </cell>
          <cell r="D1699">
            <v>14090</v>
          </cell>
        </row>
        <row r="1700">
          <cell r="C1700" t="str">
            <v>پ/8-1403</v>
          </cell>
          <cell r="D1700">
            <v>7430</v>
          </cell>
        </row>
        <row r="1701">
          <cell r="C1701" t="str">
            <v>پ/46-1403</v>
          </cell>
          <cell r="D1701">
            <v>19975</v>
          </cell>
        </row>
        <row r="1702">
          <cell r="C1702" t="str">
            <v>پ/2-1403</v>
          </cell>
          <cell r="D1702">
            <v>19960</v>
          </cell>
        </row>
        <row r="1703">
          <cell r="C1703" t="str">
            <v>پ/48-1403</v>
          </cell>
          <cell r="D1703">
            <v>130</v>
          </cell>
        </row>
        <row r="1704">
          <cell r="C1704" t="str">
            <v>پ/10-1403</v>
          </cell>
          <cell r="D1704">
            <v>9840</v>
          </cell>
        </row>
        <row r="1705">
          <cell r="C1705" t="str">
            <v>پ/43-1402</v>
          </cell>
          <cell r="D1705">
            <v>20105</v>
          </cell>
        </row>
        <row r="1706">
          <cell r="C1706" t="str">
            <v>پ/43-1402</v>
          </cell>
          <cell r="D1706">
            <v>20020</v>
          </cell>
        </row>
        <row r="1707">
          <cell r="C1707" t="str">
            <v>پ/23-1403</v>
          </cell>
        </row>
        <row r="1708">
          <cell r="C1708" t="str">
            <v>پ/27-1402</v>
          </cell>
          <cell r="D1708">
            <v>20885</v>
          </cell>
        </row>
        <row r="1709">
          <cell r="C1709" t="str">
            <v>پ/27-1402</v>
          </cell>
          <cell r="D1709">
            <v>20740</v>
          </cell>
        </row>
        <row r="1710">
          <cell r="C1710" t="str">
            <v>پ/24-1403</v>
          </cell>
          <cell r="D1710">
            <v>9070</v>
          </cell>
        </row>
        <row r="1711">
          <cell r="C1711" t="str">
            <v>پ/11-1403</v>
          </cell>
          <cell r="D1711">
            <v>11590</v>
          </cell>
        </row>
        <row r="1712">
          <cell r="C1712" t="str">
            <v>پ/2-1403</v>
          </cell>
          <cell r="D1712">
            <v>22010</v>
          </cell>
        </row>
        <row r="1713">
          <cell r="C1713" t="str">
            <v>پ/34-1403</v>
          </cell>
          <cell r="D1713">
            <v>20270</v>
          </cell>
        </row>
        <row r="1714">
          <cell r="C1714" t="str">
            <v>پ/10-1403</v>
          </cell>
          <cell r="D1714">
            <v>21115</v>
          </cell>
        </row>
        <row r="1715">
          <cell r="C1715" t="str">
            <v>پ/21-1403</v>
          </cell>
          <cell r="D1715">
            <v>18895</v>
          </cell>
        </row>
        <row r="1716">
          <cell r="C1716" t="str">
            <v>پ/2-1403</v>
          </cell>
          <cell r="D1716">
            <v>18000</v>
          </cell>
        </row>
        <row r="1717">
          <cell r="C1717" t="str">
            <v>پ/20-1403</v>
          </cell>
          <cell r="D1717">
            <v>18980</v>
          </cell>
        </row>
        <row r="1718">
          <cell r="C1718" t="str">
            <v>پ/24-1403</v>
          </cell>
          <cell r="D1718">
            <v>9075</v>
          </cell>
        </row>
        <row r="1719">
          <cell r="C1719" t="str">
            <v>پ/27-1402</v>
          </cell>
          <cell r="D1719">
            <v>21020</v>
          </cell>
        </row>
        <row r="1720">
          <cell r="C1720" t="str">
            <v>پ/27-1402</v>
          </cell>
          <cell r="D1720">
            <v>20910</v>
          </cell>
        </row>
        <row r="1721">
          <cell r="C1721" t="str">
            <v>پ/2-1403</v>
          </cell>
          <cell r="D1721">
            <v>18125</v>
          </cell>
        </row>
        <row r="1722">
          <cell r="C1722" t="str">
            <v>پ/36-1403</v>
          </cell>
          <cell r="D1722">
            <v>22100</v>
          </cell>
        </row>
        <row r="1723">
          <cell r="C1723" t="str">
            <v>پ/20-1403</v>
          </cell>
          <cell r="D1723">
            <v>19045</v>
          </cell>
        </row>
        <row r="1724">
          <cell r="C1724" t="str">
            <v>پ/24-1403</v>
          </cell>
          <cell r="D1724">
            <v>8985</v>
          </cell>
        </row>
        <row r="1725">
          <cell r="C1725" t="str">
            <v>پ/41-1402</v>
          </cell>
          <cell r="D1725">
            <v>9950</v>
          </cell>
        </row>
        <row r="1726">
          <cell r="C1726" t="str">
            <v>پ/34-1403</v>
          </cell>
          <cell r="D1726">
            <v>10065</v>
          </cell>
        </row>
        <row r="1727">
          <cell r="C1727" t="str">
            <v>پ/2-1403</v>
          </cell>
          <cell r="D1727">
            <v>18115</v>
          </cell>
        </row>
        <row r="1728">
          <cell r="C1728" t="str">
            <v>پ/43-1402</v>
          </cell>
          <cell r="D1728">
            <v>19095</v>
          </cell>
        </row>
        <row r="1729">
          <cell r="C1729" t="str">
            <v>پ/2-1403</v>
          </cell>
          <cell r="D1729">
            <v>17950</v>
          </cell>
        </row>
        <row r="1730">
          <cell r="C1730" t="str">
            <v>پ/11-1403</v>
          </cell>
          <cell r="D1730">
            <v>7065</v>
          </cell>
        </row>
        <row r="1731">
          <cell r="C1731" t="str">
            <v>پ/8-1403</v>
          </cell>
          <cell r="D1731">
            <v>7460</v>
          </cell>
        </row>
        <row r="1732">
          <cell r="C1732" t="str">
            <v>پ/17-1403</v>
          </cell>
          <cell r="D1732">
            <v>20180</v>
          </cell>
        </row>
        <row r="1733">
          <cell r="C1733" t="str">
            <v>پ/21-1403</v>
          </cell>
          <cell r="D1733">
            <v>20305</v>
          </cell>
        </row>
        <row r="1734">
          <cell r="C1734" t="str">
            <v>پ/43-1402</v>
          </cell>
          <cell r="D1734">
            <v>20115</v>
          </cell>
        </row>
        <row r="1735">
          <cell r="C1735" t="str">
            <v>پ/20-1403</v>
          </cell>
          <cell r="D1735">
            <v>18980</v>
          </cell>
        </row>
        <row r="1736">
          <cell r="C1736" t="str">
            <v>پ/41-1402</v>
          </cell>
          <cell r="D1736">
            <v>9855</v>
          </cell>
        </row>
        <row r="1737">
          <cell r="C1737" t="str">
            <v>پ/36-1403</v>
          </cell>
          <cell r="D1737">
            <v>21985</v>
          </cell>
        </row>
        <row r="1738">
          <cell r="C1738" t="str">
            <v>پ/34-1403</v>
          </cell>
          <cell r="D1738">
            <v>20165</v>
          </cell>
        </row>
        <row r="1739">
          <cell r="C1739" t="str">
            <v>پ/27-1402</v>
          </cell>
          <cell r="D1739">
            <v>20440</v>
          </cell>
        </row>
        <row r="1740">
          <cell r="C1740" t="str">
            <v>پ/27-1402</v>
          </cell>
          <cell r="D1740">
            <v>20745</v>
          </cell>
        </row>
        <row r="1741">
          <cell r="C1741" t="str">
            <v>پ/27-1402</v>
          </cell>
          <cell r="D1741">
            <v>20485</v>
          </cell>
        </row>
        <row r="1742">
          <cell r="C1742" t="str">
            <v>پ/24-1403</v>
          </cell>
          <cell r="D1742">
            <v>9025</v>
          </cell>
        </row>
        <row r="1743">
          <cell r="C1743" t="str">
            <v>پ/20-1403</v>
          </cell>
          <cell r="D1743">
            <v>18910</v>
          </cell>
        </row>
        <row r="1744">
          <cell r="C1744" t="str">
            <v>پ/2-1403</v>
          </cell>
          <cell r="D1744">
            <v>20025</v>
          </cell>
        </row>
        <row r="1745">
          <cell r="C1745" t="str">
            <v>پ/27-1402</v>
          </cell>
          <cell r="D1745">
            <v>20800</v>
          </cell>
        </row>
        <row r="1746">
          <cell r="C1746" t="str">
            <v>پ/27-1402</v>
          </cell>
          <cell r="D1746">
            <v>20715</v>
          </cell>
        </row>
        <row r="1747">
          <cell r="C1747" t="str">
            <v>پ/8-1403</v>
          </cell>
          <cell r="D1747">
            <v>7550</v>
          </cell>
        </row>
        <row r="1748">
          <cell r="C1748" t="str">
            <v>پ/7-1403</v>
          </cell>
          <cell r="D1748">
            <v>20140</v>
          </cell>
        </row>
        <row r="1749">
          <cell r="C1749" t="str">
            <v>پ/20-1403</v>
          </cell>
          <cell r="D1749">
            <v>19010</v>
          </cell>
        </row>
        <row r="1750">
          <cell r="C1750" t="str">
            <v>پ/37-1403</v>
          </cell>
          <cell r="D1750">
            <v>16555</v>
          </cell>
        </row>
        <row r="1751">
          <cell r="C1751" t="str">
            <v>پ/43-1402</v>
          </cell>
          <cell r="D1751">
            <v>3480</v>
          </cell>
        </row>
        <row r="1752">
          <cell r="C1752" t="str">
            <v>پ/34-1403</v>
          </cell>
          <cell r="D1752">
            <v>10055</v>
          </cell>
        </row>
        <row r="1753">
          <cell r="C1753" t="str">
            <v>پ/21-1403</v>
          </cell>
          <cell r="D1753">
            <v>18710</v>
          </cell>
        </row>
        <row r="1754">
          <cell r="C1754" t="str">
            <v>پ/23-1403</v>
          </cell>
          <cell r="D1754">
            <v>20220</v>
          </cell>
        </row>
        <row r="1755">
          <cell r="C1755" t="str">
            <v>پ/27-1402</v>
          </cell>
          <cell r="D1755">
            <v>20475</v>
          </cell>
        </row>
        <row r="1756">
          <cell r="C1756" t="str">
            <v>پ/27-1402</v>
          </cell>
          <cell r="D1756">
            <v>20485</v>
          </cell>
        </row>
        <row r="1757">
          <cell r="C1757" t="str">
            <v>پ/8-1403</v>
          </cell>
          <cell r="D1757">
            <v>7500</v>
          </cell>
        </row>
        <row r="1758">
          <cell r="C1758" t="str">
            <v>پ/34-1403</v>
          </cell>
          <cell r="D1758">
            <v>10240</v>
          </cell>
        </row>
        <row r="1759">
          <cell r="C1759" t="str">
            <v>پ/43-1402</v>
          </cell>
          <cell r="D1759">
            <v>20045</v>
          </cell>
        </row>
        <row r="1760">
          <cell r="C1760" t="str">
            <v>پ/20-1403</v>
          </cell>
          <cell r="D1760">
            <v>18560</v>
          </cell>
        </row>
        <row r="1761">
          <cell r="C1761" t="str">
            <v>پ/27-1402</v>
          </cell>
          <cell r="D1761">
            <v>20980</v>
          </cell>
        </row>
        <row r="1762">
          <cell r="C1762" t="str">
            <v>پ/27-1402</v>
          </cell>
          <cell r="D1762">
            <v>20760</v>
          </cell>
        </row>
        <row r="1763">
          <cell r="C1763" t="str">
            <v>الحاقیه پ/3-1403</v>
          </cell>
          <cell r="D1763">
            <v>8335</v>
          </cell>
        </row>
        <row r="1764">
          <cell r="C1764" t="str">
            <v>پ/44-1402</v>
          </cell>
          <cell r="D1764">
            <v>8320</v>
          </cell>
        </row>
        <row r="1765">
          <cell r="C1765" t="str">
            <v>پ/42-1403</v>
          </cell>
          <cell r="D1765">
            <v>3250</v>
          </cell>
        </row>
        <row r="1766">
          <cell r="C1766" t="str">
            <v>الحاقیه پ/3-1403</v>
          </cell>
          <cell r="D1766">
            <v>20175</v>
          </cell>
        </row>
        <row r="1767">
          <cell r="C1767" t="str">
            <v>الحاقیه پ/3-1403</v>
          </cell>
          <cell r="D1767">
            <v>20060</v>
          </cell>
        </row>
        <row r="1768">
          <cell r="C1768" t="str">
            <v>پ/11-1403</v>
          </cell>
          <cell r="D1768">
            <v>11920</v>
          </cell>
        </row>
        <row r="1769">
          <cell r="C1769" t="str">
            <v>پ/2-1403</v>
          </cell>
          <cell r="D1769">
            <v>20070</v>
          </cell>
        </row>
        <row r="1770">
          <cell r="C1770" t="str">
            <v>پ/34-1403</v>
          </cell>
          <cell r="D1770">
            <v>10070</v>
          </cell>
        </row>
        <row r="1771">
          <cell r="C1771" t="str">
            <v>پ/43-1402</v>
          </cell>
          <cell r="D1771">
            <v>19950</v>
          </cell>
        </row>
        <row r="1772">
          <cell r="C1772" t="str">
            <v>پ/2-1403</v>
          </cell>
          <cell r="D1772">
            <v>18065</v>
          </cell>
        </row>
        <row r="1773">
          <cell r="C1773" t="str">
            <v>پ/43-1402</v>
          </cell>
          <cell r="D1773">
            <v>20120</v>
          </cell>
        </row>
        <row r="1774">
          <cell r="C1774" t="str">
            <v>پ/43-1402</v>
          </cell>
          <cell r="D1774">
            <v>19980</v>
          </cell>
        </row>
        <row r="1775">
          <cell r="C1775" t="str">
            <v>پ/43-1402</v>
          </cell>
          <cell r="D1775">
            <v>20060</v>
          </cell>
        </row>
        <row r="1776">
          <cell r="C1776" t="str">
            <v>الحاقیه پ/15-1403</v>
          </cell>
          <cell r="D1776">
            <v>18725</v>
          </cell>
        </row>
        <row r="1777">
          <cell r="C1777" t="str">
            <v>پ/15-1403</v>
          </cell>
          <cell r="D1777">
            <v>4585</v>
          </cell>
        </row>
        <row r="1778">
          <cell r="C1778" t="str">
            <v>پ/24-1403</v>
          </cell>
          <cell r="D1778">
            <v>9020</v>
          </cell>
        </row>
        <row r="1779">
          <cell r="C1779" t="str">
            <v>پ/20-1403</v>
          </cell>
          <cell r="D1779">
            <v>19075</v>
          </cell>
        </row>
        <row r="1780">
          <cell r="C1780" t="str">
            <v>پ/24-1403</v>
          </cell>
          <cell r="D1780">
            <v>9125</v>
          </cell>
        </row>
        <row r="1781">
          <cell r="C1781" t="str">
            <v>پ/36-1403</v>
          </cell>
          <cell r="D1781">
            <v>23670</v>
          </cell>
        </row>
        <row r="1782">
          <cell r="C1782" t="str">
            <v>پ/27-1402</v>
          </cell>
          <cell r="D1782">
            <v>21095</v>
          </cell>
        </row>
        <row r="1783">
          <cell r="C1783" t="str">
            <v>پ/43-1402</v>
          </cell>
          <cell r="D1783">
            <v>18090</v>
          </cell>
        </row>
        <row r="1784">
          <cell r="C1784" t="str">
            <v>پ/10-1403</v>
          </cell>
          <cell r="D1784">
            <v>20355</v>
          </cell>
        </row>
        <row r="1785">
          <cell r="C1785" t="str">
            <v>پ/27-1402</v>
          </cell>
          <cell r="D1785">
            <v>20630</v>
          </cell>
        </row>
        <row r="1786">
          <cell r="C1786" t="str">
            <v>پ/27-1402</v>
          </cell>
          <cell r="D1786">
            <v>21255</v>
          </cell>
        </row>
        <row r="1787">
          <cell r="C1787" t="str">
            <v>پ/27-1402</v>
          </cell>
          <cell r="D1787">
            <v>20770</v>
          </cell>
        </row>
        <row r="1788">
          <cell r="C1788" t="str">
            <v>پ/27-1402</v>
          </cell>
          <cell r="D1788">
            <v>21060</v>
          </cell>
        </row>
        <row r="1789">
          <cell r="C1789" t="str">
            <v>پ/43-1402</v>
          </cell>
          <cell r="D1789">
            <v>21205</v>
          </cell>
        </row>
        <row r="1790">
          <cell r="C1790" t="str">
            <v>پ/2-1403</v>
          </cell>
          <cell r="D1790">
            <v>12620</v>
          </cell>
        </row>
        <row r="1791">
          <cell r="C1791" t="str">
            <v>پ/38-1402</v>
          </cell>
          <cell r="D1791">
            <v>6700</v>
          </cell>
        </row>
        <row r="1792">
          <cell r="C1792" t="str">
            <v>پ/2-1403</v>
          </cell>
          <cell r="D1792">
            <v>15060</v>
          </cell>
        </row>
        <row r="1793">
          <cell r="C1793" t="str">
            <v>پ/24-1403</v>
          </cell>
          <cell r="D1793">
            <v>9100</v>
          </cell>
        </row>
        <row r="1794">
          <cell r="C1794" t="str">
            <v>پ/20-1403</v>
          </cell>
          <cell r="D1794">
            <v>19030</v>
          </cell>
        </row>
        <row r="1795">
          <cell r="C1795" t="str">
            <v>پ/8-1403</v>
          </cell>
          <cell r="D1795">
            <v>7395</v>
          </cell>
        </row>
        <row r="1796">
          <cell r="C1796" t="str">
            <v>پ/21-1403</v>
          </cell>
          <cell r="D1796">
            <v>21080</v>
          </cell>
        </row>
        <row r="1797">
          <cell r="C1797" t="str">
            <v>پ/38-1403</v>
          </cell>
          <cell r="D1797">
            <v>6250</v>
          </cell>
        </row>
        <row r="1798">
          <cell r="C1798" t="str">
            <v>پ/23-1403</v>
          </cell>
          <cell r="D1798">
            <v>15785</v>
          </cell>
        </row>
        <row r="1799">
          <cell r="C1799" t="str">
            <v>پ/34-1403</v>
          </cell>
          <cell r="D1799">
            <v>22365</v>
          </cell>
        </row>
        <row r="1800">
          <cell r="C1800" t="str">
            <v>پ/39-1403</v>
          </cell>
          <cell r="D1800">
            <v>7765</v>
          </cell>
        </row>
        <row r="1801">
          <cell r="C1801" t="str">
            <v>پ/27-1402</v>
          </cell>
          <cell r="D1801">
            <v>21150</v>
          </cell>
        </row>
        <row r="1802">
          <cell r="C1802" t="str">
            <v>پ/27-1402</v>
          </cell>
          <cell r="D1802">
            <v>20565</v>
          </cell>
        </row>
        <row r="1803">
          <cell r="C1803" t="str">
            <v>پ/15-1403</v>
          </cell>
          <cell r="D1803">
            <v>23195</v>
          </cell>
        </row>
        <row r="1804">
          <cell r="C1804" t="str">
            <v>پ/20-1403</v>
          </cell>
          <cell r="D1804">
            <v>18990</v>
          </cell>
        </row>
        <row r="1805">
          <cell r="C1805" t="str">
            <v>پ/38-1402</v>
          </cell>
          <cell r="D1805">
            <v>21010</v>
          </cell>
        </row>
        <row r="1806">
          <cell r="C1806" t="str">
            <v>پ/43-1402</v>
          </cell>
          <cell r="D1806">
            <v>19935</v>
          </cell>
        </row>
        <row r="1807">
          <cell r="C1807" t="str">
            <v>پ/8-1403</v>
          </cell>
          <cell r="D1807">
            <v>7310</v>
          </cell>
        </row>
        <row r="1808">
          <cell r="C1808" t="str">
            <v>پ/38-1402</v>
          </cell>
          <cell r="D1808">
            <v>22075</v>
          </cell>
        </row>
        <row r="1809">
          <cell r="C1809" t="str">
            <v>پ/21-1403</v>
          </cell>
          <cell r="D1809">
            <v>20975</v>
          </cell>
        </row>
        <row r="1810">
          <cell r="C1810" t="str">
            <v>پ/30-1403</v>
          </cell>
          <cell r="D1810">
            <v>9710</v>
          </cell>
        </row>
        <row r="1811">
          <cell r="C1811" t="str">
            <v>پ/44-1402</v>
          </cell>
          <cell r="D1811">
            <v>10440</v>
          </cell>
        </row>
        <row r="1812">
          <cell r="C1812" t="str">
            <v>پ/43-1402</v>
          </cell>
          <cell r="D1812">
            <v>20040</v>
          </cell>
        </row>
        <row r="1813">
          <cell r="C1813" t="str">
            <v>پ/21-1403</v>
          </cell>
          <cell r="D1813">
            <v>20865</v>
          </cell>
        </row>
        <row r="1814">
          <cell r="C1814" t="str">
            <v>پ/11-1403</v>
          </cell>
          <cell r="D1814">
            <v>12110</v>
          </cell>
        </row>
        <row r="1815">
          <cell r="C1815" t="str">
            <v>پ/8-1403</v>
          </cell>
          <cell r="D1815">
            <v>6815</v>
          </cell>
        </row>
        <row r="1816">
          <cell r="C1816" t="str">
            <v>پ/21-1403</v>
          </cell>
          <cell r="D1816">
            <v>20915</v>
          </cell>
        </row>
        <row r="1817">
          <cell r="C1817" t="str">
            <v>پ/34-1403</v>
          </cell>
          <cell r="D1817">
            <v>22200</v>
          </cell>
        </row>
        <row r="1818">
          <cell r="C1818" t="str">
            <v>پ/24-1403</v>
          </cell>
          <cell r="D1818">
            <v>9615</v>
          </cell>
        </row>
        <row r="1819">
          <cell r="C1819" t="str">
            <v>پ/27-1402</v>
          </cell>
          <cell r="D1819">
            <v>20985</v>
          </cell>
        </row>
        <row r="1820">
          <cell r="C1820" t="str">
            <v>پ/20-1403</v>
          </cell>
          <cell r="D1820">
            <v>20000</v>
          </cell>
        </row>
        <row r="1821">
          <cell r="C1821" t="str">
            <v>پ/27-1402</v>
          </cell>
          <cell r="D1821">
            <v>21070</v>
          </cell>
        </row>
        <row r="1822">
          <cell r="C1822" t="str">
            <v>پ/27-1402</v>
          </cell>
          <cell r="D1822">
            <v>21505</v>
          </cell>
        </row>
        <row r="1823">
          <cell r="C1823" t="str">
            <v>پ/34-1403</v>
          </cell>
          <cell r="D1823">
            <v>22070</v>
          </cell>
        </row>
        <row r="1824">
          <cell r="C1824" t="str">
            <v>پ/43-1402</v>
          </cell>
          <cell r="D1824">
            <v>20185</v>
          </cell>
        </row>
        <row r="1825">
          <cell r="C1825" t="str">
            <v>پ/20-1403</v>
          </cell>
          <cell r="D1825">
            <v>19095</v>
          </cell>
        </row>
        <row r="1826">
          <cell r="C1826" t="str">
            <v>پ/41-1402</v>
          </cell>
          <cell r="D1826">
            <v>9985</v>
          </cell>
        </row>
        <row r="1827">
          <cell r="C1827" t="str">
            <v>پ/37-1403</v>
          </cell>
          <cell r="D1827">
            <v>20075</v>
          </cell>
        </row>
        <row r="1828">
          <cell r="C1828" t="str">
            <v>پ/24-1403</v>
          </cell>
          <cell r="D1828">
            <v>9030</v>
          </cell>
        </row>
        <row r="1829">
          <cell r="C1829" t="str">
            <v>پ/8-1403</v>
          </cell>
          <cell r="D1829">
            <v>7280</v>
          </cell>
        </row>
        <row r="1830">
          <cell r="C1830" t="str">
            <v>پ/8-1403</v>
          </cell>
          <cell r="D1830">
            <v>7325</v>
          </cell>
        </row>
        <row r="1831">
          <cell r="C1831" t="str">
            <v>پ/17-1403</v>
          </cell>
          <cell r="D1831">
            <v>21775</v>
          </cell>
        </row>
        <row r="1832">
          <cell r="C1832" t="str">
            <v>پ/27-1402</v>
          </cell>
          <cell r="D1832">
            <v>21330</v>
          </cell>
        </row>
        <row r="1833">
          <cell r="C1833" t="str">
            <v>پ/27-1402</v>
          </cell>
          <cell r="D1833">
            <v>21345</v>
          </cell>
        </row>
        <row r="1834">
          <cell r="C1834" t="str">
            <v>پ/27-1402</v>
          </cell>
          <cell r="D1834">
            <v>21500</v>
          </cell>
        </row>
        <row r="1835">
          <cell r="C1835" t="str">
            <v>پ/21-1403</v>
          </cell>
          <cell r="D1835">
            <v>14785</v>
          </cell>
        </row>
        <row r="1836">
          <cell r="C1836" t="str">
            <v>پ/11-1403</v>
          </cell>
          <cell r="D1836">
            <v>11945</v>
          </cell>
        </row>
        <row r="1837">
          <cell r="C1837" t="str">
            <v>پ/8-1403</v>
          </cell>
          <cell r="D1837">
            <v>7525</v>
          </cell>
        </row>
        <row r="1838">
          <cell r="C1838" t="str">
            <v>پ/21-1403</v>
          </cell>
          <cell r="D1838">
            <v>5125</v>
          </cell>
        </row>
        <row r="1839">
          <cell r="C1839" t="str">
            <v>پ/21-1403</v>
          </cell>
          <cell r="D1839">
            <v>14765</v>
          </cell>
        </row>
        <row r="1840">
          <cell r="C1840" t="str">
            <v>پ/20-1403</v>
          </cell>
          <cell r="D1840">
            <v>19985</v>
          </cell>
        </row>
        <row r="1841">
          <cell r="C1841" t="str">
            <v>پ/27-1402</v>
          </cell>
          <cell r="D1841">
            <v>21340</v>
          </cell>
        </row>
        <row r="1842">
          <cell r="C1842" t="str">
            <v>پ/38-1402</v>
          </cell>
          <cell r="D1842">
            <v>21295</v>
          </cell>
        </row>
        <row r="1843">
          <cell r="C1843" t="str">
            <v>پ/38-1402</v>
          </cell>
          <cell r="D1843">
            <v>15080</v>
          </cell>
        </row>
        <row r="1844">
          <cell r="C1844" t="str">
            <v>پ/38-1402</v>
          </cell>
          <cell r="D1844">
            <v>5330</v>
          </cell>
        </row>
        <row r="1845">
          <cell r="C1845" t="str">
            <v>پ/24-1403</v>
          </cell>
          <cell r="D1845">
            <v>9140</v>
          </cell>
        </row>
        <row r="1846">
          <cell r="C1846" t="str">
            <v>پ/8-1403</v>
          </cell>
          <cell r="D1846">
            <v>7515</v>
          </cell>
        </row>
        <row r="1847">
          <cell r="C1847" t="str">
            <v>پ/34-1403</v>
          </cell>
          <cell r="D1847">
            <v>22220</v>
          </cell>
        </row>
        <row r="1848">
          <cell r="C1848" t="str">
            <v>پ/24-1403</v>
          </cell>
          <cell r="D1848">
            <v>7970</v>
          </cell>
        </row>
        <row r="1849">
          <cell r="C1849" t="str">
            <v>پ/20-1403</v>
          </cell>
          <cell r="D1849">
            <v>18980</v>
          </cell>
        </row>
        <row r="1850">
          <cell r="C1850" t="str">
            <v>پ/38-1402</v>
          </cell>
          <cell r="D1850">
            <v>20855</v>
          </cell>
        </row>
        <row r="1851">
          <cell r="C1851" t="str">
            <v>پ/8-1403</v>
          </cell>
          <cell r="D1851">
            <v>7190</v>
          </cell>
        </row>
        <row r="1852">
          <cell r="C1852" t="str">
            <v>پ/38-1402</v>
          </cell>
          <cell r="D1852">
            <v>21450</v>
          </cell>
        </row>
        <row r="1853">
          <cell r="C1853" t="str">
            <v>پ/38-1403</v>
          </cell>
          <cell r="D1853">
            <v>22155</v>
          </cell>
        </row>
        <row r="1854">
          <cell r="C1854" t="str">
            <v>پ/10-1403</v>
          </cell>
          <cell r="D1854">
            <v>15075</v>
          </cell>
        </row>
        <row r="1855">
          <cell r="C1855" t="str">
            <v>پ/27-1402</v>
          </cell>
          <cell r="D1855">
            <v>20775</v>
          </cell>
        </row>
        <row r="1856">
          <cell r="C1856" t="str">
            <v>پ/27-1402</v>
          </cell>
          <cell r="D1856">
            <v>20970</v>
          </cell>
        </row>
        <row r="1857">
          <cell r="C1857" t="str">
            <v>پ/15-1403</v>
          </cell>
          <cell r="D1857">
            <v>22200</v>
          </cell>
        </row>
        <row r="1858">
          <cell r="C1858" t="str">
            <v>پ/20-1403</v>
          </cell>
          <cell r="D1858">
            <v>20005</v>
          </cell>
        </row>
        <row r="1859">
          <cell r="C1859" t="str">
            <v>پ/27-1403</v>
          </cell>
          <cell r="D1859">
            <v>4980</v>
          </cell>
        </row>
        <row r="1860">
          <cell r="C1860" t="str">
            <v>پ/37-1403</v>
          </cell>
          <cell r="D1860">
            <v>13370</v>
          </cell>
        </row>
        <row r="1861">
          <cell r="C1861" t="str">
            <v>پ/21-1403</v>
          </cell>
          <cell r="D1861">
            <v>20060</v>
          </cell>
        </row>
        <row r="1862">
          <cell r="C1862" t="str">
            <v>پ/11-1403</v>
          </cell>
          <cell r="D1862">
            <v>11840</v>
          </cell>
        </row>
        <row r="1863">
          <cell r="C1863" t="str">
            <v>پ/27-1402</v>
          </cell>
          <cell r="D1863">
            <v>20585</v>
          </cell>
        </row>
        <row r="1864">
          <cell r="C1864" t="str">
            <v>پ/27-1402</v>
          </cell>
          <cell r="D1864">
            <v>20605</v>
          </cell>
        </row>
        <row r="1865">
          <cell r="C1865" t="str">
            <v>پ/8-1403</v>
          </cell>
          <cell r="D1865">
            <v>7535</v>
          </cell>
        </row>
        <row r="1866">
          <cell r="C1866" t="str">
            <v>پ/24-1403</v>
          </cell>
          <cell r="D1866">
            <v>8410</v>
          </cell>
        </row>
        <row r="1867">
          <cell r="C1867" t="str">
            <v>پ/21-1403</v>
          </cell>
          <cell r="D1867">
            <v>21145</v>
          </cell>
        </row>
        <row r="1868">
          <cell r="C1868" t="str">
            <v>پ/24-1403</v>
          </cell>
          <cell r="D1868">
            <v>9145</v>
          </cell>
        </row>
        <row r="1869">
          <cell r="C1869" t="str">
            <v>پ/21-1403</v>
          </cell>
          <cell r="D1869">
            <v>21440</v>
          </cell>
        </row>
        <row r="1870">
          <cell r="C1870" t="str">
            <v>پ/20-1403</v>
          </cell>
          <cell r="D1870">
            <v>20000</v>
          </cell>
        </row>
        <row r="1871">
          <cell r="C1871" t="str">
            <v>پ/27-1402</v>
          </cell>
          <cell r="D1871">
            <v>20900</v>
          </cell>
        </row>
        <row r="1872">
          <cell r="C1872" t="str">
            <v>پ/27-1402</v>
          </cell>
          <cell r="D1872">
            <v>21055</v>
          </cell>
        </row>
        <row r="1873">
          <cell r="C1873" t="str">
            <v>پ/33-1402</v>
          </cell>
          <cell r="D1873">
            <v>10720</v>
          </cell>
        </row>
        <row r="1874">
          <cell r="C1874" t="str">
            <v>پ/38-1403</v>
          </cell>
          <cell r="D1874">
            <v>9335</v>
          </cell>
        </row>
        <row r="1875">
          <cell r="C1875" t="str">
            <v>پ/8-1403</v>
          </cell>
          <cell r="D1875">
            <v>7050</v>
          </cell>
        </row>
        <row r="1876">
          <cell r="C1876" t="str">
            <v>پ/7-1403</v>
          </cell>
          <cell r="D1876">
            <v>20000</v>
          </cell>
        </row>
        <row r="1877">
          <cell r="C1877" t="str">
            <v>پ/34-1403</v>
          </cell>
          <cell r="D1877">
            <v>20205</v>
          </cell>
        </row>
        <row r="1878">
          <cell r="C1878" t="str">
            <v>پ/8-1403</v>
          </cell>
          <cell r="D1878">
            <v>7580</v>
          </cell>
        </row>
        <row r="1879">
          <cell r="C1879" t="str">
            <v>پ/30-1403</v>
          </cell>
          <cell r="D1879">
            <v>20290</v>
          </cell>
        </row>
        <row r="1880">
          <cell r="C1880" t="str">
            <v>پ/20-1403</v>
          </cell>
          <cell r="D1880">
            <v>19025</v>
          </cell>
        </row>
        <row r="1881">
          <cell r="C1881" t="str">
            <v>پ/21-1403</v>
          </cell>
          <cell r="D1881">
            <v>18875</v>
          </cell>
        </row>
        <row r="1882">
          <cell r="C1882" t="str">
            <v>پ/39-1403</v>
          </cell>
          <cell r="D1882">
            <v>7585</v>
          </cell>
        </row>
        <row r="1883">
          <cell r="C1883" t="str">
            <v>پ/11-1403</v>
          </cell>
          <cell r="D1883">
            <v>11085</v>
          </cell>
        </row>
        <row r="1884">
          <cell r="C1884" t="str">
            <v>پ/41-1402</v>
          </cell>
          <cell r="D1884">
            <v>10085</v>
          </cell>
        </row>
        <row r="1885">
          <cell r="C1885" t="str">
            <v>پ/27-1402</v>
          </cell>
          <cell r="D1885">
            <v>20620</v>
          </cell>
        </row>
        <row r="1886">
          <cell r="C1886" t="str">
            <v>پ/27-1402</v>
          </cell>
          <cell r="D1886">
            <v>20560</v>
          </cell>
        </row>
        <row r="1887">
          <cell r="C1887" t="str">
            <v>پ/15-1403</v>
          </cell>
          <cell r="D1887">
            <v>20075</v>
          </cell>
        </row>
        <row r="1888">
          <cell r="C1888" t="str">
            <v>پ/20-1403</v>
          </cell>
          <cell r="D1888">
            <v>19170</v>
          </cell>
        </row>
        <row r="1889">
          <cell r="C1889" t="str">
            <v>پ/38-1402</v>
          </cell>
          <cell r="D1889">
            <v>18025</v>
          </cell>
        </row>
        <row r="1890">
          <cell r="C1890" t="str">
            <v>پ/39-1403</v>
          </cell>
          <cell r="D1890">
            <v>7705</v>
          </cell>
        </row>
        <row r="1891">
          <cell r="C1891" t="str">
            <v>پ/27-1403</v>
          </cell>
          <cell r="D1891">
            <v>20020</v>
          </cell>
        </row>
        <row r="1892">
          <cell r="C1892" t="str">
            <v>پ/27-1402</v>
          </cell>
          <cell r="D1892">
            <v>20595</v>
          </cell>
        </row>
        <row r="1893">
          <cell r="C1893" t="str">
            <v>پ/27-1402</v>
          </cell>
          <cell r="D1893">
            <v>20685</v>
          </cell>
        </row>
        <row r="1894">
          <cell r="C1894" t="str">
            <v>پ/38-1402</v>
          </cell>
          <cell r="D1894">
            <v>20170</v>
          </cell>
        </row>
        <row r="1895">
          <cell r="C1895" t="str">
            <v>پ/24-1403</v>
          </cell>
          <cell r="D1895">
            <v>9075</v>
          </cell>
        </row>
        <row r="1896">
          <cell r="C1896" t="str">
            <v>پ/40-1402</v>
          </cell>
          <cell r="D1896">
            <v>5410</v>
          </cell>
        </row>
        <row r="1897">
          <cell r="C1897" t="str">
            <v>پ/8-1403</v>
          </cell>
          <cell r="D1897">
            <v>7425</v>
          </cell>
        </row>
        <row r="1898">
          <cell r="C1898" t="str">
            <v>پ/27-1402</v>
          </cell>
          <cell r="D1898">
            <v>20635</v>
          </cell>
        </row>
        <row r="1899">
          <cell r="C1899" t="str">
            <v>پ/27-1402</v>
          </cell>
          <cell r="D1899">
            <v>20525</v>
          </cell>
        </row>
        <row r="1900">
          <cell r="C1900" t="str">
            <v>پ/10-1403</v>
          </cell>
          <cell r="D1900">
            <v>19040</v>
          </cell>
        </row>
        <row r="1901">
          <cell r="C1901" t="str">
            <v>پ/20-1403</v>
          </cell>
          <cell r="D1901">
            <v>19160</v>
          </cell>
        </row>
        <row r="1902">
          <cell r="C1902" t="str">
            <v>پ/36-1402</v>
          </cell>
          <cell r="D1902">
            <v>8500</v>
          </cell>
        </row>
        <row r="1903">
          <cell r="C1903" t="str">
            <v>پ/15-1403</v>
          </cell>
          <cell r="D1903">
            <v>14640</v>
          </cell>
        </row>
        <row r="1904">
          <cell r="C1904" t="str">
            <v>پ/12-1402</v>
          </cell>
          <cell r="D1904">
            <v>6910</v>
          </cell>
        </row>
        <row r="1905">
          <cell r="C1905" t="str">
            <v>پ/13-1403</v>
          </cell>
          <cell r="D1905">
            <v>200</v>
          </cell>
        </row>
        <row r="1906">
          <cell r="C1906" t="str">
            <v>پ/9-1403</v>
          </cell>
          <cell r="D1906">
            <v>7395</v>
          </cell>
        </row>
        <row r="1907">
          <cell r="C1907" t="str">
            <v>پ/17-1403</v>
          </cell>
          <cell r="D1907">
            <v>12910</v>
          </cell>
        </row>
        <row r="1908">
          <cell r="C1908" t="str">
            <v>پ/11-1403</v>
          </cell>
          <cell r="D1908">
            <v>10225</v>
          </cell>
        </row>
        <row r="1909">
          <cell r="C1909" t="str">
            <v>پ/24-1403</v>
          </cell>
          <cell r="D1909">
            <v>9675</v>
          </cell>
        </row>
        <row r="1910">
          <cell r="C1910" t="str">
            <v>پ/43-1402</v>
          </cell>
          <cell r="D1910">
            <v>20210</v>
          </cell>
        </row>
        <row r="1911">
          <cell r="C1911" t="str">
            <v>پ/33-1402</v>
          </cell>
          <cell r="D1911">
            <v>20180</v>
          </cell>
        </row>
        <row r="1912">
          <cell r="C1912" t="str">
            <v>پ/8-1403</v>
          </cell>
          <cell r="D1912">
            <v>7390</v>
          </cell>
        </row>
        <row r="1913">
          <cell r="C1913" t="str">
            <v>پ/43-1402</v>
          </cell>
          <cell r="D1913">
            <v>20020</v>
          </cell>
        </row>
        <row r="1914">
          <cell r="C1914" t="str">
            <v>پ/20-1403</v>
          </cell>
          <cell r="D1914">
            <v>19090</v>
          </cell>
        </row>
        <row r="1915">
          <cell r="C1915" t="str">
            <v>پ/43-1402</v>
          </cell>
          <cell r="D1915">
            <v>19120</v>
          </cell>
        </row>
        <row r="1916">
          <cell r="C1916" t="str">
            <v>پ/27-1402</v>
          </cell>
          <cell r="D1916">
            <v>20435</v>
          </cell>
        </row>
        <row r="1917">
          <cell r="C1917" t="str">
            <v>پ/27-1402</v>
          </cell>
          <cell r="D1917">
            <v>20745</v>
          </cell>
        </row>
        <row r="1918">
          <cell r="C1918" t="str">
            <v>پ/38-1403</v>
          </cell>
          <cell r="D1918">
            <v>12260</v>
          </cell>
        </row>
        <row r="1919">
          <cell r="C1919" t="str">
            <v>پ/27-1402</v>
          </cell>
          <cell r="D1919">
            <v>20665</v>
          </cell>
        </row>
        <row r="1920">
          <cell r="C1920" t="str">
            <v>پ/27-1402</v>
          </cell>
          <cell r="D1920">
            <v>21120</v>
          </cell>
        </row>
        <row r="1921">
          <cell r="C1921" t="str">
            <v>پ/27-1402</v>
          </cell>
          <cell r="D1921">
            <v>20185</v>
          </cell>
        </row>
        <row r="1922">
          <cell r="C1922" t="str">
            <v>پ/27-1402</v>
          </cell>
          <cell r="D1922">
            <v>20245</v>
          </cell>
        </row>
        <row r="1923">
          <cell r="C1923" t="str">
            <v>پ/27-1402</v>
          </cell>
          <cell r="D1923">
            <v>20255</v>
          </cell>
        </row>
        <row r="1924">
          <cell r="C1924" t="str">
            <v>پ/27-1402</v>
          </cell>
          <cell r="D1924">
            <v>20260</v>
          </cell>
        </row>
        <row r="1925">
          <cell r="C1925" t="str">
            <v>پ/27-1402</v>
          </cell>
          <cell r="D1925">
            <v>19895</v>
          </cell>
        </row>
        <row r="1926">
          <cell r="C1926" t="str">
            <v>پ/27-1402</v>
          </cell>
          <cell r="D1926">
            <v>20055</v>
          </cell>
        </row>
        <row r="1927">
          <cell r="C1927" t="str">
            <v>پ/27-1402</v>
          </cell>
          <cell r="D1927">
            <v>20220</v>
          </cell>
        </row>
        <row r="1928">
          <cell r="C1928" t="str">
            <v>پ/27-1402</v>
          </cell>
          <cell r="D1928">
            <v>20280</v>
          </cell>
        </row>
        <row r="1929">
          <cell r="C1929" t="str">
            <v>پ/27-1402</v>
          </cell>
          <cell r="D1929">
            <v>20210</v>
          </cell>
        </row>
        <row r="1930">
          <cell r="C1930" t="str">
            <v>پ/27-1402</v>
          </cell>
          <cell r="D1930">
            <v>20575</v>
          </cell>
        </row>
        <row r="1931">
          <cell r="C1931" t="str">
            <v>پ/27-1402</v>
          </cell>
          <cell r="D1931">
            <v>21325</v>
          </cell>
        </row>
        <row r="1932">
          <cell r="C1932" t="str">
            <v>پ/27-1402</v>
          </cell>
          <cell r="D1932">
            <v>20850</v>
          </cell>
        </row>
        <row r="1933">
          <cell r="C1933" t="str">
            <v>پ/27-1402</v>
          </cell>
          <cell r="D1933">
            <v>21235</v>
          </cell>
        </row>
        <row r="1934">
          <cell r="C1934" t="str">
            <v>پ/27-1402</v>
          </cell>
          <cell r="D1934">
            <v>20775</v>
          </cell>
        </row>
        <row r="1935">
          <cell r="C1935" t="str">
            <v>پ/27-1402</v>
          </cell>
          <cell r="D1935">
            <v>21375</v>
          </cell>
        </row>
        <row r="1936">
          <cell r="C1936" t="str">
            <v>پ/27-1402</v>
          </cell>
          <cell r="D1936">
            <v>20555</v>
          </cell>
        </row>
        <row r="1937">
          <cell r="C1937" t="str">
            <v>پ/27-1402</v>
          </cell>
          <cell r="D1937">
            <v>21350</v>
          </cell>
        </row>
        <row r="1938">
          <cell r="C1938" t="str">
            <v>پ/27-1402</v>
          </cell>
          <cell r="D1938">
            <v>20165</v>
          </cell>
        </row>
        <row r="1939">
          <cell r="C1939" t="str">
            <v>پ/27-1402</v>
          </cell>
          <cell r="D1939">
            <v>20535</v>
          </cell>
        </row>
        <row r="1940">
          <cell r="C1940" t="str">
            <v>پ/27-1402</v>
          </cell>
          <cell r="D1940">
            <v>21115</v>
          </cell>
        </row>
        <row r="1941">
          <cell r="C1941" t="str">
            <v>پ/27-1402</v>
          </cell>
          <cell r="D1941">
            <v>21290</v>
          </cell>
        </row>
        <row r="1942">
          <cell r="C1942" t="str">
            <v>پ/27-1402</v>
          </cell>
          <cell r="D1942">
            <v>21130</v>
          </cell>
        </row>
        <row r="1943">
          <cell r="C1943" t="str">
            <v>پ/27-1402</v>
          </cell>
          <cell r="D1943">
            <v>20615</v>
          </cell>
        </row>
        <row r="1944">
          <cell r="C1944" t="str">
            <v>پ/27-1402</v>
          </cell>
          <cell r="D1944">
            <v>20635</v>
          </cell>
        </row>
        <row r="1945">
          <cell r="C1945" t="str">
            <v>پ/27-1402</v>
          </cell>
          <cell r="D1945">
            <v>21110</v>
          </cell>
        </row>
        <row r="1946">
          <cell r="C1946" t="str">
            <v>پ/27-1402</v>
          </cell>
          <cell r="D1946">
            <v>20870</v>
          </cell>
        </row>
        <row r="1947">
          <cell r="C1947" t="str">
            <v>پ/27-1402</v>
          </cell>
          <cell r="D1947">
            <v>20830</v>
          </cell>
        </row>
        <row r="1948">
          <cell r="C1948" t="str">
            <v>پ/27-1402</v>
          </cell>
          <cell r="D1948">
            <v>21050</v>
          </cell>
        </row>
        <row r="1949">
          <cell r="C1949" t="str">
            <v>پ/27-1402</v>
          </cell>
          <cell r="D1949">
            <v>21005</v>
          </cell>
        </row>
        <row r="1950">
          <cell r="C1950" t="str">
            <v>پ/27-1402</v>
          </cell>
          <cell r="D1950">
            <v>21135</v>
          </cell>
        </row>
        <row r="1951">
          <cell r="C1951" t="str">
            <v>پ/27-1402</v>
          </cell>
          <cell r="D1951">
            <v>21450</v>
          </cell>
        </row>
        <row r="1952">
          <cell r="C1952" t="str">
            <v>پ/27-1402</v>
          </cell>
          <cell r="D1952">
            <v>20635</v>
          </cell>
        </row>
        <row r="1953">
          <cell r="C1953" t="str">
            <v>پ/27-1402</v>
          </cell>
          <cell r="D1953">
            <v>20980</v>
          </cell>
        </row>
        <row r="1954">
          <cell r="C1954" t="str">
            <v>پ/27-1402</v>
          </cell>
          <cell r="D1954">
            <v>20980</v>
          </cell>
        </row>
        <row r="1955">
          <cell r="C1955" t="str">
            <v>پ/24-1402</v>
          </cell>
          <cell r="D1955">
            <v>21110</v>
          </cell>
        </row>
        <row r="1956">
          <cell r="C1956" t="str">
            <v>پ/24-1402</v>
          </cell>
          <cell r="D1956">
            <v>21135</v>
          </cell>
        </row>
        <row r="1957">
          <cell r="C1957" t="str">
            <v>پ/24-1402</v>
          </cell>
          <cell r="D1957">
            <v>20825</v>
          </cell>
        </row>
        <row r="1958">
          <cell r="C1958" t="str">
            <v>پ/24-1402</v>
          </cell>
          <cell r="D1958">
            <v>20700</v>
          </cell>
        </row>
        <row r="1959">
          <cell r="C1959" t="str">
            <v>پ/38-1402</v>
          </cell>
          <cell r="D1959">
            <v>15010</v>
          </cell>
        </row>
        <row r="1960">
          <cell r="C1960" t="str">
            <v>پ/20-1403</v>
          </cell>
          <cell r="D1960">
            <v>19165</v>
          </cell>
        </row>
        <row r="1961">
          <cell r="C1961" t="str">
            <v>پ/24-1403</v>
          </cell>
          <cell r="D1961">
            <v>8620</v>
          </cell>
        </row>
        <row r="1962">
          <cell r="C1962" t="str">
            <v>پ/21-1403</v>
          </cell>
          <cell r="D1962">
            <v>13030</v>
          </cell>
        </row>
        <row r="1963">
          <cell r="C1963" t="str">
            <v>پ/8-1403</v>
          </cell>
          <cell r="D1963">
            <v>7615</v>
          </cell>
        </row>
        <row r="1964">
          <cell r="C1964" t="str">
            <v>پ/11-1403</v>
          </cell>
          <cell r="D1964">
            <v>11130</v>
          </cell>
        </row>
        <row r="1965">
          <cell r="C1965" t="str">
            <v>پ/21-1403</v>
          </cell>
          <cell r="D1965">
            <v>19060</v>
          </cell>
        </row>
        <row r="1966">
          <cell r="C1966" t="str">
            <v>پ/33-1402</v>
          </cell>
          <cell r="D1966">
            <v>20250</v>
          </cell>
        </row>
        <row r="1967">
          <cell r="C1967" t="str">
            <v>پ/9-1403</v>
          </cell>
          <cell r="D1967">
            <v>10185</v>
          </cell>
        </row>
        <row r="1968">
          <cell r="C1968" t="str">
            <v>پ/43-1402</v>
          </cell>
          <cell r="D1968">
            <v>19325</v>
          </cell>
        </row>
        <row r="1969">
          <cell r="C1969" t="str">
            <v>پ/20-1403</v>
          </cell>
          <cell r="D1969">
            <v>19035</v>
          </cell>
        </row>
        <row r="1970">
          <cell r="C1970" t="str">
            <v>پ/24-1403</v>
          </cell>
          <cell r="D1970">
            <v>9170</v>
          </cell>
        </row>
        <row r="1971">
          <cell r="C1971" t="str">
            <v>پ/38-1402</v>
          </cell>
          <cell r="D1971">
            <v>5130</v>
          </cell>
        </row>
        <row r="1972">
          <cell r="C1972" t="str">
            <v>پ/10-1403</v>
          </cell>
          <cell r="D1972">
            <v>20140</v>
          </cell>
        </row>
        <row r="1973">
          <cell r="C1973" t="str">
            <v>پ/28-1403</v>
          </cell>
          <cell r="D1973">
            <v>14265</v>
          </cell>
        </row>
        <row r="1974">
          <cell r="C1974" t="str">
            <v>پ/38-1402</v>
          </cell>
          <cell r="D1974">
            <v>5140</v>
          </cell>
        </row>
        <row r="1975">
          <cell r="C1975" t="str">
            <v>پ/44-1402</v>
          </cell>
          <cell r="D1975">
            <v>20165</v>
          </cell>
        </row>
        <row r="1976">
          <cell r="C1976" t="str">
            <v>پ/43-1402</v>
          </cell>
          <cell r="D1976">
            <v>22280</v>
          </cell>
        </row>
        <row r="1977">
          <cell r="C1977" t="str">
            <v>پ/11-1403</v>
          </cell>
          <cell r="D1977">
            <v>10250</v>
          </cell>
        </row>
        <row r="1978">
          <cell r="C1978" t="str">
            <v>پ/20-1403</v>
          </cell>
          <cell r="D1978">
            <v>19160</v>
          </cell>
        </row>
        <row r="1979">
          <cell r="C1979" t="str">
            <v>پ/8-1403</v>
          </cell>
          <cell r="D1979">
            <v>7200</v>
          </cell>
        </row>
        <row r="1980">
          <cell r="C1980" t="str">
            <v>پ/43-1402</v>
          </cell>
          <cell r="D1980">
            <v>20100</v>
          </cell>
        </row>
        <row r="1981">
          <cell r="C1981" t="str">
            <v>پ/20-1403</v>
          </cell>
          <cell r="D1981">
            <v>19090</v>
          </cell>
        </row>
        <row r="1982">
          <cell r="C1982" t="str">
            <v>پ/43-1402</v>
          </cell>
          <cell r="D1982">
            <v>12080</v>
          </cell>
        </row>
        <row r="1983">
          <cell r="C1983" t="str">
            <v>پ/43-1402</v>
          </cell>
          <cell r="D1983">
            <v>17350</v>
          </cell>
        </row>
        <row r="1984">
          <cell r="C1984" t="str">
            <v>پ/38-1402</v>
          </cell>
          <cell r="D1984">
            <v>19060</v>
          </cell>
        </row>
        <row r="1985">
          <cell r="C1985" t="str">
            <v>پ/21-1403</v>
          </cell>
          <cell r="D1985">
            <v>18710</v>
          </cell>
        </row>
        <row r="1986">
          <cell r="C1986" t="str">
            <v>پ/24-1403</v>
          </cell>
          <cell r="D1986">
            <v>8110</v>
          </cell>
        </row>
        <row r="1987">
          <cell r="C1987" t="str">
            <v>پ/43-1402</v>
          </cell>
          <cell r="D1987">
            <v>20095</v>
          </cell>
        </row>
        <row r="1988">
          <cell r="C1988" t="str">
            <v>پ/7-1403</v>
          </cell>
          <cell r="D1988">
            <v>20100</v>
          </cell>
        </row>
        <row r="1989">
          <cell r="C1989" t="str">
            <v>پ/43-1402</v>
          </cell>
          <cell r="D1989">
            <v>20240</v>
          </cell>
        </row>
        <row r="1990">
          <cell r="C1990" t="str">
            <v>پ/43-1402</v>
          </cell>
          <cell r="D1990">
            <v>20180</v>
          </cell>
        </row>
        <row r="1991">
          <cell r="C1991" t="str">
            <v>پ/44-1402</v>
          </cell>
          <cell r="D1991">
            <v>20205</v>
          </cell>
        </row>
        <row r="1992">
          <cell r="C1992" t="str">
            <v>پ/44-1402</v>
          </cell>
          <cell r="D1992">
            <v>5570</v>
          </cell>
        </row>
        <row r="1993">
          <cell r="C1993" t="str">
            <v>پ/13-1403</v>
          </cell>
          <cell r="D1993">
            <v>18130</v>
          </cell>
        </row>
        <row r="1994">
          <cell r="C1994" t="str">
            <v>پ/20-1403</v>
          </cell>
          <cell r="D1994">
            <v>18650</v>
          </cell>
        </row>
        <row r="1995">
          <cell r="C1995" t="str">
            <v>پ/43-1402</v>
          </cell>
          <cell r="D1995">
            <v>15150</v>
          </cell>
        </row>
        <row r="1996">
          <cell r="C1996" t="str">
            <v>پ/43-1402</v>
          </cell>
          <cell r="D1996">
            <v>15430</v>
          </cell>
        </row>
        <row r="1997">
          <cell r="C1997" t="str">
            <v>پ/11-1403</v>
          </cell>
          <cell r="D1997">
            <v>11975</v>
          </cell>
        </row>
        <row r="1998">
          <cell r="C1998" t="str">
            <v>پ/9-1403</v>
          </cell>
          <cell r="D1998">
            <v>21075</v>
          </cell>
        </row>
        <row r="1999">
          <cell r="C1999" t="str">
            <v>پ/41-1402</v>
          </cell>
          <cell r="D1999">
            <v>10025</v>
          </cell>
        </row>
        <row r="2000">
          <cell r="C2000" t="str">
            <v>پ/43-1402</v>
          </cell>
          <cell r="D2000">
            <v>19680</v>
          </cell>
        </row>
        <row r="2001">
          <cell r="C2001" t="str">
            <v>پ/43-1402</v>
          </cell>
          <cell r="D2001">
            <v>20080</v>
          </cell>
        </row>
        <row r="2002">
          <cell r="C2002" t="str">
            <v>پ/20-1403</v>
          </cell>
          <cell r="D2002">
            <v>19190</v>
          </cell>
        </row>
        <row r="2003">
          <cell r="C2003" t="str">
            <v>پ/10-1403</v>
          </cell>
          <cell r="D2003">
            <v>10065</v>
          </cell>
        </row>
        <row r="2004">
          <cell r="C2004" t="str">
            <v>پ/43-1402</v>
          </cell>
          <cell r="D2004">
            <v>20210</v>
          </cell>
        </row>
        <row r="2005">
          <cell r="C2005" t="str">
            <v>پ/41-1402</v>
          </cell>
          <cell r="D2005">
            <v>10050</v>
          </cell>
        </row>
        <row r="2006">
          <cell r="C2006" t="str">
            <v>پ/33-1402</v>
          </cell>
          <cell r="D2006">
            <v>22845</v>
          </cell>
        </row>
        <row r="2007">
          <cell r="C2007" t="str">
            <v>پ/20-1403</v>
          </cell>
          <cell r="D2007">
            <v>19260</v>
          </cell>
        </row>
        <row r="2008">
          <cell r="C2008" t="str">
            <v>پ/38-1402</v>
          </cell>
          <cell r="D2008">
            <v>11255</v>
          </cell>
        </row>
        <row r="2009">
          <cell r="C2009" t="str">
            <v>پ/11-1403</v>
          </cell>
          <cell r="D2009">
            <v>11920</v>
          </cell>
        </row>
        <row r="2010">
          <cell r="C2010" t="str">
            <v>پ/38-1402</v>
          </cell>
          <cell r="D2010">
            <v>20350</v>
          </cell>
        </row>
        <row r="2011">
          <cell r="C2011" t="str">
            <v>پ/10-1403</v>
          </cell>
          <cell r="D2011">
            <v>20245</v>
          </cell>
        </row>
        <row r="2012">
          <cell r="C2012" t="str">
            <v>پ/43-1402</v>
          </cell>
          <cell r="D2012">
            <v>20180</v>
          </cell>
        </row>
        <row r="2013">
          <cell r="C2013" t="str">
            <v>پ/20-1403</v>
          </cell>
          <cell r="D2013">
            <v>19175</v>
          </cell>
        </row>
        <row r="2014">
          <cell r="C2014" t="str">
            <v>پ/21-1403</v>
          </cell>
          <cell r="D2014">
            <v>10040</v>
          </cell>
        </row>
        <row r="2015">
          <cell r="C2015" t="str">
            <v>پ/44-1402</v>
          </cell>
          <cell r="D2015">
            <v>20065</v>
          </cell>
        </row>
        <row r="2016">
          <cell r="C2016" t="str">
            <v>پ/21-1403</v>
          </cell>
          <cell r="D2016">
            <v>21020</v>
          </cell>
        </row>
        <row r="2017">
          <cell r="C2017" t="str">
            <v>پ/38-1402</v>
          </cell>
          <cell r="D2017">
            <v>16205</v>
          </cell>
        </row>
        <row r="2018">
          <cell r="C2018" t="str">
            <v>پ/21-1403</v>
          </cell>
          <cell r="D2018">
            <v>20925</v>
          </cell>
        </row>
        <row r="2019">
          <cell r="C2019" t="str">
            <v>پ/38-1402</v>
          </cell>
          <cell r="D2019">
            <v>17235</v>
          </cell>
        </row>
        <row r="2020">
          <cell r="C2020" t="str">
            <v>پ/20-1403</v>
          </cell>
          <cell r="D2020">
            <v>19265</v>
          </cell>
        </row>
        <row r="2021">
          <cell r="C2021" t="str">
            <v>پ/9-1403</v>
          </cell>
          <cell r="D2021">
            <v>15240</v>
          </cell>
        </row>
        <row r="2022">
          <cell r="C2022" t="str">
            <v>پ/45-1402</v>
          </cell>
          <cell r="D2022">
            <v>19310</v>
          </cell>
        </row>
        <row r="2023">
          <cell r="C2023" t="str">
            <v>پ/33-1402</v>
          </cell>
          <cell r="D2023">
            <v>20130</v>
          </cell>
        </row>
        <row r="2024">
          <cell r="C2024" t="str">
            <v>پ/20-1403</v>
          </cell>
          <cell r="D2024">
            <v>19305</v>
          </cell>
        </row>
        <row r="2025">
          <cell r="C2025" t="str">
            <v>پ/45-1402</v>
          </cell>
          <cell r="D2025">
            <v>19800</v>
          </cell>
        </row>
        <row r="2026">
          <cell r="C2026" t="str">
            <v>پ/11-1403</v>
          </cell>
          <cell r="D2026">
            <v>11715</v>
          </cell>
        </row>
        <row r="2027">
          <cell r="C2027" t="str">
            <v>پ/38-1402</v>
          </cell>
          <cell r="D2027">
            <v>20305</v>
          </cell>
        </row>
        <row r="2028">
          <cell r="C2028" t="str">
            <v>پ/13-1403</v>
          </cell>
          <cell r="D2028">
            <v>18295</v>
          </cell>
        </row>
        <row r="2029">
          <cell r="C2029" t="str">
            <v>پ/20-1403</v>
          </cell>
          <cell r="D2029">
            <v>19150</v>
          </cell>
        </row>
        <row r="2030">
          <cell r="C2030" t="str">
            <v>پ/9-1403</v>
          </cell>
          <cell r="D2030">
            <v>22865</v>
          </cell>
        </row>
        <row r="2031">
          <cell r="C2031" t="str">
            <v>پ/45-1402</v>
          </cell>
          <cell r="D2031">
            <v>20370</v>
          </cell>
        </row>
        <row r="2032">
          <cell r="C2032" t="str">
            <v>پ/45-1402</v>
          </cell>
          <cell r="D2032">
            <v>19745</v>
          </cell>
        </row>
        <row r="2033">
          <cell r="C2033" t="str">
            <v>پ/20-1403</v>
          </cell>
          <cell r="D2033">
            <v>19190</v>
          </cell>
        </row>
        <row r="2034">
          <cell r="C2034" t="str">
            <v>پ/41-1402</v>
          </cell>
          <cell r="D2034">
            <v>9905</v>
          </cell>
        </row>
        <row r="2035">
          <cell r="C2035" t="str">
            <v>پ/5-1403</v>
          </cell>
          <cell r="D2035">
            <v>6340</v>
          </cell>
        </row>
        <row r="2036">
          <cell r="C2036" t="str">
            <v>پ/11-1403</v>
          </cell>
          <cell r="D2036">
            <v>5575</v>
          </cell>
        </row>
        <row r="2037">
          <cell r="C2037" t="str">
            <v>پ/20-1403</v>
          </cell>
          <cell r="D2037">
            <v>19220</v>
          </cell>
        </row>
        <row r="2038">
          <cell r="C2038" t="str">
            <v>پ/44-1402</v>
          </cell>
          <cell r="D2038">
            <v>20680</v>
          </cell>
        </row>
        <row r="2039">
          <cell r="C2039" t="str">
            <v>پ/45-1402</v>
          </cell>
          <cell r="D2039">
            <v>18720</v>
          </cell>
        </row>
        <row r="2040">
          <cell r="C2040" t="str">
            <v>پ/45-1402</v>
          </cell>
          <cell r="D2040">
            <v>18615</v>
          </cell>
        </row>
        <row r="2041">
          <cell r="C2041" t="str">
            <v>121302</v>
          </cell>
          <cell r="D2041">
            <v>9665</v>
          </cell>
        </row>
        <row r="2042">
          <cell r="C2042" t="str">
            <v>پ/28-1403</v>
          </cell>
          <cell r="D2042">
            <v>10605</v>
          </cell>
        </row>
        <row r="2043">
          <cell r="C2043" t="str">
            <v>پ/20-1403</v>
          </cell>
          <cell r="D2043">
            <v>19185</v>
          </cell>
        </row>
        <row r="2044">
          <cell r="C2044" t="str">
            <v>پ/43-1402</v>
          </cell>
          <cell r="D2044">
            <v>21270</v>
          </cell>
        </row>
        <row r="2045">
          <cell r="C2045" t="str">
            <v>پ/43-1402</v>
          </cell>
          <cell r="D2045">
            <v>20735</v>
          </cell>
        </row>
        <row r="2046">
          <cell r="C2046" t="str">
            <v>پ/43-1402</v>
          </cell>
          <cell r="D2046">
            <v>17295</v>
          </cell>
        </row>
        <row r="2047">
          <cell r="C2047" t="str">
            <v>121839</v>
          </cell>
          <cell r="D2047">
            <v>20230</v>
          </cell>
        </row>
        <row r="2048">
          <cell r="C2048" t="str">
            <v>پ/45-1402</v>
          </cell>
          <cell r="D2048">
            <v>18725</v>
          </cell>
        </row>
        <row r="2049">
          <cell r="C2049" t="str">
            <v>121839</v>
          </cell>
          <cell r="D2049">
            <v>19955</v>
          </cell>
        </row>
        <row r="2050">
          <cell r="C2050" t="str">
            <v>پ/20-1403</v>
          </cell>
          <cell r="D2050">
            <v>19240</v>
          </cell>
        </row>
        <row r="2051">
          <cell r="C2051" t="str">
            <v>پ/9-1403</v>
          </cell>
          <cell r="D2051">
            <v>23240</v>
          </cell>
        </row>
        <row r="2052">
          <cell r="C2052" t="str">
            <v>پ/38-1402</v>
          </cell>
          <cell r="D2052">
            <v>19720</v>
          </cell>
        </row>
        <row r="2053">
          <cell r="C2053" t="str">
            <v>پ/5-1403</v>
          </cell>
          <cell r="D2053">
            <v>11855</v>
          </cell>
        </row>
        <row r="2054">
          <cell r="C2054" t="str">
            <v>پ/7-1403</v>
          </cell>
          <cell r="D2054">
            <v>20230</v>
          </cell>
        </row>
        <row r="2055">
          <cell r="C2055" t="str">
            <v>پ/38-1402</v>
          </cell>
          <cell r="D2055">
            <v>20675</v>
          </cell>
        </row>
        <row r="2056">
          <cell r="C2056" t="str">
            <v>پ/43-1402</v>
          </cell>
          <cell r="D2056">
            <v>20570</v>
          </cell>
        </row>
        <row r="2057">
          <cell r="C2057" t="str">
            <v>پ/44-1402</v>
          </cell>
          <cell r="D2057">
            <v>21540</v>
          </cell>
        </row>
        <row r="2058">
          <cell r="C2058" t="str">
            <v>پ/20-1403</v>
          </cell>
          <cell r="D2058">
            <v>19160</v>
          </cell>
        </row>
        <row r="2059">
          <cell r="C2059" t="str">
            <v>پ/13-1403</v>
          </cell>
          <cell r="D2059">
            <v>16670</v>
          </cell>
        </row>
        <row r="2060">
          <cell r="C2060" t="str">
            <v>پ/43-1402</v>
          </cell>
          <cell r="D2060">
            <v>20690</v>
          </cell>
        </row>
        <row r="2061">
          <cell r="C2061" t="str">
            <v>پ/46-1402</v>
          </cell>
          <cell r="D2061">
            <v>23300</v>
          </cell>
        </row>
        <row r="2062">
          <cell r="C2062" t="str">
            <v>پ/43-1402</v>
          </cell>
          <cell r="D2062">
            <v>20190</v>
          </cell>
        </row>
        <row r="2063">
          <cell r="C2063" t="str">
            <v>پ/33-1402</v>
          </cell>
          <cell r="D2063">
            <v>22380</v>
          </cell>
        </row>
        <row r="2064">
          <cell r="C2064" t="str">
            <v>پ/45-1402</v>
          </cell>
          <cell r="D2064">
            <v>19335</v>
          </cell>
        </row>
        <row r="2065">
          <cell r="C2065" t="str">
            <v>پ/20-1403</v>
          </cell>
          <cell r="D2065">
            <v>19190</v>
          </cell>
        </row>
        <row r="2066">
          <cell r="C2066" t="str">
            <v>پ/10-1403</v>
          </cell>
          <cell r="D2066">
            <v>14800</v>
          </cell>
        </row>
        <row r="2067">
          <cell r="C2067" t="str">
            <v>پ/43-1402</v>
          </cell>
          <cell r="D2067">
            <v>21105</v>
          </cell>
        </row>
        <row r="2068">
          <cell r="C2068" t="str">
            <v>پ/5-1403</v>
          </cell>
          <cell r="D2068">
            <v>11675</v>
          </cell>
        </row>
        <row r="2069">
          <cell r="C2069" t="str">
            <v>پ/43-1402</v>
          </cell>
          <cell r="D2069">
            <v>19725</v>
          </cell>
        </row>
        <row r="2070">
          <cell r="C2070" t="str">
            <v>پ/43-1402</v>
          </cell>
          <cell r="D2070">
            <v>21085</v>
          </cell>
        </row>
        <row r="2071">
          <cell r="C2071" t="str">
            <v>پ/38-1402</v>
          </cell>
          <cell r="D2071">
            <v>17965</v>
          </cell>
        </row>
        <row r="2072">
          <cell r="C2072" t="str">
            <v>پ/20-1403</v>
          </cell>
          <cell r="D2072">
            <v>18900</v>
          </cell>
        </row>
        <row r="2073">
          <cell r="C2073" t="str">
            <v>پ/45-1402</v>
          </cell>
          <cell r="D2073">
            <v>20550</v>
          </cell>
        </row>
        <row r="2074">
          <cell r="C2074" t="str">
            <v>پ/15-1403</v>
          </cell>
          <cell r="D2074">
            <v>22150</v>
          </cell>
        </row>
        <row r="2075">
          <cell r="C2075" t="str">
            <v>پ/13-1403</v>
          </cell>
          <cell r="D2075">
            <v>16935</v>
          </cell>
        </row>
        <row r="2076">
          <cell r="C2076" t="str">
            <v>پ/45-1402</v>
          </cell>
          <cell r="D2076">
            <v>21120</v>
          </cell>
        </row>
        <row r="2077">
          <cell r="C2077" t="str">
            <v>پ/45-1402</v>
          </cell>
          <cell r="D2077">
            <v>18035</v>
          </cell>
        </row>
        <row r="2078">
          <cell r="C2078" t="str">
            <v>پ/38-1402</v>
          </cell>
          <cell r="D2078">
            <v>20120</v>
          </cell>
        </row>
        <row r="2079">
          <cell r="C2079" t="str">
            <v>پ/43-1402</v>
          </cell>
          <cell r="D2079">
            <v>18095</v>
          </cell>
        </row>
        <row r="2080">
          <cell r="C2080" t="str">
            <v>پ/12-1403</v>
          </cell>
          <cell r="D2080">
            <v>22120</v>
          </cell>
        </row>
        <row r="2081">
          <cell r="C2081" t="str">
            <v>پ/38-1402</v>
          </cell>
          <cell r="D2081">
            <v>20205</v>
          </cell>
        </row>
        <row r="2082">
          <cell r="C2082" t="str">
            <v>پ/5-1403</v>
          </cell>
          <cell r="D2082">
            <v>11255</v>
          </cell>
        </row>
        <row r="2083">
          <cell r="C2083" t="str">
            <v>پ/43-1402</v>
          </cell>
          <cell r="D2083">
            <v>20645</v>
          </cell>
        </row>
        <row r="2084">
          <cell r="C2084" t="str">
            <v>پ/20-1403</v>
          </cell>
          <cell r="D2084">
            <v>19105</v>
          </cell>
        </row>
        <row r="2085">
          <cell r="C2085" t="str">
            <v>پ/43-1402</v>
          </cell>
          <cell r="D2085">
            <v>20045</v>
          </cell>
        </row>
        <row r="2086">
          <cell r="C2086" t="str">
            <v>پ/20-1403</v>
          </cell>
          <cell r="D2086">
            <v>19115</v>
          </cell>
        </row>
        <row r="2087">
          <cell r="C2087" t="str">
            <v>پ/45-1402</v>
          </cell>
          <cell r="D2087">
            <v>18690</v>
          </cell>
        </row>
        <row r="2088">
          <cell r="C2088" t="str">
            <v>پ/5-1403</v>
          </cell>
          <cell r="D2088">
            <v>11325</v>
          </cell>
        </row>
        <row r="2089">
          <cell r="C2089" t="str">
            <v>121302</v>
          </cell>
          <cell r="D2089">
            <v>20270</v>
          </cell>
        </row>
        <row r="2090">
          <cell r="C2090" t="str">
            <v>پ/38-1402</v>
          </cell>
          <cell r="D2090">
            <v>23215</v>
          </cell>
        </row>
        <row r="2091">
          <cell r="C2091" t="str">
            <v>پ/43-1402</v>
          </cell>
          <cell r="D2091">
            <v>21090</v>
          </cell>
        </row>
        <row r="2092">
          <cell r="C2092" t="str">
            <v>پ/43-1402</v>
          </cell>
          <cell r="D2092">
            <v>21190</v>
          </cell>
        </row>
        <row r="2093">
          <cell r="C2093" t="str">
            <v>پ/43-1402</v>
          </cell>
          <cell r="D2093">
            <v>20240</v>
          </cell>
        </row>
        <row r="2094">
          <cell r="C2094" t="str">
            <v>121839</v>
          </cell>
          <cell r="D2094">
            <v>10040</v>
          </cell>
        </row>
        <row r="2095">
          <cell r="C2095" t="str">
            <v>پ/43-1402</v>
          </cell>
          <cell r="D2095">
            <v>20245</v>
          </cell>
        </row>
        <row r="2096">
          <cell r="C2096" t="str">
            <v>پ/43-1402</v>
          </cell>
          <cell r="D2096">
            <v>16690</v>
          </cell>
        </row>
        <row r="2097">
          <cell r="C2097" t="str">
            <v>پ/46-1402</v>
          </cell>
          <cell r="D2097">
            <v>22255</v>
          </cell>
        </row>
        <row r="2098">
          <cell r="C2098" t="str">
            <v>پ/45-1402</v>
          </cell>
          <cell r="D2098">
            <v>18480</v>
          </cell>
        </row>
        <row r="2099">
          <cell r="C2099" t="str">
            <v>پ/38-1402</v>
          </cell>
          <cell r="D2099">
            <v>19695</v>
          </cell>
        </row>
        <row r="2100">
          <cell r="C2100" t="str">
            <v>پ/38-1402</v>
          </cell>
          <cell r="D2100">
            <v>20220</v>
          </cell>
        </row>
        <row r="2101">
          <cell r="C2101" t="str">
            <v>پ/38-1402</v>
          </cell>
          <cell r="D2101">
            <v>20055</v>
          </cell>
        </row>
        <row r="2102">
          <cell r="C2102" t="str">
            <v>پ/38-1402</v>
          </cell>
          <cell r="D2102">
            <v>20115</v>
          </cell>
        </row>
        <row r="2103">
          <cell r="C2103" t="str">
            <v>پ/38-1402</v>
          </cell>
          <cell r="D2103">
            <v>20140</v>
          </cell>
        </row>
        <row r="2104">
          <cell r="C2104" t="str">
            <v>پ/45-1402</v>
          </cell>
          <cell r="D2104">
            <v>20635</v>
          </cell>
        </row>
        <row r="2105">
          <cell r="C2105" t="str">
            <v>پ/7-1403</v>
          </cell>
          <cell r="D2105">
            <v>20160</v>
          </cell>
        </row>
        <row r="2106">
          <cell r="C2106" t="str">
            <v>پ/41-1402</v>
          </cell>
          <cell r="D2106">
            <v>9440</v>
          </cell>
        </row>
        <row r="2107">
          <cell r="C2107" t="str">
            <v>پ/20-1403</v>
          </cell>
          <cell r="D2107">
            <v>18940</v>
          </cell>
        </row>
        <row r="2108">
          <cell r="C2108" t="str">
            <v>پ/12-1403</v>
          </cell>
          <cell r="D2108">
            <v>21085</v>
          </cell>
        </row>
        <row r="2109">
          <cell r="C2109" t="str">
            <v>پ/15-1403</v>
          </cell>
          <cell r="D2109">
            <v>21935</v>
          </cell>
        </row>
        <row r="2110">
          <cell r="C2110" t="str">
            <v>پ/12-1403</v>
          </cell>
          <cell r="D2110">
            <v>21325</v>
          </cell>
        </row>
        <row r="2111">
          <cell r="C2111" t="str">
            <v>پ/5-1403</v>
          </cell>
          <cell r="D2111">
            <v>11075</v>
          </cell>
        </row>
        <row r="2112">
          <cell r="C2112" t="str">
            <v>پ/13-1403</v>
          </cell>
          <cell r="D2112">
            <v>20510</v>
          </cell>
        </row>
        <row r="2113">
          <cell r="C2113" t="str">
            <v>پ/44-1402</v>
          </cell>
          <cell r="D2113">
            <v>20170</v>
          </cell>
        </row>
        <row r="2114">
          <cell r="C2114" t="str">
            <v>پ/20-1403</v>
          </cell>
          <cell r="D2114">
            <v>19115</v>
          </cell>
        </row>
        <row r="2115">
          <cell r="C2115" t="str">
            <v>پ/20-1403</v>
          </cell>
          <cell r="D2115">
            <v>19105</v>
          </cell>
        </row>
        <row r="2116">
          <cell r="C2116" t="str">
            <v>پ/13-1403</v>
          </cell>
          <cell r="D2116">
            <v>18250</v>
          </cell>
        </row>
        <row r="2117">
          <cell r="C2117" t="str">
            <v>پ/5-1403</v>
          </cell>
          <cell r="D2117">
            <v>10115</v>
          </cell>
        </row>
        <row r="2118">
          <cell r="C2118" t="str">
            <v>پ/20-1403</v>
          </cell>
          <cell r="D2118">
            <v>20135</v>
          </cell>
        </row>
        <row r="2119">
          <cell r="C2119" t="str">
            <v>پ/43-1402</v>
          </cell>
          <cell r="D2119">
            <v>20270</v>
          </cell>
        </row>
        <row r="2120">
          <cell r="C2120" t="str">
            <v>پ/43-1402</v>
          </cell>
          <cell r="D2120">
            <v>20130</v>
          </cell>
        </row>
        <row r="2121">
          <cell r="C2121" t="str">
            <v>پ/43-1402</v>
          </cell>
          <cell r="D2121">
            <v>20120</v>
          </cell>
        </row>
        <row r="2122">
          <cell r="C2122" t="str">
            <v>پ/45-1402</v>
          </cell>
          <cell r="D2122">
            <v>18415</v>
          </cell>
        </row>
        <row r="2123">
          <cell r="C2123" t="str">
            <v>پ/20-1403</v>
          </cell>
          <cell r="D2123">
            <v>20120</v>
          </cell>
        </row>
        <row r="2124">
          <cell r="C2124" t="str">
            <v>پ/43-1402</v>
          </cell>
        </row>
        <row r="2125">
          <cell r="C2125" t="str">
            <v>پ/43-1402</v>
          </cell>
          <cell r="D2125">
            <v>19995</v>
          </cell>
        </row>
        <row r="2126">
          <cell r="C2126" t="str">
            <v>پ/13-1403</v>
          </cell>
          <cell r="D2126">
            <v>17945</v>
          </cell>
        </row>
        <row r="2127">
          <cell r="C2127" t="str">
            <v>121302</v>
          </cell>
          <cell r="D2127">
            <v>20065</v>
          </cell>
        </row>
        <row r="2128">
          <cell r="C2128" t="str">
            <v>پ/15-1403</v>
          </cell>
          <cell r="D2128">
            <v>22105</v>
          </cell>
        </row>
        <row r="2129">
          <cell r="C2129" t="str">
            <v>پ/20-1403</v>
          </cell>
          <cell r="D2129">
            <v>20040</v>
          </cell>
        </row>
        <row r="2130">
          <cell r="C2130" t="str">
            <v>پ/44-1402</v>
          </cell>
          <cell r="D2130">
            <v>19985</v>
          </cell>
        </row>
        <row r="2131">
          <cell r="C2131" t="str">
            <v>پ/40-1402</v>
          </cell>
          <cell r="D2131">
            <v>21120</v>
          </cell>
        </row>
        <row r="2132">
          <cell r="C2132" t="str">
            <v>پ/43-1402</v>
          </cell>
          <cell r="D2132">
            <v>12010</v>
          </cell>
        </row>
        <row r="2133">
          <cell r="C2133" t="str">
            <v>پ/43-1402</v>
          </cell>
          <cell r="D2133">
            <v>19910</v>
          </cell>
        </row>
        <row r="2134">
          <cell r="C2134" t="str">
            <v>پ/41-1402</v>
          </cell>
          <cell r="D2134">
            <v>10080</v>
          </cell>
        </row>
        <row r="2135">
          <cell r="C2135" t="str">
            <v>پ/20-1403</v>
          </cell>
          <cell r="D2135">
            <v>20125</v>
          </cell>
        </row>
        <row r="2136">
          <cell r="C2136" t="str">
            <v>پ/45-1402</v>
          </cell>
          <cell r="D2136">
            <v>18580</v>
          </cell>
        </row>
        <row r="2137">
          <cell r="C2137" t="str">
            <v>پ/15-1403</v>
          </cell>
          <cell r="D2137">
            <v>22050</v>
          </cell>
        </row>
        <row r="2138">
          <cell r="C2138" t="str">
            <v>پ/45-1402</v>
          </cell>
          <cell r="D2138">
            <v>18070</v>
          </cell>
        </row>
        <row r="2139">
          <cell r="C2139" t="str">
            <v>پ/20-1403</v>
          </cell>
          <cell r="D2139">
            <v>20085</v>
          </cell>
        </row>
        <row r="2140">
          <cell r="C2140" t="str">
            <v>پ/45-1402</v>
          </cell>
          <cell r="D2140">
            <v>19005</v>
          </cell>
        </row>
        <row r="2141">
          <cell r="C2141" t="str">
            <v>پ/43-1402</v>
          </cell>
          <cell r="D2141">
            <v>20150</v>
          </cell>
        </row>
        <row r="2142">
          <cell r="C2142" t="str">
            <v>پ/13-1403</v>
          </cell>
          <cell r="D2142">
            <v>18140</v>
          </cell>
        </row>
        <row r="2143">
          <cell r="C2143" t="str">
            <v>پ/43-1402</v>
          </cell>
          <cell r="D2143">
            <v>20005</v>
          </cell>
        </row>
        <row r="2144">
          <cell r="C2144" t="str">
            <v>پ/43-1402</v>
          </cell>
          <cell r="D2144">
            <v>20050</v>
          </cell>
        </row>
        <row r="2145">
          <cell r="C2145" t="str">
            <v>پ/5-1403</v>
          </cell>
          <cell r="D2145">
            <v>10140</v>
          </cell>
        </row>
        <row r="2146">
          <cell r="C2146" t="str">
            <v>پ/20-1403</v>
          </cell>
          <cell r="D2146">
            <v>20065</v>
          </cell>
        </row>
        <row r="2147">
          <cell r="C2147" t="str">
            <v>پ/41-1402</v>
          </cell>
          <cell r="D2147">
            <v>9925</v>
          </cell>
        </row>
        <row r="2148">
          <cell r="C2148" t="str">
            <v>پ/43-1402</v>
          </cell>
          <cell r="D2148">
            <v>18780</v>
          </cell>
        </row>
        <row r="2149">
          <cell r="C2149" t="str">
            <v>پ/10-1403</v>
          </cell>
          <cell r="D2149">
            <v>19970</v>
          </cell>
        </row>
        <row r="2150">
          <cell r="C2150" t="str">
            <v>پ/13-1403</v>
          </cell>
          <cell r="D2150">
            <v>18030</v>
          </cell>
        </row>
        <row r="2151">
          <cell r="C2151" t="str">
            <v>پ/33-1402</v>
          </cell>
          <cell r="D2151">
            <v>20170</v>
          </cell>
        </row>
        <row r="2152">
          <cell r="C2152" t="str">
            <v>پ/5-1403</v>
          </cell>
          <cell r="D2152">
            <v>11015</v>
          </cell>
        </row>
        <row r="2153">
          <cell r="C2153" t="str">
            <v>پ/7-1403</v>
          </cell>
          <cell r="D2153">
            <v>19870</v>
          </cell>
        </row>
        <row r="2154">
          <cell r="C2154" t="str">
            <v>پ/44-1402</v>
          </cell>
          <cell r="D2154">
            <v>20110</v>
          </cell>
        </row>
        <row r="2155">
          <cell r="C2155" t="str">
            <v>پ/13-1403</v>
          </cell>
          <cell r="D2155">
            <v>18040</v>
          </cell>
        </row>
        <row r="2156">
          <cell r="C2156" t="str">
            <v>پ/20-1403</v>
          </cell>
          <cell r="D2156">
            <v>19060</v>
          </cell>
        </row>
        <row r="2157">
          <cell r="C2157" t="str">
            <v>پ/43-1402</v>
          </cell>
          <cell r="D2157">
            <v>20135</v>
          </cell>
        </row>
        <row r="2158">
          <cell r="C2158" t="str">
            <v>پ/46-1402</v>
          </cell>
          <cell r="D2158">
            <v>22285</v>
          </cell>
        </row>
        <row r="2159">
          <cell r="C2159" t="str">
            <v>پ/43-1402</v>
          </cell>
          <cell r="D2159">
            <v>19935</v>
          </cell>
        </row>
        <row r="2160">
          <cell r="C2160" t="str">
            <v>پ/45-1402</v>
          </cell>
          <cell r="D2160">
            <v>18905</v>
          </cell>
        </row>
        <row r="2161">
          <cell r="C2161" t="str">
            <v>پ/20-1403</v>
          </cell>
          <cell r="D2161">
            <v>18885</v>
          </cell>
        </row>
        <row r="2162">
          <cell r="C2162" t="str">
            <v>پ/24-1402</v>
          </cell>
          <cell r="D2162">
            <v>21100</v>
          </cell>
        </row>
        <row r="2163">
          <cell r="C2163" t="str">
            <v>پ/24-1402</v>
          </cell>
          <cell r="D2163">
            <v>21030</v>
          </cell>
        </row>
        <row r="2164">
          <cell r="C2164" t="str">
            <v>پ/24-1402</v>
          </cell>
          <cell r="D2164">
            <v>20535</v>
          </cell>
        </row>
        <row r="2165">
          <cell r="C2165" t="str">
            <v>پ/45-1402</v>
          </cell>
          <cell r="D2165">
            <v>19020</v>
          </cell>
        </row>
        <row r="2166">
          <cell r="C2166" t="str">
            <v>پ/43-1402</v>
          </cell>
          <cell r="D2166">
            <v>19765</v>
          </cell>
        </row>
        <row r="2167">
          <cell r="C2167" t="str">
            <v>پ/5-1403</v>
          </cell>
          <cell r="D2167">
            <v>10115</v>
          </cell>
        </row>
        <row r="2168">
          <cell r="C2168" t="str">
            <v>پ/20-1403</v>
          </cell>
          <cell r="D2168">
            <v>20085</v>
          </cell>
        </row>
        <row r="2169">
          <cell r="C2169" t="str">
            <v>پ/20-1403</v>
          </cell>
          <cell r="D2169">
            <v>19995</v>
          </cell>
        </row>
        <row r="2170">
          <cell r="C2170" t="str">
            <v>پ/20-1403</v>
          </cell>
          <cell r="D2170">
            <v>20240</v>
          </cell>
        </row>
        <row r="2171">
          <cell r="C2171" t="str">
            <v>پ/20-1403</v>
          </cell>
          <cell r="D2171">
            <v>19890</v>
          </cell>
        </row>
        <row r="2172">
          <cell r="C2172" t="str">
            <v>پ/20-1403</v>
          </cell>
          <cell r="D2172">
            <v>19870</v>
          </cell>
        </row>
        <row r="2173">
          <cell r="C2173" t="str">
            <v>پ/20-1403</v>
          </cell>
          <cell r="D2173">
            <v>21815</v>
          </cell>
        </row>
        <row r="2174">
          <cell r="C2174" t="str">
            <v>پ/20-1403</v>
          </cell>
          <cell r="D2174">
            <v>21725</v>
          </cell>
        </row>
        <row r="2175">
          <cell r="C2175" t="str">
            <v>پ/20-1403</v>
          </cell>
          <cell r="D2175">
            <v>21015</v>
          </cell>
        </row>
        <row r="2176">
          <cell r="C2176" t="str">
            <v>پ/15-1403</v>
          </cell>
          <cell r="D2176">
            <v>22005</v>
          </cell>
        </row>
        <row r="2177">
          <cell r="C2177" t="str">
            <v>پ/33-1402</v>
          </cell>
          <cell r="D2177">
            <v>20130</v>
          </cell>
        </row>
        <row r="2178">
          <cell r="C2178" t="str">
            <v>پ/43-1402</v>
          </cell>
          <cell r="D2178">
            <v>20095</v>
          </cell>
        </row>
        <row r="2179">
          <cell r="C2179" t="str">
            <v>پ/5-1403</v>
          </cell>
          <cell r="D2179">
            <v>11070</v>
          </cell>
        </row>
        <row r="2180">
          <cell r="C2180" t="str">
            <v>پ/13-1403</v>
          </cell>
          <cell r="D2180">
            <v>17965</v>
          </cell>
        </row>
        <row r="2181">
          <cell r="C2181" t="str">
            <v>پ/10-1403</v>
          </cell>
          <cell r="D2181">
            <v>19645</v>
          </cell>
        </row>
        <row r="2182">
          <cell r="C2182" t="str">
            <v>پ/44-1402</v>
          </cell>
          <cell r="D2182">
            <v>20395</v>
          </cell>
        </row>
        <row r="2183">
          <cell r="C2183" t="str">
            <v>پ/13-1403</v>
          </cell>
          <cell r="D2183">
            <v>17815</v>
          </cell>
        </row>
        <row r="2184">
          <cell r="C2184" t="str">
            <v>پ/24-1402</v>
          </cell>
          <cell r="D2184">
            <v>20940</v>
          </cell>
        </row>
        <row r="2185">
          <cell r="C2185" t="str">
            <v>پ/24-1402</v>
          </cell>
          <cell r="D2185">
            <v>20930</v>
          </cell>
        </row>
        <row r="2186">
          <cell r="C2186" t="str">
            <v>پ/24-1402</v>
          </cell>
          <cell r="D2186">
            <v>20860</v>
          </cell>
        </row>
        <row r="2187">
          <cell r="C2187" t="str">
            <v>پ/24-1402</v>
          </cell>
          <cell r="D2187">
            <v>20920</v>
          </cell>
        </row>
        <row r="2188">
          <cell r="C2188" t="str">
            <v>پ/43-1402</v>
          </cell>
          <cell r="D2188">
            <v>20135</v>
          </cell>
        </row>
        <row r="2189">
          <cell r="C2189" t="str">
            <v>پ/24-1402</v>
          </cell>
          <cell r="D2189">
            <v>20085</v>
          </cell>
        </row>
        <row r="2190">
          <cell r="C2190" t="str">
            <v>پ/24-1402</v>
          </cell>
          <cell r="D2190">
            <v>20905</v>
          </cell>
        </row>
        <row r="2191">
          <cell r="C2191" t="str">
            <v>پ/24-1402</v>
          </cell>
          <cell r="D2191">
            <v>21160</v>
          </cell>
        </row>
        <row r="2192">
          <cell r="C2192" t="str">
            <v>پ/43-1402</v>
          </cell>
          <cell r="D2192">
            <v>20080</v>
          </cell>
        </row>
        <row r="2193">
          <cell r="C2193" t="str">
            <v>پ/45-1402</v>
          </cell>
          <cell r="D2193">
            <v>18995</v>
          </cell>
        </row>
        <row r="2194">
          <cell r="C2194" t="str">
            <v>پ/5-1403</v>
          </cell>
          <cell r="D2194">
            <v>11185</v>
          </cell>
        </row>
        <row r="2195">
          <cell r="C2195" t="str">
            <v>پ/43-1402</v>
          </cell>
          <cell r="D2195">
            <v>8060</v>
          </cell>
        </row>
        <row r="2196">
          <cell r="C2196" t="str">
            <v>پ/38-1402</v>
          </cell>
          <cell r="D2196">
            <v>20310</v>
          </cell>
        </row>
        <row r="2197">
          <cell r="C2197" t="str">
            <v>پ/45-1402</v>
          </cell>
          <cell r="D2197">
            <v>19095</v>
          </cell>
        </row>
        <row r="2198">
          <cell r="C2198" t="str">
            <v>پ/38-1402</v>
          </cell>
          <cell r="D2198">
            <v>20120</v>
          </cell>
        </row>
        <row r="2199">
          <cell r="C2199" t="str">
            <v>پ/46-1402</v>
          </cell>
          <cell r="D2199">
            <v>20205</v>
          </cell>
        </row>
        <row r="2200">
          <cell r="C2200" t="str">
            <v>پ/33-1402</v>
          </cell>
          <cell r="D2200">
            <v>20300</v>
          </cell>
        </row>
        <row r="2201">
          <cell r="C2201" t="str">
            <v>پ/13-1403</v>
          </cell>
          <cell r="D2201">
            <v>18140</v>
          </cell>
        </row>
        <row r="2202">
          <cell r="C2202" t="str">
            <v>پ/43-1402</v>
          </cell>
          <cell r="D2202">
            <v>20200</v>
          </cell>
        </row>
        <row r="2203">
          <cell r="C2203" t="str">
            <v>پ/43-1402</v>
          </cell>
          <cell r="D2203">
            <v>19995</v>
          </cell>
        </row>
        <row r="2204">
          <cell r="C2204" t="str">
            <v>پ/43-1402</v>
          </cell>
          <cell r="D2204">
            <v>8120</v>
          </cell>
        </row>
        <row r="2205">
          <cell r="C2205" t="str">
            <v>پ/44-1402</v>
          </cell>
          <cell r="D2205">
            <v>20285</v>
          </cell>
        </row>
        <row r="2206">
          <cell r="C2206" t="str">
            <v>پ/45-1402</v>
          </cell>
          <cell r="D2206">
            <v>19035</v>
          </cell>
        </row>
        <row r="2207">
          <cell r="C2207" t="str">
            <v>پ/5-1403</v>
          </cell>
          <cell r="D2207">
            <v>11410</v>
          </cell>
        </row>
        <row r="2208">
          <cell r="C2208" t="str">
            <v>پ/15-1403</v>
          </cell>
          <cell r="D2208">
            <v>22180</v>
          </cell>
        </row>
        <row r="2209">
          <cell r="C2209" t="str">
            <v>پ/43-1402</v>
          </cell>
          <cell r="D2209">
            <v>20165</v>
          </cell>
        </row>
        <row r="2210">
          <cell r="C2210" t="str">
            <v>پ/13-1403</v>
          </cell>
          <cell r="D2210">
            <v>18055</v>
          </cell>
        </row>
        <row r="2211">
          <cell r="C2211" t="str">
            <v>پ/43-1402</v>
          </cell>
          <cell r="D2211">
            <v>20205</v>
          </cell>
        </row>
        <row r="2212">
          <cell r="C2212" t="str">
            <v>پ/15-1403</v>
          </cell>
          <cell r="D2212">
            <v>21965</v>
          </cell>
        </row>
        <row r="2213">
          <cell r="C2213" t="str">
            <v>پ/24-1402</v>
          </cell>
          <cell r="D2213">
            <v>20520</v>
          </cell>
        </row>
        <row r="2214">
          <cell r="C2214" t="str">
            <v>پ/24-1402</v>
          </cell>
          <cell r="D2214">
            <v>20470</v>
          </cell>
        </row>
        <row r="2215">
          <cell r="C2215" t="str">
            <v>پ/24-1402</v>
          </cell>
          <cell r="D2215">
            <v>21180</v>
          </cell>
        </row>
        <row r="2216">
          <cell r="C2216" t="str">
            <v>پ/45-1402</v>
          </cell>
          <cell r="D2216">
            <v>19050</v>
          </cell>
        </row>
        <row r="2217">
          <cell r="C2217" t="str">
            <v>پ/5-1403</v>
          </cell>
          <cell r="D2217">
            <v>11740</v>
          </cell>
        </row>
        <row r="2218">
          <cell r="C2218" t="str">
            <v>پ/24-1402</v>
          </cell>
          <cell r="D2218">
            <v>20460</v>
          </cell>
        </row>
        <row r="2219">
          <cell r="C2219" t="str">
            <v>پ/24-1402</v>
          </cell>
          <cell r="D2219">
            <v>20925</v>
          </cell>
        </row>
        <row r="2220">
          <cell r="C2220" t="str">
            <v>پ/24-1402</v>
          </cell>
          <cell r="D2220">
            <v>21000</v>
          </cell>
        </row>
        <row r="2221">
          <cell r="C2221" t="str">
            <v>پ/38-1402</v>
          </cell>
          <cell r="D2221">
            <v>20225</v>
          </cell>
        </row>
        <row r="2222">
          <cell r="C2222" t="str">
            <v>پ/13-1403</v>
          </cell>
          <cell r="D2222">
            <v>18270</v>
          </cell>
        </row>
        <row r="2223">
          <cell r="C2223" t="str">
            <v>پ/43-1402</v>
          </cell>
          <cell r="D2223">
            <v>19880</v>
          </cell>
        </row>
        <row r="2224">
          <cell r="C2224" t="str">
            <v>پ/46-1402</v>
          </cell>
          <cell r="D2224">
            <v>22540</v>
          </cell>
        </row>
        <row r="2225">
          <cell r="C2225" t="str">
            <v>پ/38-1402</v>
          </cell>
          <cell r="D2225">
            <v>20070</v>
          </cell>
        </row>
        <row r="2226">
          <cell r="C2226" t="str">
            <v>پ/44-1402</v>
          </cell>
          <cell r="D2226">
            <v>19955</v>
          </cell>
        </row>
        <row r="2227">
          <cell r="C2227" t="str">
            <v>پ/15-1403</v>
          </cell>
          <cell r="D2227">
            <v>22045</v>
          </cell>
        </row>
        <row r="2228">
          <cell r="C2228" t="str">
            <v>پ/45-1402</v>
          </cell>
          <cell r="D2228">
            <v>18990</v>
          </cell>
        </row>
        <row r="2229">
          <cell r="C2229" t="str">
            <v>پ/12-1403</v>
          </cell>
          <cell r="D2229">
            <v>20010</v>
          </cell>
        </row>
        <row r="2230">
          <cell r="C2230" t="str">
            <v>پ/43-1402</v>
          </cell>
          <cell r="D2230">
            <v>8060</v>
          </cell>
        </row>
        <row r="2231">
          <cell r="C2231" t="str">
            <v>پ/43-1402</v>
          </cell>
          <cell r="D2231">
            <v>20180</v>
          </cell>
        </row>
        <row r="2232">
          <cell r="C2232" t="str">
            <v>پ/24-1402</v>
          </cell>
          <cell r="D2232">
            <v>20950</v>
          </cell>
        </row>
        <row r="2233">
          <cell r="C2233" t="str">
            <v>پ/24-1402</v>
          </cell>
          <cell r="D2233">
            <v>20885</v>
          </cell>
        </row>
        <row r="2234">
          <cell r="C2234" t="str">
            <v>پ/24-1402</v>
          </cell>
          <cell r="D2234">
            <v>20925</v>
          </cell>
        </row>
        <row r="2235">
          <cell r="C2235" t="str">
            <v>پ/43-1402</v>
          </cell>
          <cell r="D2235">
            <v>19945</v>
          </cell>
        </row>
        <row r="2236">
          <cell r="C2236" t="str">
            <v>پ/10-1403</v>
          </cell>
          <cell r="D2236">
            <v>19930</v>
          </cell>
        </row>
        <row r="2237">
          <cell r="C2237" t="str">
            <v>پ/5-1403</v>
          </cell>
          <cell r="D2237">
            <v>11630</v>
          </cell>
        </row>
        <row r="2238">
          <cell r="C2238" t="str">
            <v>پ/38-1402</v>
          </cell>
          <cell r="D2238">
            <v>20225</v>
          </cell>
        </row>
        <row r="2239">
          <cell r="C2239" t="str">
            <v>پ/45-1402</v>
          </cell>
          <cell r="D2239">
            <v>19075</v>
          </cell>
        </row>
        <row r="2240">
          <cell r="C2240" t="str">
            <v>پ/38-1402</v>
          </cell>
          <cell r="D2240">
            <v>20060</v>
          </cell>
        </row>
        <row r="2241">
          <cell r="C2241" t="str">
            <v>پ/43-1402</v>
          </cell>
          <cell r="D2241">
            <v>20015</v>
          </cell>
        </row>
        <row r="2242">
          <cell r="C2242" t="str">
            <v>پ/13-1403</v>
          </cell>
          <cell r="D2242">
            <v>18005</v>
          </cell>
        </row>
        <row r="2243">
          <cell r="C2243" t="str">
            <v>پ/7-1403</v>
          </cell>
          <cell r="D2243">
            <v>23380</v>
          </cell>
        </row>
        <row r="2244">
          <cell r="C2244" t="str">
            <v>پ/46-1402</v>
          </cell>
          <cell r="D2244">
            <v>21805</v>
          </cell>
        </row>
        <row r="2245">
          <cell r="C2245" t="str">
            <v>پ/45-1402</v>
          </cell>
          <cell r="D2245">
            <v>18515</v>
          </cell>
        </row>
        <row r="2246">
          <cell r="C2246" t="str">
            <v>پ/43-1402</v>
          </cell>
          <cell r="D2246">
            <v>20160</v>
          </cell>
        </row>
        <row r="2247">
          <cell r="C2247" t="str">
            <v>پ/5-1403</v>
          </cell>
          <cell r="D2247">
            <v>11235</v>
          </cell>
        </row>
        <row r="2248">
          <cell r="C2248" t="str">
            <v>پ/33-1402</v>
          </cell>
          <cell r="D2248">
            <v>21055</v>
          </cell>
        </row>
        <row r="2249">
          <cell r="C2249" t="str">
            <v>پ/44-1402</v>
          </cell>
          <cell r="D2249">
            <v>19860</v>
          </cell>
        </row>
        <row r="2250">
          <cell r="C2250" t="str">
            <v>پ/15-1403</v>
          </cell>
          <cell r="D2250">
            <v>21460</v>
          </cell>
        </row>
        <row r="2251">
          <cell r="C2251" t="str">
            <v>پ/45-1402</v>
          </cell>
          <cell r="D2251">
            <v>19225</v>
          </cell>
        </row>
        <row r="2252">
          <cell r="C2252" t="str">
            <v>پ/43-1402</v>
          </cell>
          <cell r="D2252">
            <v>7545</v>
          </cell>
        </row>
        <row r="2253">
          <cell r="C2253" t="str">
            <v>پ/45-1402</v>
          </cell>
          <cell r="D2253">
            <v>17850</v>
          </cell>
        </row>
        <row r="2254">
          <cell r="C2254" t="str">
            <v>پ/43-1402</v>
          </cell>
          <cell r="D2254">
            <v>20940</v>
          </cell>
        </row>
        <row r="2255">
          <cell r="C2255" t="str">
            <v>پ/38-1402</v>
          </cell>
          <cell r="D2255">
            <v>19965</v>
          </cell>
        </row>
        <row r="2256">
          <cell r="C2256" t="str">
            <v>پ/24-1402</v>
          </cell>
          <cell r="D2256">
            <v>21090</v>
          </cell>
        </row>
        <row r="2257">
          <cell r="C2257" t="str">
            <v>پ/24-1402</v>
          </cell>
          <cell r="D2257">
            <v>21110</v>
          </cell>
        </row>
        <row r="2258">
          <cell r="C2258" t="str">
            <v>پ/24-1402</v>
          </cell>
          <cell r="D2258">
            <v>21160</v>
          </cell>
        </row>
        <row r="2259">
          <cell r="C2259" t="str">
            <v>پ/24-1402</v>
          </cell>
          <cell r="D2259">
            <v>20485</v>
          </cell>
        </row>
        <row r="2260">
          <cell r="C2260" t="str">
            <v>پ/13-1403</v>
          </cell>
          <cell r="D2260">
            <v>18225</v>
          </cell>
        </row>
        <row r="2261">
          <cell r="C2261" t="str">
            <v>پ/43-1402</v>
          </cell>
          <cell r="D2261">
            <v>20100</v>
          </cell>
        </row>
        <row r="2262">
          <cell r="C2262" t="str">
            <v>پ/45-1402</v>
          </cell>
          <cell r="D2262">
            <v>17710</v>
          </cell>
        </row>
        <row r="2263">
          <cell r="C2263" t="str">
            <v>پ/8-1403</v>
          </cell>
          <cell r="D2263">
            <v>6370</v>
          </cell>
        </row>
        <row r="2264">
          <cell r="C2264" t="str">
            <v>پ/24-1402</v>
          </cell>
          <cell r="D2264">
            <v>20950</v>
          </cell>
        </row>
        <row r="2265">
          <cell r="C2265" t="str">
            <v>پ/24-1402</v>
          </cell>
          <cell r="D2265">
            <v>20800</v>
          </cell>
        </row>
        <row r="2266">
          <cell r="C2266" t="str">
            <v>پ/24-1402</v>
          </cell>
          <cell r="D2266">
            <v>21055</v>
          </cell>
        </row>
        <row r="2267">
          <cell r="C2267" t="str">
            <v>پ/13-1403</v>
          </cell>
          <cell r="D2267">
            <v>17940</v>
          </cell>
        </row>
        <row r="2268">
          <cell r="C2268" t="str">
            <v>پ/5-1403</v>
          </cell>
          <cell r="D2268">
            <v>8205</v>
          </cell>
        </row>
        <row r="2269">
          <cell r="C2269" t="str">
            <v>پ/45-1402</v>
          </cell>
          <cell r="D2269">
            <v>19240</v>
          </cell>
        </row>
        <row r="2270">
          <cell r="C2270" t="str">
            <v>پ/5-1403</v>
          </cell>
          <cell r="D2270">
            <v>9495</v>
          </cell>
        </row>
        <row r="2271">
          <cell r="C2271" t="str">
            <v>پ/15-1403</v>
          </cell>
          <cell r="D2271">
            <v>22125</v>
          </cell>
        </row>
        <row r="2272">
          <cell r="C2272" t="str">
            <v>پ/43-1402</v>
          </cell>
          <cell r="D2272">
            <v>20045</v>
          </cell>
        </row>
        <row r="2273">
          <cell r="C2273" t="str">
            <v>پ/38-1402</v>
          </cell>
          <cell r="D2273">
            <v>20160</v>
          </cell>
        </row>
        <row r="2274">
          <cell r="C2274" t="str">
            <v>پ/46-1402</v>
          </cell>
          <cell r="D2274">
            <v>22275</v>
          </cell>
        </row>
        <row r="2275">
          <cell r="C2275" t="str">
            <v>پ/45-1402</v>
          </cell>
          <cell r="D2275">
            <v>18530</v>
          </cell>
        </row>
        <row r="2276">
          <cell r="C2276" t="str">
            <v>پ/33-1402</v>
          </cell>
          <cell r="D2276">
            <v>5970</v>
          </cell>
        </row>
        <row r="2277">
          <cell r="C2277" t="str">
            <v>پ/43-1402</v>
          </cell>
          <cell r="D2277">
            <v>20040</v>
          </cell>
        </row>
        <row r="2278">
          <cell r="C2278" t="str">
            <v>پ/43-1402</v>
          </cell>
          <cell r="D2278">
            <v>8100</v>
          </cell>
        </row>
        <row r="2279">
          <cell r="C2279" t="str">
            <v>پ/33-1402</v>
          </cell>
          <cell r="D2279">
            <v>20100</v>
          </cell>
        </row>
        <row r="2280">
          <cell r="C2280" t="str">
            <v>پ/13-1403</v>
          </cell>
          <cell r="D2280">
            <v>18155</v>
          </cell>
        </row>
        <row r="2281">
          <cell r="C2281" t="str">
            <v>پ/8-1403</v>
          </cell>
          <cell r="D2281">
            <v>7510</v>
          </cell>
        </row>
        <row r="2282">
          <cell r="C2282" t="str">
            <v>پ/15-1403</v>
          </cell>
          <cell r="D2282">
            <v>22095</v>
          </cell>
        </row>
        <row r="2283">
          <cell r="C2283" t="str">
            <v>پ/38-1402</v>
          </cell>
          <cell r="D2283">
            <v>20245</v>
          </cell>
        </row>
        <row r="2284">
          <cell r="C2284" t="str">
            <v>پ/44-1402</v>
          </cell>
          <cell r="D2284">
            <v>20115</v>
          </cell>
        </row>
        <row r="2285">
          <cell r="C2285" t="str">
            <v>پ/38-1402</v>
          </cell>
          <cell r="D2285">
            <v>5050</v>
          </cell>
        </row>
        <row r="2286">
          <cell r="C2286" t="str">
            <v>پ/38-1402</v>
          </cell>
          <cell r="D2286">
            <v>20265</v>
          </cell>
        </row>
        <row r="2287">
          <cell r="C2287" t="str">
            <v>پ/38-1402</v>
          </cell>
          <cell r="D2287">
            <v>20255</v>
          </cell>
        </row>
        <row r="2288">
          <cell r="C2288" t="str">
            <v>پ/38-1402</v>
          </cell>
          <cell r="D2288">
            <v>10050</v>
          </cell>
        </row>
        <row r="2289">
          <cell r="C2289" t="str">
            <v>پ/38-1402</v>
          </cell>
          <cell r="D2289">
            <v>19965</v>
          </cell>
        </row>
        <row r="2290">
          <cell r="C2290" t="str">
            <v>پ/38-1402</v>
          </cell>
          <cell r="D2290">
            <v>20445</v>
          </cell>
        </row>
        <row r="2291">
          <cell r="C2291" t="str">
            <v>پ/38-1402</v>
          </cell>
          <cell r="D2291">
            <v>5115</v>
          </cell>
        </row>
        <row r="2292">
          <cell r="C2292" t="str">
            <v>پ/38-1402</v>
          </cell>
          <cell r="D2292">
            <v>20050</v>
          </cell>
        </row>
        <row r="2293">
          <cell r="C2293" t="str">
            <v>پ/37-1402</v>
          </cell>
          <cell r="D2293">
            <v>2490</v>
          </cell>
        </row>
        <row r="2294">
          <cell r="C2294" t="str">
            <v>پ/40-1402</v>
          </cell>
          <cell r="D2294">
            <v>9130</v>
          </cell>
        </row>
        <row r="2295">
          <cell r="C2295" t="str">
            <v>پ/38-1402</v>
          </cell>
          <cell r="D2295">
            <v>8510</v>
          </cell>
        </row>
        <row r="2296">
          <cell r="C2296" t="str">
            <v>پ/43-1402</v>
          </cell>
          <cell r="D2296">
            <v>8215</v>
          </cell>
        </row>
        <row r="2297">
          <cell r="C2297" t="str">
            <v>پ/44-1402</v>
          </cell>
          <cell r="D2297">
            <v>19960</v>
          </cell>
        </row>
        <row r="2298">
          <cell r="C2298" t="str">
            <v>پ/43-1402</v>
          </cell>
          <cell r="D2298">
            <v>19790</v>
          </cell>
        </row>
        <row r="2299">
          <cell r="C2299" t="str">
            <v>پ/24-1402</v>
          </cell>
          <cell r="D2299">
            <v>20905</v>
          </cell>
        </row>
        <row r="2300">
          <cell r="C2300" t="str">
            <v>پ/24-1402</v>
          </cell>
          <cell r="D2300">
            <v>21120</v>
          </cell>
        </row>
        <row r="2301">
          <cell r="C2301" t="str">
            <v>پ/24-1402</v>
          </cell>
          <cell r="D2301">
            <v>21065</v>
          </cell>
        </row>
        <row r="2302">
          <cell r="C2302" t="str">
            <v>پ/24-1402</v>
          </cell>
          <cell r="D2302">
            <v>21135</v>
          </cell>
        </row>
        <row r="2303">
          <cell r="C2303" t="str">
            <v>پ/24-1402</v>
          </cell>
          <cell r="D2303">
            <v>21165</v>
          </cell>
        </row>
        <row r="2304">
          <cell r="C2304" t="str">
            <v>پ/33-1402</v>
          </cell>
          <cell r="D2304">
            <v>5885</v>
          </cell>
        </row>
        <row r="2305">
          <cell r="C2305" t="str">
            <v>پ/5-1403</v>
          </cell>
          <cell r="D2305">
            <v>11115</v>
          </cell>
        </row>
        <row r="2306">
          <cell r="C2306" t="str">
            <v>پ/43-1402</v>
          </cell>
          <cell r="D2306">
            <v>19680</v>
          </cell>
        </row>
        <row r="2307">
          <cell r="C2307" t="str">
            <v>پ/10-1403</v>
          </cell>
          <cell r="D2307">
            <v>18145</v>
          </cell>
        </row>
        <row r="2308">
          <cell r="C2308" t="str">
            <v>پ/13-1403</v>
          </cell>
          <cell r="D2308">
            <v>17950</v>
          </cell>
        </row>
        <row r="2309">
          <cell r="C2309" t="str">
            <v>پ/46-1402</v>
          </cell>
          <cell r="D2309">
            <v>22155</v>
          </cell>
        </row>
        <row r="2310">
          <cell r="C2310" t="str">
            <v>پ/45-1402</v>
          </cell>
          <cell r="D2310">
            <v>18100</v>
          </cell>
        </row>
        <row r="2311">
          <cell r="C2311" t="str">
            <v>پ/45-1402</v>
          </cell>
          <cell r="D2311">
            <v>18150</v>
          </cell>
        </row>
        <row r="2312">
          <cell r="C2312" t="str">
            <v>پ/43-1402</v>
          </cell>
          <cell r="D2312">
            <v>8180</v>
          </cell>
        </row>
        <row r="2313">
          <cell r="C2313" t="str">
            <v>پ/43-1402</v>
          </cell>
          <cell r="D2313">
            <v>20080</v>
          </cell>
        </row>
        <row r="2314">
          <cell r="C2314" t="str">
            <v>پ/15-1403</v>
          </cell>
          <cell r="D2314">
            <v>19955</v>
          </cell>
        </row>
        <row r="2315">
          <cell r="C2315" t="str">
            <v>پ/44-1402</v>
          </cell>
          <cell r="D2315">
            <v>19635</v>
          </cell>
        </row>
        <row r="2316">
          <cell r="C2316" t="str">
            <v>پ/33-1402</v>
          </cell>
          <cell r="D2316">
            <v>20105</v>
          </cell>
        </row>
        <row r="2317">
          <cell r="C2317" t="str">
            <v>پ/8-1403</v>
          </cell>
          <cell r="D2317">
            <v>7565</v>
          </cell>
        </row>
        <row r="2318">
          <cell r="C2318" t="str">
            <v>پ/43-1402</v>
          </cell>
          <cell r="D2318">
            <v>8030</v>
          </cell>
        </row>
        <row r="2319">
          <cell r="C2319" t="str">
            <v>پ/44-1402</v>
          </cell>
          <cell r="D2319">
            <v>5930</v>
          </cell>
        </row>
        <row r="2320">
          <cell r="C2320" t="str">
            <v>پ/5-1403</v>
          </cell>
          <cell r="D2320">
            <v>10045</v>
          </cell>
        </row>
        <row r="2321">
          <cell r="C2321" t="str">
            <v>پ/43-1402</v>
          </cell>
          <cell r="D2321">
            <v>20015</v>
          </cell>
        </row>
        <row r="2322">
          <cell r="C2322" t="str">
            <v>پ/15-1403</v>
          </cell>
          <cell r="D2322">
            <v>19955</v>
          </cell>
        </row>
        <row r="2323">
          <cell r="C2323" t="str">
            <v>پ/13-1403</v>
          </cell>
          <cell r="D2323">
            <v>17550</v>
          </cell>
        </row>
        <row r="2324">
          <cell r="C2324" t="str">
            <v>پ/24-1402</v>
          </cell>
          <cell r="D2324">
            <v>19955</v>
          </cell>
        </row>
        <row r="2325">
          <cell r="C2325" t="str">
            <v>پ/24-1402</v>
          </cell>
          <cell r="D2325">
            <v>20165</v>
          </cell>
        </row>
        <row r="2326">
          <cell r="C2326" t="str">
            <v>پ/24-1402</v>
          </cell>
          <cell r="D2326">
            <v>20050</v>
          </cell>
        </row>
        <row r="2327">
          <cell r="C2327" t="str">
            <v>پ/12-1403</v>
          </cell>
          <cell r="D2327">
            <v>20335</v>
          </cell>
        </row>
        <row r="2328">
          <cell r="C2328" t="str">
            <v>پ/24-1402</v>
          </cell>
          <cell r="D2328">
            <v>20095</v>
          </cell>
        </row>
        <row r="2329">
          <cell r="C2329" t="str">
            <v>پ/24-1402</v>
          </cell>
          <cell r="D2329">
            <v>20165</v>
          </cell>
        </row>
        <row r="2330">
          <cell r="C2330" t="str">
            <v>پ/24-1402</v>
          </cell>
          <cell r="D2330">
            <v>19985</v>
          </cell>
        </row>
        <row r="2331">
          <cell r="C2331" t="str">
            <v>پ/45-1402</v>
          </cell>
          <cell r="D2331">
            <v>14645</v>
          </cell>
        </row>
        <row r="2332">
          <cell r="C2332" t="str">
            <v>پ/10-1403</v>
          </cell>
          <cell r="D2332">
            <v>20235</v>
          </cell>
        </row>
        <row r="2333">
          <cell r="C2333" t="str">
            <v>پ/5-1403</v>
          </cell>
          <cell r="D2333">
            <v>9825</v>
          </cell>
        </row>
        <row r="2334">
          <cell r="C2334" t="str">
            <v>پ/43-1402</v>
          </cell>
          <cell r="D2334">
            <v>20565</v>
          </cell>
        </row>
        <row r="2335">
          <cell r="C2335" t="str">
            <v>پ/45-1402</v>
          </cell>
          <cell r="D2335">
            <v>17840</v>
          </cell>
        </row>
        <row r="2336">
          <cell r="C2336" t="str">
            <v>پ/43-1402</v>
          </cell>
          <cell r="D2336">
            <v>20055</v>
          </cell>
        </row>
        <row r="2337">
          <cell r="C2337" t="str">
            <v>پ/33-1402</v>
          </cell>
          <cell r="D2337">
            <v>19720</v>
          </cell>
        </row>
        <row r="2338">
          <cell r="C2338" t="str">
            <v>پ/46-1402</v>
          </cell>
          <cell r="D2338">
            <v>22610</v>
          </cell>
        </row>
        <row r="2339">
          <cell r="C2339" t="str">
            <v>پ/18-1403</v>
          </cell>
          <cell r="D2339">
            <v>15075</v>
          </cell>
        </row>
        <row r="2340">
          <cell r="C2340" t="str">
            <v>پ/15-1403</v>
          </cell>
          <cell r="D2340">
            <v>20155</v>
          </cell>
        </row>
        <row r="2341">
          <cell r="C2341" t="str">
            <v>پ/8-1403</v>
          </cell>
          <cell r="D2341">
            <v>6985</v>
          </cell>
        </row>
        <row r="2342">
          <cell r="C2342" t="str">
            <v>پ/8-1403</v>
          </cell>
          <cell r="D2342">
            <v>6670</v>
          </cell>
        </row>
        <row r="2343">
          <cell r="C2343" t="str">
            <v>پ/44-1402</v>
          </cell>
          <cell r="D2343">
            <v>20270</v>
          </cell>
        </row>
        <row r="2344">
          <cell r="C2344" t="str">
            <v>پ/24-1402</v>
          </cell>
          <cell r="D2344">
            <v>20035</v>
          </cell>
        </row>
        <row r="2345">
          <cell r="C2345" t="str">
            <v>پ/24-1402</v>
          </cell>
          <cell r="D2345">
            <v>20145</v>
          </cell>
        </row>
        <row r="2346">
          <cell r="C2346" t="str">
            <v>پ/24-1402</v>
          </cell>
          <cell r="D2346">
            <v>20075</v>
          </cell>
        </row>
        <row r="2347">
          <cell r="C2347" t="str">
            <v>پ/43-1402</v>
          </cell>
          <cell r="D2347">
            <v>20020</v>
          </cell>
        </row>
        <row r="2348">
          <cell r="C2348" t="str">
            <v>پ/43-1402</v>
          </cell>
          <cell r="D2348">
            <v>8160</v>
          </cell>
        </row>
        <row r="2349">
          <cell r="C2349" t="str">
            <v>پ/45-1402</v>
          </cell>
          <cell r="D2349">
            <v>18450</v>
          </cell>
        </row>
        <row r="2350">
          <cell r="C2350" t="str">
            <v>پ/13-1403</v>
          </cell>
          <cell r="D2350">
            <v>18185</v>
          </cell>
        </row>
        <row r="2351">
          <cell r="C2351" t="str">
            <v>پ/43-1402</v>
          </cell>
          <cell r="D2351">
            <v>7475</v>
          </cell>
        </row>
        <row r="2352">
          <cell r="C2352" t="str">
            <v>پ/5-1403</v>
          </cell>
          <cell r="D2352">
            <v>11975</v>
          </cell>
        </row>
        <row r="2353">
          <cell r="C2353" t="str">
            <v>پ/13-1403</v>
          </cell>
          <cell r="D2353">
            <v>17945</v>
          </cell>
        </row>
        <row r="2354">
          <cell r="C2354" t="str">
            <v>پ/24-1402</v>
          </cell>
          <cell r="D2354">
            <v>20120</v>
          </cell>
        </row>
        <row r="2355">
          <cell r="C2355" t="str">
            <v>پ/24-1402</v>
          </cell>
          <cell r="D2355">
            <v>20060</v>
          </cell>
        </row>
        <row r="2356">
          <cell r="C2356" t="str">
            <v>پ/5-1403</v>
          </cell>
          <cell r="D2356">
            <v>10120</v>
          </cell>
        </row>
        <row r="2357">
          <cell r="C2357" t="str">
            <v>پ/12-1403</v>
          </cell>
          <cell r="D2357">
            <v>20130</v>
          </cell>
        </row>
        <row r="2358">
          <cell r="C2358" t="str">
            <v>پ/43-1402</v>
          </cell>
          <cell r="D2358">
            <v>20100</v>
          </cell>
        </row>
        <row r="2359">
          <cell r="C2359" t="str">
            <v>پ/42-1402</v>
          </cell>
          <cell r="D2359">
            <v>3550</v>
          </cell>
        </row>
        <row r="2360">
          <cell r="C2360" t="str">
            <v>پ/41-1402</v>
          </cell>
          <cell r="D2360">
            <v>6335</v>
          </cell>
        </row>
        <row r="2361">
          <cell r="C2361" t="str">
            <v>پ/8-1403</v>
          </cell>
          <cell r="D2361">
            <v>7010</v>
          </cell>
        </row>
        <row r="2362">
          <cell r="C2362" t="str">
            <v>پ/8-1403</v>
          </cell>
          <cell r="D2362">
            <v>7780</v>
          </cell>
        </row>
        <row r="2363">
          <cell r="C2363" t="str">
            <v>پ/45-1402</v>
          </cell>
          <cell r="D2363">
            <v>18225</v>
          </cell>
        </row>
        <row r="2364">
          <cell r="C2364" t="str">
            <v>پ/7-1403</v>
          </cell>
          <cell r="D2364">
            <v>20005</v>
          </cell>
        </row>
        <row r="2365">
          <cell r="C2365" t="str">
            <v>پ/43-1402</v>
          </cell>
          <cell r="D2365">
            <v>20080</v>
          </cell>
        </row>
        <row r="2366">
          <cell r="C2366" t="str">
            <v>پ/46-1402</v>
          </cell>
          <cell r="D2366">
            <v>20245</v>
          </cell>
        </row>
        <row r="2367">
          <cell r="C2367" t="str">
            <v>پ/45-1402</v>
          </cell>
          <cell r="D2367">
            <v>17930</v>
          </cell>
        </row>
        <row r="2368">
          <cell r="C2368" t="str">
            <v>پ/15-1403</v>
          </cell>
          <cell r="D2368">
            <v>7080</v>
          </cell>
        </row>
        <row r="2369">
          <cell r="C2369" t="str">
            <v>پ/13-1403</v>
          </cell>
          <cell r="D2369">
            <v>17075</v>
          </cell>
        </row>
        <row r="2370">
          <cell r="C2370" t="str">
            <v>پ/33-1402</v>
          </cell>
          <cell r="D2370">
            <v>10010</v>
          </cell>
        </row>
        <row r="2371">
          <cell r="C2371" t="str">
            <v>پ/5-1403</v>
          </cell>
          <cell r="D2371">
            <v>9680</v>
          </cell>
        </row>
        <row r="2372">
          <cell r="C2372" t="str">
            <v>پ/44-1402</v>
          </cell>
          <cell r="D2372">
            <v>17975</v>
          </cell>
        </row>
        <row r="2373">
          <cell r="C2373" t="str">
            <v>پ/8-1403</v>
          </cell>
          <cell r="D2373">
            <v>7820</v>
          </cell>
        </row>
        <row r="2374">
          <cell r="C2374" t="str">
            <v>پ/8-1403</v>
          </cell>
          <cell r="D2374">
            <v>7880</v>
          </cell>
        </row>
        <row r="2375">
          <cell r="C2375" t="str">
            <v>پ/8-1403</v>
          </cell>
          <cell r="D2375">
            <v>7680</v>
          </cell>
        </row>
        <row r="2376">
          <cell r="C2376" t="str">
            <v>پ/8-1403</v>
          </cell>
          <cell r="D2376">
            <v>7600</v>
          </cell>
        </row>
        <row r="2377">
          <cell r="C2377" t="str">
            <v>پ/8-1403</v>
          </cell>
          <cell r="D2377">
            <v>7370</v>
          </cell>
        </row>
        <row r="2378">
          <cell r="C2378" t="str">
            <v>پ/8-1403</v>
          </cell>
          <cell r="D2378">
            <v>7480</v>
          </cell>
        </row>
        <row r="2379">
          <cell r="C2379" t="str">
            <v>پ/8-1403</v>
          </cell>
          <cell r="D2379">
            <v>9040</v>
          </cell>
        </row>
        <row r="2380">
          <cell r="C2380" t="str">
            <v>پ/15-1403</v>
          </cell>
          <cell r="D2380">
            <v>21365</v>
          </cell>
        </row>
        <row r="2381">
          <cell r="C2381" t="str">
            <v>پ/43-1402</v>
          </cell>
          <cell r="D2381">
            <v>8085</v>
          </cell>
        </row>
        <row r="2382">
          <cell r="C2382" t="str">
            <v>پ/5-1403</v>
          </cell>
          <cell r="D2382">
            <v>10180</v>
          </cell>
        </row>
        <row r="2383">
          <cell r="C2383" t="str">
            <v>پ/10-1403</v>
          </cell>
          <cell r="D2383">
            <v>20105</v>
          </cell>
        </row>
        <row r="2384">
          <cell r="C2384" t="str">
            <v>پ/43-1402</v>
          </cell>
          <cell r="D2384">
            <v>18960</v>
          </cell>
        </row>
        <row r="2385">
          <cell r="C2385" t="str">
            <v>پ/13-1403</v>
          </cell>
          <cell r="D2385">
            <v>18065</v>
          </cell>
        </row>
        <row r="2386">
          <cell r="C2386" t="str">
            <v>پ/24-1402</v>
          </cell>
          <cell r="D2386">
            <v>19995</v>
          </cell>
        </row>
        <row r="2387">
          <cell r="C2387" t="str">
            <v>پ/24-1402</v>
          </cell>
          <cell r="D2387">
            <v>20040</v>
          </cell>
        </row>
        <row r="2388">
          <cell r="C2388" t="str">
            <v>پ/24-1402</v>
          </cell>
          <cell r="D2388">
            <v>20050</v>
          </cell>
        </row>
        <row r="2389">
          <cell r="C2389" t="str">
            <v>پ/24-1402</v>
          </cell>
          <cell r="D2389">
            <v>19995</v>
          </cell>
        </row>
        <row r="2390">
          <cell r="C2390" t="str">
            <v>پ/15-1403</v>
          </cell>
          <cell r="D2390">
            <v>20590</v>
          </cell>
        </row>
        <row r="2391">
          <cell r="C2391" t="str">
            <v>پ/46-1402</v>
          </cell>
          <cell r="D2391">
            <v>20390</v>
          </cell>
        </row>
        <row r="2392">
          <cell r="C2392" t="str">
            <v>پ/43-1402</v>
          </cell>
          <cell r="D2392">
            <v>19130</v>
          </cell>
        </row>
        <row r="2393">
          <cell r="C2393" t="str">
            <v>پ/45-1402</v>
          </cell>
          <cell r="D2393">
            <v>18050</v>
          </cell>
        </row>
        <row r="2394">
          <cell r="C2394" t="str">
            <v>پ/45-1402</v>
          </cell>
          <cell r="D2394">
            <v>18380</v>
          </cell>
        </row>
        <row r="2395">
          <cell r="C2395" t="str">
            <v>پ/13-1403</v>
          </cell>
          <cell r="D2395">
            <v>17060</v>
          </cell>
        </row>
        <row r="2396">
          <cell r="C2396" t="str">
            <v>پ/5-1403</v>
          </cell>
          <cell r="D2396">
            <v>10080</v>
          </cell>
        </row>
        <row r="2397">
          <cell r="C2397" t="str">
            <v>پ/7-1403</v>
          </cell>
          <cell r="D2397">
            <v>11910</v>
          </cell>
        </row>
        <row r="2398">
          <cell r="C2398" t="str">
            <v>پ/15-1403</v>
          </cell>
          <cell r="D2398">
            <v>21250</v>
          </cell>
        </row>
        <row r="2399">
          <cell r="C2399" t="str">
            <v>پ/12-1403</v>
          </cell>
          <cell r="D2399">
            <v>18180</v>
          </cell>
        </row>
        <row r="2400">
          <cell r="C2400" t="str">
            <v>پ/5-1403</v>
          </cell>
          <cell r="D2400">
            <v>10140</v>
          </cell>
        </row>
        <row r="2401">
          <cell r="C2401" t="str">
            <v>پ/43-1402</v>
          </cell>
          <cell r="D2401">
            <v>19720</v>
          </cell>
        </row>
        <row r="2402">
          <cell r="C2402" t="str">
            <v>پ/13-1403</v>
          </cell>
          <cell r="D2402">
            <v>7870</v>
          </cell>
        </row>
        <row r="2403">
          <cell r="C2403" t="str">
            <v>پ/24-1402</v>
          </cell>
          <cell r="D2403">
            <v>21060</v>
          </cell>
        </row>
        <row r="2404">
          <cell r="C2404" t="str">
            <v>پ/24-1402</v>
          </cell>
          <cell r="D2404">
            <v>20350</v>
          </cell>
        </row>
        <row r="2405">
          <cell r="C2405" t="str">
            <v>پ/45-1402</v>
          </cell>
          <cell r="D2405">
            <v>18400</v>
          </cell>
        </row>
        <row r="2406">
          <cell r="C2406" t="str">
            <v>پ/16-1403</v>
          </cell>
          <cell r="D2406">
            <v>9720</v>
          </cell>
        </row>
        <row r="2407">
          <cell r="C2407" t="str">
            <v>پ/13-1403</v>
          </cell>
          <cell r="D2407">
            <v>7070</v>
          </cell>
        </row>
        <row r="2408">
          <cell r="C2408" t="str">
            <v>پ/24-1402</v>
          </cell>
          <cell r="D2408">
            <v>21020</v>
          </cell>
        </row>
        <row r="2409">
          <cell r="C2409" t="str">
            <v>پ/24-1402</v>
          </cell>
          <cell r="D2409">
            <v>21160</v>
          </cell>
        </row>
        <row r="2410">
          <cell r="C2410" t="str">
            <v>پ/43-1402</v>
          </cell>
          <cell r="D2410">
            <v>7920</v>
          </cell>
        </row>
        <row r="2411">
          <cell r="C2411" t="str">
            <v>پ/46-1402</v>
          </cell>
          <cell r="D2411">
            <v>19860</v>
          </cell>
        </row>
        <row r="2412">
          <cell r="C2412" t="str">
            <v>پ/43-1402</v>
          </cell>
          <cell r="D2412">
            <v>20980</v>
          </cell>
        </row>
        <row r="2413">
          <cell r="C2413" t="str">
            <v>پ/45-1402</v>
          </cell>
          <cell r="D2413">
            <v>18160</v>
          </cell>
        </row>
        <row r="2414">
          <cell r="C2414" t="str">
            <v>پ/15-1403</v>
          </cell>
          <cell r="D2414">
            <v>22660</v>
          </cell>
        </row>
        <row r="2415">
          <cell r="C2415" t="str">
            <v>پ/5-1403</v>
          </cell>
          <cell r="D2415">
            <v>12680</v>
          </cell>
        </row>
        <row r="2416">
          <cell r="C2416" t="str">
            <v>پ/43-1402</v>
          </cell>
          <cell r="D2416">
            <v>20840</v>
          </cell>
        </row>
        <row r="2417">
          <cell r="C2417" t="str">
            <v>پ/44-1402</v>
          </cell>
          <cell r="D2417">
            <v>19100</v>
          </cell>
        </row>
        <row r="2418">
          <cell r="C2418" t="str">
            <v>پ/45-1402</v>
          </cell>
          <cell r="D2418">
            <v>18450</v>
          </cell>
        </row>
        <row r="2419">
          <cell r="C2419" t="str">
            <v>پ/13-1403</v>
          </cell>
          <cell r="D2419">
            <v>18670</v>
          </cell>
        </row>
        <row r="2420">
          <cell r="C2420" t="str">
            <v>پ/5-1403</v>
          </cell>
          <cell r="D2420">
            <v>9810</v>
          </cell>
        </row>
        <row r="2421">
          <cell r="C2421" t="str">
            <v>پ/5-1403</v>
          </cell>
          <cell r="D2421">
            <v>8290</v>
          </cell>
        </row>
        <row r="2422">
          <cell r="C2422" t="str">
            <v>پ/45-1402</v>
          </cell>
          <cell r="D2422">
            <v>17700</v>
          </cell>
        </row>
        <row r="2423">
          <cell r="C2423" t="str">
            <v>پ/24-1402</v>
          </cell>
          <cell r="D2423">
            <v>20120</v>
          </cell>
        </row>
        <row r="2424">
          <cell r="C2424" t="str">
            <v>پ/24-1402</v>
          </cell>
          <cell r="D2424">
            <v>19810</v>
          </cell>
        </row>
        <row r="2425">
          <cell r="C2425" t="str">
            <v>پ/24-1402</v>
          </cell>
          <cell r="D2425">
            <v>19870</v>
          </cell>
        </row>
        <row r="2426">
          <cell r="C2426" t="str">
            <v>پ/43-1402</v>
          </cell>
          <cell r="D2426">
            <v>12120</v>
          </cell>
        </row>
        <row r="2427">
          <cell r="C2427" t="str">
            <v>پ/33-1402</v>
          </cell>
          <cell r="D2427">
            <v>18160</v>
          </cell>
        </row>
        <row r="2428">
          <cell r="C2428" t="str">
            <v>پ/13-1403</v>
          </cell>
          <cell r="D2428">
            <v>18070</v>
          </cell>
        </row>
        <row r="2429">
          <cell r="C2429" t="str">
            <v>پ/44-1402</v>
          </cell>
          <cell r="D2429">
            <v>19970</v>
          </cell>
        </row>
        <row r="2430">
          <cell r="C2430" t="str">
            <v>پ/36-1402</v>
          </cell>
          <cell r="D2430">
            <v>24080</v>
          </cell>
        </row>
        <row r="2431">
          <cell r="C2431" t="str">
            <v>پ/12-1403</v>
          </cell>
          <cell r="D2431">
            <v>21100</v>
          </cell>
        </row>
        <row r="2432">
          <cell r="C2432" t="str">
            <v>پ/12-1403</v>
          </cell>
          <cell r="D2432">
            <v>22080</v>
          </cell>
        </row>
        <row r="2433">
          <cell r="C2433" t="str">
            <v>پ/12-1403</v>
          </cell>
          <cell r="D2433">
            <v>21950</v>
          </cell>
        </row>
        <row r="2434">
          <cell r="C2434" t="str">
            <v>پ/36-1402</v>
          </cell>
          <cell r="D2434">
            <v>24050</v>
          </cell>
        </row>
        <row r="2435">
          <cell r="C2435" t="str">
            <v>پ/12-1403</v>
          </cell>
          <cell r="D2435">
            <v>20130</v>
          </cell>
        </row>
        <row r="2436">
          <cell r="C2436" t="str">
            <v>پ/37-1402</v>
          </cell>
          <cell r="D2436">
            <v>5410</v>
          </cell>
        </row>
        <row r="2437">
          <cell r="C2437" t="str">
            <v>پ/15-1403</v>
          </cell>
          <cell r="D2437">
            <v>20180</v>
          </cell>
        </row>
        <row r="2438">
          <cell r="C2438" t="str">
            <v>پ/13-1403</v>
          </cell>
          <cell r="D2438">
            <v>18290</v>
          </cell>
        </row>
        <row r="2439">
          <cell r="C2439" t="str">
            <v>پ/43-1402</v>
          </cell>
          <cell r="D2439">
            <v>20960</v>
          </cell>
        </row>
        <row r="2440">
          <cell r="C2440" t="str">
            <v>پ/37-1402</v>
          </cell>
          <cell r="D2440">
            <v>19080</v>
          </cell>
        </row>
        <row r="2441">
          <cell r="C2441" t="str">
            <v>پ/45-1402</v>
          </cell>
          <cell r="D2441">
            <v>18510</v>
          </cell>
        </row>
        <row r="2442">
          <cell r="C2442" t="str">
            <v>پ/5-1403</v>
          </cell>
          <cell r="D2442">
            <v>11900</v>
          </cell>
        </row>
        <row r="2443">
          <cell r="C2443" t="str">
            <v>پ/43-1402</v>
          </cell>
          <cell r="D2443">
            <v>19930</v>
          </cell>
        </row>
        <row r="2444">
          <cell r="C2444" t="str">
            <v>پ/43-1402</v>
          </cell>
          <cell r="D2444">
            <v>12100</v>
          </cell>
        </row>
        <row r="2445">
          <cell r="C2445" t="str">
            <v>پ/46-1402</v>
          </cell>
          <cell r="D2445">
            <v>20250</v>
          </cell>
        </row>
        <row r="2446">
          <cell r="C2446" t="str">
            <v>پ/7-1403</v>
          </cell>
          <cell r="D2446">
            <v>20070</v>
          </cell>
        </row>
        <row r="2447">
          <cell r="C2447" t="str">
            <v>پ/13-1403</v>
          </cell>
          <cell r="D2447">
            <v>18120</v>
          </cell>
        </row>
        <row r="2448">
          <cell r="C2448" t="str">
            <v>پ/45-1402</v>
          </cell>
          <cell r="D2448">
            <v>18540</v>
          </cell>
        </row>
        <row r="2449">
          <cell r="C2449" t="str">
            <v>پ/45-1402</v>
          </cell>
          <cell r="D2449">
            <v>17730</v>
          </cell>
        </row>
        <row r="2450">
          <cell r="C2450" t="str">
            <v>پ/43-1402</v>
          </cell>
          <cell r="D2450">
            <v>21020</v>
          </cell>
        </row>
        <row r="2451">
          <cell r="C2451" t="str">
            <v>پ/43-1402</v>
          </cell>
          <cell r="D2451">
            <v>11950</v>
          </cell>
        </row>
        <row r="2452">
          <cell r="C2452" t="str">
            <v>پ/37-1402</v>
          </cell>
          <cell r="D2452">
            <v>20950</v>
          </cell>
        </row>
        <row r="2453">
          <cell r="C2453" t="str">
            <v>پ/13-1403</v>
          </cell>
          <cell r="D2453">
            <v>7990</v>
          </cell>
        </row>
        <row r="2454">
          <cell r="C2454" t="str">
            <v>پ/24-1402</v>
          </cell>
          <cell r="D2454">
            <v>20950</v>
          </cell>
        </row>
        <row r="2455">
          <cell r="C2455" t="str">
            <v>پ/24-1402</v>
          </cell>
          <cell r="D2455">
            <v>21310</v>
          </cell>
        </row>
        <row r="2456">
          <cell r="C2456" t="str">
            <v>پ/24-1402</v>
          </cell>
          <cell r="D2456">
            <v>20910</v>
          </cell>
        </row>
        <row r="2457">
          <cell r="C2457" t="str">
            <v>پ/29-1402</v>
          </cell>
          <cell r="D2457">
            <v>20330</v>
          </cell>
        </row>
        <row r="2458">
          <cell r="C2458" t="str">
            <v>پ/33-1402</v>
          </cell>
          <cell r="D2458">
            <v>1890</v>
          </cell>
        </row>
        <row r="2459">
          <cell r="C2459" t="str">
            <v>پ/43-1402</v>
          </cell>
          <cell r="D2459">
            <v>22140</v>
          </cell>
        </row>
        <row r="2460">
          <cell r="C2460" t="str">
            <v>پ/5-1403</v>
          </cell>
          <cell r="D2460">
            <v>9100</v>
          </cell>
        </row>
        <row r="2461">
          <cell r="C2461" t="str">
            <v>پ/44-1402</v>
          </cell>
          <cell r="D2461">
            <v>19960</v>
          </cell>
        </row>
        <row r="2462">
          <cell r="C2462" t="str">
            <v>پ/13-1403</v>
          </cell>
          <cell r="D2462">
            <v>18180</v>
          </cell>
        </row>
        <row r="2463">
          <cell r="C2463" t="str">
            <v>پ/12-1402</v>
          </cell>
          <cell r="D2463">
            <v>19890</v>
          </cell>
        </row>
        <row r="2464">
          <cell r="C2464" t="str">
            <v>پ/12-1402</v>
          </cell>
          <cell r="D2464">
            <v>18130</v>
          </cell>
        </row>
        <row r="2465">
          <cell r="C2465" t="str">
            <v>پ/12-1402</v>
          </cell>
          <cell r="D2465">
            <v>19580</v>
          </cell>
        </row>
        <row r="2466">
          <cell r="C2466" t="str">
            <v>پ/12-1402</v>
          </cell>
          <cell r="D2466">
            <v>18260</v>
          </cell>
        </row>
        <row r="2467">
          <cell r="C2467" t="str">
            <v>پ/12-1402</v>
          </cell>
          <cell r="D2467">
            <v>18230</v>
          </cell>
        </row>
        <row r="2468">
          <cell r="C2468" t="str">
            <v>پ/12-1403</v>
          </cell>
          <cell r="D2468">
            <v>21210</v>
          </cell>
        </row>
        <row r="2469">
          <cell r="C2469" t="str">
            <v>پ/43-1402</v>
          </cell>
          <cell r="D2469">
            <v>21350</v>
          </cell>
        </row>
        <row r="2470">
          <cell r="C2470" t="str">
            <v>پ/45-1402</v>
          </cell>
          <cell r="D2470">
            <v>18650</v>
          </cell>
        </row>
        <row r="2471">
          <cell r="C2471" t="str">
            <v>پ/46-1402</v>
          </cell>
          <cell r="D2471">
            <v>21290</v>
          </cell>
        </row>
        <row r="2472">
          <cell r="C2472" t="str">
            <v>پ/36-1402</v>
          </cell>
          <cell r="D2472">
            <v>21000</v>
          </cell>
        </row>
        <row r="2473">
          <cell r="C2473" t="str">
            <v>پ/43-1402</v>
          </cell>
          <cell r="D2473">
            <v>20400</v>
          </cell>
        </row>
        <row r="2474">
          <cell r="C2474" t="str">
            <v>پ/5-1403</v>
          </cell>
          <cell r="D2474">
            <v>11580</v>
          </cell>
        </row>
        <row r="2475">
          <cell r="C2475" t="str">
            <v>پ/24-1402</v>
          </cell>
          <cell r="D2475">
            <v>19850</v>
          </cell>
        </row>
        <row r="2476">
          <cell r="C2476" t="str">
            <v>پ/24-1402</v>
          </cell>
          <cell r="D2476">
            <v>20300</v>
          </cell>
        </row>
        <row r="2477">
          <cell r="C2477" t="str">
            <v>پ/24-1402</v>
          </cell>
          <cell r="D2477">
            <v>20400</v>
          </cell>
        </row>
        <row r="2478">
          <cell r="C2478" t="str">
            <v>پ/29-1402</v>
          </cell>
          <cell r="D2478">
            <v>6120</v>
          </cell>
        </row>
        <row r="2479">
          <cell r="C2479" t="str">
            <v>پ/24-1402</v>
          </cell>
          <cell r="D2479">
            <v>20430</v>
          </cell>
        </row>
        <row r="2480">
          <cell r="C2480" t="str">
            <v>پ/43-1402</v>
          </cell>
          <cell r="D2480">
            <v>20020</v>
          </cell>
        </row>
        <row r="2481">
          <cell r="C2481" t="str">
            <v>پ/24-1402</v>
          </cell>
          <cell r="D2481">
            <v>20550</v>
          </cell>
        </row>
        <row r="2482">
          <cell r="C2482" t="str">
            <v>پ/45-1402</v>
          </cell>
          <cell r="D2482">
            <v>18430</v>
          </cell>
        </row>
        <row r="2483">
          <cell r="C2483" t="str">
            <v>پ/14-1403</v>
          </cell>
          <cell r="D2483">
            <v>23160</v>
          </cell>
        </row>
        <row r="2484">
          <cell r="C2484" t="str">
            <v>پ/43-1402</v>
          </cell>
          <cell r="D2484">
            <v>20120</v>
          </cell>
        </row>
        <row r="2485">
          <cell r="C2485" t="str">
            <v>پ/45-1402</v>
          </cell>
          <cell r="D2485">
            <v>18370</v>
          </cell>
        </row>
        <row r="2486">
          <cell r="C2486" t="str">
            <v>پ/5-1403</v>
          </cell>
          <cell r="D2486">
            <v>10130</v>
          </cell>
        </row>
        <row r="2487">
          <cell r="C2487" t="str">
            <v>پ/43-1402</v>
          </cell>
          <cell r="D2487">
            <v>20630</v>
          </cell>
        </row>
        <row r="2488">
          <cell r="C2488" t="str">
            <v>پ/43-1402</v>
          </cell>
          <cell r="D2488">
            <v>20270</v>
          </cell>
        </row>
        <row r="2489">
          <cell r="C2489" t="str">
            <v>پ/45-1402</v>
          </cell>
          <cell r="D2489">
            <v>18320</v>
          </cell>
        </row>
        <row r="2490">
          <cell r="C2490" t="str">
            <v>پ/44-1402</v>
          </cell>
          <cell r="D2490">
            <v>19050</v>
          </cell>
        </row>
        <row r="2491">
          <cell r="C2491" t="str">
            <v>پ/36-1402</v>
          </cell>
          <cell r="D2491">
            <v>22040</v>
          </cell>
        </row>
        <row r="2492">
          <cell r="C2492" t="str">
            <v>پ/46-1402</v>
          </cell>
          <cell r="D2492">
            <v>22090</v>
          </cell>
        </row>
        <row r="2493">
          <cell r="C2493" t="str">
            <v>پ/10-1403</v>
          </cell>
          <cell r="D2493">
            <v>19830</v>
          </cell>
        </row>
        <row r="2494">
          <cell r="C2494" t="str">
            <v>پ/43-1402</v>
          </cell>
          <cell r="D2494">
            <v>20190</v>
          </cell>
        </row>
        <row r="2495">
          <cell r="C2495" t="str">
            <v>پ/24-1402</v>
          </cell>
          <cell r="D2495">
            <v>21070</v>
          </cell>
        </row>
        <row r="2496">
          <cell r="C2496" t="str">
            <v>پ/24-1402</v>
          </cell>
          <cell r="D2496">
            <v>21060</v>
          </cell>
        </row>
        <row r="2497">
          <cell r="C2497" t="str">
            <v>پ/24-1402</v>
          </cell>
          <cell r="D2497">
            <v>21000</v>
          </cell>
        </row>
        <row r="2498">
          <cell r="C2498" t="str">
            <v>پ/5-1403</v>
          </cell>
          <cell r="D2498">
            <v>10400</v>
          </cell>
        </row>
        <row r="2499">
          <cell r="C2499" t="str">
            <v>پ/43-1402</v>
          </cell>
          <cell r="D2499">
            <v>9910</v>
          </cell>
        </row>
        <row r="2500">
          <cell r="C2500" t="str">
            <v>پ/45-1402</v>
          </cell>
          <cell r="D2500">
            <v>18550</v>
          </cell>
        </row>
        <row r="2501">
          <cell r="C2501" t="str">
            <v>پ/36-1402</v>
          </cell>
          <cell r="D2501">
            <v>23120</v>
          </cell>
        </row>
        <row r="2502">
          <cell r="C2502" t="str">
            <v>پ/36-1402</v>
          </cell>
          <cell r="D2502">
            <v>20130</v>
          </cell>
        </row>
        <row r="2503">
          <cell r="C2503" t="str">
            <v>پ/36-1402</v>
          </cell>
          <cell r="D2503">
            <v>22740</v>
          </cell>
        </row>
        <row r="2504">
          <cell r="C2504" t="str">
            <v>پ/36-1402</v>
          </cell>
          <cell r="D2504">
            <v>22800</v>
          </cell>
        </row>
        <row r="2505">
          <cell r="C2505" t="str">
            <v>پ/36-1402</v>
          </cell>
          <cell r="D2505">
            <v>22520</v>
          </cell>
        </row>
        <row r="2506">
          <cell r="C2506" t="str">
            <v>پ/36-1402</v>
          </cell>
          <cell r="D2506">
            <v>22370</v>
          </cell>
        </row>
        <row r="2507">
          <cell r="C2507" t="str">
            <v>پ/36-1402</v>
          </cell>
          <cell r="D2507">
            <v>22690</v>
          </cell>
        </row>
        <row r="2508">
          <cell r="C2508" t="str">
            <v>پ/36-1402</v>
          </cell>
          <cell r="D2508">
            <v>22560</v>
          </cell>
        </row>
        <row r="2509">
          <cell r="C2509" t="str">
            <v>پ/36-1402</v>
          </cell>
          <cell r="D2509">
            <v>22520</v>
          </cell>
        </row>
        <row r="2510">
          <cell r="C2510" t="str">
            <v>پ/36-1402</v>
          </cell>
          <cell r="D2510">
            <v>22550</v>
          </cell>
        </row>
        <row r="2511">
          <cell r="C2511" t="str">
            <v>پ/37-1402</v>
          </cell>
          <cell r="D2511">
            <v>10060</v>
          </cell>
        </row>
        <row r="2512">
          <cell r="C2512" t="str">
            <v>پ/24-1402</v>
          </cell>
          <cell r="D2512">
            <v>21460</v>
          </cell>
        </row>
        <row r="2513">
          <cell r="C2513" t="str">
            <v>پ/24-1402</v>
          </cell>
          <cell r="D2513">
            <v>20770</v>
          </cell>
        </row>
        <row r="2514">
          <cell r="C2514" t="str">
            <v>پ/24-1402</v>
          </cell>
          <cell r="D2514">
            <v>21090</v>
          </cell>
        </row>
        <row r="2515">
          <cell r="C2515" t="str">
            <v>پ/44-1402</v>
          </cell>
          <cell r="D2515">
            <v>20950</v>
          </cell>
        </row>
        <row r="2516">
          <cell r="C2516" t="str">
            <v>پ/43-1402</v>
          </cell>
          <cell r="D2516">
            <v>19870</v>
          </cell>
        </row>
        <row r="2517">
          <cell r="C2517" t="str">
            <v>پ/29-1402</v>
          </cell>
          <cell r="D2517">
            <v>21130</v>
          </cell>
        </row>
        <row r="2518">
          <cell r="C2518" t="str">
            <v>پ/45-1402</v>
          </cell>
          <cell r="D2518">
            <v>12940</v>
          </cell>
        </row>
        <row r="2519">
          <cell r="C2519" t="str">
            <v>پ/5-1402</v>
          </cell>
          <cell r="D2519">
            <v>5580</v>
          </cell>
        </row>
        <row r="2520">
          <cell r="C2520" t="str">
            <v>پ/6-1403</v>
          </cell>
          <cell r="D2520">
            <v>11170</v>
          </cell>
        </row>
        <row r="2521">
          <cell r="C2521" t="str">
            <v>پ/5-1403</v>
          </cell>
          <cell r="D2521">
            <v>4160</v>
          </cell>
        </row>
        <row r="2522">
          <cell r="C2522" t="str">
            <v>پ/6-1402</v>
          </cell>
          <cell r="D2522">
            <v>7360</v>
          </cell>
        </row>
        <row r="2523">
          <cell r="C2523" t="str">
            <v>پ/5-1402</v>
          </cell>
          <cell r="D2523">
            <v>18160</v>
          </cell>
        </row>
        <row r="2524">
          <cell r="C2524" t="str">
            <v>پ/43-1402</v>
          </cell>
          <cell r="D2524">
            <v>20170</v>
          </cell>
        </row>
        <row r="2525">
          <cell r="C2525" t="str">
            <v>پ/46-1402</v>
          </cell>
          <cell r="D2525">
            <v>22140</v>
          </cell>
        </row>
        <row r="2526">
          <cell r="C2526" t="str">
            <v>پ/7-1403</v>
          </cell>
          <cell r="D2526">
            <v>20010</v>
          </cell>
        </row>
        <row r="2527">
          <cell r="C2527" t="str">
            <v>پ/44-1402</v>
          </cell>
          <cell r="D2527">
            <v>6280</v>
          </cell>
        </row>
        <row r="2528">
          <cell r="C2528" t="str">
            <v>پ/44-1402</v>
          </cell>
          <cell r="D2528">
            <v>23060</v>
          </cell>
        </row>
        <row r="2529">
          <cell r="C2529" t="str">
            <v>الحاقیه پ/3-1403</v>
          </cell>
          <cell r="D2529">
            <v>6140</v>
          </cell>
        </row>
        <row r="2530">
          <cell r="C2530" t="str">
            <v>پ/5-1403</v>
          </cell>
          <cell r="D2530">
            <v>10320</v>
          </cell>
        </row>
        <row r="2531">
          <cell r="C2531" t="str">
            <v>پ/5-1403</v>
          </cell>
          <cell r="D2531">
            <v>9520</v>
          </cell>
        </row>
        <row r="2532">
          <cell r="C2532" t="str">
            <v>پ/5-1403</v>
          </cell>
          <cell r="D2532">
            <v>8070</v>
          </cell>
        </row>
        <row r="2533">
          <cell r="C2533" t="str">
            <v>پ/43-1402</v>
          </cell>
          <cell r="D2533">
            <v>20030</v>
          </cell>
        </row>
        <row r="2534">
          <cell r="C2534" t="str">
            <v>پ/46-1402</v>
          </cell>
          <cell r="D2534">
            <v>22390</v>
          </cell>
        </row>
        <row r="2535">
          <cell r="C2535" t="str">
            <v>پ/5-1402</v>
          </cell>
          <cell r="D2535">
            <v>18590</v>
          </cell>
        </row>
        <row r="2536">
          <cell r="C2536" t="str">
            <v>پ/43-1402</v>
          </cell>
          <cell r="D2536">
            <v>21710</v>
          </cell>
        </row>
        <row r="2537">
          <cell r="C2537" t="str">
            <v>پ/43-1402</v>
          </cell>
          <cell r="D2537">
            <v>20050</v>
          </cell>
        </row>
        <row r="2538">
          <cell r="C2538" t="str">
            <v>پ/6-1403</v>
          </cell>
          <cell r="D2538">
            <v>7620</v>
          </cell>
        </row>
        <row r="2539">
          <cell r="C2539" t="str">
            <v>پ/46-1402</v>
          </cell>
          <cell r="D2539">
            <v>20200</v>
          </cell>
        </row>
        <row r="2540">
          <cell r="C2540" t="str">
            <v>پ/43-1402</v>
          </cell>
          <cell r="D2540">
            <v>20160</v>
          </cell>
        </row>
        <row r="2541">
          <cell r="C2541" t="str">
            <v>پ/43-1402</v>
          </cell>
          <cell r="D2541">
            <v>20190</v>
          </cell>
        </row>
        <row r="2542">
          <cell r="C2542" t="str">
            <v>پ/37-1402</v>
          </cell>
          <cell r="D2542">
            <v>21090</v>
          </cell>
        </row>
        <row r="2543">
          <cell r="C2543" t="str">
            <v>پ/6-1403</v>
          </cell>
          <cell r="D2543">
            <v>7620</v>
          </cell>
        </row>
        <row r="2544">
          <cell r="C2544" t="str">
            <v>پ/6-1403</v>
          </cell>
          <cell r="D2544">
            <v>7490</v>
          </cell>
        </row>
        <row r="2545">
          <cell r="C2545" t="str">
            <v>پ/43-1402</v>
          </cell>
          <cell r="D2545">
            <v>19770</v>
          </cell>
        </row>
        <row r="2546">
          <cell r="C2546" t="str">
            <v>پ/6-1402</v>
          </cell>
          <cell r="D2546">
            <v>11220</v>
          </cell>
        </row>
        <row r="2547">
          <cell r="C2547" t="str">
            <v>پ/37-1402</v>
          </cell>
          <cell r="D2547">
            <v>20920</v>
          </cell>
        </row>
        <row r="2548">
          <cell r="C2548" t="str">
            <v>پ/43-1402</v>
          </cell>
          <cell r="D2548">
            <v>12010</v>
          </cell>
        </row>
        <row r="2549">
          <cell r="C2549" t="str">
            <v>پ/43-1402</v>
          </cell>
          <cell r="D2549">
            <v>21870</v>
          </cell>
        </row>
        <row r="2550">
          <cell r="C2550" t="str">
            <v>پ/6-1402</v>
          </cell>
          <cell r="D2550">
            <v>12650</v>
          </cell>
        </row>
        <row r="2551">
          <cell r="C2551" t="str">
            <v>پ/7-1403</v>
          </cell>
          <cell r="D2551">
            <v>20000</v>
          </cell>
        </row>
        <row r="2552">
          <cell r="C2552" t="str">
            <v>پ/3-1403</v>
          </cell>
          <cell r="D2552">
            <v>20070</v>
          </cell>
        </row>
        <row r="2553">
          <cell r="C2553" t="str">
            <v>پ/1-1403</v>
          </cell>
          <cell r="D2553">
            <v>20210</v>
          </cell>
        </row>
        <row r="2554">
          <cell r="C2554" t="str">
            <v>پ/43-1402</v>
          </cell>
          <cell r="D2554">
            <v>11980</v>
          </cell>
        </row>
        <row r="2555">
          <cell r="C2555" t="str">
            <v>پ/43-1402</v>
          </cell>
          <cell r="D2555">
            <v>20160</v>
          </cell>
        </row>
        <row r="2556">
          <cell r="C2556" t="str">
            <v>پ/43-1402</v>
          </cell>
          <cell r="D2556">
            <v>20160</v>
          </cell>
        </row>
        <row r="2557">
          <cell r="C2557" t="str">
            <v>پ/24-1402</v>
          </cell>
          <cell r="D2557">
            <v>20420</v>
          </cell>
        </row>
        <row r="2558">
          <cell r="C2558" t="str">
            <v>پ/24-1402</v>
          </cell>
          <cell r="D2558">
            <v>20370</v>
          </cell>
        </row>
        <row r="2559">
          <cell r="C2559" t="str">
            <v>پ/5-1402</v>
          </cell>
          <cell r="D2559">
            <v>17920</v>
          </cell>
        </row>
        <row r="2560">
          <cell r="C2560" t="str">
            <v>پ/5-1402</v>
          </cell>
          <cell r="D2560">
            <v>9920</v>
          </cell>
        </row>
        <row r="2561">
          <cell r="C2561" t="str">
            <v>پ/6-1403</v>
          </cell>
          <cell r="D2561">
            <v>7770</v>
          </cell>
        </row>
        <row r="2562">
          <cell r="C2562" t="str">
            <v>پ/3-1402</v>
          </cell>
          <cell r="D2562">
            <v>6550</v>
          </cell>
        </row>
        <row r="2563">
          <cell r="C2563" t="str">
            <v>پ/24-1402</v>
          </cell>
          <cell r="D2563">
            <v>20930</v>
          </cell>
        </row>
        <row r="2564">
          <cell r="C2564" t="str">
            <v>پ/24-1402</v>
          </cell>
          <cell r="D2564">
            <v>21260</v>
          </cell>
        </row>
        <row r="2565">
          <cell r="C2565" t="str">
            <v>پ/24-1402</v>
          </cell>
          <cell r="D2565">
            <v>21280</v>
          </cell>
        </row>
        <row r="2566">
          <cell r="C2566" t="str">
            <v>پ/6-1403</v>
          </cell>
          <cell r="D2566">
            <v>6000</v>
          </cell>
        </row>
        <row r="2567">
          <cell r="C2567" t="str">
            <v>پ/3-1402</v>
          </cell>
          <cell r="D2567">
            <v>5810</v>
          </cell>
        </row>
        <row r="2568">
          <cell r="C2568" t="str">
            <v>پ/3-1402</v>
          </cell>
          <cell r="D2568">
            <v>4900</v>
          </cell>
        </row>
        <row r="2569">
          <cell r="C2569" t="str">
            <v>پ/46-1402</v>
          </cell>
          <cell r="D2569">
            <v>22880</v>
          </cell>
        </row>
        <row r="2570">
          <cell r="C2570" t="str">
            <v>پ/46-1402</v>
          </cell>
          <cell r="D2570">
            <v>23210</v>
          </cell>
        </row>
        <row r="2571">
          <cell r="C2571" t="str">
            <v>پ/5-1402</v>
          </cell>
          <cell r="D2571">
            <v>18510</v>
          </cell>
        </row>
        <row r="2572">
          <cell r="C2572" t="str">
            <v>پ/6-1403</v>
          </cell>
          <cell r="D2572">
            <v>7410</v>
          </cell>
        </row>
        <row r="2573">
          <cell r="C2573" t="str">
            <v>پ/24-1402</v>
          </cell>
          <cell r="D2573">
            <v>20600</v>
          </cell>
        </row>
        <row r="2574">
          <cell r="C2574" t="str">
            <v>پ/24-1402</v>
          </cell>
          <cell r="D2574">
            <v>20990</v>
          </cell>
        </row>
        <row r="2575">
          <cell r="C2575" t="str">
            <v>پ/24-1402</v>
          </cell>
          <cell r="D2575">
            <v>20410</v>
          </cell>
        </row>
        <row r="2576">
          <cell r="C2576" t="str">
            <v>پ/24-1402</v>
          </cell>
          <cell r="D2576">
            <v>20650</v>
          </cell>
        </row>
        <row r="2577">
          <cell r="C2577" t="str">
            <v>پ/6-1403</v>
          </cell>
          <cell r="D2577">
            <v>7620</v>
          </cell>
        </row>
        <row r="2578">
          <cell r="C2578" t="str">
            <v>پ/6-1402</v>
          </cell>
          <cell r="D2578">
            <v>11990</v>
          </cell>
        </row>
        <row r="2579">
          <cell r="C2579" t="str">
            <v>پ/43-1402</v>
          </cell>
          <cell r="D2579">
            <v>20620</v>
          </cell>
        </row>
        <row r="2580">
          <cell r="C2580" t="str">
            <v>پ/24-1402</v>
          </cell>
          <cell r="D2580">
            <v>21080</v>
          </cell>
        </row>
        <row r="2581">
          <cell r="C2581" t="str">
            <v>پ/24-1402</v>
          </cell>
          <cell r="D2581">
            <v>20170</v>
          </cell>
        </row>
        <row r="2582">
          <cell r="C2582" t="str">
            <v>پ/43-1402</v>
          </cell>
          <cell r="D2582">
            <v>20220</v>
          </cell>
        </row>
        <row r="2583">
          <cell r="C2583" t="str">
            <v>پ/46-1402</v>
          </cell>
          <cell r="D2583">
            <v>23110</v>
          </cell>
        </row>
        <row r="2584">
          <cell r="C2584" t="str">
            <v>پ/6-1403</v>
          </cell>
          <cell r="D2584">
            <v>7540</v>
          </cell>
        </row>
        <row r="2585">
          <cell r="C2585" t="str">
            <v>پ/6-1403</v>
          </cell>
          <cell r="D2585">
            <v>7290</v>
          </cell>
        </row>
        <row r="2586">
          <cell r="C2586" t="str">
            <v>پ/5-1402</v>
          </cell>
          <cell r="D2586">
            <v>18280</v>
          </cell>
        </row>
        <row r="2587">
          <cell r="C2587" t="str">
            <v>پ/6-1403</v>
          </cell>
          <cell r="D2587">
            <v>7510</v>
          </cell>
        </row>
        <row r="2588">
          <cell r="C2588" t="str">
            <v>پ/6-1403</v>
          </cell>
          <cell r="D2588">
            <v>7530</v>
          </cell>
        </row>
        <row r="2589">
          <cell r="C2589" t="str">
            <v>پ/6-1403</v>
          </cell>
          <cell r="D2589">
            <v>7430</v>
          </cell>
        </row>
        <row r="2590">
          <cell r="C2590" t="str">
            <v>پ/4-1403</v>
          </cell>
          <cell r="D2590">
            <v>180</v>
          </cell>
        </row>
        <row r="2591">
          <cell r="C2591" t="str">
            <v>پ/6-1402</v>
          </cell>
          <cell r="D2591">
            <v>12160</v>
          </cell>
        </row>
        <row r="2592">
          <cell r="C2592" t="str">
            <v>پ/46-1402</v>
          </cell>
          <cell r="D2592">
            <v>22060</v>
          </cell>
        </row>
        <row r="2593">
          <cell r="C2593" t="str">
            <v>پ/4-1403</v>
          </cell>
          <cell r="D2593">
            <v>7900</v>
          </cell>
        </row>
        <row r="2594">
          <cell r="C2594" t="str">
            <v>پ/4-1403</v>
          </cell>
          <cell r="D2594">
            <v>7520</v>
          </cell>
        </row>
        <row r="2595">
          <cell r="C2595" t="str">
            <v>پ/4-1403</v>
          </cell>
          <cell r="D2595">
            <v>7550</v>
          </cell>
        </row>
        <row r="2596">
          <cell r="C2596" t="str">
            <v>پ/3-1402</v>
          </cell>
          <cell r="D2596">
            <v>6310</v>
          </cell>
        </row>
        <row r="2597">
          <cell r="C2597" t="str">
            <v>پ/43-1402</v>
          </cell>
          <cell r="D2597">
            <v>22000</v>
          </cell>
        </row>
        <row r="2598">
          <cell r="C2598" t="str">
            <v>پ/43-1402</v>
          </cell>
          <cell r="D2598">
            <v>19980</v>
          </cell>
        </row>
        <row r="2599">
          <cell r="C2599" t="str">
            <v>پ/43-1402</v>
          </cell>
          <cell r="D2599">
            <v>14930</v>
          </cell>
        </row>
        <row r="2600">
          <cell r="C2600" t="str">
            <v>پ/43-1402</v>
          </cell>
          <cell r="D2600">
            <v>12110</v>
          </cell>
        </row>
        <row r="2601">
          <cell r="C2601" t="str">
            <v>پ/4-1403</v>
          </cell>
          <cell r="D2601">
            <v>7410</v>
          </cell>
        </row>
        <row r="2602">
          <cell r="C2602" t="str">
            <v>پ/24-1402</v>
          </cell>
          <cell r="D2602">
            <v>20980</v>
          </cell>
        </row>
        <row r="2603">
          <cell r="C2603" t="str">
            <v>پ/24-1402</v>
          </cell>
          <cell r="D2603">
            <v>20910</v>
          </cell>
        </row>
        <row r="2604">
          <cell r="C2604" t="str">
            <v>پ/24-1402</v>
          </cell>
          <cell r="D2604">
            <v>21310</v>
          </cell>
        </row>
        <row r="2605">
          <cell r="C2605" t="str">
            <v>پ/4-1403</v>
          </cell>
          <cell r="D2605">
            <v>7420</v>
          </cell>
        </row>
        <row r="2606">
          <cell r="C2606" t="str">
            <v>پ/46-1402</v>
          </cell>
          <cell r="D2606">
            <v>22150</v>
          </cell>
        </row>
        <row r="2607">
          <cell r="C2607" t="str">
            <v>پ/6-1402</v>
          </cell>
          <cell r="D2607">
            <v>7350</v>
          </cell>
        </row>
        <row r="2608">
          <cell r="C2608" t="str">
            <v>پ/4-1403</v>
          </cell>
          <cell r="D2608">
            <v>7410</v>
          </cell>
        </row>
        <row r="2609">
          <cell r="C2609" t="str">
            <v>پ/6-1402</v>
          </cell>
          <cell r="D2609">
            <v>8080</v>
          </cell>
        </row>
        <row r="2610">
          <cell r="C2610" t="str">
            <v>پ/3-1402</v>
          </cell>
          <cell r="D2610">
            <v>6430</v>
          </cell>
        </row>
        <row r="2611">
          <cell r="C2611" t="str">
            <v>پ/4-1403</v>
          </cell>
          <cell r="D2611">
            <v>4610</v>
          </cell>
        </row>
        <row r="2612">
          <cell r="C2612" t="str">
            <v>پ/13-1402</v>
          </cell>
          <cell r="D2612">
            <v>2100</v>
          </cell>
        </row>
        <row r="2613">
          <cell r="C2613" t="str">
            <v>پ/5-1402</v>
          </cell>
          <cell r="D2613">
            <v>18470</v>
          </cell>
        </row>
        <row r="2614">
          <cell r="C2614" t="str">
            <v>پ/3-1402</v>
          </cell>
          <cell r="D2614">
            <v>6180</v>
          </cell>
        </row>
        <row r="2615">
          <cell r="C2615" t="str">
            <v>پ/3-1402</v>
          </cell>
          <cell r="D2615">
            <v>6530</v>
          </cell>
        </row>
        <row r="2616">
          <cell r="C2616" t="str">
            <v>پ/43-1402</v>
          </cell>
          <cell r="D2616">
            <v>11970</v>
          </cell>
        </row>
        <row r="2617">
          <cell r="C2617" t="str">
            <v>پ/43-1402</v>
          </cell>
          <cell r="D2617">
            <v>19920</v>
          </cell>
        </row>
        <row r="2618">
          <cell r="C2618" t="str">
            <v>پ/3-1402</v>
          </cell>
          <cell r="D2618">
            <v>6460</v>
          </cell>
        </row>
        <row r="2619">
          <cell r="C2619" t="str">
            <v>پ/40-1402</v>
          </cell>
          <cell r="D2619">
            <v>5240</v>
          </cell>
        </row>
        <row r="2620">
          <cell r="C2620" t="str">
            <v>پ/40-1402</v>
          </cell>
          <cell r="D2620">
            <v>20980</v>
          </cell>
        </row>
        <row r="2621">
          <cell r="C2621" t="str">
            <v>پ/3-1402</v>
          </cell>
          <cell r="D2621">
            <v>5780</v>
          </cell>
        </row>
        <row r="2622">
          <cell r="C2622" t="str">
            <v>پ/3-1402</v>
          </cell>
          <cell r="D2622">
            <v>5800</v>
          </cell>
        </row>
        <row r="2623">
          <cell r="C2623" t="str">
            <v>پ/43-1402</v>
          </cell>
          <cell r="D2623">
            <v>11940</v>
          </cell>
        </row>
        <row r="2624">
          <cell r="C2624" t="str">
            <v>پ/43-1402</v>
          </cell>
          <cell r="D2624">
            <v>19850</v>
          </cell>
        </row>
        <row r="2625">
          <cell r="C2625" t="str">
            <v>پ/3-1402</v>
          </cell>
          <cell r="D2625">
            <v>6350</v>
          </cell>
        </row>
        <row r="2626">
          <cell r="C2626" t="str">
            <v>پ/3-1402</v>
          </cell>
          <cell r="D2626">
            <v>6370</v>
          </cell>
        </row>
        <row r="2627">
          <cell r="C2627" t="str">
            <v>پ/3-1402</v>
          </cell>
          <cell r="D2627">
            <v>6380</v>
          </cell>
        </row>
        <row r="2628">
          <cell r="C2628" t="str">
            <v>پ/13-1402</v>
          </cell>
          <cell r="D2628">
            <v>7550</v>
          </cell>
        </row>
        <row r="2629">
          <cell r="C2629" t="str">
            <v>پ/3-1402</v>
          </cell>
          <cell r="D2629">
            <v>6460</v>
          </cell>
        </row>
        <row r="2630">
          <cell r="C2630" t="str">
            <v>پ/13-1402</v>
          </cell>
          <cell r="D2630">
            <v>7520</v>
          </cell>
        </row>
        <row r="2631">
          <cell r="C2631" t="str">
            <v>پ/17-1402</v>
          </cell>
          <cell r="D2631">
            <v>22890</v>
          </cell>
        </row>
        <row r="2632">
          <cell r="C2632" t="str">
            <v>پ/3-1402</v>
          </cell>
          <cell r="D2632">
            <v>6570</v>
          </cell>
        </row>
        <row r="2633">
          <cell r="C2633" t="str">
            <v>پ/24-1402</v>
          </cell>
          <cell r="D2633">
            <v>20070</v>
          </cell>
        </row>
        <row r="2634">
          <cell r="C2634" t="str">
            <v>پ/24-1402</v>
          </cell>
          <cell r="D2634">
            <v>21010</v>
          </cell>
        </row>
        <row r="2635">
          <cell r="C2635" t="str">
            <v>پ/24-1402</v>
          </cell>
          <cell r="D2635">
            <v>20900</v>
          </cell>
        </row>
        <row r="2636">
          <cell r="C2636" t="str">
            <v>پ/5-1402</v>
          </cell>
          <cell r="D2636">
            <v>18320</v>
          </cell>
        </row>
        <row r="2637">
          <cell r="C2637" t="str">
            <v>پ/40-1402</v>
          </cell>
          <cell r="D2637">
            <v>17120</v>
          </cell>
        </row>
        <row r="2638">
          <cell r="C2638" t="str">
            <v>پ/3-1402</v>
          </cell>
          <cell r="D2638">
            <v>6510</v>
          </cell>
        </row>
        <row r="2639">
          <cell r="C2639" t="str">
            <v>پ/17-1402</v>
          </cell>
          <cell r="D2639">
            <v>22020</v>
          </cell>
        </row>
        <row r="2640">
          <cell r="C2640" t="str">
            <v>پ/40-1402</v>
          </cell>
          <cell r="D2640">
            <v>21000</v>
          </cell>
        </row>
        <row r="2641">
          <cell r="C2641" t="str">
            <v>پ/13-1402</v>
          </cell>
          <cell r="D2641">
            <v>7460</v>
          </cell>
        </row>
        <row r="2642">
          <cell r="C2642" t="str">
            <v>پ/29-1402</v>
          </cell>
          <cell r="D2642">
            <v>22980</v>
          </cell>
        </row>
        <row r="2643">
          <cell r="C2643" t="str">
            <v>پ/3-1402</v>
          </cell>
          <cell r="D2643">
            <v>6190</v>
          </cell>
        </row>
        <row r="2644">
          <cell r="C2644" t="str">
            <v>پ/13-1402</v>
          </cell>
          <cell r="D2644">
            <v>6640</v>
          </cell>
        </row>
        <row r="2645">
          <cell r="C2645" t="str">
            <v>پ/6-1402</v>
          </cell>
          <cell r="D2645">
            <v>8310</v>
          </cell>
        </row>
        <row r="2646">
          <cell r="C2646" t="str">
            <v>پ/13-1402</v>
          </cell>
          <cell r="D2646">
            <v>7420</v>
          </cell>
        </row>
        <row r="2647">
          <cell r="C2647" t="str">
            <v>پ/13-1402</v>
          </cell>
          <cell r="D2647">
            <v>7810</v>
          </cell>
        </row>
        <row r="2648">
          <cell r="C2648" t="str">
            <v>پ/13-1402</v>
          </cell>
          <cell r="D2648">
            <v>7510</v>
          </cell>
        </row>
        <row r="2649">
          <cell r="C2649" t="str">
            <v>پ/13-1402</v>
          </cell>
          <cell r="D2649">
            <v>7620</v>
          </cell>
        </row>
        <row r="2650">
          <cell r="C2650" t="str">
            <v>پ/38-1402</v>
          </cell>
          <cell r="D2650">
            <v>14950</v>
          </cell>
        </row>
        <row r="2651">
          <cell r="C2651" t="str">
            <v>پ/38-1402</v>
          </cell>
          <cell r="D2651">
            <v>21070</v>
          </cell>
        </row>
        <row r="2652">
          <cell r="C2652" t="str">
            <v>پ/3-1402</v>
          </cell>
          <cell r="D2652">
            <v>6410</v>
          </cell>
        </row>
        <row r="2653">
          <cell r="C2653" t="str">
            <v>پ/6-1402</v>
          </cell>
          <cell r="D2653">
            <v>10530</v>
          </cell>
        </row>
        <row r="2654">
          <cell r="C2654" t="str">
            <v>پ/3-1402</v>
          </cell>
          <cell r="D2654">
            <v>6440</v>
          </cell>
        </row>
        <row r="2655">
          <cell r="C2655" t="str">
            <v>پ/29-1402</v>
          </cell>
          <cell r="D2655">
            <v>6000</v>
          </cell>
        </row>
        <row r="2656">
          <cell r="C2656" t="str">
            <v>پ/3-1402</v>
          </cell>
          <cell r="D2656">
            <v>6390</v>
          </cell>
        </row>
        <row r="2657">
          <cell r="C2657" t="str">
            <v>پ/24-1402</v>
          </cell>
          <cell r="D2657">
            <v>20880</v>
          </cell>
        </row>
        <row r="2658">
          <cell r="C2658" t="str">
            <v>پ/24-1402</v>
          </cell>
          <cell r="D2658">
            <v>20650</v>
          </cell>
        </row>
        <row r="2659">
          <cell r="C2659" t="str">
            <v>پ/24-1402</v>
          </cell>
          <cell r="D2659">
            <v>20420</v>
          </cell>
        </row>
        <row r="2660">
          <cell r="C2660" t="str">
            <v>پ/3-1402</v>
          </cell>
          <cell r="D2660">
            <v>6380</v>
          </cell>
        </row>
        <row r="2661">
          <cell r="C2661" t="str">
            <v>پ/5-1402</v>
          </cell>
          <cell r="D2661">
            <v>18460</v>
          </cell>
        </row>
        <row r="2662">
          <cell r="C2662" t="str">
            <v>پ/38-1402</v>
          </cell>
          <cell r="D2662">
            <v>10340</v>
          </cell>
        </row>
        <row r="2663">
          <cell r="C2663" t="str">
            <v>پ/6-1402</v>
          </cell>
          <cell r="D2663">
            <v>9690</v>
          </cell>
        </row>
        <row r="2664">
          <cell r="C2664" t="str">
            <v>پ/3-1402</v>
          </cell>
          <cell r="D2664">
            <v>6390</v>
          </cell>
        </row>
        <row r="2665">
          <cell r="C2665" t="str">
            <v>پ/13-1402</v>
          </cell>
          <cell r="D2665">
            <v>7610</v>
          </cell>
        </row>
        <row r="2666">
          <cell r="C2666" t="str">
            <v>پ/13-1402</v>
          </cell>
          <cell r="D2666">
            <v>7490</v>
          </cell>
        </row>
        <row r="2667">
          <cell r="C2667" t="str">
            <v>پ/38-1402</v>
          </cell>
          <cell r="D2667">
            <v>21180</v>
          </cell>
        </row>
      </sheetData>
      <sheetData sheetId="7"/>
      <sheetData sheetId="8"/>
      <sheetData sheetId="9"/>
      <sheetData sheetId="10" refreshError="1"/>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1:32.675"/>
    </inkml:context>
    <inkml:brush xml:id="br0">
      <inkml:brushProperty name="width" value="0.035" units="cm"/>
      <inkml:brushProperty name="height" value="0.035" units="cm"/>
    </inkml:brush>
  </inkml:definitions>
  <inkml:trace contextRef="#ctx0" brushRef="#br0">60 0 2959 0 0,'0'0'2520'0'0,"24"5"-2456"0"0,89 21 310 0 0,-113-26-338 0 0,0 0-1 0 0,5 0 1 0 0,-5 0 0 0 0,0 0 0 0 0,5 0 0 0 0,-5 0 0 0 0,0 0 0 0 0,5 0-1 0 0,-5-1 1 0 0,0 1 0 0 0,5 0 0 0 0,-5 0 0 0 0,0 0 0 0 0,4 0-1 0 0,-4-1 1 0 0,0 1 0 0 0,0 0 0 0 0,5 0 0 0 0,-5 0 0 0 0,0-1 0 0 0,0 1-1 0 0,5-1 1 0 0,0-1 347 0 0,-34 5 95 0 0,4-2 3147 0 0,-24-4-2360 0 0,-5 0 90 0 0,35 1-1281 0 0,19 2-50 0 0,-5-1 0 0 0,5 1 0 0 0,-5 0 0 0 0,5 0 0 0 0,-5-1 0 0 0,5 1 0 0 0,-5 0 0 0 0,5 0 0 0 0,-5-1 0 0 0,5 1 0 0 0,-5 0 0 0 0,0 0 0 0 0,5 0 0 0 0,-4 0 0 0 0,4 0 0 0 0,-5 0 0 0 0,0 0 0 0 0,0 0 0 0 0,5 0-2 0 0,0-1 1 0 0,0 1-1 0 0,0-1 0 0 0,0 0 1 0 0,5 1-1 0 0,-5-1 1 0 0,0 1-1 0 0,0-1 1 0 0,5 1-1 0 0,-5-1 1 0 0,0 1-1 0 0,5-1 1 0 0,-5 1-1 0 0,0-1 1 0 0,4 1-1 0 0,-4 0 1 0 0,5-1-1 0 0,-5 1 0 0 0,5-1 1 0 0,25 5 4 0 0,-6-1 26 0 0,-9-5-28 0 0,-10 2 153 0 0,73 7 265 0 0,-78-6-428 0 0,10 0 322 0 0,-10-2 394 0 0,-5 1-690 0 0,5 0 0 0 0,-5 0 0 0 0,5 0 0 0 0,0 0 0 0 0,-5 0 0 0 0,5 0 0 0 0,-5 0-1 0 0,5 0 1 0 0,-5 0 0 0 0,5 0 0 0 0,0 0 0 0 0,-4 0 0 0 0,4 0 0 0 0,-5 1 0 0 0,5-1 0 0 0,0 0 0 0 0,-5 0 0 0 0,5 0 0 0 0,-5 1 0 0 0,5-1 0 0 0,0 0 0 0 0,-5 1 0 0 0,5-1 0 0 0,-29 3 228 0 0,-20-12-213 0 0,44 8-132 0 0,-35 5-785 0 0,16-4 448 0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1:32.676"/>
    </inkml:context>
    <inkml:brush xml:id="br0">
      <inkml:brushProperty name="width" value="0.035" units="cm"/>
      <inkml:brushProperty name="height" value="0.035" units="cm"/>
    </inkml:brush>
  </inkml:definitions>
  <inkml:trace contextRef="#ctx0" brushRef="#br0">0 0 2159 0 0,'0'0'5263'0'0,"4"5"-5339"0"0,9 17-37 0 0,-13-22 86 0 0,0 0 1 0 0,0 0 0 0 0,0 1 0 0 0,0-1-1 0 0,1 0 1 0 0,-1 0 0 0 0,0 1-1 0 0,0-1 1 0 0,0 0 0 0 0,0 0 0 0 0,1 0-1 0 0,-1 0 1 0 0,0 0 0 0 0,0 1-1 0 0,1-1 1 0 0,-1 0 0 0 0,0 0-1 0 0,0 0 1 0 0,1 0 0 0 0,-1 0 0 0 0,0 0-1 0 0,0 0 1 0 0,1 0 0 0 0,-1 0-1 0 0,0 0 1 0 0,0 0 0 0 0,1 0 0 0 0,-1 0-1 0 0,0 0 1 0 0,0 0 0 0 0,1 0-1 0 0,-1 0 1 0 0,0 0 0 0 0,0 0 0 0 0,1 0-1 0 0,-1 0 1 0 0,0 0 0 0 0,0-1-1 0 0,1 1 1 0 0,-1 0 0 0 0,0 0-1 0 0,0 0 1 0 0,0 0 0 0 0,0-1 0 0 0,1 1-1 0 0,-1 0 1 0 0,0 0 0 0 0,0 0-1 0 0,0-1 1 0 0,0 1 0 0 0,1 0 0 0 0,-1 0-1 0 0,0-1 1 0 0,0 1 0 0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33"/>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34"/>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35"/>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36"/>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37"/>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38"/>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39"/>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40"/>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41"/>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42"/>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43"/>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44"/>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45"/>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46"/>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5:23.347"/>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8:16.390"/>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6-04T16:38:16.391"/>
    </inkml:context>
    <inkml:brush xml:id="br0">
      <inkml:brushProperty name="width" value="0.035" units="cm"/>
      <inkml:brushProperty name="height" value="0.035" units="cm"/>
    </inkml:brush>
  </inkml:definitions>
  <inkml:trace contextRef="#ctx0" brushRef="#br0">1 12 2815 0 0,'0'0'2328'0'0,"2"-2"-2124"0"0,6-6-110 0 0,-7 8-91 0 0,-1-1 0 0 0,1 1 1 0 0,-1 0-1 0 0,1 0 1 0 0,-1 0-1 0 0,1 0 0 0 0,0-1 1 0 0,-1 1-1 0 0,1 0 0 0 0,-1 0 1 0 0,1 0-1 0 0,-1 0 0 0 0,1 1 1 0 0,-1-1-1 0 0,1 0 1 0 0,0 0-1 0 0,-1 0 0 0 0,1 0 1 0 0,-1 0-1 0 0,1 1 0 0 0,-1-1 1 0 0,1 0-1 0 0,-1 0 0 0 0,1 1 1 0 0,1 0 62 0 0,24 1 144 0 0,4 2-148 0 0,-9 1-2475 0 0</inkml:trace>
</inkml:ink>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159.44815462963" backgroundQuery="1" createdVersion="8" refreshedVersion="8" minRefreshableVersion="3" recordCount="0" supportSubquery="1" supportAdvancedDrill="1" xr:uid="{E0B0BF9B-869E-4A69-8C90-4BCA2B69F815}">
  <cacheSource type="external" connectionId="2"/>
  <cacheFields count="7">
    <cacheField name="[invoice].[نام مشتری].[نام مشتری]" caption="نام مشتری" numFmtId="0" hierarchy="16" level="1">
      <sharedItems containsSemiMixedTypes="0" containsNonDate="0" containsString="0"/>
    </cacheField>
    <cacheField name="[invoice].[نوع سفارش].[نوع سفارش]" caption="نوع سفارش" numFmtId="0" hierarchy="23" level="1">
      <sharedItems containsSemiMixedTypes="0" containsNonDate="0" containsString="0"/>
    </cacheField>
    <cacheField name="[Measures].[Sum of میزان سفارش]" caption="Sum of میزان سفارش" numFmtId="0" hierarchy="38" level="32767"/>
    <cacheField name="[Measures].[Sum of مقدار]" caption="Sum of مقدار" numFmtId="0" hierarchy="39" level="32767"/>
    <cacheField name="[Measures].[Average of فی]" caption="Average of فی" numFmtId="0" hierarchy="41" level="32767"/>
    <cacheField name="[Measures].[Count of شماره پیش فاکتور]" caption="Count of شماره پیش فاکتور" numFmtId="0" hierarchy="42" level="32767"/>
    <cacheField name="[Measures].[Count of شماره سند مبنا]" caption="Count of شماره سند مبنا" numFmtId="0" hierarchy="43" level="32767"/>
  </cacheFields>
  <cacheHierarchies count="49">
    <cacheHierarchy uniqueName="[bargiri].[شماره حواله]" caption="شماره حواله" attribute="1" defaultMemberUniqueName="[bargiri].[شماره حواله].[All]" allUniqueName="[bargiri].[شماره حواله].[All]" dimensionUniqueName="[bargiri]" displayFolder="" count="0" memberValueDatatype="20" unbalanced="0"/>
    <cacheHierarchy uniqueName="[bargiri].[تاریخ حواله]" caption="تاریخ حواله" attribute="1" defaultMemberUniqueName="[bargiri].[تاریخ حواله].[All]" allUniqueName="[bargiri].[تاریخ حواله].[All]" dimensionUniqueName="[bargiri]" displayFolder="" count="0" memberValueDatatype="130" unbalanced="0"/>
    <cacheHierarchy uniqueName="[bargiri].[شماره سند مبنا]" caption="شماره سند مبنا" attribute="1" defaultMemberUniqueName="[bargiri].[شماره سند مبنا].[All]" allUniqueName="[bargiri].[شماره سند مبنا].[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مقدار]" caption="مقدار" attribute="1" defaultMemberUniqueName="[bargiri].[مقدار].[All]" allUniqueName="[bargiri].[مقدار].[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مبلغ ناخالص]" caption="مبلغ ناخالص" attribute="1" defaultMemberUniqueName="[bargiri].[مبلغ ناخالص].[All]" allUniqueName="[bargiri].[مبلغ ناخالص].[All]" dimensionUniqueName="[bargiri]" displayFolder="" count="0" memberValueDatatype="5" unbalanced="0"/>
    <cacheHierarchy uniqueName="[bargiri].[اضافات]" caption="اضافات" attribute="1" defaultMemberUniqueName="[bargiri].[اضافات].[All]" allUniqueName="[bargiri].[اضافات].[All]" dimensionUniqueName="[bargiri]" displayFolder="" count="0" memberValueDatatype="20" unbalanced="0"/>
    <cacheHierarchy uniqueName="[bargiri].[مبلغ خالص]" caption="مبلغ خالص" attribute="1" defaultMemberUniqueName="[bargiri].[مبلغ خالص].[All]" allUniqueName="[bargiri].[مبلغ خالص].[All]" dimensionUniqueName="[bargiri]" displayFolder="" count="0" memberValueDatatype="5" unbalanced="0"/>
    <cacheHierarchy uniqueName="[bargiri].[میزان استهلاک پیش دریافتی]" caption="میزان استهلاک پیش دریافتی" attribute="1" defaultMemberUniqueName="[bargiri].[میزان استهلاک پیش دریافتی].[All]" allUniqueName="[bargiri].[میزان استهلاک پیش دریافتی].[All]" dimensionUniqueName="[bargiri]" displayFolder="" count="0" memberValueDatatype="130" unbalanced="0"/>
    <cacheHierarchy uniqueName="[bargiri].[مانده مبلغ]" caption="مانده مبلغ" attribute="1" defaultMemberUniqueName="[bargiri].[مانده مبلغ].[All]" allUniqueName="[bargiri].[مانده مبلغ].[All]" dimensionUniqueName="[bargiri]" displayFolder="" count="0" memberValueDatatype="130" unbalanced="0"/>
    <cacheHierarchy uniqueName="[bargiri].[تاریخ واریزی]" caption="تاریخ واریزی" attribute="1" defaultMemberUniqueName="[bargiri].[تاریخ واریزی].[All]" allUniqueName="[bargiri].[تاریخ واریزی].[All]" dimensionUniqueName="[bargiri]" displayFolder="" count="0" memberValueDatatype="130" unbalanced="0"/>
    <cacheHierarchy uniqueName="[bargiri].[مبلغ واریزی]" caption="مبلغ واریزی" attribute="1" defaultMemberUniqueName="[bargiri].[مبلغ واریزی].[All]" allUniqueName="[bargiri].[مبلغ واریزی].[All]" dimensionUniqueName="[bargiri]" displayFolder="" count="0" memberValueDatatype="130" unbalanced="0"/>
    <cacheHierarchy uniqueName="[bargiri].[مانده حساب باسکول]" caption="مانده حساب باسکول" attribute="1" defaultMemberUniqueName="[bargiri].[مانده حساب باسکول].[All]" allUniqueName="[bargiri].[مانده حساب باسکول].[All]" dimensionUniqueName="[bargiri]" displayFolder="" count="0" memberValueDatatype="130" unbalanced="0"/>
    <cacheHierarchy uniqueName="[bargiri].[توضیحات]" caption="توضیحات" attribute="1" defaultMemberUniqueName="[bargiri].[توضیحات].[All]" allUniqueName="[bargiri].[توضیحات].[All]" dimensionUniqueName="[bargiri]" displayFolder="" count="0" memberValueDatatype="130"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0"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0"/>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2" memberValueDatatype="130" unbalanced="0">
      <fieldsUsage count="2">
        <fieldUsage x="-1"/>
        <fieldUsage x="1"/>
      </fieldsUsage>
    </cacheHierarchy>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 ارزش افزوده]" caption="% ارزش افزوده" attribute="1" defaultMemberUniqueName="[invoice].[% ارزش افزوده].[All]" allUniqueName="[invoice].[% ارزش افزوده].[All]" dimensionUniqueName="[invoice]" displayFolder="" count="0" memberValueDatatype="5" unbalanced="0"/>
    <cacheHierarchy uniqueName="[invoice].[مبلغ پیش دریافت]" caption="مبلغ پیش دریافت" attribute="1" defaultMemberUniqueName="[invoice].[مبلغ پیش دریافت].[All]" allUniqueName="[invoice].[مبلغ پیش دریافت].[All]" dimensionUniqueName="[invoice]" displayFolder="" count="0" memberValueDatatype="5" unbalanced="0"/>
    <cacheHierarchy uniqueName="[invoice].[پیش دریافت به ازای هر کیلوگرم]" caption="پیش دریافت به ازای هر کیلوگرم" attribute="1" defaultMemberUniqueName="[invoice].[پیش دریافت به ازای هر کیلوگرم].[All]" allUniqueName="[invoice].[پیش دریافت به ازای هر کیلوگرم].[All]" dimensionUniqueName="[invoice]" displayFolder="" count="0" memberValueDatatype="5" unbalanced="0"/>
    <cacheHierarchy uniqueName="[invoice].[Column1]" caption="Column1" attribute="1" defaultMemberUniqueName="[invoice].[Column1].[All]" allUniqueName="[invoice].[Column1].[All]" dimensionUniqueName="[invoice]" displayFolder="" count="0" memberValueDatatype="5" unbalanced="0"/>
    <cacheHierarchy uniqueName="[invoice].[Column2]" caption="Column2" attribute="1" defaultMemberUniqueName="[invoice].[Column2].[All]" allUniqueName="[invoice].[Column2].[All]" dimensionUniqueName="[invoice]" displayFolder="" count="0" memberValueDatatype="130" unbalanced="0"/>
    <cacheHierarchy uniqueName="[invoice].[Column3]" caption="Column3" attribute="1" defaultMemberUniqueName="[invoice].[Column3].[All]" allUniqueName="[invoice].[Column3].[All]" dimensionUniqueName="[invoice]" displayFolder="" count="0" memberValueDatatype="20" unbalanced="0"/>
    <cacheHierarchy uniqueName="[invoice].[Column4]" caption="Column4" attribute="1" defaultMemberUniqueName="[invoice].[Column4].[All]" allUniqueName="[invoice].[Column4].[All]" dimensionUniqueName="[invoice]" displayFolder="" count="0" memberValueDatatype="20" unbalanced="0"/>
    <cacheHierarchy uniqueName="[invoice].[Column5]" caption="Column5" attribute="1" defaultMemberUniqueName="[invoice].[Column5].[All]" allUniqueName="[invoice].[Column5].[All]" dimensionUniqueName="[invoice]" displayFolder="" count="0" memberValueDatatype="5" unbalanced="0"/>
    <cacheHierarchy uniqueName="[invoice].[Column6]" caption="Column6" attribute="1" defaultMemberUniqueName="[invoice].[Column6].[All]" allUniqueName="[invoice].[Column6].[All]" dimensionUniqueName="[invoice]" displayFolder="" count="0" memberValueDatatype="130" unbalanced="0"/>
    <cacheHierarchy uniqueName="[Measures].[__XL_Count invoice]" caption="__XL_Count invoice" measure="1" displayFolder="" measureGroup="invoice" count="0" hidden="1"/>
    <cacheHierarchy uniqueName="[Measures].[__XL_Count bargiri]" caption="__XL_Count bargiri" measure="1" displayFolder="" measureGroup="bargiri" count="0" hidden="1"/>
    <cacheHierarchy uniqueName="[Measures].[__No measures defined]" caption="__No measures defined" measure="1" displayFolder="" count="0" hidden="1"/>
    <cacheHierarchy uniqueName="[Measures].[Sum of میزان سفارش]" caption="Sum of میزان سفارش" measure="1" displayFolder="" measureGroup="invoice" count="0" oneField="1" hidden="1">
      <fieldsUsage count="1">
        <fieldUsage x="2"/>
      </fieldsUsage>
      <extLst>
        <ext xmlns:x15="http://schemas.microsoft.com/office/spreadsheetml/2010/11/main" uri="{B97F6D7D-B522-45F9-BDA1-12C45D357490}">
          <x15:cacheHierarchy aggregatedColumn="19"/>
        </ext>
      </extLst>
    </cacheHierarchy>
    <cacheHierarchy uniqueName="[Measures].[Sum of مقدار]" caption="Sum of مقدار" measure="1" displayFolder="" measureGroup="bargiri" count="0" oneField="1" hidden="1">
      <fieldsUsage count="1">
        <fieldUsage x="3"/>
      </fieldsUsage>
      <extLst>
        <ext xmlns:x15="http://schemas.microsoft.com/office/spreadsheetml/2010/11/main" uri="{B97F6D7D-B522-45F9-BDA1-12C45D357490}">
          <x15:cacheHierarchy aggregatedColumn="4"/>
        </ext>
      </extLst>
    </cacheHierarchy>
    <cacheHierarchy uniqueName="[Measures].[Sum of فی]" caption="Sum of فی" measure="1" displayFolder="" measureGroup="bargiri" count="0" hidden="1">
      <extLst>
        <ext xmlns:x15="http://schemas.microsoft.com/office/spreadsheetml/2010/11/main" uri="{B97F6D7D-B522-45F9-BDA1-12C45D357490}">
          <x15:cacheHierarchy aggregatedColumn="5"/>
        </ext>
      </extLst>
    </cacheHierarchy>
    <cacheHierarchy uniqueName="[Measures].[Average of فی]" caption="Average of فی" measure="1" displayFolder="" measureGroup="bargiri" count="0" oneField="1" hidden="1">
      <fieldsUsage count="1">
        <fieldUsage x="4"/>
      </fieldsUsage>
      <extLst>
        <ext xmlns:x15="http://schemas.microsoft.com/office/spreadsheetml/2010/11/main" uri="{B97F6D7D-B522-45F9-BDA1-12C45D357490}">
          <x15:cacheHierarchy aggregatedColumn="5"/>
        </ext>
      </extLst>
    </cacheHierarchy>
    <cacheHierarchy uniqueName="[Measures].[Count of شماره پیش فاکتور]" caption="Count of شماره پیش فاکتور" measure="1" displayFolder="" measureGroup="invoice" count="0" oneField="1" hidden="1">
      <fieldsUsage count="1">
        <fieldUsage x="5"/>
      </fieldsUsage>
      <extLst>
        <ext xmlns:x15="http://schemas.microsoft.com/office/spreadsheetml/2010/11/main" uri="{B97F6D7D-B522-45F9-BDA1-12C45D357490}">
          <x15:cacheHierarchy aggregatedColumn="15"/>
        </ext>
      </extLst>
    </cacheHierarchy>
    <cacheHierarchy uniqueName="[Measures].[Count of شماره سند مبنا]" caption="Count of شماره سند مبنا" measure="1" displayFolder="" measureGroup="bargiri" count="0" oneField="1" hidden="1">
      <fieldsUsage count="1">
        <fieldUsage x="6"/>
      </fieldsUsage>
      <extLst>
        <ext xmlns:x15="http://schemas.microsoft.com/office/spreadsheetml/2010/11/main" uri="{B97F6D7D-B522-45F9-BDA1-12C45D357490}">
          <x15:cacheHierarchy aggregatedColumn="2"/>
        </ext>
      </extLst>
    </cacheHierarchy>
    <cacheHierarchy uniqueName="[Measures].[Average of مقدار]" caption="Average of مقدار" measure="1" displayFolder="" measureGroup="bargiri" count="0" hidden="1">
      <extLst>
        <ext xmlns:x15="http://schemas.microsoft.com/office/spreadsheetml/2010/11/main" uri="{B97F6D7D-B522-45F9-BDA1-12C45D357490}">
          <x15:cacheHierarchy aggregatedColumn="4"/>
        </ext>
      </extLst>
    </cacheHierarchy>
    <cacheHierarchy uniqueName="[Measures].[Sum of مبلغ خالص]" caption="Sum of مبلغ خالص" measure="1" displayFolder="" measureGroup="bargiri" count="0" hidden="1">
      <extLst>
        <ext xmlns:x15="http://schemas.microsoft.com/office/spreadsheetml/2010/11/main" uri="{B97F6D7D-B522-45F9-BDA1-12C45D357490}">
          <x15:cacheHierarchy aggregatedColumn="8"/>
        </ext>
      </extLst>
    </cacheHierarchy>
    <cacheHierarchy uniqueName="[Measures].[Sum of شماره حواله]" caption="Sum of شماره حواله" measure="1" displayFolder="" measureGroup="bargiri" count="0" hidden="1">
      <extLst>
        <ext xmlns:x15="http://schemas.microsoft.com/office/spreadsheetml/2010/11/main" uri="{B97F6D7D-B522-45F9-BDA1-12C45D357490}">
          <x15:cacheHierarchy aggregatedColumn="0"/>
        </ext>
      </extLst>
    </cacheHierarchy>
    <cacheHierarchy uniqueName="[Measures].[Count of شماره حواله]" caption="Count of شماره حواله" measure="1" displayFolder="" measureGroup="bargiri" count="0" hidden="1">
      <extLst>
        <ext xmlns:x15="http://schemas.microsoft.com/office/spreadsheetml/2010/11/main" uri="{B97F6D7D-B522-45F9-BDA1-12C45D357490}">
          <x15:cacheHierarchy aggregatedColumn="0"/>
        </ext>
      </extLst>
    </cacheHierarchy>
    <cacheHierarchy uniqueName="[Measures].[Count of مبلغ واریزی]" caption="Count of مبلغ واریزی" measure="1" displayFolder="" measureGroup="bargiri" count="0" hidden="1">
      <extLst>
        <ext xmlns:x15="http://schemas.microsoft.com/office/spreadsheetml/2010/11/main" uri="{B97F6D7D-B522-45F9-BDA1-12C45D357490}">
          <x15:cacheHierarchy aggregatedColumn="12"/>
        </ext>
      </extLst>
    </cacheHierarchy>
  </cacheHierarchies>
  <kpis count="0"/>
  <dimensions count="3">
    <dimension name="bargiri" uniqueName="[bargiri]" caption="bargiri"/>
    <dimension name="invoice" uniqueName="[invoice]" caption="invoice"/>
    <dimension measure="1" name="Measures" uniqueName="[Measures]" caption="Measures"/>
  </dimensions>
  <measureGroups count="2">
    <measureGroup name="bargiri" caption="bargiri"/>
    <measureGroup name="invoice" caption="invoice"/>
  </measureGroups>
  <maps count="3">
    <map measureGroup="0" dimension="0"/>
    <map measureGroup="0" dimension="1"/>
    <map measureGroup="1"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159.448155092592" backgroundQuery="1" createdVersion="8" refreshedVersion="8" minRefreshableVersion="3" recordCount="0" supportSubquery="1" supportAdvancedDrill="1" xr:uid="{31155AA7-B083-4706-BDB2-2B1ED77CED3B}">
  <cacheSource type="external" connectionId="2"/>
  <cacheFields count="6">
    <cacheField name="[invoice].[نام مشتری].[نام مشتری]" caption="نام مشتری" numFmtId="0" hierarchy="16" level="1">
      <sharedItems containsSemiMixedTypes="0" containsNonDate="0" containsString="0"/>
    </cacheField>
    <cacheField name="[invoice].[نوع سفارش].[نوع سفارش]" caption="نوع سفارش" numFmtId="0" hierarchy="23" level="1">
      <sharedItems containsSemiMixedTypes="0" containsNonDate="0" containsString="0"/>
    </cacheField>
    <cacheField name="[invoice].[شماره پیش فاکتور].[شماره پیش فاکتور]" caption="شماره پیش فاکتور" numFmtId="0" hierarchy="15" level="1">
      <sharedItems count="6">
        <s v="پ/86-1404"/>
        <s v="پ/92-1404"/>
        <s v="پ/92-1404-1"/>
        <s v="پ/92-1404-2"/>
        <s v="پ/92-1404-3"/>
        <s v="پ/92-1404-4"/>
      </sharedItems>
    </cacheField>
    <cacheField name="[Measures].[Sum of میزان سفارش]" caption="Sum of میزان سفارش" numFmtId="0" hierarchy="38" level="32767"/>
    <cacheField name="[Measures].[Sum of مقدار]" caption="Sum of مقدار" numFmtId="0" hierarchy="39" level="32767"/>
    <cacheField name="[Measures].[Average of فی]" caption="Average of فی" numFmtId="0" hierarchy="41" level="32767"/>
  </cacheFields>
  <cacheHierarchies count="49">
    <cacheHierarchy uniqueName="[bargiri].[شماره حواله]" caption="شماره حواله" attribute="1" defaultMemberUniqueName="[bargiri].[شماره حواله].[All]" allUniqueName="[bargiri].[شماره حواله].[All]" dimensionUniqueName="[bargiri]" displayFolder="" count="0" memberValueDatatype="20" unbalanced="0"/>
    <cacheHierarchy uniqueName="[bargiri].[تاریخ حواله]" caption="تاریخ حواله" attribute="1" defaultMemberUniqueName="[bargiri].[تاریخ حواله].[All]" allUniqueName="[bargiri].[تاریخ حواله].[All]" dimensionUniqueName="[bargiri]" displayFolder="" count="0" memberValueDatatype="130" unbalanced="0"/>
    <cacheHierarchy uniqueName="[bargiri].[شماره سند مبنا]" caption="شماره سند مبنا" attribute="1" defaultMemberUniqueName="[bargiri].[شماره سند مبنا].[All]" allUniqueName="[bargiri].[شماره سند مبنا].[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مقدار]" caption="مقدار" attribute="1" defaultMemberUniqueName="[bargiri].[مقدار].[All]" allUniqueName="[bargiri].[مقدار].[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مبلغ ناخالص]" caption="مبلغ ناخالص" attribute="1" defaultMemberUniqueName="[bargiri].[مبلغ ناخالص].[All]" allUniqueName="[bargiri].[مبلغ ناخالص].[All]" dimensionUniqueName="[bargiri]" displayFolder="" count="0" memberValueDatatype="5" unbalanced="0"/>
    <cacheHierarchy uniqueName="[bargiri].[اضافات]" caption="اضافات" attribute="1" defaultMemberUniqueName="[bargiri].[اضافات].[All]" allUniqueName="[bargiri].[اضافات].[All]" dimensionUniqueName="[bargiri]" displayFolder="" count="0" memberValueDatatype="20" unbalanced="0"/>
    <cacheHierarchy uniqueName="[bargiri].[مبلغ خالص]" caption="مبلغ خالص" attribute="1" defaultMemberUniqueName="[bargiri].[مبلغ خالص].[All]" allUniqueName="[bargiri].[مبلغ خالص].[All]" dimensionUniqueName="[bargiri]" displayFolder="" count="0" memberValueDatatype="5" unbalanced="0"/>
    <cacheHierarchy uniqueName="[bargiri].[میزان استهلاک پیش دریافتی]" caption="میزان استهلاک پیش دریافتی" attribute="1" defaultMemberUniqueName="[bargiri].[میزان استهلاک پیش دریافتی].[All]" allUniqueName="[bargiri].[میزان استهلاک پیش دریافتی].[All]" dimensionUniqueName="[bargiri]" displayFolder="" count="0" memberValueDatatype="130" unbalanced="0"/>
    <cacheHierarchy uniqueName="[bargiri].[مانده مبلغ]" caption="مانده مبلغ" attribute="1" defaultMemberUniqueName="[bargiri].[مانده مبلغ].[All]" allUniqueName="[bargiri].[مانده مبلغ].[All]" dimensionUniqueName="[bargiri]" displayFolder="" count="0" memberValueDatatype="130" unbalanced="0"/>
    <cacheHierarchy uniqueName="[bargiri].[تاریخ واریزی]" caption="تاریخ واریزی" attribute="1" defaultMemberUniqueName="[bargiri].[تاریخ واریزی].[All]" allUniqueName="[bargiri].[تاریخ واریزی].[All]" dimensionUniqueName="[bargiri]" displayFolder="" count="0" memberValueDatatype="130" unbalanced="0"/>
    <cacheHierarchy uniqueName="[bargiri].[مبلغ واریزی]" caption="مبلغ واریزی" attribute="1" defaultMemberUniqueName="[bargiri].[مبلغ واریزی].[All]" allUniqueName="[bargiri].[مبلغ واریزی].[All]" dimensionUniqueName="[bargiri]" displayFolder="" count="0" memberValueDatatype="130" unbalanced="0"/>
    <cacheHierarchy uniqueName="[bargiri].[مانده حساب باسکول]" caption="مانده حساب باسکول" attribute="1" defaultMemberUniqueName="[bargiri].[مانده حساب باسکول].[All]" allUniqueName="[bargiri].[مانده حساب باسکول].[All]" dimensionUniqueName="[bargiri]" displayFolder="" count="0" memberValueDatatype="130" unbalanced="0"/>
    <cacheHierarchy uniqueName="[bargiri].[توضیحات]" caption="توضیحات" attribute="1" defaultMemberUniqueName="[bargiri].[توضیحات].[All]" allUniqueName="[bargiri].[توضیحات].[All]" dimensionUniqueName="[bargiri]" displayFolder="" count="0" memberValueDatatype="130"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2" memberValueDatatype="130" unbalanced="0">
      <fieldsUsage count="2">
        <fieldUsage x="-1"/>
        <fieldUsage x="2"/>
      </fieldsUsage>
    </cacheHierarchy>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0"/>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2" memberValueDatatype="130" unbalanced="0">
      <fieldsUsage count="2">
        <fieldUsage x="-1"/>
        <fieldUsage x="1"/>
      </fieldsUsage>
    </cacheHierarchy>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 ارزش افزوده]" caption="% ارزش افزوده" attribute="1" defaultMemberUniqueName="[invoice].[% ارزش افزوده].[All]" allUniqueName="[invoice].[% ارزش افزوده].[All]" dimensionUniqueName="[invoice]" displayFolder="" count="0" memberValueDatatype="5" unbalanced="0"/>
    <cacheHierarchy uniqueName="[invoice].[مبلغ پیش دریافت]" caption="مبلغ پیش دریافت" attribute="1" defaultMemberUniqueName="[invoice].[مبلغ پیش دریافت].[All]" allUniqueName="[invoice].[مبلغ پیش دریافت].[All]" dimensionUniqueName="[invoice]" displayFolder="" count="0" memberValueDatatype="5" unbalanced="0"/>
    <cacheHierarchy uniqueName="[invoice].[پیش دریافت به ازای هر کیلوگرم]" caption="پیش دریافت به ازای هر کیلوگرم" attribute="1" defaultMemberUniqueName="[invoice].[پیش دریافت به ازای هر کیلوگرم].[All]" allUniqueName="[invoice].[پیش دریافت به ازای هر کیلوگرم].[All]" dimensionUniqueName="[invoice]" displayFolder="" count="0" memberValueDatatype="5" unbalanced="0"/>
    <cacheHierarchy uniqueName="[invoice].[Column1]" caption="Column1" attribute="1" defaultMemberUniqueName="[invoice].[Column1].[All]" allUniqueName="[invoice].[Column1].[All]" dimensionUniqueName="[invoice]" displayFolder="" count="0" memberValueDatatype="5" unbalanced="0"/>
    <cacheHierarchy uniqueName="[invoice].[Column2]" caption="Column2" attribute="1" defaultMemberUniqueName="[invoice].[Column2].[All]" allUniqueName="[invoice].[Column2].[All]" dimensionUniqueName="[invoice]" displayFolder="" count="0" memberValueDatatype="130" unbalanced="0"/>
    <cacheHierarchy uniqueName="[invoice].[Column3]" caption="Column3" attribute="1" defaultMemberUniqueName="[invoice].[Column3].[All]" allUniqueName="[invoice].[Column3].[All]" dimensionUniqueName="[invoice]" displayFolder="" count="0" memberValueDatatype="20" unbalanced="0"/>
    <cacheHierarchy uniqueName="[invoice].[Column4]" caption="Column4" attribute="1" defaultMemberUniqueName="[invoice].[Column4].[All]" allUniqueName="[invoice].[Column4].[All]" dimensionUniqueName="[invoice]" displayFolder="" count="0" memberValueDatatype="20" unbalanced="0"/>
    <cacheHierarchy uniqueName="[invoice].[Column5]" caption="Column5" attribute="1" defaultMemberUniqueName="[invoice].[Column5].[All]" allUniqueName="[invoice].[Column5].[All]" dimensionUniqueName="[invoice]" displayFolder="" count="0" memberValueDatatype="5" unbalanced="0"/>
    <cacheHierarchy uniqueName="[invoice].[Column6]" caption="Column6" attribute="1" defaultMemberUniqueName="[invoice].[Column6].[All]" allUniqueName="[invoice].[Column6].[All]" dimensionUniqueName="[invoice]" displayFolder="" count="0" memberValueDatatype="130" unbalanced="0"/>
    <cacheHierarchy uniqueName="[Measures].[__XL_Count invoice]" caption="__XL_Count invoice" measure="1" displayFolder="" measureGroup="invoice" count="0" hidden="1"/>
    <cacheHierarchy uniqueName="[Measures].[__XL_Count bargiri]" caption="__XL_Count bargiri" measure="1" displayFolder="" measureGroup="bargiri" count="0" hidden="1"/>
    <cacheHierarchy uniqueName="[Measures].[__No measures defined]" caption="__No measures defined" measure="1" displayFolder="" count="0" hidden="1"/>
    <cacheHierarchy uniqueName="[Measures].[Sum of میزان سفارش]" caption="Sum of میزان سفارش" measure="1" displayFolder="" measureGroup="invoice" count="0" oneField="1" hidden="1">
      <fieldsUsage count="1">
        <fieldUsage x="3"/>
      </fieldsUsage>
      <extLst>
        <ext xmlns:x15="http://schemas.microsoft.com/office/spreadsheetml/2010/11/main" uri="{B97F6D7D-B522-45F9-BDA1-12C45D357490}">
          <x15:cacheHierarchy aggregatedColumn="19"/>
        </ext>
      </extLst>
    </cacheHierarchy>
    <cacheHierarchy uniqueName="[Measures].[Sum of مقدار]" caption="Sum of مقدار" measure="1" displayFolder="" measureGroup="bargiri" count="0" oneField="1" hidden="1">
      <fieldsUsage count="1">
        <fieldUsage x="4"/>
      </fieldsUsage>
      <extLst>
        <ext xmlns:x15="http://schemas.microsoft.com/office/spreadsheetml/2010/11/main" uri="{B97F6D7D-B522-45F9-BDA1-12C45D357490}">
          <x15:cacheHierarchy aggregatedColumn="4"/>
        </ext>
      </extLst>
    </cacheHierarchy>
    <cacheHierarchy uniqueName="[Measures].[Sum of فی]" caption="Sum of فی" measure="1" displayFolder="" measureGroup="bargiri" count="0" hidden="1">
      <extLst>
        <ext xmlns:x15="http://schemas.microsoft.com/office/spreadsheetml/2010/11/main" uri="{B97F6D7D-B522-45F9-BDA1-12C45D357490}">
          <x15:cacheHierarchy aggregatedColumn="5"/>
        </ext>
      </extLst>
    </cacheHierarchy>
    <cacheHierarchy uniqueName="[Measures].[Average of فی]" caption="Average of فی" measure="1" displayFolder="" measureGroup="bargiri" count="0" oneField="1" hidden="1">
      <fieldsUsage count="1">
        <fieldUsage x="5"/>
      </fieldsUsage>
      <extLst>
        <ext xmlns:x15="http://schemas.microsoft.com/office/spreadsheetml/2010/11/main" uri="{B97F6D7D-B522-45F9-BDA1-12C45D357490}">
          <x15:cacheHierarchy aggregatedColumn="5"/>
        </ext>
      </extLst>
    </cacheHierarchy>
    <cacheHierarchy uniqueName="[Measures].[Count of شماره پیش فاکتور]" caption="Count of شماره پیش فاکتور" measure="1" displayFolder="" measureGroup="invoice" count="0" hidden="1">
      <extLst>
        <ext xmlns:x15="http://schemas.microsoft.com/office/spreadsheetml/2010/11/main" uri="{B97F6D7D-B522-45F9-BDA1-12C45D357490}">
          <x15:cacheHierarchy aggregatedColumn="15"/>
        </ext>
      </extLst>
    </cacheHierarchy>
    <cacheHierarchy uniqueName="[Measures].[Count of شماره سند مبنا]" caption="Count of شماره سند مبنا" measure="1" displayFolder="" measureGroup="bargiri" count="0" hidden="1">
      <extLst>
        <ext xmlns:x15="http://schemas.microsoft.com/office/spreadsheetml/2010/11/main" uri="{B97F6D7D-B522-45F9-BDA1-12C45D357490}">
          <x15:cacheHierarchy aggregatedColumn="2"/>
        </ext>
      </extLst>
    </cacheHierarchy>
    <cacheHierarchy uniqueName="[Measures].[Average of مقدار]" caption="Average of مقدار" measure="1" displayFolder="" measureGroup="bargiri" count="0" hidden="1">
      <extLst>
        <ext xmlns:x15="http://schemas.microsoft.com/office/spreadsheetml/2010/11/main" uri="{B97F6D7D-B522-45F9-BDA1-12C45D357490}">
          <x15:cacheHierarchy aggregatedColumn="4"/>
        </ext>
      </extLst>
    </cacheHierarchy>
    <cacheHierarchy uniqueName="[Measures].[Sum of مبلغ خالص]" caption="Sum of مبلغ خالص" measure="1" displayFolder="" measureGroup="bargiri" count="0" hidden="1">
      <extLst>
        <ext xmlns:x15="http://schemas.microsoft.com/office/spreadsheetml/2010/11/main" uri="{B97F6D7D-B522-45F9-BDA1-12C45D357490}">
          <x15:cacheHierarchy aggregatedColumn="8"/>
        </ext>
      </extLst>
    </cacheHierarchy>
    <cacheHierarchy uniqueName="[Measures].[Sum of شماره حواله]" caption="Sum of شماره حواله" measure="1" displayFolder="" measureGroup="bargiri" count="0" hidden="1">
      <extLst>
        <ext xmlns:x15="http://schemas.microsoft.com/office/spreadsheetml/2010/11/main" uri="{B97F6D7D-B522-45F9-BDA1-12C45D357490}">
          <x15:cacheHierarchy aggregatedColumn="0"/>
        </ext>
      </extLst>
    </cacheHierarchy>
    <cacheHierarchy uniqueName="[Measures].[Count of شماره حواله]" caption="Count of شماره حواله" measure="1" displayFolder="" measureGroup="bargiri" count="0" hidden="1">
      <extLst>
        <ext xmlns:x15="http://schemas.microsoft.com/office/spreadsheetml/2010/11/main" uri="{B97F6D7D-B522-45F9-BDA1-12C45D357490}">
          <x15:cacheHierarchy aggregatedColumn="0"/>
        </ext>
      </extLst>
    </cacheHierarchy>
    <cacheHierarchy uniqueName="[Measures].[Count of مبلغ واریزی]" caption="Count of مبلغ واریزی" measure="1" displayFolder="" measureGroup="bargiri" count="0" hidden="1">
      <extLst>
        <ext xmlns:x15="http://schemas.microsoft.com/office/spreadsheetml/2010/11/main" uri="{B97F6D7D-B522-45F9-BDA1-12C45D357490}">
          <x15:cacheHierarchy aggregatedColumn="12"/>
        </ext>
      </extLst>
    </cacheHierarchy>
  </cacheHierarchies>
  <kpis count="0"/>
  <dimensions count="3">
    <dimension name="bargiri" uniqueName="[bargiri]" caption="bargiri"/>
    <dimension name="invoice" uniqueName="[invoice]" caption="invoice"/>
    <dimension measure="1" name="Measures" uniqueName="[Measures]" caption="Measures"/>
  </dimensions>
  <measureGroups count="2">
    <measureGroup name="bargiri" caption="bargiri"/>
    <measureGroup name="invoice" caption="invoice"/>
  </measureGroups>
  <maps count="3">
    <map measureGroup="0" dimension="0"/>
    <map measureGroup="0" dimension="1"/>
    <map measureGroup="1"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159.448998958331" backgroundQuery="1" createdVersion="8" refreshedVersion="8" minRefreshableVersion="3" recordCount="0" supportSubquery="1" supportAdvancedDrill="1" xr:uid="{13CE3035-3BAD-42E7-BB56-54BAC093E4A1}">
  <cacheSource type="external" connectionId="2"/>
  <cacheFields count="7">
    <cacheField name="[invoice].[نام مشتری].[نام مشتری]" caption="نام مشتری" numFmtId="0" hierarchy="16" level="1">
      <sharedItems containsSemiMixedTypes="0" containsNonDate="0" containsString="0"/>
    </cacheField>
    <cacheField name="[invoice].[نوع سفارش].[نوع سفارش]" caption="نوع سفارش" numFmtId="0" hierarchy="23" level="1">
      <sharedItems containsSemiMixedTypes="0" containsNonDate="0" containsString="0"/>
    </cacheField>
    <cacheField name="[invoice].[شماره پیش فاکتور].[شماره پیش فاکتور]" caption="شماره پیش فاکتور" numFmtId="0" hierarchy="15" level="1">
      <sharedItems containsSemiMixedTypes="0" containsNonDate="0" containsString="0"/>
    </cacheField>
    <cacheField name="[bargiri].[شماره حواله].[شماره حواله]" caption="شماره حواله" numFmtId="0" level="1">
      <sharedItems containsSemiMixedTypes="0" containsString="0" containsNumber="1" containsInteger="1" minValue="16" maxValue="1385" count="25">
        <n v="16"/>
        <n v="17"/>
        <n v="18"/>
        <n v="19"/>
        <n v="20"/>
        <n v="21"/>
        <n v="22"/>
        <n v="23"/>
        <n v="24"/>
        <n v="1370"/>
        <n v="1371"/>
        <n v="1372"/>
        <n v="1373"/>
        <n v="1374"/>
        <n v="1375"/>
        <n v="1376"/>
        <n v="1377"/>
        <n v="1378"/>
        <n v="1379"/>
        <n v="1380"/>
        <n v="1381"/>
        <n v="1382"/>
        <n v="1383"/>
        <n v="1384"/>
        <n v="1385"/>
      </sharedItems>
      <extLst>
        <ext xmlns:x15="http://schemas.microsoft.com/office/spreadsheetml/2010/11/main" uri="{4F2E5C28-24EA-4eb8-9CBF-B6C8F9C3D259}">
          <x15:cachedUniqueNames>
            <x15:cachedUniqueName index="0" name="[bargiri].[شماره حواله].&amp;[16]"/>
            <x15:cachedUniqueName index="1" name="[bargiri].[شماره حواله].&amp;[17]"/>
            <x15:cachedUniqueName index="2" name="[bargiri].[شماره حواله].&amp;[18]"/>
            <x15:cachedUniqueName index="3" name="[bargiri].[شماره حواله].&amp;[19]"/>
            <x15:cachedUniqueName index="4" name="[bargiri].[شماره حواله].&amp;[20]"/>
            <x15:cachedUniqueName index="5" name="[bargiri].[شماره حواله].&amp;[21]"/>
            <x15:cachedUniqueName index="6" name="[bargiri].[شماره حواله].&amp;[22]"/>
            <x15:cachedUniqueName index="7" name="[bargiri].[شماره حواله].&amp;[23]"/>
            <x15:cachedUniqueName index="8" name="[bargiri].[شماره حواله].&amp;[24]"/>
            <x15:cachedUniqueName index="9" name="[bargiri].[شماره حواله].&amp;[1370]"/>
            <x15:cachedUniqueName index="10" name="[bargiri].[شماره حواله].&amp;[1371]"/>
            <x15:cachedUniqueName index="11" name="[bargiri].[شماره حواله].&amp;[1372]"/>
            <x15:cachedUniqueName index="12" name="[bargiri].[شماره حواله].&amp;[1373]"/>
            <x15:cachedUniqueName index="13" name="[bargiri].[شماره حواله].&amp;[1374]"/>
            <x15:cachedUniqueName index="14" name="[bargiri].[شماره حواله].&amp;[1375]"/>
            <x15:cachedUniqueName index="15" name="[bargiri].[شماره حواله].&amp;[1376]"/>
            <x15:cachedUniqueName index="16" name="[bargiri].[شماره حواله].&amp;[1377]"/>
            <x15:cachedUniqueName index="17" name="[bargiri].[شماره حواله].&amp;[1378]"/>
            <x15:cachedUniqueName index="18" name="[bargiri].[شماره حواله].&amp;[1379]"/>
            <x15:cachedUniqueName index="19" name="[bargiri].[شماره حواله].&amp;[1380]"/>
            <x15:cachedUniqueName index="20" name="[bargiri].[شماره حواله].&amp;[1381]"/>
            <x15:cachedUniqueName index="21" name="[bargiri].[شماره حواله].&amp;[1382]"/>
            <x15:cachedUniqueName index="22" name="[bargiri].[شماره حواله].&amp;[1383]"/>
            <x15:cachedUniqueName index="23" name="[bargiri].[شماره حواله].&amp;[1384]"/>
            <x15:cachedUniqueName index="24" name="[bargiri].[شماره حواله].&amp;[1385]"/>
          </x15:cachedUniqueNames>
        </ext>
      </extLst>
    </cacheField>
    <cacheField name="[Measures].[Sum of مقدار]" caption="Sum of مقدار" numFmtId="0" hierarchy="39" level="32767"/>
    <cacheField name="[Measures].[Average of فی]" caption="Average of فی" numFmtId="0" hierarchy="41" level="32767"/>
    <cacheField name="[Measures].[Sum of مبلغ خالص]" caption="Sum of مبلغ خالص" numFmtId="0" hierarchy="45" level="32767"/>
  </cacheFields>
  <cacheHierarchies count="49">
    <cacheHierarchy uniqueName="[bargiri].[شماره حواله]" caption="شماره حواله" attribute="1" defaultMemberUniqueName="[bargiri].[شماره حواله].[All]" allUniqueName="[bargiri].[شماره حواله].[All]" dimensionUniqueName="[bargiri]" displayFolder="" count="2" memberValueDatatype="20" unbalanced="0">
      <fieldsUsage count="2">
        <fieldUsage x="-1"/>
        <fieldUsage x="3"/>
      </fieldsUsage>
    </cacheHierarchy>
    <cacheHierarchy uniqueName="[bargiri].[تاریخ حواله]" caption="تاریخ حواله" attribute="1" defaultMemberUniqueName="[bargiri].[تاریخ حواله].[All]" allUniqueName="[bargiri].[تاریخ حواله].[All]" dimensionUniqueName="[bargiri]" displayFolder="" count="0" memberValueDatatype="130" unbalanced="0"/>
    <cacheHierarchy uniqueName="[bargiri].[شماره سند مبنا]" caption="شماره سند مبنا" attribute="1" defaultMemberUniqueName="[bargiri].[شماره سند مبنا].[All]" allUniqueName="[bargiri].[شماره سند مبنا].[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مقدار]" caption="مقدار" attribute="1" defaultMemberUniqueName="[bargiri].[مقدار].[All]" allUniqueName="[bargiri].[مقدار].[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مبلغ ناخالص]" caption="مبلغ ناخالص" attribute="1" defaultMemberUniqueName="[bargiri].[مبلغ ناخالص].[All]" allUniqueName="[bargiri].[مبلغ ناخالص].[All]" dimensionUniqueName="[bargiri]" displayFolder="" count="0" memberValueDatatype="5" unbalanced="0"/>
    <cacheHierarchy uniqueName="[bargiri].[اضافات]" caption="اضافات" attribute="1" defaultMemberUniqueName="[bargiri].[اضافات].[All]" allUniqueName="[bargiri].[اضافات].[All]" dimensionUniqueName="[bargiri]" displayFolder="" count="0" memberValueDatatype="20" unbalanced="0"/>
    <cacheHierarchy uniqueName="[bargiri].[مبلغ خالص]" caption="مبلغ خالص" attribute="1" defaultMemberUniqueName="[bargiri].[مبلغ خالص].[All]" allUniqueName="[bargiri].[مبلغ خالص].[All]" dimensionUniqueName="[bargiri]" displayFolder="" count="0" memberValueDatatype="5" unbalanced="0"/>
    <cacheHierarchy uniqueName="[bargiri].[میزان استهلاک پیش دریافتی]" caption="میزان استهلاک پیش دریافتی" attribute="1" defaultMemberUniqueName="[bargiri].[میزان استهلاک پیش دریافتی].[All]" allUniqueName="[bargiri].[میزان استهلاک پیش دریافتی].[All]" dimensionUniqueName="[bargiri]" displayFolder="" count="0" memberValueDatatype="130" unbalanced="0"/>
    <cacheHierarchy uniqueName="[bargiri].[مانده مبلغ]" caption="مانده مبلغ" attribute="1" defaultMemberUniqueName="[bargiri].[مانده مبلغ].[All]" allUniqueName="[bargiri].[مانده مبلغ].[All]" dimensionUniqueName="[bargiri]" displayFolder="" count="0" memberValueDatatype="130" unbalanced="0"/>
    <cacheHierarchy uniqueName="[bargiri].[تاریخ واریزی]" caption="تاریخ واریزی" attribute="1" defaultMemberUniqueName="[bargiri].[تاریخ واریزی].[All]" allUniqueName="[bargiri].[تاریخ واریزی].[All]" dimensionUniqueName="[bargiri]" displayFolder="" count="0" memberValueDatatype="130" unbalanced="0"/>
    <cacheHierarchy uniqueName="[bargiri].[مبلغ واریزی]" caption="مبلغ واریزی" attribute="1" defaultMemberUniqueName="[bargiri].[مبلغ واریزی].[All]" allUniqueName="[bargiri].[مبلغ واریزی].[All]" dimensionUniqueName="[bargiri]" displayFolder="" count="0" memberValueDatatype="130" unbalanced="0"/>
    <cacheHierarchy uniqueName="[bargiri].[مانده حساب باسکول]" caption="مانده حساب باسکول" attribute="1" defaultMemberUniqueName="[bargiri].[مانده حساب باسکول].[All]" allUniqueName="[bargiri].[مانده حساب باسکول].[All]" dimensionUniqueName="[bargiri]" displayFolder="" count="0" memberValueDatatype="130" unbalanced="0"/>
    <cacheHierarchy uniqueName="[bargiri].[توضیحات]" caption="توضیحات" attribute="1" defaultMemberUniqueName="[bargiri].[توضیحات].[All]" allUniqueName="[bargiri].[توضیحات].[All]" dimensionUniqueName="[bargiri]" displayFolder="" count="0" memberValueDatatype="130"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2" memberValueDatatype="130" unbalanced="0">
      <fieldsUsage count="2">
        <fieldUsage x="-1"/>
        <fieldUsage x="2"/>
      </fieldsUsage>
    </cacheHierarchy>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0"/>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2" memberValueDatatype="130" unbalanced="0">
      <fieldsUsage count="2">
        <fieldUsage x="-1"/>
        <fieldUsage x="1"/>
      </fieldsUsage>
    </cacheHierarchy>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 ارزش افزوده]" caption="% ارزش افزوده" attribute="1" defaultMemberUniqueName="[invoice].[% ارزش افزوده].[All]" allUniqueName="[invoice].[% ارزش افزوده].[All]" dimensionUniqueName="[invoice]" displayFolder="" count="0" memberValueDatatype="5" unbalanced="0"/>
    <cacheHierarchy uniqueName="[invoice].[مبلغ پیش دریافت]" caption="مبلغ پیش دریافت" attribute="1" defaultMemberUniqueName="[invoice].[مبلغ پیش دریافت].[All]" allUniqueName="[invoice].[مبلغ پیش دریافت].[All]" dimensionUniqueName="[invoice]" displayFolder="" count="0" memberValueDatatype="5" unbalanced="0"/>
    <cacheHierarchy uniqueName="[invoice].[پیش دریافت به ازای هر کیلوگرم]" caption="پیش دریافت به ازای هر کیلوگرم" attribute="1" defaultMemberUniqueName="[invoice].[پیش دریافت به ازای هر کیلوگرم].[All]" allUniqueName="[invoice].[پیش دریافت به ازای هر کیلوگرم].[All]" dimensionUniqueName="[invoice]" displayFolder="" count="0" memberValueDatatype="5" unbalanced="0"/>
    <cacheHierarchy uniqueName="[invoice].[Column1]" caption="Column1" attribute="1" defaultMemberUniqueName="[invoice].[Column1].[All]" allUniqueName="[invoice].[Column1].[All]" dimensionUniqueName="[invoice]" displayFolder="" count="0" memberValueDatatype="5" unbalanced="0"/>
    <cacheHierarchy uniqueName="[invoice].[Column2]" caption="Column2" attribute="1" defaultMemberUniqueName="[invoice].[Column2].[All]" allUniqueName="[invoice].[Column2].[All]" dimensionUniqueName="[invoice]" displayFolder="" count="0" memberValueDatatype="130" unbalanced="0"/>
    <cacheHierarchy uniqueName="[invoice].[Column3]" caption="Column3" attribute="1" defaultMemberUniqueName="[invoice].[Column3].[All]" allUniqueName="[invoice].[Column3].[All]" dimensionUniqueName="[invoice]" displayFolder="" count="0" memberValueDatatype="20" unbalanced="0"/>
    <cacheHierarchy uniqueName="[invoice].[Column4]" caption="Column4" attribute="1" defaultMemberUniqueName="[invoice].[Column4].[All]" allUniqueName="[invoice].[Column4].[All]" dimensionUniqueName="[invoice]" displayFolder="" count="0" memberValueDatatype="20" unbalanced="0"/>
    <cacheHierarchy uniqueName="[invoice].[Column5]" caption="Column5" attribute="1" defaultMemberUniqueName="[invoice].[Column5].[All]" allUniqueName="[invoice].[Column5].[All]" dimensionUniqueName="[invoice]" displayFolder="" count="0" memberValueDatatype="5" unbalanced="0"/>
    <cacheHierarchy uniqueName="[invoice].[Column6]" caption="Column6" attribute="1" defaultMemberUniqueName="[invoice].[Column6].[All]" allUniqueName="[invoice].[Column6].[All]" dimensionUniqueName="[invoice]" displayFolder="" count="0" memberValueDatatype="130" unbalanced="0"/>
    <cacheHierarchy uniqueName="[Measures].[__XL_Count invoice]" caption="__XL_Count invoice" measure="1" displayFolder="" measureGroup="invoice" count="0" hidden="1"/>
    <cacheHierarchy uniqueName="[Measures].[__XL_Count bargiri]" caption="__XL_Count bargiri" measure="1" displayFolder="" measureGroup="bargiri" count="0" hidden="1"/>
    <cacheHierarchy uniqueName="[Measures].[__No measures defined]" caption="__No measures defined" measure="1" displayFolder="" count="0" hidden="1"/>
    <cacheHierarchy uniqueName="[Measures].[Sum of میزان سفارش]" caption="Sum of میزان سفارش" measure="1" displayFolder="" measureGroup="invoice" count="0" hidden="1">
      <extLst>
        <ext xmlns:x15="http://schemas.microsoft.com/office/spreadsheetml/2010/11/main" uri="{B97F6D7D-B522-45F9-BDA1-12C45D357490}">
          <x15:cacheHierarchy aggregatedColumn="19"/>
        </ext>
      </extLst>
    </cacheHierarchy>
    <cacheHierarchy uniqueName="[Measures].[Sum of مقدار]" caption="Sum of مقدار" measure="1" displayFolder="" measureGroup="bargiri" count="0" oneField="1" hidden="1">
      <fieldsUsage count="1">
        <fieldUsage x="4"/>
      </fieldsUsage>
      <extLst>
        <ext xmlns:x15="http://schemas.microsoft.com/office/spreadsheetml/2010/11/main" uri="{B97F6D7D-B522-45F9-BDA1-12C45D357490}">
          <x15:cacheHierarchy aggregatedColumn="4"/>
        </ext>
      </extLst>
    </cacheHierarchy>
    <cacheHierarchy uniqueName="[Measures].[Sum of فی]" caption="Sum of فی" measure="1" displayFolder="" measureGroup="bargiri" count="0" hidden="1">
      <extLst>
        <ext xmlns:x15="http://schemas.microsoft.com/office/spreadsheetml/2010/11/main" uri="{B97F6D7D-B522-45F9-BDA1-12C45D357490}">
          <x15:cacheHierarchy aggregatedColumn="5"/>
        </ext>
      </extLst>
    </cacheHierarchy>
    <cacheHierarchy uniqueName="[Measures].[Average of فی]" caption="Average of فی" measure="1" displayFolder="" measureGroup="bargiri" count="0" oneField="1" hidden="1">
      <fieldsUsage count="1">
        <fieldUsage x="5"/>
      </fieldsUsage>
      <extLst>
        <ext xmlns:x15="http://schemas.microsoft.com/office/spreadsheetml/2010/11/main" uri="{B97F6D7D-B522-45F9-BDA1-12C45D357490}">
          <x15:cacheHierarchy aggregatedColumn="5"/>
        </ext>
      </extLst>
    </cacheHierarchy>
    <cacheHierarchy uniqueName="[Measures].[Count of شماره پیش فاکتور]" caption="Count of شماره پیش فاکتور" measure="1" displayFolder="" measureGroup="invoice" count="0" hidden="1">
      <extLst>
        <ext xmlns:x15="http://schemas.microsoft.com/office/spreadsheetml/2010/11/main" uri="{B97F6D7D-B522-45F9-BDA1-12C45D357490}">
          <x15:cacheHierarchy aggregatedColumn="15"/>
        </ext>
      </extLst>
    </cacheHierarchy>
    <cacheHierarchy uniqueName="[Measures].[Count of شماره سند مبنا]" caption="Count of شماره سند مبنا" measure="1" displayFolder="" measureGroup="bargiri" count="0" hidden="1">
      <extLst>
        <ext xmlns:x15="http://schemas.microsoft.com/office/spreadsheetml/2010/11/main" uri="{B97F6D7D-B522-45F9-BDA1-12C45D357490}">
          <x15:cacheHierarchy aggregatedColumn="2"/>
        </ext>
      </extLst>
    </cacheHierarchy>
    <cacheHierarchy uniqueName="[Measures].[Average of مقدار]" caption="Average of مقدار" measure="1" displayFolder="" measureGroup="bargiri" count="0" hidden="1">
      <extLst>
        <ext xmlns:x15="http://schemas.microsoft.com/office/spreadsheetml/2010/11/main" uri="{B97F6D7D-B522-45F9-BDA1-12C45D357490}">
          <x15:cacheHierarchy aggregatedColumn="4"/>
        </ext>
      </extLst>
    </cacheHierarchy>
    <cacheHierarchy uniqueName="[Measures].[Sum of مبلغ خالص]" caption="Sum of مبلغ خالص" measure="1" displayFolder="" measureGroup="bargiri" count="0" oneField="1" hidden="1">
      <fieldsUsage count="1">
        <fieldUsage x="6"/>
      </fieldsUsage>
      <extLst>
        <ext xmlns:x15="http://schemas.microsoft.com/office/spreadsheetml/2010/11/main" uri="{B97F6D7D-B522-45F9-BDA1-12C45D357490}">
          <x15:cacheHierarchy aggregatedColumn="8"/>
        </ext>
      </extLst>
    </cacheHierarchy>
    <cacheHierarchy uniqueName="[Measures].[Sum of شماره حواله]" caption="Sum of شماره حواله" measure="1" displayFolder="" measureGroup="bargiri" count="0" hidden="1">
      <extLst>
        <ext xmlns:x15="http://schemas.microsoft.com/office/spreadsheetml/2010/11/main" uri="{B97F6D7D-B522-45F9-BDA1-12C45D357490}">
          <x15:cacheHierarchy aggregatedColumn="0"/>
        </ext>
      </extLst>
    </cacheHierarchy>
    <cacheHierarchy uniqueName="[Measures].[Count of شماره حواله]" caption="Count of شماره حواله" measure="1" displayFolder="" measureGroup="bargiri" count="0" hidden="1">
      <extLst>
        <ext xmlns:x15="http://schemas.microsoft.com/office/spreadsheetml/2010/11/main" uri="{B97F6D7D-B522-45F9-BDA1-12C45D357490}">
          <x15:cacheHierarchy aggregatedColumn="0"/>
        </ext>
      </extLst>
    </cacheHierarchy>
    <cacheHierarchy uniqueName="[Measures].[Count of مبلغ واریزی]" caption="Count of مبلغ واریزی" measure="1" displayFolder="" measureGroup="bargiri" count="0" hidden="1">
      <extLst>
        <ext xmlns:x15="http://schemas.microsoft.com/office/spreadsheetml/2010/11/main" uri="{B97F6D7D-B522-45F9-BDA1-12C45D357490}">
          <x15:cacheHierarchy aggregatedColumn="12"/>
        </ext>
      </extLst>
    </cacheHierarchy>
  </cacheHierarchies>
  <kpis count="0"/>
  <dimensions count="3">
    <dimension name="bargiri" uniqueName="[bargiri]" caption="bargiri"/>
    <dimension name="invoice" uniqueName="[invoice]" caption="invoice"/>
    <dimension measure="1" name="Measures" uniqueName="[Measures]" caption="Measures"/>
  </dimensions>
  <measureGroups count="2">
    <measureGroup name="bargiri" caption="bargiri"/>
    <measureGroup name="invoice" caption="invoice"/>
  </measureGroups>
  <maps count="3">
    <map measureGroup="0" dimension="0"/>
    <map measureGroup="0" dimension="1"/>
    <map measureGroup="1"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159.448999421293" backgroundQuery="1" createdVersion="8" refreshedVersion="8" minRefreshableVersion="3" recordCount="0" supportSubquery="1" supportAdvancedDrill="1" xr:uid="{77FC4575-96C2-4661-A2B8-BE216A33E15C}">
  <cacheSource type="external" connectionId="2"/>
  <cacheFields count="7">
    <cacheField name="[invoice].[نام مشتری].[نام مشتری]" caption="نام مشتری" numFmtId="0" hierarchy="16" level="1">
      <sharedItems containsSemiMixedTypes="0" containsNonDate="0" containsString="0"/>
    </cacheField>
    <cacheField name="[invoice].[نوع سفارش].[نوع سفارش]" caption="نوع سفارش" numFmtId="0" hierarchy="23" level="1">
      <sharedItems containsSemiMixedTypes="0" containsNonDate="0" containsString="0"/>
    </cacheField>
    <cacheField name="[invoice].[شماره پیش فاکتور].[شماره پیش فاکتور]" caption="شماره پیش فاکتور" numFmtId="0" hierarchy="15" level="1">
      <sharedItems containsSemiMixedTypes="0" containsNonDate="0" containsString="0"/>
    </cacheField>
    <cacheField name="[Measures].[Sum of مقدار]" caption="Sum of مقدار" numFmtId="0" hierarchy="39" level="32767"/>
    <cacheField name="[Measures].[Average of فی]" caption="Average of فی" numFmtId="0" hierarchy="41" level="32767"/>
    <cacheField name="[Measures].[Sum of مبلغ خالص]" caption="Sum of مبلغ خالص" numFmtId="0" hierarchy="45" level="32767"/>
    <cacheField name="[Measures].[Count of شماره حواله]" caption="Count of شماره حواله" numFmtId="0" hierarchy="47" level="32767"/>
  </cacheFields>
  <cacheHierarchies count="49">
    <cacheHierarchy uniqueName="[bargiri].[شماره حواله]" caption="شماره حواله" attribute="1" defaultMemberUniqueName="[bargiri].[شماره حواله].[All]" allUniqueName="[bargiri].[شماره حواله].[All]" dimensionUniqueName="[bargiri]" displayFolder="" count="0" memberValueDatatype="20" unbalanced="0"/>
    <cacheHierarchy uniqueName="[bargiri].[تاریخ حواله]" caption="تاریخ حواله" attribute="1" defaultMemberUniqueName="[bargiri].[تاریخ حواله].[All]" allUniqueName="[bargiri].[تاریخ حواله].[All]" dimensionUniqueName="[bargiri]" displayFolder="" count="0" memberValueDatatype="130" unbalanced="0"/>
    <cacheHierarchy uniqueName="[bargiri].[شماره سند مبنا]" caption="شماره سند مبنا" attribute="1" defaultMemberUniqueName="[bargiri].[شماره سند مبنا].[All]" allUniqueName="[bargiri].[شماره سند مبنا].[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مقدار]" caption="مقدار" attribute="1" defaultMemberUniqueName="[bargiri].[مقدار].[All]" allUniqueName="[bargiri].[مقدار].[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مبلغ ناخالص]" caption="مبلغ ناخالص" attribute="1" defaultMemberUniqueName="[bargiri].[مبلغ ناخالص].[All]" allUniqueName="[bargiri].[مبلغ ناخالص].[All]" dimensionUniqueName="[bargiri]" displayFolder="" count="0" memberValueDatatype="5" unbalanced="0"/>
    <cacheHierarchy uniqueName="[bargiri].[اضافات]" caption="اضافات" attribute="1" defaultMemberUniqueName="[bargiri].[اضافات].[All]" allUniqueName="[bargiri].[اضافات].[All]" dimensionUniqueName="[bargiri]" displayFolder="" count="0" memberValueDatatype="20" unbalanced="0"/>
    <cacheHierarchy uniqueName="[bargiri].[مبلغ خالص]" caption="مبلغ خالص" attribute="1" defaultMemberUniqueName="[bargiri].[مبلغ خالص].[All]" allUniqueName="[bargiri].[مبلغ خالص].[All]" dimensionUniqueName="[bargiri]" displayFolder="" count="0" memberValueDatatype="5" unbalanced="0"/>
    <cacheHierarchy uniqueName="[bargiri].[میزان استهلاک پیش دریافتی]" caption="میزان استهلاک پیش دریافتی" attribute="1" defaultMemberUniqueName="[bargiri].[میزان استهلاک پیش دریافتی].[All]" allUniqueName="[bargiri].[میزان استهلاک پیش دریافتی].[All]" dimensionUniqueName="[bargiri]" displayFolder="" count="0" memberValueDatatype="130" unbalanced="0"/>
    <cacheHierarchy uniqueName="[bargiri].[مانده مبلغ]" caption="مانده مبلغ" attribute="1" defaultMemberUniqueName="[bargiri].[مانده مبلغ].[All]" allUniqueName="[bargiri].[مانده مبلغ].[All]" dimensionUniqueName="[bargiri]" displayFolder="" count="0" memberValueDatatype="130" unbalanced="0"/>
    <cacheHierarchy uniqueName="[bargiri].[تاریخ واریزی]" caption="تاریخ واریزی" attribute="1" defaultMemberUniqueName="[bargiri].[تاریخ واریزی].[All]" allUniqueName="[bargiri].[تاریخ واریزی].[All]" dimensionUniqueName="[bargiri]" displayFolder="" count="0" memberValueDatatype="130" unbalanced="0"/>
    <cacheHierarchy uniqueName="[bargiri].[مبلغ واریزی]" caption="مبلغ واریزی" attribute="1" defaultMemberUniqueName="[bargiri].[مبلغ واریزی].[All]" allUniqueName="[bargiri].[مبلغ واریزی].[All]" dimensionUniqueName="[bargiri]" displayFolder="" count="0" memberValueDatatype="130" unbalanced="0"/>
    <cacheHierarchy uniqueName="[bargiri].[مانده حساب باسکول]" caption="مانده حساب باسکول" attribute="1" defaultMemberUniqueName="[bargiri].[مانده حساب باسکول].[All]" allUniqueName="[bargiri].[مانده حساب باسکول].[All]" dimensionUniqueName="[bargiri]" displayFolder="" count="0" memberValueDatatype="130" unbalanced="0"/>
    <cacheHierarchy uniqueName="[bargiri].[توضیحات]" caption="توضیحات" attribute="1" defaultMemberUniqueName="[bargiri].[توضیحات].[All]" allUniqueName="[bargiri].[توضیحات].[All]" dimensionUniqueName="[bargiri]" displayFolder="" count="0" memberValueDatatype="130"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2" memberValueDatatype="130" unbalanced="0">
      <fieldsUsage count="2">
        <fieldUsage x="-1"/>
        <fieldUsage x="2"/>
      </fieldsUsage>
    </cacheHierarchy>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0"/>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2" memberValueDatatype="130" unbalanced="0">
      <fieldsUsage count="2">
        <fieldUsage x="-1"/>
        <fieldUsage x="1"/>
      </fieldsUsage>
    </cacheHierarchy>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 ارزش افزوده]" caption="% ارزش افزوده" attribute="1" defaultMemberUniqueName="[invoice].[% ارزش افزوده].[All]" allUniqueName="[invoice].[% ارزش افزوده].[All]" dimensionUniqueName="[invoice]" displayFolder="" count="0" memberValueDatatype="5" unbalanced="0"/>
    <cacheHierarchy uniqueName="[invoice].[مبلغ پیش دریافت]" caption="مبلغ پیش دریافت" attribute="1" defaultMemberUniqueName="[invoice].[مبلغ پیش دریافت].[All]" allUniqueName="[invoice].[مبلغ پیش دریافت].[All]" dimensionUniqueName="[invoice]" displayFolder="" count="0" memberValueDatatype="5" unbalanced="0"/>
    <cacheHierarchy uniqueName="[invoice].[پیش دریافت به ازای هر کیلوگرم]" caption="پیش دریافت به ازای هر کیلوگرم" attribute="1" defaultMemberUniqueName="[invoice].[پیش دریافت به ازای هر کیلوگرم].[All]" allUniqueName="[invoice].[پیش دریافت به ازای هر کیلوگرم].[All]" dimensionUniqueName="[invoice]" displayFolder="" count="0" memberValueDatatype="5" unbalanced="0"/>
    <cacheHierarchy uniqueName="[invoice].[Column1]" caption="Column1" attribute="1" defaultMemberUniqueName="[invoice].[Column1].[All]" allUniqueName="[invoice].[Column1].[All]" dimensionUniqueName="[invoice]" displayFolder="" count="0" memberValueDatatype="5" unbalanced="0"/>
    <cacheHierarchy uniqueName="[invoice].[Column2]" caption="Column2" attribute="1" defaultMemberUniqueName="[invoice].[Column2].[All]" allUniqueName="[invoice].[Column2].[All]" dimensionUniqueName="[invoice]" displayFolder="" count="0" memberValueDatatype="130" unbalanced="0"/>
    <cacheHierarchy uniqueName="[invoice].[Column3]" caption="Column3" attribute="1" defaultMemberUniqueName="[invoice].[Column3].[All]" allUniqueName="[invoice].[Column3].[All]" dimensionUniqueName="[invoice]" displayFolder="" count="0" memberValueDatatype="20" unbalanced="0"/>
    <cacheHierarchy uniqueName="[invoice].[Column4]" caption="Column4" attribute="1" defaultMemberUniqueName="[invoice].[Column4].[All]" allUniqueName="[invoice].[Column4].[All]" dimensionUniqueName="[invoice]" displayFolder="" count="0" memberValueDatatype="20" unbalanced="0"/>
    <cacheHierarchy uniqueName="[invoice].[Column5]" caption="Column5" attribute="1" defaultMemberUniqueName="[invoice].[Column5].[All]" allUniqueName="[invoice].[Column5].[All]" dimensionUniqueName="[invoice]" displayFolder="" count="0" memberValueDatatype="5" unbalanced="0"/>
    <cacheHierarchy uniqueName="[invoice].[Column6]" caption="Column6" attribute="1" defaultMemberUniqueName="[invoice].[Column6].[All]" allUniqueName="[invoice].[Column6].[All]" dimensionUniqueName="[invoice]" displayFolder="" count="0" memberValueDatatype="130" unbalanced="0"/>
    <cacheHierarchy uniqueName="[Measures].[__XL_Count invoice]" caption="__XL_Count invoice" measure="1" displayFolder="" measureGroup="invoice" count="0" hidden="1"/>
    <cacheHierarchy uniqueName="[Measures].[__XL_Count bargiri]" caption="__XL_Count bargiri" measure="1" displayFolder="" measureGroup="bargiri" count="0" hidden="1"/>
    <cacheHierarchy uniqueName="[Measures].[__No measures defined]" caption="__No measures defined" measure="1" displayFolder="" count="0" hidden="1"/>
    <cacheHierarchy uniqueName="[Measures].[Sum of میزان سفارش]" caption="Sum of میزان سفارش" measure="1" displayFolder="" measureGroup="invoice" count="0" hidden="1">
      <extLst>
        <ext xmlns:x15="http://schemas.microsoft.com/office/spreadsheetml/2010/11/main" uri="{B97F6D7D-B522-45F9-BDA1-12C45D357490}">
          <x15:cacheHierarchy aggregatedColumn="19"/>
        </ext>
      </extLst>
    </cacheHierarchy>
    <cacheHierarchy uniqueName="[Measures].[Sum of مقدار]" caption="Sum of مقدار" measure="1" displayFolder="" measureGroup="bargiri" count="0" oneField="1" hidden="1">
      <fieldsUsage count="1">
        <fieldUsage x="3"/>
      </fieldsUsage>
      <extLst>
        <ext xmlns:x15="http://schemas.microsoft.com/office/spreadsheetml/2010/11/main" uri="{B97F6D7D-B522-45F9-BDA1-12C45D357490}">
          <x15:cacheHierarchy aggregatedColumn="4"/>
        </ext>
      </extLst>
    </cacheHierarchy>
    <cacheHierarchy uniqueName="[Measures].[Sum of فی]" caption="Sum of فی" measure="1" displayFolder="" measureGroup="bargiri" count="0" hidden="1">
      <extLst>
        <ext xmlns:x15="http://schemas.microsoft.com/office/spreadsheetml/2010/11/main" uri="{B97F6D7D-B522-45F9-BDA1-12C45D357490}">
          <x15:cacheHierarchy aggregatedColumn="5"/>
        </ext>
      </extLst>
    </cacheHierarchy>
    <cacheHierarchy uniqueName="[Measures].[Average of فی]" caption="Average of فی" measure="1" displayFolder="" measureGroup="bargiri" count="0" oneField="1" hidden="1">
      <fieldsUsage count="1">
        <fieldUsage x="4"/>
      </fieldsUsage>
      <extLst>
        <ext xmlns:x15="http://schemas.microsoft.com/office/spreadsheetml/2010/11/main" uri="{B97F6D7D-B522-45F9-BDA1-12C45D357490}">
          <x15:cacheHierarchy aggregatedColumn="5"/>
        </ext>
      </extLst>
    </cacheHierarchy>
    <cacheHierarchy uniqueName="[Measures].[Count of شماره پیش فاکتور]" caption="Count of شماره پیش فاکتور" measure="1" displayFolder="" measureGroup="invoice" count="0" hidden="1">
      <extLst>
        <ext xmlns:x15="http://schemas.microsoft.com/office/spreadsheetml/2010/11/main" uri="{B97F6D7D-B522-45F9-BDA1-12C45D357490}">
          <x15:cacheHierarchy aggregatedColumn="15"/>
        </ext>
      </extLst>
    </cacheHierarchy>
    <cacheHierarchy uniqueName="[Measures].[Count of شماره سند مبنا]" caption="Count of شماره سند مبنا" measure="1" displayFolder="" measureGroup="bargiri" count="0" hidden="1">
      <extLst>
        <ext xmlns:x15="http://schemas.microsoft.com/office/spreadsheetml/2010/11/main" uri="{B97F6D7D-B522-45F9-BDA1-12C45D357490}">
          <x15:cacheHierarchy aggregatedColumn="2"/>
        </ext>
      </extLst>
    </cacheHierarchy>
    <cacheHierarchy uniqueName="[Measures].[Average of مقدار]" caption="Average of مقدار" measure="1" displayFolder="" measureGroup="bargiri" count="0" hidden="1">
      <extLst>
        <ext xmlns:x15="http://schemas.microsoft.com/office/spreadsheetml/2010/11/main" uri="{B97F6D7D-B522-45F9-BDA1-12C45D357490}">
          <x15:cacheHierarchy aggregatedColumn="4"/>
        </ext>
      </extLst>
    </cacheHierarchy>
    <cacheHierarchy uniqueName="[Measures].[Sum of مبلغ خالص]" caption="Sum of مبلغ خالص" measure="1" displayFolder="" measureGroup="bargiri" count="0" oneField="1" hidden="1">
      <fieldsUsage count="1">
        <fieldUsage x="5"/>
      </fieldsUsage>
      <extLst>
        <ext xmlns:x15="http://schemas.microsoft.com/office/spreadsheetml/2010/11/main" uri="{B97F6D7D-B522-45F9-BDA1-12C45D357490}">
          <x15:cacheHierarchy aggregatedColumn="8"/>
        </ext>
      </extLst>
    </cacheHierarchy>
    <cacheHierarchy uniqueName="[Measures].[Sum of شماره حواله]" caption="Sum of شماره حواله" measure="1" displayFolder="" measureGroup="bargiri" count="0" hidden="1">
      <extLst>
        <ext xmlns:x15="http://schemas.microsoft.com/office/spreadsheetml/2010/11/main" uri="{B97F6D7D-B522-45F9-BDA1-12C45D357490}">
          <x15:cacheHierarchy aggregatedColumn="0"/>
        </ext>
      </extLst>
    </cacheHierarchy>
    <cacheHierarchy uniqueName="[Measures].[Count of شماره حواله]" caption="Count of شماره حواله" measure="1" displayFolder="" measureGroup="bargiri" count="0" oneField="1" hidden="1">
      <fieldsUsage count="1">
        <fieldUsage x="6"/>
      </fieldsUsage>
      <extLst>
        <ext xmlns:x15="http://schemas.microsoft.com/office/spreadsheetml/2010/11/main" uri="{B97F6D7D-B522-45F9-BDA1-12C45D357490}">
          <x15:cacheHierarchy aggregatedColumn="0"/>
        </ext>
      </extLst>
    </cacheHierarchy>
    <cacheHierarchy uniqueName="[Measures].[Count of مبلغ واریزی]" caption="Count of مبلغ واریزی" measure="1" displayFolder="" measureGroup="bargiri" count="0" hidden="1">
      <extLst>
        <ext xmlns:x15="http://schemas.microsoft.com/office/spreadsheetml/2010/11/main" uri="{B97F6D7D-B522-45F9-BDA1-12C45D357490}">
          <x15:cacheHierarchy aggregatedColumn="12"/>
        </ext>
      </extLst>
    </cacheHierarchy>
  </cacheHierarchies>
  <kpis count="0"/>
  <dimensions count="3">
    <dimension name="bargiri" uniqueName="[bargiri]" caption="bargiri"/>
    <dimension name="invoice" uniqueName="[invoice]" caption="invoice"/>
    <dimension measure="1" name="Measures" uniqueName="[Measures]" caption="Measures"/>
  </dimensions>
  <measureGroups count="2">
    <measureGroup name="bargiri" caption="bargiri"/>
    <measureGroup name="invoice" caption="invoice"/>
  </measureGroups>
  <maps count="3">
    <map measureGroup="0" dimension="0"/>
    <map measureGroup="0" dimension="1"/>
    <map measureGroup="1"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152.440008333331" backgroundQuery="1" createdVersion="3" refreshedVersion="8" minRefreshableVersion="3" recordCount="0" supportSubquery="1" supportAdvancedDrill="1" xr:uid="{741BD3DC-FE1B-4800-8323-918F05F2BFC8}">
  <cacheSource type="external" connectionId="2">
    <extLst>
      <ext xmlns:x14="http://schemas.microsoft.com/office/spreadsheetml/2009/9/main" uri="{F057638F-6D5F-4e77-A914-E7F072B9BCA8}">
        <x14:sourceConnection name="ThisWorkbookDataModel"/>
      </ext>
    </extLst>
  </cacheSource>
  <cacheFields count="0"/>
  <cacheHierarchies count="49">
    <cacheHierarchy uniqueName="[bargiri].[شماره حواله]" caption="شماره حواله" attribute="1" defaultMemberUniqueName="[bargiri].[شماره حواله].[All]" allUniqueName="[bargiri].[شماره حواله].[All]" dimensionUniqueName="[bargiri]" displayFolder="" count="0" memberValueDatatype="20" unbalanced="0"/>
    <cacheHierarchy uniqueName="[bargiri].[تاریخ حواله]" caption="تاریخ حواله" attribute="1" defaultMemberUniqueName="[bargiri].[تاریخ حواله].[All]" allUniqueName="[bargiri].[تاریخ حواله].[All]" dimensionUniqueName="[bargiri]" displayFolder="" count="0" memberValueDatatype="130" unbalanced="0"/>
    <cacheHierarchy uniqueName="[bargiri].[شماره سند مبنا]" caption="شماره سند مبنا" attribute="1" defaultMemberUniqueName="[bargiri].[شماره سند مبنا].[All]" allUniqueName="[bargiri].[شماره سند مبنا].[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مقدار]" caption="مقدار" attribute="1" defaultMemberUniqueName="[bargiri].[مقدار].[All]" allUniqueName="[bargiri].[مقدار].[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مبلغ ناخالص]" caption="مبلغ ناخالص" attribute="1" defaultMemberUniqueName="[bargiri].[مبلغ ناخالص].[All]" allUniqueName="[bargiri].[مبلغ ناخالص].[All]" dimensionUniqueName="[bargiri]" displayFolder="" count="0" memberValueDatatype="5" unbalanced="0"/>
    <cacheHierarchy uniqueName="[bargiri].[اضافات]" caption="اضافات" attribute="1" defaultMemberUniqueName="[bargiri].[اضافات].[All]" allUniqueName="[bargiri].[اضافات].[All]" dimensionUniqueName="[bargiri]" displayFolder="" count="0" memberValueDatatype="20" unbalanced="0"/>
    <cacheHierarchy uniqueName="[bargiri].[مبلغ خالص]" caption="مبلغ خالص" attribute="1" defaultMemberUniqueName="[bargiri].[مبلغ خالص].[All]" allUniqueName="[bargiri].[مبلغ خالص].[All]" dimensionUniqueName="[bargiri]" displayFolder="" count="0" memberValueDatatype="5" unbalanced="0"/>
    <cacheHierarchy uniqueName="[bargiri].[میزان استهلاک پیش دریافتی]" caption="میزان استهلاک پیش دریافتی" attribute="1" defaultMemberUniqueName="[bargiri].[میزان استهلاک پیش دریافتی].[All]" allUniqueName="[bargiri].[میزان استهلاک پیش دریافتی].[All]" dimensionUniqueName="[bargiri]" displayFolder="" count="0" memberValueDatatype="130" unbalanced="0"/>
    <cacheHierarchy uniqueName="[bargiri].[مانده مبلغ]" caption="مانده مبلغ" attribute="1" defaultMemberUniqueName="[bargiri].[مانده مبلغ].[All]" allUniqueName="[bargiri].[مانده مبلغ].[All]" dimensionUniqueName="[bargiri]" displayFolder="" count="0" memberValueDatatype="130" unbalanced="0"/>
    <cacheHierarchy uniqueName="[bargiri].[تاریخ واریزی]" caption="تاریخ واریزی" attribute="1" defaultMemberUniqueName="[bargiri].[تاریخ واریزی].[All]" allUniqueName="[bargiri].[تاریخ واریزی].[All]" dimensionUniqueName="[bargiri]" displayFolder="" count="0" memberValueDatatype="130" unbalanced="0"/>
    <cacheHierarchy uniqueName="[bargiri].[مبلغ واریزی]" caption="مبلغ واریزی" attribute="1" defaultMemberUniqueName="[bargiri].[مبلغ واریزی].[All]" allUniqueName="[bargiri].[مبلغ واریزی].[All]" dimensionUniqueName="[bargiri]" displayFolder="" count="0" memberValueDatatype="130" unbalanced="0"/>
    <cacheHierarchy uniqueName="[bargiri].[مانده حساب باسکول]" caption="مانده حساب باسکول" attribute="1" defaultMemberUniqueName="[bargiri].[مانده حساب باسکول].[All]" allUniqueName="[bargiri].[مانده حساب باسکول].[All]" dimensionUniqueName="[bargiri]" displayFolder="" count="0" memberValueDatatype="130" unbalanced="0"/>
    <cacheHierarchy uniqueName="[bargiri].[توضیحات]" caption="توضیحات" attribute="1" defaultMemberUniqueName="[bargiri].[توضیحات].[All]" allUniqueName="[bargiri].[توضیحات].[All]" dimensionUniqueName="[bargiri]" displayFolder="" count="0" memberValueDatatype="130"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2"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0" memberValueDatatype="130" unbalanced="0"/>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 ارزش افزوده]" caption="% ارزش افزوده" attribute="1" defaultMemberUniqueName="[invoice].[% ارزش افزوده].[All]" allUniqueName="[invoice].[% ارزش افزوده].[All]" dimensionUniqueName="[invoice]" displayFolder="" count="0" memberValueDatatype="5" unbalanced="0"/>
    <cacheHierarchy uniqueName="[invoice].[مبلغ پیش دریافت]" caption="مبلغ پیش دریافت" attribute="1" defaultMemberUniqueName="[invoice].[مبلغ پیش دریافت].[All]" allUniqueName="[invoice].[مبلغ پیش دریافت].[All]" dimensionUniqueName="[invoice]" displayFolder="" count="0" memberValueDatatype="5" unbalanced="0"/>
    <cacheHierarchy uniqueName="[invoice].[پیش دریافت به ازای هر کیلوگرم]" caption="پیش دریافت به ازای هر کیلوگرم" attribute="1" defaultMemberUniqueName="[invoice].[پیش دریافت به ازای هر کیلوگرم].[All]" allUniqueName="[invoice].[پیش دریافت به ازای هر کیلوگرم].[All]" dimensionUniqueName="[invoice]" displayFolder="" count="0" memberValueDatatype="5" unbalanced="0"/>
    <cacheHierarchy uniqueName="[invoice].[Column1]" caption="Column1" attribute="1" defaultMemberUniqueName="[invoice].[Column1].[All]" allUniqueName="[invoice].[Column1].[All]" dimensionUniqueName="[invoice]" displayFolder="" count="0" memberValueDatatype="5" unbalanced="0"/>
    <cacheHierarchy uniqueName="[invoice].[Column2]" caption="Column2" attribute="1" defaultMemberUniqueName="[invoice].[Column2].[All]" allUniqueName="[invoice].[Column2].[All]" dimensionUniqueName="[invoice]" displayFolder="" count="0" memberValueDatatype="130" unbalanced="0"/>
    <cacheHierarchy uniqueName="[invoice].[Column3]" caption="Column3" attribute="1" defaultMemberUniqueName="[invoice].[Column3].[All]" allUniqueName="[invoice].[Column3].[All]" dimensionUniqueName="[invoice]" displayFolder="" count="0" memberValueDatatype="20" unbalanced="0"/>
    <cacheHierarchy uniqueName="[invoice].[Column4]" caption="Column4" attribute="1" defaultMemberUniqueName="[invoice].[Column4].[All]" allUniqueName="[invoice].[Column4].[All]" dimensionUniqueName="[invoice]" displayFolder="" count="0" memberValueDatatype="20" unbalanced="0"/>
    <cacheHierarchy uniqueName="[invoice].[Column5]" caption="Column5" attribute="1" defaultMemberUniqueName="[invoice].[Column5].[All]" allUniqueName="[invoice].[Column5].[All]" dimensionUniqueName="[invoice]" displayFolder="" count="0" memberValueDatatype="5" unbalanced="0"/>
    <cacheHierarchy uniqueName="[invoice].[Column6]" caption="Column6" attribute="1" defaultMemberUniqueName="[invoice].[Column6].[All]" allUniqueName="[invoice].[Column6].[All]" dimensionUniqueName="[invoice]" displayFolder="" count="0" memberValueDatatype="130" unbalanced="0"/>
    <cacheHierarchy uniqueName="[Measures].[__XL_Count invoice]" caption="__XL_Count invoice" measure="1" displayFolder="" measureGroup="invoice" count="0" hidden="1"/>
    <cacheHierarchy uniqueName="[Measures].[__XL_Count bargiri]" caption="__XL_Count bargiri" measure="1" displayFolder="" measureGroup="bargiri" count="0" hidden="1"/>
    <cacheHierarchy uniqueName="[Measures].[__No measures defined]" caption="__No measures defined" measure="1" displayFolder="" count="0" hidden="1"/>
    <cacheHierarchy uniqueName="[Measures].[Sum of میزان سفارش]" caption="Sum of میزان سفارش" measure="1" displayFolder="" measureGroup="invoice" count="0" hidden="1">
      <extLst>
        <ext xmlns:x15="http://schemas.microsoft.com/office/spreadsheetml/2010/11/main" uri="{B97F6D7D-B522-45F9-BDA1-12C45D357490}">
          <x15:cacheHierarchy aggregatedColumn="19"/>
        </ext>
      </extLst>
    </cacheHierarchy>
    <cacheHierarchy uniqueName="[Measures].[Sum of مقدار]" caption="Sum of مقدار" measure="1" displayFolder="" measureGroup="bargiri" count="0" hidden="1">
      <extLst>
        <ext xmlns:x15="http://schemas.microsoft.com/office/spreadsheetml/2010/11/main" uri="{B97F6D7D-B522-45F9-BDA1-12C45D357490}">
          <x15:cacheHierarchy aggregatedColumn="4"/>
        </ext>
      </extLst>
    </cacheHierarchy>
    <cacheHierarchy uniqueName="[Measures].[Sum of فی]" caption="Sum of فی" measure="1" displayFolder="" measureGroup="bargiri" count="0" hidden="1">
      <extLst>
        <ext xmlns:x15="http://schemas.microsoft.com/office/spreadsheetml/2010/11/main" uri="{B97F6D7D-B522-45F9-BDA1-12C45D357490}">
          <x15:cacheHierarchy aggregatedColumn="5"/>
        </ext>
      </extLst>
    </cacheHierarchy>
    <cacheHierarchy uniqueName="[Measures].[Average of فی]" caption="Average of فی" measure="1" displayFolder="" measureGroup="bargiri" count="0" hidden="1">
      <extLst>
        <ext xmlns:x15="http://schemas.microsoft.com/office/spreadsheetml/2010/11/main" uri="{B97F6D7D-B522-45F9-BDA1-12C45D357490}">
          <x15:cacheHierarchy aggregatedColumn="5"/>
        </ext>
      </extLst>
    </cacheHierarchy>
    <cacheHierarchy uniqueName="[Measures].[Count of شماره پیش فاکتور]" caption="Count of شماره پیش فاکتور" measure="1" displayFolder="" measureGroup="invoice" count="0" hidden="1">
      <extLst>
        <ext xmlns:x15="http://schemas.microsoft.com/office/spreadsheetml/2010/11/main" uri="{B97F6D7D-B522-45F9-BDA1-12C45D357490}">
          <x15:cacheHierarchy aggregatedColumn="15"/>
        </ext>
      </extLst>
    </cacheHierarchy>
    <cacheHierarchy uniqueName="[Measures].[Count of شماره سند مبنا]" caption="Count of شماره سند مبنا" measure="1" displayFolder="" measureGroup="bargiri" count="0" hidden="1">
      <extLst>
        <ext xmlns:x15="http://schemas.microsoft.com/office/spreadsheetml/2010/11/main" uri="{B97F6D7D-B522-45F9-BDA1-12C45D357490}">
          <x15:cacheHierarchy aggregatedColumn="2"/>
        </ext>
      </extLst>
    </cacheHierarchy>
    <cacheHierarchy uniqueName="[Measures].[Average of مقدار]" caption="Average of مقدار" measure="1" displayFolder="" measureGroup="bargiri" count="0" hidden="1">
      <extLst>
        <ext xmlns:x15="http://schemas.microsoft.com/office/spreadsheetml/2010/11/main" uri="{B97F6D7D-B522-45F9-BDA1-12C45D357490}">
          <x15:cacheHierarchy aggregatedColumn="4"/>
        </ext>
      </extLst>
    </cacheHierarchy>
    <cacheHierarchy uniqueName="[Measures].[Sum of مبلغ خالص]" caption="Sum of مبلغ خالص" measure="1" displayFolder="" measureGroup="bargiri" count="0" hidden="1">
      <extLst>
        <ext xmlns:x15="http://schemas.microsoft.com/office/spreadsheetml/2010/11/main" uri="{B97F6D7D-B522-45F9-BDA1-12C45D357490}">
          <x15:cacheHierarchy aggregatedColumn="8"/>
        </ext>
      </extLst>
    </cacheHierarchy>
    <cacheHierarchy uniqueName="[Measures].[Sum of شماره حواله]" caption="Sum of شماره حواله" measure="1" displayFolder="" measureGroup="bargiri" count="0" hidden="1">
      <extLst>
        <ext xmlns:x15="http://schemas.microsoft.com/office/spreadsheetml/2010/11/main" uri="{B97F6D7D-B522-45F9-BDA1-12C45D357490}">
          <x15:cacheHierarchy aggregatedColumn="0"/>
        </ext>
      </extLst>
    </cacheHierarchy>
    <cacheHierarchy uniqueName="[Measures].[Count of شماره حواله]" caption="Count of شماره حواله" measure="1" displayFolder="" measureGroup="bargiri" count="0" hidden="1">
      <extLst>
        <ext xmlns:x15="http://schemas.microsoft.com/office/spreadsheetml/2010/11/main" uri="{B97F6D7D-B522-45F9-BDA1-12C45D357490}">
          <x15:cacheHierarchy aggregatedColumn="0"/>
        </ext>
      </extLst>
    </cacheHierarchy>
    <cacheHierarchy uniqueName="[Measures].[Count of مبلغ واریزی]" caption="Count of مبلغ واریزی" measure="1" displayFolder="" measureGroup="bargiri"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381628709"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7A41524-FDE4-4AB9-9568-0FF2D0780CB0}" name="PivotTable5" cacheId="3040"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8" indent="0" outline="1" outlineData="1" multipleFieldFilters="0" rowHeaderCaption="شماره حواله">
  <location ref="AI5:AL6" firstHeaderRow="0" firstDataRow="1" firstDataCol="0" rowPageCount="3" colPageCount="1"/>
  <pivotFields count="7">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s>
  <rowItems count="1">
    <i/>
  </rowItems>
  <colFields count="1">
    <field x="-2"/>
  </colFields>
  <colItems count="4">
    <i>
      <x/>
    </i>
    <i i="1">
      <x v="1"/>
    </i>
    <i i="2">
      <x v="2"/>
    </i>
    <i i="3">
      <x v="3"/>
    </i>
  </colItems>
  <pageFields count="3">
    <pageField fld="0" hier="16" name="[invoice].[نام مشتری].&amp;[عراق اربیل]" cap="عراق اربیل"/>
    <pageField fld="1" hier="23" name="[invoice].[نوع سفارش].[All]" cap="All"/>
    <pageField fld="2" hier="15" name="[invoice].[شماره پیش فاکتور].&amp;[پ/92-1404-4]" cap="پ/92-1404-4"/>
  </pageFields>
  <dataFields count="4">
    <dataField name="تعداد بارگیری" fld="6" subtotal="count" baseField="0" baseItem="1"/>
    <dataField name="مقدار بارگیری" fld="3" baseField="0" baseItem="1"/>
    <dataField name="قیمت" fld="4" subtotal="average" baseField="0" baseItem="0"/>
    <dataField name="مبلغ بار + ارزش افزوده" fld="5" baseField="0" baseItem="0"/>
  </dataFields>
  <pivotHierarchies count="4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شماره پیش فاکتور].&amp;[پ/92-1404-4]"/>
      </members>
    </pivotHierarchy>
    <pivotHierarchy multipleItemSelectionAllowed="1" dragToData="1">
      <members count="1" level="1">
        <member name="[invoice].[نام مشتری].&amp;[عراق اربیل]"/>
      </members>
    </pivotHierarchy>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caption="  میزان سفارش"/>
    <pivotHierarchy dragToData="1" caption="مقدار بارگیری"/>
    <pivotHierarchy dragToData="1"/>
    <pivotHierarchy dragToData="1" caption="قیمت"/>
    <pivotHierarchy dragToData="1" caption="تعداد پیش فاکتور"/>
    <pivotHierarchy dragToData="1" caption="تعداد بارگیری"/>
    <pivotHierarchy dragToData="1" caption="Average of مقدار"/>
    <pivotHierarchy dragToData="1" caption="مبلغ بار + ارزش افزوده"/>
    <pivotHierarchy dragToData="1"/>
    <pivotHierarchy dragToData="1" caption="تعداد بارگیری"/>
    <pivotHierarchy dragToData="1"/>
  </pivotHierarchies>
  <pivotTableStyleInfo name="PivotStyleLight16" showRowHeaders="1" showColHeaders="1" showRowStripes="0" showColStripes="0" showLastColumn="1"/>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73D0CD4-7269-4FAC-9A42-66ED5DDD9C17}" name="PivotTable3" cacheId="3039"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8" indent="0" outline="1" outlineData="1" multipleFieldFilters="0" rowHeaderCaption="شماره حواله">
  <location ref="X5:AA30" firstHeaderRow="0" firstDataRow="1" firstDataCol="1" rowPageCount="3" colPageCount="1"/>
  <pivotFields count="7">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25">
        <item x="0"/>
        <item x="1"/>
        <item x="2"/>
        <item x="3"/>
        <item x="4"/>
        <item x="5"/>
        <item x="6"/>
        <item x="7"/>
        <item x="8"/>
        <item x="9"/>
        <item x="10"/>
        <item x="11"/>
        <item x="12"/>
        <item x="13"/>
        <item x="14"/>
        <item x="15"/>
        <item x="16"/>
        <item x="17"/>
        <item x="18"/>
        <item x="19"/>
        <item x="20"/>
        <item x="21"/>
        <item x="22"/>
        <item x="23"/>
        <item x="24"/>
      </items>
    </pivotField>
    <pivotField dataField="1" subtotalTop="0" showAll="0" defaultSubtotal="0"/>
    <pivotField dataField="1" subtotalTop="0" showAll="0" defaultSubtotal="0"/>
    <pivotField dataField="1" subtotalTop="0" showAll="0" defaultSubtotal="0"/>
  </pivotFields>
  <rowFields count="1">
    <field x="3"/>
  </rowFields>
  <rowItems count="25">
    <i>
      <x/>
    </i>
    <i>
      <x v="1"/>
    </i>
    <i>
      <x v="2"/>
    </i>
    <i>
      <x v="3"/>
    </i>
    <i>
      <x v="4"/>
    </i>
    <i>
      <x v="5"/>
    </i>
    <i>
      <x v="6"/>
    </i>
    <i>
      <x v="7"/>
    </i>
    <i>
      <x v="8"/>
    </i>
    <i>
      <x v="9"/>
    </i>
    <i>
      <x v="10"/>
    </i>
    <i>
      <x v="11"/>
    </i>
    <i>
      <x v="12"/>
    </i>
    <i>
      <x v="13"/>
    </i>
    <i>
      <x v="14"/>
    </i>
    <i>
      <x v="15"/>
    </i>
    <i>
      <x v="16"/>
    </i>
    <i>
      <x v="17"/>
    </i>
    <i>
      <x v="18"/>
    </i>
    <i>
      <x v="19"/>
    </i>
    <i>
      <x v="20"/>
    </i>
    <i>
      <x v="21"/>
    </i>
    <i>
      <x v="22"/>
    </i>
    <i>
      <x v="23"/>
    </i>
    <i>
      <x v="24"/>
    </i>
  </rowItems>
  <colFields count="1">
    <field x="-2"/>
  </colFields>
  <colItems count="3">
    <i>
      <x/>
    </i>
    <i i="1">
      <x v="1"/>
    </i>
    <i i="2">
      <x v="2"/>
    </i>
  </colItems>
  <pageFields count="3">
    <pageField fld="0" hier="16" name="[invoice].[نام مشتری].&amp;[عراق اربیل]" cap="عراق اربیل"/>
    <pageField fld="1" hier="23" name="[invoice].[نوع سفارش].[All]" cap="All"/>
    <pageField fld="2" hier="15" name="[invoice].[شماره پیش فاکتور].&amp;[پ/92-1404-4]" cap="پ/92-1404-4"/>
  </pageFields>
  <dataFields count="3">
    <dataField name="مقدار بارگیری" fld="4" baseField="0" baseItem="0"/>
    <dataField name="قیمت" fld="5" subtotal="average" baseField="3" baseItem="0"/>
    <dataField name="مبلغ بار + ارزش افزوده" fld="6" baseField="0" baseItem="0"/>
  </dataFields>
  <formats count="1">
    <format dxfId="0">
      <pivotArea collapsedLevelsAreSubtotals="1" fieldPosition="0">
        <references count="2">
          <reference field="4294967294" count="3" selected="0">
            <x v="0"/>
            <x v="1"/>
            <x v="2"/>
          </reference>
          <reference field="3" count="0"/>
        </references>
      </pivotArea>
    </format>
  </formats>
  <pivotHierarchies count="4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شماره پیش فاکتور].&amp;[پ/92-1404-4]"/>
      </members>
    </pivotHierarchy>
    <pivotHierarchy multipleItemSelectionAllowed="1" dragToData="1">
      <members count="1" level="1">
        <member name="[invoice].[نام مشتری].&amp;[عراق اربیل]"/>
      </members>
    </pivotHierarchy>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caption="  میزان سفارش"/>
    <pivotHierarchy dragToData="1" caption="مقدار بارگیری"/>
    <pivotHierarchy dragToData="1"/>
    <pivotHierarchy dragToData="1" caption="قیمت"/>
    <pivotHierarchy dragToData="1" caption="تعداد پیش فاکتور"/>
    <pivotHierarchy dragToData="1" caption="تعداد بارگیری"/>
    <pivotHierarchy dragToData="1" caption="Average of مقدار"/>
    <pivotHierarchy dragToData="1" caption="مبلغ بار + ارزش افزوده"/>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A14191D-8DF5-4174-A159-398BAE37446C}" name="PivotTable2" cacheId="3037" applyNumberFormats="0" applyBorderFormats="0" applyFontFormats="0" applyPatternFormats="0" applyAlignmentFormats="0" applyWidthHeightFormats="1" dataCaption="Values" updatedVersion="8" minRefreshableVersion="3" useAutoFormatting="1" subtotalHiddenItems="1" itemPrintTitles="1" createdVersion="8" indent="0" outline="1" outlineData="1" multipleFieldFilters="0">
  <location ref="M4:Q5" firstHeaderRow="0" firstDataRow="1" firstDataCol="0" rowPageCount="2" colPageCount="1"/>
  <pivotFields count="7">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Items count="1">
    <i/>
  </rowItems>
  <colFields count="1">
    <field x="-2"/>
  </colFields>
  <colItems count="5">
    <i>
      <x/>
    </i>
    <i i="1">
      <x v="1"/>
    </i>
    <i i="2">
      <x v="2"/>
    </i>
    <i i="3">
      <x v="3"/>
    </i>
    <i i="4">
      <x v="4"/>
    </i>
  </colItems>
  <pageFields count="2">
    <pageField fld="0" hier="16" name="[invoice].[نام مشتری].&amp;[عراق اربیل]" cap="عراق اربیل"/>
    <pageField fld="1" hier="23" name="[invoice].[نوع سفارش].[All]" cap="All"/>
  </pageFields>
  <dataFields count="5">
    <dataField name="  میزان سفارش" fld="2" baseField="0" baseItem="0" numFmtId="167"/>
    <dataField name="مقدار بارگیری" fld="3" baseField="0" baseItem="0" numFmtId="167"/>
    <dataField name="میانگین قیمت" fld="4" subtotal="average" baseField="0" baseItem="0" numFmtId="167"/>
    <dataField name="تعداد پیش فاکتور" fld="5" subtotal="count" baseField="0" baseItem="0"/>
    <dataField name="تعداد بارگیری" fld="6" subtotal="count" baseField="0" baseItem="0"/>
  </dataFields>
  <formats count="1">
    <format dxfId="1">
      <pivotArea outline="0" collapsedLevelsAreSubtotals="1" fieldPosition="0">
        <references count="1">
          <reference field="4294967294" count="3" selected="0">
            <x v="0"/>
            <x v="1"/>
            <x v="2"/>
          </reference>
        </references>
      </pivotArea>
    </format>
  </formats>
  <pivotHierarchies count="4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عراق اربیل]"/>
      </members>
    </pivotHierarchy>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caption="  میزان سفارش"/>
    <pivotHierarchy dragToData="1" caption="مقدار بارگیری"/>
    <pivotHierarchy dragToData="1"/>
    <pivotHierarchy dragToData="1" caption="میانگین قیمت"/>
    <pivotHierarchy dragToData="1" caption="تعداد پیش فاکتور"/>
    <pivotHierarchy dragToData="1" caption="تعداد بارگیری"/>
    <pivotHierarchy dragToData="1"/>
    <pivotHierarchy dragToData="1"/>
    <pivotHierarchy dragToData="1"/>
    <pivotHierarchy dragToData="1"/>
    <pivotHierarchy dragToData="1"/>
  </pivotHierarchies>
  <pivotTableStyleInfo name="PivotStyleLight16" showRowHeaders="1" showColHeaders="1" showRowStripes="0" showColStripes="0" showLastColumn="1"/>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8C9DAECF-7E0C-41CB-B08B-055895D55A01}" name="PivotTable1" cacheId="3038"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8" indent="0" outline="1" outlineData="1" multipleFieldFilters="0">
  <location ref="A4:D10" firstHeaderRow="0" firstDataRow="1" firstDataCol="1" rowPageCount="2" colPageCount="1"/>
  <pivotFields count="6">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6">
        <item x="0"/>
        <item x="1"/>
        <item x="2"/>
        <item x="3"/>
        <item x="4"/>
        <item x="5"/>
      </items>
    </pivotField>
    <pivotField dataField="1" subtotalTop="0" showAll="0" defaultSubtotal="0"/>
    <pivotField dataField="1" subtotalTop="0" showAll="0" defaultSubtotal="0"/>
    <pivotField dataField="1" subtotalTop="0" showAll="0" defaultSubtotal="0"/>
  </pivotFields>
  <rowFields count="1">
    <field x="2"/>
  </rowFields>
  <rowItems count="6">
    <i>
      <x/>
    </i>
    <i>
      <x v="1"/>
    </i>
    <i>
      <x v="2"/>
    </i>
    <i>
      <x v="3"/>
    </i>
    <i>
      <x v="4"/>
    </i>
    <i>
      <x v="5"/>
    </i>
  </rowItems>
  <colFields count="1">
    <field x="-2"/>
  </colFields>
  <colItems count="3">
    <i>
      <x/>
    </i>
    <i i="1">
      <x v="1"/>
    </i>
    <i i="2">
      <x v="2"/>
    </i>
  </colItems>
  <pageFields count="2">
    <pageField fld="0" hier="16" name="[invoice].[نام مشتری].&amp;[عراق اربیل]" cap="عراق اربیل"/>
    <pageField fld="1" hier="23" name="[invoice].[نوع سفارش].[All]" cap="All"/>
  </pageFields>
  <dataFields count="3">
    <dataField name="  میزان سفارش" fld="3" baseField="0" baseItem="0"/>
    <dataField name="مقدار بارگیری" fld="4" baseField="2" baseItem="0"/>
    <dataField name="میانگین قیمت" fld="5" subtotal="average" baseField="2" baseItem="0"/>
  </dataFields>
  <pivotHierarchies count="4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عراق اربیل]"/>
      </members>
    </pivotHierarchy>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caption="  میزان سفارش"/>
    <pivotHierarchy dragToData="1" caption="مقدار بارگیری"/>
    <pivotHierarchy dragToData="1"/>
    <pivotHierarchy dragToData="1" caption="میانگین قیمت"/>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1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683AEC2-46B1-4FA0-8929-B2D41B05F34A}" autoFormatId="16" applyNumberFormats="0" applyBorderFormats="0" applyFontFormats="0" applyPatternFormats="0" applyAlignmentFormats="0" applyWidthHeightFormats="0">
  <queryTableRefresh nextId="23" unboundColumnsRight="8">
    <queryTableFields count="17">
      <queryTableField id="10" name="شماره حواله" tableColumnId="10"/>
      <queryTableField id="1" name="تاریخ حواله" tableColumnId="1"/>
      <queryTableField id="2" name="شماره سند مبنا" tableColumnId="2"/>
      <queryTableField id="3" name="نام مشتری" tableColumnId="3"/>
      <queryTableField id="5" name="مقدار" tableColumnId="5"/>
      <queryTableField id="6" name="فی" tableColumnId="6"/>
      <queryTableField id="7" name="مبلغ ناخالص" tableColumnId="7"/>
      <queryTableField id="8" name="اضافات" tableColumnId="8"/>
      <queryTableField id="9" name="مبلغ خالص" tableColumnId="9"/>
      <queryTableField id="14" dataBound="0" tableColumnId="13"/>
      <queryTableField id="15" dataBound="0" tableColumnId="14"/>
      <queryTableField id="16" dataBound="0" tableColumnId="15"/>
      <queryTableField id="17" dataBound="0" tableColumnId="16"/>
      <queryTableField id="18" dataBound="0" tableColumnId="17"/>
      <queryTableField id="19" dataBound="0" tableColumnId="18"/>
      <queryTableField id="21" dataBound="0" tableColumnId="4"/>
      <queryTableField id="22" dataBound="0" tableColumnId="11"/>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نام_مشتری" xr10:uid="{44FF2850-F4F3-4745-8609-6AB4620E24F5}" sourceName="[invoice].[نام مشتری]">
  <pivotTables>
    <pivotTable tabId="6" name="PivotTable2"/>
    <pivotTable tabId="6" name="PivotTable1"/>
    <pivotTable tabId="6" name="PivotTable3"/>
    <pivotTable tabId="6" name="PivotTable5"/>
  </pivotTables>
  <data>
    <olap pivotCacheId="381628709">
      <levels count="2">
        <level uniqueName="[invoice].[نام مشتری].[(All)]" sourceCaption="(All)" count="0"/>
        <level uniqueName="[invoice].[نام مشتری].[نام مشتری]" sourceCaption="نام مشتری" count="24">
          <ranges>
            <range startItem="0">
              <i n="[invoice].[نام مشتری].&amp;[اکسیژن ارومیه گاز]" c="اکسیژن ارومیه گاز"/>
              <i n="[invoice].[نام مشتری].&amp;[آیس کار]" c="آیس کار"/>
              <i n="[invoice].[نام مشتری].&amp;[پارس اکسیر البرز شمالی]" c="پارس اکسیر البرز شمالی"/>
              <i n="[invoice].[نام مشتری].&amp;[پارس کربنیک کردستان]" c="پارس کربنیک کردستان"/>
              <i n="[invoice].[نام مشتری].&amp;[پاینده ساز فردوس]" c="پاینده ساز فردوس"/>
              <i n="[invoice].[نام مشتری].&amp;[تعاونی ماهان گاز]" c="تعاونی ماهان گاز"/>
              <i n="[invoice].[نام مشتری].&amp;[تولید گازهای طبی و صنعتی مددکاران اصفهان]" c="تولید گازهای طبی و صنعتی مددکاران اصفهان"/>
              <i n="[invoice].[نام مشتری].&amp;[تولیدی گازهای طبی و صنعتی طوس سبزوار]" c="تولیدی گازهای طبی و صنعتی طوس سبزوار"/>
              <i n="[invoice].[نام مشتری].&amp;[جوش شیرین خراسان]" c="جوش شیرین خراسان"/>
              <i n="[invoice].[نام مشتری].&amp;[خوش نوش همدان]" c="خوش نوش همدان"/>
              <i n="[invoice].[نام مشتری].&amp;[رهام گاز]" c="رهام گاز"/>
              <i n="[invoice].[نام مشتری].&amp;[سپهر سرمد]" c="سپهر سرمد"/>
              <i n="[invoice].[نام مشتری].&amp;[شرکت گروه صنعتی پاژ گاز خراسان]" c="شرکت گروه صنعتی پاژ گاز خراسان"/>
              <i n="[invoice].[نام مشتری].&amp;[طاها اندیشان همپای البرز]" c="طاها اندیشان همپای البرز"/>
              <i n="[invoice].[نام مشتری].&amp;[طوس قزوین]" c="طوس قزوین"/>
              <i n="[invoice].[نام مشتری].&amp;[عبیر شیمی]" c="عبیر شیمی"/>
              <i n="[invoice].[نام مشتری].&amp;[عراق اربیل]" c="عراق اربیل"/>
              <i n="[invoice].[نام مشتری].&amp;[کوشا تجارت زاگرس]" c="کوشا تجارت زاگرس"/>
              <i n="[invoice].[نام مشتری].&amp;[گاز اکسیژن طوس]" c="گاز اکسیژن طوس"/>
              <i n="[invoice].[نام مشتری].&amp;[گاز کربنیک غرب]" c="گاز کربنیک غرب"/>
              <i n="[invoice].[نام مشتری].&amp;[گروه صنایع شیمیایی به آفرین گاز تیسفون]" c="گروه صنایع شیمیایی به آفرین گاز تیسفون"/>
              <i n="[invoice].[نام مشتری].&amp;[ماشین سازی پیشتازان گاز کربنیک اردستان]" c="ماشین سازی پیشتازان گاز کربنیک اردستان"/>
              <i n="[invoice].[نام مشتری].&amp;[محمود احمدی زلتی]" c="محمود احمدی زلتی"/>
              <i n="[invoice].[نام مشتری].&amp;" c="(blank)"/>
            </range>
          </ranges>
        </level>
      </levels>
      <selections count="1">
        <selection n="[invoice].[نام مشتری].&amp;[عراق اربیل]"/>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شماره_پیش_فاکتور" xr10:uid="{393BE2FC-F31B-48D9-9E6F-D5DC58A27223}" sourceName="[invoice].[شماره پیش فاکتور]">
  <pivotTables>
    <pivotTable tabId="6" name="PivotTable3"/>
    <pivotTable tabId="6" name="PivotTable5"/>
  </pivotTables>
  <data>
    <olap pivotCacheId="381628709">
      <levels count="2">
        <level uniqueName="[invoice].[شماره پیش فاکتور].[(All)]" sourceCaption="(All)" count="0"/>
        <level uniqueName="[invoice].[شماره پیش فاکتور].[شماره پیش فاکتور]" sourceCaption="شماره پیش فاکتور" count="170">
          <ranges>
            <range startItem="0">
              <i n="[invoice].[شماره پیش فاکتور].&amp;[پ/92-1404-1]" c="پ/92-1404-1"/>
              <i n="[invoice].[شماره پیش فاکتور].&amp;[پ/92-1404-2]" c="پ/92-1404-2"/>
              <i n="[invoice].[شماره پیش فاکتور].&amp;[پ/92-1404-3]" c="پ/92-1404-3"/>
              <i n="[invoice].[شماره پیش فاکتور].&amp;[پ/92-1404-4]" c="پ/92-1404-4"/>
              <i n="[invoice].[شماره پیش فاکتور].&amp;[الحاقیه پ/09-1404]" c="الحاقیه پ/09-1404" nd="1"/>
              <i n="[invoice].[شماره پیش فاکتور].&amp;[الحاقیه پ/17-1402]" c="الحاقیه پ/17-1402" nd="1"/>
              <i n="[invoice].[شماره پیش فاکتور].&amp;[الحاقیه پ/22-1404]" c="الحاقیه پ/22-1404" nd="1"/>
              <i n="[invoice].[شماره پیش فاکتور].&amp;[الحاقیه پ/39-1403]" c="الحاقیه پ/39-1403" nd="1"/>
              <i n="[invoice].[شماره پیش فاکتور].&amp;[الحاقیه پ/43-1402]" c="الحاقیه پ/43-1402" nd="1"/>
              <i n="[invoice].[شماره پیش فاکتور].&amp;[الحاقیه پ/50-1403]" c="الحاقیه پ/50-1403" nd="1"/>
              <i n="[invoice].[شماره پیش فاکتور].&amp;[الحاقیه پ/51-1403]" c="الحاقیه پ/51-1403" nd="1"/>
              <i n="[invoice].[شماره پیش فاکتور].&amp;[الحاقیه پ/52-1403]" c="الحاقیه پ/52-1403" nd="1"/>
              <i n="[invoice].[شماره پیش فاکتور].&amp;[الحاقیه پ/53-1403]" c="الحاقیه پ/53-1403" nd="1"/>
              <i n="[invoice].[شماره پیش فاکتور].&amp;[الحاقیه پ/54-1403]" c="الحاقیه پ/54-1403" nd="1"/>
              <i n="[invoice].[شماره پیش فاکتور].&amp;[الحاقیه پ/55-1403]" c="الحاقیه پ/55-1403" nd="1"/>
              <i n="[invoice].[شماره پیش فاکتور].&amp;[الحاقیه پ/56-1403]" c="الحاقیه پ/56-1403" nd="1"/>
              <i n="[invoice].[شماره پیش فاکتور].&amp;[الحاقیه پ/57-1403]" c="الحاقیه پ/57-1403" nd="1"/>
              <i n="[invoice].[شماره پیش فاکتور].&amp;[الحاقیه پ/58-1403]" c="الحاقیه پ/58-1403" nd="1"/>
              <i n="[invoice].[شماره پیش فاکتور].&amp;[الحاقیه پ/59-1403]" c="الحاقیه پ/59-1403" nd="1"/>
              <i n="[invoice].[شماره پیش فاکتور].&amp;[الحاقیه پ/60-1403]" c="الحاقیه پ/60-1403" nd="1"/>
              <i n="[invoice].[شماره پیش فاکتور].&amp;[الحاقیه پ/61-1403]" c="الحاقیه پ/61-1403" nd="1"/>
              <i n="[invoice].[شماره پیش فاکتور].&amp;[الحاقیه پ/62-1403]" c="الحاقیه پ/62-1403" nd="1"/>
              <i n="[invoice].[شماره پیش فاکتور].&amp;[الحاقیه پ/63-1403]" c="الحاقیه پ/63-1403" nd="1"/>
              <i n="[invoice].[شماره پیش فاکتور].&amp;[الحاقیه پ/64-1403]" c="الحاقیه پ/64-1403" nd="1"/>
              <i n="[invoice].[شماره پیش فاکتور].&amp;[الحاقیه پ/65-1403]" c="الحاقیه پ/65-1403" nd="1"/>
              <i n="[invoice].[شماره پیش فاکتور].&amp;[الحاقیه پ/69-1403]" c="الحاقیه پ/69-1403" nd="1"/>
              <i n="[invoice].[شماره پیش فاکتور].&amp;[پ/02-1404]" c="پ/02-1404" nd="1"/>
              <i n="[invoice].[شماره پیش فاکتور].&amp;[پ/03-1404]" c="پ/03-1404" nd="1"/>
              <i n="[invoice].[شماره پیش فاکتور].&amp;[پ/04-1404]" c="پ/04-1404" nd="1"/>
              <i n="[invoice].[شماره پیش فاکتور].&amp;[پ/05-1404]" c="پ/05-1404" nd="1"/>
              <i n="[invoice].[شماره پیش فاکتور].&amp;[پ/06-1404]" c="پ/06-1404" nd="1"/>
              <i n="[invoice].[شماره پیش فاکتور].&amp;[پ/07-1404]" c="پ/07-1404" nd="1"/>
              <i n="[invoice].[شماره پیش فاکتور].&amp;[پ/08-1404]" c="پ/08-1404" nd="1"/>
              <i n="[invoice].[شماره پیش فاکتور].&amp;[پ/100-1404]" c="پ/100-1404" nd="1"/>
              <i n="[invoice].[شماره پیش فاکتور].&amp;[پ/10-1404]" c="پ/10-1404" nd="1"/>
              <i n="[invoice].[شماره پیش فاکتور].&amp;[پ/102-1404]" c="پ/102-1404" nd="1"/>
              <i n="[invoice].[شماره پیش فاکتور].&amp;[پ/103-1404]" c="پ/103-1404" nd="1"/>
              <i n="[invoice].[شماره پیش فاکتور].&amp;[پ/104-1404]" c="پ/104-1404" nd="1"/>
              <i n="[invoice].[شماره پیش فاکتور].&amp;[پ/105-1404]" c="پ/105-1404" nd="1"/>
              <i n="[invoice].[شماره پیش فاکتور].&amp;[پ/106-1404]" c="پ/106-1404" nd="1"/>
              <i n="[invoice].[شماره پیش فاکتور].&amp;[پ/107-1404]" c="پ/107-1404" nd="1"/>
              <i n="[invoice].[شماره پیش فاکتور].&amp;[پ/108-1404]" c="پ/108-1404" nd="1"/>
              <i n="[invoice].[شماره پیش فاکتور].&amp;[پ/109-1404]" c="پ/109-1404" nd="1"/>
              <i n="[invoice].[شماره پیش فاکتور].&amp;[پ/110-1404]" c="پ/110-1404" nd="1"/>
              <i n="[invoice].[شماره پیش فاکتور].&amp;[پ/111-1404]" c="پ/111-1404" nd="1"/>
              <i n="[invoice].[شماره پیش فاکتور].&amp;[پ/11-1404]" c="پ/11-1404" nd="1"/>
              <i n="[invoice].[شماره پیش فاکتور].&amp;[پ/112-1404]" c="پ/112-1404" nd="1"/>
              <i n="[invoice].[شماره پیش فاکتور].&amp;[پ/113-1404]" c="پ/113-1404" nd="1"/>
              <i n="[invoice].[شماره پیش فاکتور].&amp;[پ/114-1404]" c="پ/114-1404" nd="1"/>
              <i n="[invoice].[شماره پیش فاکتور].&amp;[پ/115-1404]" c="پ/115-1404" nd="1"/>
              <i n="[invoice].[شماره پیش فاکتور].&amp;[پ/116-1404]" c="پ/116-1404" nd="1"/>
              <i n="[invoice].[شماره پیش فاکتور].&amp;[پ/117-1404]" c="پ/117-1404" nd="1"/>
              <i n="[invoice].[شماره پیش فاکتور].&amp;[پ/118-1404]" c="پ/118-1404" nd="1"/>
              <i n="[invoice].[شماره پیش فاکتور].&amp;[پ/119-1404]" c="پ/119-1404" nd="1"/>
              <i n="[invoice].[شماره پیش فاکتور].&amp;[پ/120-1404]" c="پ/120-1404" nd="1"/>
              <i n="[invoice].[شماره پیش فاکتور].&amp;[پ/12-1404]" c="پ/12-1404" nd="1"/>
              <i n="[invoice].[شماره پیش فاکتور].&amp;[پ/13-1404]" c="پ/13-1404" nd="1"/>
              <i n="[invoice].[شماره پیش فاکتور].&amp;[پ/14-1404]" c="پ/14-1404" nd="1"/>
              <i n="[invoice].[شماره پیش فاکتور].&amp;[پ/15-1404]" c="پ/15-1404" nd="1"/>
              <i n="[invoice].[شماره پیش فاکتور].&amp;[پ/16-1404]" c="پ/16-1404" nd="1"/>
              <i n="[invoice].[شماره پیش فاکتور].&amp;[پ/17-1404]" c="پ/17-1404" nd="1"/>
              <i n="[invoice].[شماره پیش فاکتور].&amp;[پ/18-1404]" c="پ/18-1404" nd="1"/>
              <i n="[invoice].[شماره پیش فاکتور].&amp;[پ/19-1403]" c="پ/19-1403" nd="1"/>
              <i n="[invoice].[شماره پیش فاکتور].&amp;[پ/19-1404]" c="پ/19-1404" nd="1"/>
              <i n="[invoice].[شماره پیش فاکتور].&amp;[پ/20-1404]" c="پ/20-1404" nd="1"/>
              <i n="[invoice].[شماره پیش فاکتور].&amp;[پ/21-1403]" c="پ/21-1403" nd="1"/>
              <i n="[invoice].[شماره پیش فاکتور].&amp;[پ/21-1404]" c="پ/21-1404" nd="1"/>
              <i n="[invoice].[شماره پیش فاکتور].&amp;[پ/22-1403]" c="پ/22-1403" nd="1"/>
              <i n="[invoice].[شماره پیش فاکتور].&amp;[پ/23-1403]" c="پ/23-1403" nd="1"/>
              <i n="[invoice].[شماره پیش فاکتور].&amp;[پ/23-1404]" c="پ/23-1404" nd="1"/>
              <i n="[invoice].[شماره پیش فاکتور].&amp;[پ/24-1403]" c="پ/24-1403" nd="1"/>
              <i n="[invoice].[شماره پیش فاکتور].&amp;[پ/24-1404]" c="پ/24-1404" nd="1"/>
              <i n="[invoice].[شماره پیش فاکتور].&amp;[پ/25-1404]" c="پ/25-1404" nd="1"/>
              <i n="[invoice].[شماره پیش فاکتور].&amp;[پ/26-1404]" c="پ/26-1404" nd="1"/>
              <i n="[invoice].[شماره پیش فاکتور].&amp;[پ/27-1404]" c="پ/27-1404" nd="1"/>
              <i n="[invoice].[شماره پیش فاکتور].&amp;[پ/28-1404]" c="پ/28-1404" nd="1"/>
              <i n="[invoice].[شماره پیش فاکتور].&amp;[پ/29-1404]" c="پ/29-1404" nd="1"/>
              <i n="[invoice].[شماره پیش فاکتور].&amp;[پ/30-1404]" c="پ/30-1404" nd="1"/>
              <i n="[invoice].[شماره پیش فاکتور].&amp;[پ/31-1403]" c="پ/31-1403" nd="1"/>
              <i n="[invoice].[شماره پیش فاکتور].&amp;[پ/31-1404]" c="پ/31-1404" nd="1"/>
              <i n="[invoice].[شماره پیش فاکتور].&amp;[پ/32-1403]" c="پ/32-1403" nd="1"/>
              <i n="[invoice].[شماره پیش فاکتور].&amp;[پ/32-1404]" c="پ/32-1404" nd="1"/>
              <i n="[invoice].[شماره پیش فاکتور].&amp;[پ/33-1404]" c="پ/33-1404" nd="1"/>
              <i n="[invoice].[شماره پیش فاکتور].&amp;[پ/34-1403]" c="پ/34-1403" nd="1"/>
              <i n="[invoice].[شماره پیش فاکتور].&amp;[پ/34-1404]" c="پ/34-1404" nd="1"/>
              <i n="[invoice].[شماره پیش فاکتور].&amp;[پ/35-1403]" c="پ/35-1403" nd="1"/>
              <i n="[invoice].[شماره پیش فاکتور].&amp;[پ/35-1404]" c="پ/35-1404" nd="1"/>
              <i n="[invoice].[شماره پیش فاکتور].&amp;[پ/36-1403]" c="پ/36-1403" nd="1"/>
              <i n="[invoice].[شماره پیش فاکتور].&amp;[پ/36-1404]" c="پ/36-1404" nd="1"/>
              <i n="[invoice].[شماره پیش فاکتور].&amp;[پ/37-1404]" c="پ/37-1404" nd="1"/>
              <i n="[invoice].[شماره پیش فاکتور].&amp;[پ/38-1404]" c="پ/38-1404" nd="1"/>
              <i n="[invoice].[شماره پیش فاکتور].&amp;[پ/39-1403]" c="پ/39-1403" nd="1"/>
              <i n="[invoice].[شماره پیش فاکتور].&amp;[پ/39-1404]" c="پ/39-1404" nd="1"/>
              <i n="[invoice].[شماره پیش فاکتور].&amp;[پ/40-1403]" c="پ/40-1403" nd="1"/>
              <i n="[invoice].[شماره پیش فاکتور].&amp;[پ/40-1404]" c="پ/40-1404" nd="1"/>
              <i n="[invoice].[شماره پیش فاکتور].&amp;[پ/41-1404]" c="پ/41-1404" nd="1"/>
              <i n="[invoice].[شماره پیش فاکتور].&amp;[پ/42-1404]" c="پ/42-1404" nd="1"/>
              <i n="[invoice].[شماره پیش فاکتور].&amp;[پ/43-1404]" c="پ/43-1404" nd="1"/>
              <i n="[invoice].[شماره پیش فاکتور].&amp;[پ/44-1403]" c="پ/44-1403" nd="1"/>
              <i n="[invoice].[شماره پیش فاکتور].&amp;[پ/44-1404]" c="پ/44-1404" nd="1"/>
              <i n="[invoice].[شماره پیش فاکتور].&amp;[پ/45-1404]" c="پ/45-1404" nd="1"/>
              <i n="[invoice].[شماره پیش فاکتور].&amp;[پ/46-1404]" c="پ/46-1404" nd="1"/>
              <i n="[invoice].[شماره پیش فاکتور].&amp;[پ/47-1403]" c="پ/47-1403" nd="1"/>
              <i n="[invoice].[شماره پیش فاکتور].&amp;[پ/47-1404]" c="پ/47-1404" nd="1"/>
              <i n="[invoice].[شماره پیش فاکتور].&amp;[پ/48-1403]" c="پ/48-1403" nd="1"/>
              <i n="[invoice].[شماره پیش فاکتور].&amp;[پ/48-1404]" c="پ/48-1404" nd="1"/>
              <i n="[invoice].[شماره پیش فاکتور].&amp;[پ/49-1403]" c="پ/49-1403" nd="1"/>
              <i n="[invoice].[شماره پیش فاکتور].&amp;[پ/49-1404]" c="پ/49-1404" nd="1"/>
              <i n="[invoice].[شماره پیش فاکتور].&amp;[پ/50-1404]" c="پ/50-1404" nd="1"/>
              <i n="[invoice].[شماره پیش فاکتور].&amp;[پ/51-1404]" c="پ/51-1404" nd="1"/>
              <i n="[invoice].[شماره پیش فاکتور].&amp;[پ/52-1404]" c="پ/52-1404" nd="1"/>
              <i n="[invoice].[شماره پیش فاکتور].&amp;[پ/53-1404]" c="پ/53-1404" nd="1"/>
              <i n="[invoice].[شماره پیش فاکتور].&amp;[پ/54-1404]" c="پ/54-1404" nd="1"/>
              <i n="[invoice].[شماره پیش فاکتور].&amp;[پ/55-1403]" c="پ/55-1403" nd="1"/>
              <i n="[invoice].[شماره پیش فاکتور].&amp;[پ/55-1404]" c="پ/55-1404" nd="1"/>
              <i n="[invoice].[شماره پیش فاکتور].&amp;[پ/56-1404]" c="پ/56-1404" nd="1"/>
              <i n="[invoice].[شماره پیش فاکتور].&amp;[پ/57-1403]" c="پ/57-1403" nd="1"/>
              <i n="[invoice].[شماره پیش فاکتور].&amp;[پ/57-1404]" c="پ/57-1404" nd="1"/>
              <i n="[invoice].[شماره پیش فاکتور].&amp;[پ/58-1404]" c="پ/58-1404" nd="1"/>
              <i n="[invoice].[شماره پیش فاکتور].&amp;[پ/59-1404]" c="پ/59-1404" nd="1"/>
              <i n="[invoice].[شماره پیش فاکتور].&amp;[پ/60-1404]" c="پ/60-1404" nd="1"/>
              <i n="[invoice].[شماره پیش فاکتور].&amp;[پ/61-1404]" c="پ/61-1404" nd="1"/>
              <i n="[invoice].[شماره پیش فاکتور].&amp;[پ/62-1403]" c="پ/62-1403" nd="1"/>
              <i n="[invoice].[شماره پیش فاکتور].&amp;[پ/62-1404]" c="پ/62-1404" nd="1"/>
              <i n="[invoice].[شماره پیش فاکتور].&amp;[پ/63-1404]" c="پ/63-1404" nd="1"/>
              <i n="[invoice].[شماره پیش فاکتور].&amp;[پ/64-1404]" c="پ/64-1404" nd="1"/>
              <i n="[invoice].[شماره پیش فاکتور].&amp;[پ/65-1404]" c="پ/65-1404" nd="1"/>
              <i n="[invoice].[شماره پیش فاکتور].&amp;[پ/66-1403]" c="پ/66-1403" nd="1"/>
              <i n="[invoice].[شماره پیش فاکتور].&amp;[پ/66-1404]" c="پ/66-1404" nd="1"/>
              <i n="[invoice].[شماره پیش فاکتور].&amp;[پ/67-1403]" c="پ/67-1403" nd="1"/>
              <i n="[invoice].[شماره پیش فاکتور].&amp;[پ/67-1404]" c="پ/67-1404" nd="1"/>
              <i n="[invoice].[شماره پیش فاکتور].&amp;[پ/68-1403]" c="پ/68-1403" nd="1"/>
              <i n="[invoice].[شماره پیش فاکتور].&amp;[پ/68-1404]" c="پ/68-1404" nd="1"/>
              <i n="[invoice].[شماره پیش فاکتور].&amp;[پ/69-1403]" c="پ/69-1403" nd="1"/>
              <i n="[invoice].[شماره پیش فاکتور].&amp;[پ/69-1404]" c="پ/69-1404" nd="1"/>
              <i n="[invoice].[شماره پیش فاکتور].&amp;[پ/70-1403]" c="پ/70-1403" nd="1"/>
              <i n="[invoice].[شماره پیش فاکتور].&amp;[پ/70-1404]" c="پ/70-1404" nd="1"/>
              <i n="[invoice].[شماره پیش فاکتور].&amp;[پ/71-1403]" c="پ/71-1403" nd="1"/>
              <i n="[invoice].[شماره پیش فاکتور].&amp;[پ/71-1404]" c="پ/71-1404" nd="1"/>
              <i n="[invoice].[شماره پیش فاکتور].&amp;[پ/72-1403]" c="پ/72-1403" nd="1"/>
              <i n="[invoice].[شماره پیش فاکتور].&amp;[پ/72-1404]" c="پ/72-1404" nd="1"/>
              <i n="[invoice].[شماره پیش فاکتور].&amp;[پ/73-1403]" c="پ/73-1403" nd="1"/>
              <i n="[invoice].[شماره پیش فاکتور].&amp;[پ/73-1404]" c="پ/73-1404" nd="1"/>
              <i n="[invoice].[شماره پیش فاکتور].&amp;[پ/74-1404]" c="پ/74-1404" nd="1"/>
              <i n="[invoice].[شماره پیش فاکتور].&amp;[پ/75-1404]" c="پ/75-1404" nd="1"/>
              <i n="[invoice].[شماره پیش فاکتور].&amp;[پ/76-1404]" c="پ/76-1404" nd="1"/>
              <i n="[invoice].[شماره پیش فاکتور].&amp;[پ/77-1404]" c="پ/77-1404" nd="1"/>
              <i n="[invoice].[شماره پیش فاکتور].&amp;[پ/78-1404]" c="پ/78-1404" nd="1"/>
              <i n="[invoice].[شماره پیش فاکتور].&amp;[پ/79-1404]" c="پ/79-1404" nd="1"/>
              <i n="[invoice].[شماره پیش فاکتور].&amp;[پ/80-1404]" c="پ/80-1404" nd="1"/>
              <i n="[invoice].[شماره پیش فاکتور].&amp;[پ/81-1404]" c="پ/81-1404" nd="1"/>
              <i n="[invoice].[شماره پیش فاکتور].&amp;[پ/82-1404]" c="پ/82-1404" nd="1"/>
              <i n="[invoice].[شماره پیش فاکتور].&amp;[پ/83-1404]" c="پ/83-1404" nd="1"/>
              <i n="[invoice].[شماره پیش فاکتور].&amp;[پ/84-1404]" c="پ/84-1404" nd="1"/>
              <i n="[invoice].[شماره پیش فاکتور].&amp;[پ/85-1404]" c="پ/85-1404" nd="1"/>
              <i n="[invoice].[شماره پیش فاکتور].&amp;[پ/86-1404]" c="پ/86-1404" nd="1"/>
              <i n="[invoice].[شماره پیش فاکتور].&amp;[پ/87-1404]" c="پ/87-1404" nd="1"/>
              <i n="[invoice].[شماره پیش فاکتور].&amp;[پ/88-1404]" c="پ/88-1404" nd="1"/>
              <i n="[invoice].[شماره پیش فاکتور].&amp;[پ/89-1404]" c="پ/89-1404" nd="1"/>
              <i n="[invoice].[شماره پیش فاکتور].&amp;[پ/90-1404]" c="پ/90-1404" nd="1"/>
              <i n="[invoice].[شماره پیش فاکتور].&amp;[پ/91-1404]" c="پ/91-1404" nd="1"/>
              <i n="[invoice].[شماره پیش فاکتور].&amp;[پ/92-1404]" c="پ/92-1404" nd="1"/>
              <i n="[invoice].[شماره پیش فاکتور].&amp;[پ/93-1404]" c="پ/93-1404" nd="1"/>
              <i n="[invoice].[شماره پیش فاکتور].&amp;[پ/94-1404]" c="پ/94-1404" nd="1"/>
              <i n="[invoice].[شماره پیش فاکتور].&amp;[پ/95-1404]" c="پ/95-1404" nd="1"/>
              <i n="[invoice].[شماره پیش فاکتور].&amp;[پ/96-1404]" c="پ/96-1404" nd="1"/>
              <i n="[invoice].[شماره پیش فاکتور].&amp;[پ/97-1404]" c="پ/97-1404" nd="1"/>
              <i n="[invoice].[شماره پیش فاکتور].&amp;[پ/98-1404]" c="پ/98-1404" nd="1"/>
              <i n="[invoice].[شماره پیش فاکتور].&amp;[پ/99-1404]" c="پ/99-1404" nd="1"/>
              <i n="[invoice].[شماره پیش فاکتور].&amp;" c="(blank)" nd="1"/>
            </range>
          </ranges>
        </level>
      </levels>
      <selections count="1">
        <selection n="[invoice].[شماره پیش فاکتور].&amp;[پ/92-1404-4]"/>
      </selections>
    </olap>
  </data>
  <extLst>
    <x:ext xmlns:x15="http://schemas.microsoft.com/office/spreadsheetml/2010/11/main" uri="{470722E0-AACD-4C17-9CDC-17EF765DBC7E}">
      <x15:slicerCacheHideItemsWithNoData count="1">
        <x15:slicerCacheOlapLevelName uniqueName="[invoice].[شماره پیش فاکتور].[شماره پیش فاکتور]" count="166"/>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نام مشتری" xr10:uid="{A68B9BF0-C92D-4160-96E7-3F6D4143207C}" cache="Slicer_نام_مشتری" caption="نام مشتری" startItem="12" showCaption="0" level="1" style="Slicer Style 1" rowHeight="247650"/>
  <slicer name="شماره پیش فاکتور" xr10:uid="{C184BD73-FDE1-41E1-8D94-8B873FEF113E}" cache="Slicer_شماره_پیش_فاکتور" caption="شماره پیش فاکتور" showCaption="0" level="1" style="Slicer Style 1" rowHeight="247650"/>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120F8A5-DC09-4660-A258-1263715FF1E0}" name="invoice" displayName="invoice" ref="A1:T191" totalsRowShown="0" headerRowDxfId="41" dataDxfId="40">
  <autoFilter ref="A1:T191" xr:uid="{A120F8A5-DC09-4660-A258-1263715FF1E0}"/>
  <sortState xmlns:xlrd2="http://schemas.microsoft.com/office/spreadsheetml/2017/richdata2" ref="A2:H42">
    <sortCondition ref="G2:G42" customList="فروردین,اردیبهشت,خرداد,تیر,مرداد,شهریور,مهر,آبان,آذر,دی,بهمن,اسفند"/>
  </sortState>
  <tableColumns count="20">
    <tableColumn id="1" xr3:uid="{3C09B620-49B7-4841-AE38-0CEAD7710498}" name="شماره پیش فاکتور" dataDxfId="39" dataCellStyle="Normal 2"/>
    <tableColumn id="2" xr3:uid="{C2ECD90A-2B0D-4392-8D82-7CC1A0B8439D}" name="نام مشتری" dataDxfId="38" dataCellStyle="Normal 2"/>
    <tableColumn id="5" xr3:uid="{CAEAC682-8153-4260-82F4-1AF5C935669D}" name="تاریخ" dataDxfId="37" dataCellStyle="Normal 2">
      <calculatedColumnFormula>VLOOKUP(invoice[[#This Row],[شماره پیش فاکتور]],[1]!invoice[[شماره پیش فاکتور]:[تاریخ]],3,0)</calculatedColumnFormula>
    </tableColumn>
    <tableColumn id="6" xr3:uid="{A1CEEC6B-1497-4949-B2D7-E1E6116F6F21}" name="تاریخ مجوز بهره برداری" dataDxfId="36" dataCellStyle="Normal 2">
      <calculatedColumnFormula>VLOOKUP(invoice[[#This Row],[شماره پیش فاکتور]],'[1]لیست پیش فاکتور ها'!$A:$D,4,0)</calculatedColumnFormula>
    </tableColumn>
    <tableColumn id="3" xr3:uid="{9E86EE7B-5F24-40DF-A463-3638C747A6E0}" name="میزان سفارش" dataDxfId="35" dataCellStyle="Normal 2">
      <calculatedColumnFormula>VLOOKUP(invoice[[#This Row],[شماره پیش فاکتور]],[1]!invoice[[شماره پیش فاکتور]:[میزان سفارش]],5,0)</calculatedColumnFormula>
    </tableColumn>
    <tableColumn id="4" xr3:uid="{FFD086F8-B2B2-4E56-900A-16E19A0C47B1}" name="فی" dataDxfId="34" dataCellStyle="Normal 2">
      <calculatedColumnFormula>VLOOKUP(invoice[[#This Row],[شماره پیش فاکتور]],[1]!invoice[[شماره پیش فاکتور]:[فی]],6,0)</calculatedColumnFormula>
    </tableColumn>
    <tableColumn id="7" xr3:uid="{CE30B470-4FD5-4A03-9E85-945D7EC2EDE5}" name="ماه" dataDxfId="33" dataCellStyle="Normal 2">
      <calculatedColumnFormula>CHOOSE(MID(invoice[[#This Row],[تاریخ]],6,2),"فروردین","اردیبهشت","خرداد","تیر","مرداد","شهریور","مهر","آبان","آذر","دی","بهمن","اسفند")</calculatedColumnFormula>
    </tableColumn>
    <tableColumn id="8" xr3:uid="{8CA238DA-B2F1-4279-AAA8-58BFB70B67FB}" name="سال" dataDxfId="32" dataCellStyle="Normal 2">
      <calculatedColumnFormula>_xlfn.NUMBERVALUE(MID(invoice[[#This Row],[تاریخ]],1,4))</calculatedColumnFormula>
    </tableColumn>
    <tableColumn id="9" xr3:uid="{4AE4525D-BB1C-49BB-A475-52453E7E33FD}" name="نوع سفارش" dataDxfId="31" dataCellStyle="Normal 2">
      <calculatedColumnFormula>VLOOKUP(invoice[[#This Row],[شماره پیش فاکتور]],[1]!invoice[[شماره پیش فاکتور]:[نوع سفارش]],9,0)</calculatedColumnFormula>
    </tableColumn>
    <tableColumn id="10" xr3:uid="{D73C9B38-2513-422D-B77C-21434819E308}" name="نوع شرکت" dataDxfId="30" dataCellStyle="Normal 2">
      <calculatedColumnFormula>VLOOKUP(invoice[[#This Row],[شماره پیش فاکتور]],[1]!invoice[[شماره پیش فاکتور]:[نوع شرکت]],10,0)</calculatedColumnFormula>
    </tableColumn>
    <tableColumn id="11" xr3:uid="{4B7DB7E5-4BA8-42BF-92EF-51F20F0FEA44}" name="تاریخ انقضا" dataDxfId="29" dataCellStyle="Normal 2"/>
    <tableColumn id="12" xr3:uid="{42A2BB2D-BCBA-4E98-9D9D-967C094AF169}" name="% ارزش افزوده" dataDxfId="28" dataCellStyle="Percent"/>
    <tableColumn id="15" xr3:uid="{6E081EC3-AEC8-49F1-84D0-9FF5F19B0022}" name="مبلغ پیش دریافت" dataDxfId="27" dataCellStyle="Comma"/>
    <tableColumn id="14" xr3:uid="{AA77DF13-4EBE-4ACE-B95C-5B57230D5EC2}" name="پیش دریافت به ازای هر کیلوگرم" dataDxfId="26" dataCellStyle="Comma">
      <calculatedColumnFormula>invoice[[#This Row],[مبلغ پیش دریافت]]/invoice[[#This Row],[میزان سفارش]]</calculatedColumnFormula>
    </tableColumn>
    <tableColumn id="13" xr3:uid="{D5C456D3-A3AC-4EC2-8CDE-D4043F82EAFB}" name="Column1" dataDxfId="25">
      <calculatedColumnFormula>SUMIF([1]!bargiri[شماره پیش فاکتور],[1]!invoice[[#This Row],[شماره پیش فاکتور]],[1]!bargiri[میزان بارگیری شده])/[1]!invoice[[#This Row],[میزان سفارش]]</calculatedColumnFormula>
    </tableColumn>
    <tableColumn id="16" xr3:uid="{2C1902BA-986F-4DD4-AC0F-E5A7241C2D44}" name="Column2" dataDxfId="24">
      <calculatedColumnFormula>VLOOKUP(invoice[[#This Row],[شماره پیش فاکتور]],[1]!invoice[[شماره پیش فاکتور]:[نوع سفارش]],9,0)</calculatedColumnFormula>
    </tableColumn>
    <tableColumn id="17" xr3:uid="{AD41F3E8-661D-4603-ABCD-F23BB736F894}" name="Column3" dataDxfId="23">
      <calculatedColumnFormula>SUMIFS('[1]جزییات بارگیری'!D:D,'[1]جزییات بارگیری'!C:C,[1]!invoice[[#This Row],[شماره پیش فاکتور]])</calculatedColumnFormula>
    </tableColumn>
    <tableColumn id="18" xr3:uid="{37387FCD-9D35-4CCA-B7D7-5E0402442DA9}" name="Column4" dataDxfId="22">
      <calculatedColumnFormula>IF([1]!invoice[[#This Row],[میزان سفارش]]-[1]!invoice[[#This Row],[میزان حمل شده ]]&lt;0,0,[1]!invoice[[#This Row],[میزان سفارش]]-[1]!invoice[[#This Row],[میزان حمل شده ]])</calculatedColumnFormula>
    </tableColumn>
    <tableColumn id="19" xr3:uid="{F5D74471-43B0-4D35-9584-33A435F5141C}" name="Column5" dataDxfId="21">
      <calculatedColumnFormula>[1]!invoice[[#This Row],[میزان حمل نشده ]]*[1]!invoice[[#This Row],[فی]]</calculatedColumnFormula>
    </tableColumn>
    <tableColumn id="20" xr3:uid="{72E2B5E6-D178-4F2C-A21B-87902E7D3318}" name="Column6" dataDxfId="20"/>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F89723-01DC-43D4-9337-57A05D2AD8B9}" name="bargiri" displayName="bargiri" ref="A1:Q2641" tableType="queryTable" totalsRowCount="1" headerRowDxfId="81">
  <autoFilter ref="A1:Q2640" xr:uid="{0FF89723-01DC-43D4-9337-57A05D2AD8B9}"/>
  <tableColumns count="17">
    <tableColumn id="10" xr3:uid="{843CE5A4-5B14-45A1-8CE7-DFF88ADC28AC}" uniqueName="10" name="شماره حواله" queryTableFieldId="10" dataDxfId="80"/>
    <tableColumn id="1" xr3:uid="{BEFCE452-7779-4738-BAAD-A8B7BEB50225}" uniqueName="1" name="تاریخ حواله" queryTableFieldId="1" dataDxfId="79" totalsRowDxfId="78"/>
    <tableColumn id="2" xr3:uid="{831035F4-D8AD-420E-A591-79A00242D1CA}" uniqueName="2" name="شماره سند مبنا" queryTableFieldId="2" dataDxfId="77" totalsRowDxfId="76"/>
    <tableColumn id="3" xr3:uid="{1D12B99F-D0E5-4363-9045-B24201FD1ECD}" uniqueName="3" name="نام مشتری" queryTableFieldId="3" dataDxfId="75" totalsRowDxfId="74"/>
    <tableColumn id="5" xr3:uid="{ED7B55A8-B7A9-4EF7-8A11-C8BBF726B36F}" uniqueName="5" name="مقدار" queryTableFieldId="5" dataDxfId="73" totalsRowDxfId="72" dataCellStyle="Comma"/>
    <tableColumn id="6" xr3:uid="{7FFB81C4-B3D1-4AD3-B71A-78098D571F70}" uniqueName="6" name="فی" queryTableFieldId="6" dataDxfId="71" totalsRowDxfId="70" dataCellStyle="Comma"/>
    <tableColumn id="7" xr3:uid="{DD18526A-9BE5-4767-A872-1B7ACB908268}" uniqueName="7" name="مبلغ ناخالص" queryTableFieldId="7" dataDxfId="69" totalsRowDxfId="68" dataCellStyle="Comma"/>
    <tableColumn id="8" xr3:uid="{BD4A47F2-DF48-4561-AA84-91E0E5106E44}" uniqueName="8" name="اضافات" queryTableFieldId="8" dataDxfId="67" totalsRowDxfId="66" dataCellStyle="Comma"/>
    <tableColumn id="9" xr3:uid="{9C0E0B83-2A7F-424E-A7E5-D263237C677B}" uniqueName="9" name="مبلغ خالص" queryTableFieldId="9" dataDxfId="65" totalsRowDxfId="64" dataCellStyle="Comma"/>
    <tableColumn id="13" xr3:uid="{DD810DAD-A9AC-4B69-AB59-1704024EA82F}" uniqueName="13" name="میزان استهلاک پیش دریافتی" queryTableFieldId="14" dataDxfId="63" totalsRowDxfId="62" dataCellStyle="Comma">
      <calculatedColumnFormula>bargiri[[#This Row],[مقدار]]*INDEX(invoice[پیش دریافت به ازای هر کیلوگرم],MATCH(bargiri[[#This Row],[شماره سند مبنا]],invoice[شماره پیش فاکتور],0))</calculatedColumnFormula>
    </tableColumn>
    <tableColumn id="14" xr3:uid="{798DC09F-B3A1-4D4B-8F95-1492F5F6C79F}" uniqueName="14" name="مانده مبلغ" queryTableFieldId="15" dataDxfId="61" totalsRowDxfId="60" dataCellStyle="Comma">
      <calculatedColumnFormula>bargiri[[#This Row],[مبلغ خالص]]-bargiri[[#This Row],[میزان استهلاک پیش دریافتی]]</calculatedColumnFormula>
    </tableColumn>
    <tableColumn id="15" xr3:uid="{9A7999A4-DBAB-431B-BB97-E68F92F068E6}" uniqueName="15" name="تاریخ واریزی" queryTableFieldId="16" dataDxfId="59" totalsRowDxfId="58" dataCellStyle="Comma"/>
    <tableColumn id="16" xr3:uid="{5012EAF0-51B7-42D4-BBD0-05F9E1C2196C}" uniqueName="16" name="مبلغ واریزی" queryTableFieldId="17" dataDxfId="57" totalsRowDxfId="56" dataCellStyle="Comma"/>
    <tableColumn id="17" xr3:uid="{53580147-9876-42E4-9587-43BA6D9860EE}" uniqueName="17" name="مانده حساب باسکول" queryTableFieldId="18" dataDxfId="55" totalsRowDxfId="54" dataCellStyle="Comma">
      <calculatedColumnFormula>IF(bargiri[[#This Row],[مبلغ واریزی]]&lt;&gt;"",bargiri[[#This Row],[مانده مبلغ]]-bargiri[[#This Row],[مبلغ واریزی]],bargiri[[#This Row],[مانده مبلغ]])</calculatedColumnFormula>
    </tableColumn>
    <tableColumn id="18" xr3:uid="{8A27A980-CF99-41B0-A350-297BBC3A94B2}" uniqueName="18" name="توضیحات" queryTableFieldId="19" dataDxfId="53" totalsRowDxfId="52" dataCellStyle="Comma"/>
    <tableColumn id="4" xr3:uid="{CCC21D51-D30B-4092-A0AB-B74B2D5A1ACC}" uniqueName="4" name="نرخ استهلاک" queryTableFieldId="21" dataDxfId="51" totalsRowDxfId="50" dataCellStyle="Comma">
      <calculatedColumnFormula>VLOOKUP(bargiri[[#This Row],[شماره سند مبنا]],invoice[[شماره پیش فاکتور]:[پیش دریافت به ازای هر کیلوگرم]],14,0)</calculatedColumnFormula>
    </tableColumn>
    <tableColumn id="11" xr3:uid="{A22DB28B-5518-4636-9E0F-0223E92E0AD5}" uniqueName="11" name="قابل پرداخت" totalsRowFunction="sum" queryTableFieldId="22" dataDxfId="49" totalsRowDxfId="48" dataCellStyle="Comma">
      <calculatedColumnFormula>IF(bargiri[[#This Row],[مبلغ ناخالص]]-(bargiri[[#This Row],[نرخ استهلاک]]*bargiri[[#This Row],[مقدار]])&lt;0,0,bargiri[[#This Row],[مبلغ ناخالص]]-(bargiri[[#This Row],[نرخ استهلاک]]*bargiri[[#This Row],[مقدار]]))</calculatedColumnFormula>
    </tableColumn>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AF6B01F-B016-4E02-B4C1-DB2D368380F9}" name="Table4" displayName="Table4" ref="Y1:Y2" totalsRowShown="0" headerRowDxfId="47" dataDxfId="45" headerRowBorderDxfId="46" tableBorderDxfId="44" totalsRowBorderDxfId="43">
  <autoFilter ref="Y1:Y2" xr:uid="{5AF6B01F-B016-4E02-B4C1-DB2D368380F9}">
    <filterColumn colId="0" hiddenButton="1"/>
  </autoFilter>
  <tableColumns count="1">
    <tableColumn id="1" xr3:uid="{00180935-CB11-4164-98DB-F1F26C4902EF}" name="آدرس فایل" dataDxfId="4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68AE03A-AC08-4957-AA83-189CB713EF95}" name="pardakht" displayName="pardakht" ref="A1:P536" totalsRowShown="0" headerRowBorderDxfId="19" tableBorderDxfId="18">
  <autoFilter ref="A1:P536" xr:uid="{B68AE03A-AC08-4957-AA83-189CB713EF95}"/>
  <tableColumns count="16">
    <tableColumn id="1" xr3:uid="{B151F1AE-30B8-45B1-97A4-3FA29358108C}" name="ردیف" dataDxfId="17"/>
    <tableColumn id="2" xr3:uid="{6D6A8591-F641-4FD8-B15D-55FEEA9980A7}" name="نام مشتری" dataDxfId="16"/>
    <tableColumn id="3" xr3:uid="{A0A73357-E382-4433-B971-2623AC9B738A}" name="شماره پیش فاکتور" dataDxfId="15"/>
    <tableColumn id="4" xr3:uid="{78B3123F-216A-4E19-ADC4-3F961051C223}" name="مقدار پیش فاکتور" dataDxfId="14"/>
    <tableColumn id="5" xr3:uid="{C1C0C377-BAEE-40CC-B60F-18C59A4ED59B}" name="تاریخ بارگیری" dataDxfId="13"/>
    <tableColumn id="6" xr3:uid="{0C8C87DD-573C-4711-8D32-460E9DBE2C4D}" name="مقدار بارگیری (kg)" dataDxfId="12" dataCellStyle="Comma"/>
    <tableColumn id="7" xr3:uid="{E105202E-0480-4419-84FA-EF22F024A316}" name="فی(ریال)" dataDxfId="11" dataCellStyle="Comma"/>
    <tableColumn id="8" xr3:uid="{7C971CA6-CB85-4A02-BCB2-A9C57A5FD7B7}" name="درصد مانده پیش فاکتور" dataDxfId="10"/>
    <tableColumn id="9" xr3:uid="{0377954D-643A-4DCA-B356-87D0FA024D74}" name="مبلغ باسکول" dataDxfId="9" dataCellStyle="Comma">
      <calculatedColumnFormula>((F2*G2)/100)*H2</calculatedColumnFormula>
    </tableColumn>
    <tableColumn id="10" xr3:uid="{61360A37-C7E7-4823-A9E4-A5D348CFB4A0}" name="درصد ارزش افزوده" dataDxfId="8"/>
    <tableColumn id="11" xr3:uid="{E385B7C8-553D-4AE5-8E3E-DEBC6C8595BD}" name="مبلغ ارزش افزوده" dataDxfId="7" dataCellStyle="Comma">
      <calculatedColumnFormula>(I2/100)*10</calculatedColumnFormula>
    </tableColumn>
    <tableColumn id="12" xr3:uid="{54361EFA-DA65-4C1D-AA11-9BC9F2F8527C}" name="جمع قابل پرداخت" dataDxfId="6" dataCellStyle="Comma">
      <calculatedColumnFormula>I2+K2</calculatedColumnFormula>
    </tableColumn>
    <tableColumn id="13" xr3:uid="{4CEA2107-922D-4A3E-BFB1-B4B2F34A8A61}" name="تاریخ واریزی" dataDxfId="5"/>
    <tableColumn id="14" xr3:uid="{8C99F6E9-0064-4F17-976D-4989D025C6B0}" name="مبلغ واریزی" dataDxfId="4" dataCellStyle="Comma"/>
    <tableColumn id="15" xr3:uid="{7567AE96-4A41-4784-9147-47C4BA3E1C8A}" name="مانده حساب باسکول" dataDxfId="3" dataCellStyle="Comma">
      <calculatedColumnFormula>L2-N2</calculatedColumnFormula>
    </tableColumn>
    <tableColumn id="16" xr3:uid="{341C8DFC-ECAB-48F5-8F87-F56B163F6AF6}" name="توضیحات"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study">
      <a:dk1>
        <a:sysClr val="windowText" lastClr="000000"/>
      </a:dk1>
      <a:lt1>
        <a:sysClr val="window" lastClr="FFFFFF"/>
      </a:lt1>
      <a:dk2>
        <a:srgbClr val="373545"/>
      </a:dk2>
      <a:lt2>
        <a:srgbClr val="222840"/>
      </a:lt2>
      <a:accent1>
        <a:srgbClr val="131633"/>
      </a:accent1>
      <a:accent2>
        <a:srgbClr val="1CBCCD"/>
      </a:accent2>
      <a:accent3>
        <a:srgbClr val="527AFC"/>
      </a:accent3>
      <a:accent4>
        <a:srgbClr val="FF7940"/>
      </a:accent4>
      <a:accent5>
        <a:srgbClr val="FC5A89"/>
      </a:accent5>
      <a:accent6>
        <a:srgbClr val="2683C6"/>
      </a:accent6>
      <a:hlink>
        <a:srgbClr val="8343F7"/>
      </a:hlink>
      <a:folHlink>
        <a:srgbClr val="FFBF36"/>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07/relationships/slicer" Target="../slicers/slicer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DC77F-3375-4718-B7FC-701AEC08856E}">
  <sheetPr>
    <tabColor theme="8" tint="-0.499984740745262"/>
  </sheetPr>
  <dimension ref="A1:AC48"/>
  <sheetViews>
    <sheetView showGridLines="0" rightToLeft="1" tabSelected="1" topLeftCell="G10" zoomScale="90" zoomScaleNormal="90" workbookViewId="0">
      <selection activeCell="F25" sqref="F25"/>
    </sheetView>
  </sheetViews>
  <sheetFormatPr defaultRowHeight="13.8" x14ac:dyDescent="0.25"/>
  <cols>
    <col min="1" max="1" width="1" customWidth="1"/>
    <col min="2" max="2" width="6.19921875" customWidth="1"/>
    <col min="3" max="3" width="12.8984375" customWidth="1"/>
    <col min="4" max="4" width="11.796875" customWidth="1"/>
    <col min="5" max="5" width="12.09765625" customWidth="1"/>
    <col min="6" max="6" width="11.296875" customWidth="1"/>
    <col min="7" max="7" width="14.796875" customWidth="1"/>
    <col min="8" max="8" width="15.296875" bestFit="1" customWidth="1"/>
    <col min="9" max="9" width="14.296875" customWidth="1"/>
    <col min="10" max="10" width="16.59765625" customWidth="1"/>
    <col min="11" max="11" width="16" customWidth="1"/>
    <col min="12" max="12" width="14.796875" customWidth="1"/>
    <col min="13" max="13" width="13" customWidth="1"/>
    <col min="14" max="14" width="13.3984375" customWidth="1"/>
    <col min="15" max="15" width="15.296875" bestFit="1" customWidth="1"/>
    <col min="16" max="16" width="13.8984375" bestFit="1" customWidth="1"/>
    <col min="17" max="17" width="12.69921875" customWidth="1"/>
  </cols>
  <sheetData>
    <row r="1" spans="1:29" x14ac:dyDescent="0.25">
      <c r="A1" s="23"/>
      <c r="B1" s="23"/>
      <c r="C1" s="23"/>
      <c r="D1" s="23"/>
      <c r="E1" s="23"/>
      <c r="F1" s="23"/>
      <c r="G1" s="23"/>
      <c r="H1" s="23"/>
      <c r="I1" s="23"/>
      <c r="J1" s="23"/>
      <c r="K1" s="23"/>
      <c r="L1" s="23"/>
      <c r="M1" s="23"/>
      <c r="N1" s="23"/>
      <c r="O1" s="23"/>
      <c r="P1" s="23"/>
      <c r="Q1" s="23"/>
      <c r="R1" s="23"/>
      <c r="S1" s="23"/>
      <c r="T1" s="23"/>
      <c r="U1" s="23"/>
      <c r="V1" s="23"/>
      <c r="W1" s="102"/>
      <c r="X1" s="102"/>
      <c r="Y1" s="102"/>
      <c r="Z1" s="102"/>
      <c r="AA1" s="102"/>
      <c r="AB1" s="102"/>
      <c r="AC1" s="102"/>
    </row>
    <row r="2" spans="1:29" x14ac:dyDescent="0.25">
      <c r="A2" s="23"/>
      <c r="B2" s="23"/>
      <c r="C2" s="23"/>
      <c r="D2" s="23"/>
      <c r="E2" s="23"/>
      <c r="F2" s="23"/>
      <c r="G2" s="23"/>
      <c r="H2" s="23"/>
      <c r="I2" s="23"/>
      <c r="J2" s="23"/>
      <c r="K2" s="23"/>
      <c r="L2" s="23"/>
      <c r="M2" s="23"/>
      <c r="N2" s="23"/>
      <c r="O2" s="23"/>
      <c r="P2" s="23"/>
      <c r="Q2" s="23"/>
      <c r="R2" s="23"/>
      <c r="S2" s="23"/>
      <c r="T2" s="23"/>
      <c r="U2" s="23"/>
      <c r="V2" s="23"/>
      <c r="W2" s="102"/>
      <c r="X2" s="102"/>
      <c r="Y2" s="102"/>
      <c r="Z2" s="102"/>
      <c r="AA2" s="102"/>
      <c r="AB2" s="102"/>
      <c r="AC2" s="102"/>
    </row>
    <row r="3" spans="1:29" x14ac:dyDescent="0.25">
      <c r="A3" s="23"/>
      <c r="B3" s="23"/>
      <c r="C3" s="23"/>
      <c r="D3" s="23"/>
      <c r="E3" s="23"/>
      <c r="F3" s="23"/>
      <c r="G3" s="23"/>
      <c r="H3" s="23"/>
      <c r="I3" s="23"/>
      <c r="J3" s="23"/>
      <c r="K3" s="23"/>
      <c r="L3" s="23"/>
      <c r="M3" s="23"/>
      <c r="N3" s="23"/>
      <c r="O3" s="23"/>
      <c r="P3" s="23"/>
      <c r="Q3" s="23"/>
      <c r="R3" s="23"/>
      <c r="S3" s="23"/>
      <c r="T3" s="23"/>
      <c r="U3" s="23"/>
      <c r="V3" s="23"/>
      <c r="W3" s="102"/>
      <c r="X3" s="102"/>
      <c r="Y3" s="102"/>
      <c r="Z3" s="102"/>
      <c r="AA3" s="102"/>
      <c r="AB3" s="102"/>
      <c r="AC3" s="102"/>
    </row>
    <row r="4" spans="1:29" x14ac:dyDescent="0.25">
      <c r="A4" s="23"/>
      <c r="B4" s="23"/>
      <c r="C4" s="23"/>
      <c r="D4" s="23"/>
      <c r="E4" s="23"/>
      <c r="F4" s="23"/>
      <c r="G4" s="23"/>
      <c r="H4" s="23"/>
      <c r="I4" s="23"/>
      <c r="J4" s="23"/>
      <c r="K4" s="23"/>
      <c r="L4" s="23"/>
      <c r="M4" s="23"/>
      <c r="N4" s="23"/>
      <c r="O4" s="23"/>
      <c r="P4" s="23"/>
      <c r="Q4" s="23"/>
      <c r="R4" s="23"/>
      <c r="S4" s="23"/>
      <c r="T4" s="23"/>
      <c r="U4" s="23"/>
      <c r="V4" s="23"/>
      <c r="W4" s="102"/>
      <c r="X4" s="102"/>
      <c r="Y4" s="102"/>
      <c r="Z4" s="102"/>
      <c r="AA4" s="102"/>
      <c r="AB4" s="102"/>
      <c r="AC4" s="102"/>
    </row>
    <row r="5" spans="1:29" x14ac:dyDescent="0.25">
      <c r="A5" s="23"/>
      <c r="B5" s="23"/>
      <c r="C5" s="23"/>
      <c r="D5" s="23"/>
      <c r="E5" s="23"/>
      <c r="F5" s="23"/>
      <c r="G5" s="23"/>
      <c r="H5" s="23"/>
      <c r="I5" s="23"/>
      <c r="J5" s="23"/>
      <c r="K5" s="23"/>
      <c r="L5" s="23"/>
      <c r="M5" s="23"/>
      <c r="N5" s="23"/>
      <c r="O5" s="23"/>
      <c r="P5" s="23"/>
      <c r="Q5" s="23"/>
      <c r="R5" s="23"/>
      <c r="S5" s="23"/>
      <c r="T5" s="23"/>
      <c r="U5" s="23"/>
      <c r="V5" s="23"/>
      <c r="W5" s="102"/>
      <c r="X5" s="102"/>
      <c r="Y5" s="102"/>
      <c r="Z5" s="102"/>
      <c r="AA5" s="102"/>
      <c r="AB5" s="102"/>
      <c r="AC5" s="102"/>
    </row>
    <row r="6" spans="1:29" x14ac:dyDescent="0.25">
      <c r="A6" s="23"/>
      <c r="B6" s="23"/>
      <c r="C6" s="23"/>
      <c r="D6" s="23"/>
      <c r="E6" s="23"/>
      <c r="F6" s="23"/>
      <c r="G6" s="23"/>
      <c r="H6" s="23"/>
      <c r="I6" s="23"/>
      <c r="J6" s="23"/>
      <c r="K6" s="23"/>
      <c r="L6" s="23"/>
      <c r="M6" s="23"/>
      <c r="N6" s="23"/>
      <c r="O6" s="23"/>
      <c r="P6" s="23"/>
      <c r="Q6" s="23"/>
      <c r="R6" s="23"/>
      <c r="S6" s="23"/>
      <c r="T6" s="23"/>
      <c r="U6" s="23"/>
      <c r="V6" s="23"/>
      <c r="W6" s="102"/>
      <c r="X6" s="102"/>
      <c r="Y6" s="102"/>
      <c r="Z6" s="102"/>
      <c r="AA6" s="102"/>
      <c r="AB6" s="102"/>
      <c r="AC6" s="102"/>
    </row>
    <row r="7" spans="1:29" x14ac:dyDescent="0.25">
      <c r="A7" s="23"/>
      <c r="B7" s="23"/>
      <c r="C7" s="23"/>
      <c r="D7" s="23"/>
      <c r="E7" s="23"/>
      <c r="F7" s="23"/>
      <c r="G7" s="23"/>
      <c r="H7" s="23"/>
      <c r="I7" s="23"/>
      <c r="J7" s="23"/>
      <c r="K7" s="23"/>
      <c r="L7" s="23"/>
      <c r="M7" s="23"/>
      <c r="N7" s="23"/>
      <c r="O7" s="23"/>
      <c r="P7" s="23"/>
      <c r="Q7" s="23"/>
      <c r="R7" s="23"/>
      <c r="S7" s="23"/>
      <c r="T7" s="23"/>
      <c r="U7" s="23"/>
      <c r="V7" s="23"/>
      <c r="W7" s="102"/>
      <c r="X7" s="102"/>
      <c r="Y7" s="102"/>
      <c r="Z7" s="102"/>
      <c r="AA7" s="102"/>
      <c r="AB7" s="102"/>
      <c r="AC7" s="102"/>
    </row>
    <row r="8" spans="1:29" ht="14.4" thickBot="1" x14ac:dyDescent="0.3">
      <c r="A8" s="23"/>
      <c r="B8" s="23"/>
      <c r="C8" s="23"/>
      <c r="D8" s="23"/>
      <c r="E8" s="23"/>
      <c r="F8" s="23"/>
      <c r="G8" s="23"/>
      <c r="H8" s="23"/>
      <c r="I8" s="23"/>
      <c r="J8" s="23"/>
      <c r="K8" s="23"/>
      <c r="L8" s="23"/>
      <c r="M8" s="23"/>
      <c r="N8" s="23"/>
      <c r="O8" s="23"/>
      <c r="P8" s="23"/>
      <c r="Q8" s="23"/>
      <c r="R8" s="23"/>
      <c r="S8" s="23"/>
      <c r="T8" s="23"/>
      <c r="U8" s="23"/>
      <c r="V8" s="23"/>
      <c r="W8" s="102"/>
      <c r="X8" s="102"/>
      <c r="Y8" s="102"/>
      <c r="Z8" s="102"/>
      <c r="AA8" s="102"/>
      <c r="AB8" s="102"/>
      <c r="AC8" s="102"/>
    </row>
    <row r="9" spans="1:29" ht="18" thickBot="1" x14ac:dyDescent="0.3">
      <c r="A9" s="23"/>
      <c r="B9" s="70" t="s">
        <v>0</v>
      </c>
      <c r="C9" s="71" t="s">
        <v>14</v>
      </c>
      <c r="D9" s="71" t="s">
        <v>588</v>
      </c>
      <c r="E9" s="71" t="s">
        <v>589</v>
      </c>
      <c r="F9" s="71" t="s">
        <v>232</v>
      </c>
      <c r="G9" s="71" t="s">
        <v>231</v>
      </c>
      <c r="H9" s="71" t="s">
        <v>226</v>
      </c>
      <c r="I9" s="101" t="s">
        <v>230</v>
      </c>
      <c r="J9" s="72" t="s">
        <v>643</v>
      </c>
      <c r="K9" s="73" t="s">
        <v>590</v>
      </c>
      <c r="L9" s="74" t="s">
        <v>591</v>
      </c>
      <c r="M9" s="75" t="s">
        <v>592</v>
      </c>
      <c r="N9" s="68" t="s">
        <v>594</v>
      </c>
      <c r="O9" s="67" t="s">
        <v>596</v>
      </c>
      <c r="P9" s="67" t="s">
        <v>629</v>
      </c>
      <c r="Q9" s="69" t="s">
        <v>595</v>
      </c>
      <c r="R9" s="23"/>
      <c r="S9" s="23"/>
      <c r="T9" s="23"/>
      <c r="U9" s="23"/>
      <c r="V9" s="23"/>
      <c r="W9" s="102"/>
      <c r="X9" s="102"/>
      <c r="Y9" s="102"/>
      <c r="Z9" s="102"/>
      <c r="AA9" s="102"/>
      <c r="AB9" s="102"/>
      <c r="AC9" s="102"/>
    </row>
    <row r="10" spans="1:29" ht="15" customHeight="1" x14ac:dyDescent="0.25">
      <c r="A10" s="23"/>
      <c r="B10" s="57">
        <v>1</v>
      </c>
      <c r="C10" s="92" t="str">
        <f>IF(INDEX(Calc!$A$5:$A$40,$B10,1)&lt;&gt;"",INDEX(Calc!$A$5:$A$40,$B10,1),"")</f>
        <v>پ/86-1404</v>
      </c>
      <c r="D10" s="61" t="str">
        <f>IFERROR(INDEX(invoice[تاریخ],MATCH($C10,invoice[شماره پیش فاکتور],0)),"")</f>
        <v>1404/08/26</v>
      </c>
      <c r="E10" s="61" t="str">
        <f>IFERROR(INDEX(invoice[تاریخ مجوز بهره برداری],MATCH($C10,invoice[شماره پیش فاکتور],0)),"")</f>
        <v>1404/08/26</v>
      </c>
      <c r="F10" s="62">
        <f>IFERROR(INDEX(invoice[تاریخ انقضا],MATCH($C10,invoice[شماره پیش فاکتور],0)),"")</f>
        <v>46101</v>
      </c>
      <c r="G10" s="62" t="str">
        <f>IFERROR(INDEX(invoice[نوع شرکت],MATCH($C10,invoice[شماره پیش فاکتور],0)),"")</f>
        <v>تولید کننده</v>
      </c>
      <c r="H10" s="58">
        <f>IFERROR(INDEX(invoice[میزان سفارش],MATCH($C10,invoice[شماره پیش فاکتور],0)),"")</f>
        <v>4710</v>
      </c>
      <c r="I10" s="61" t="str">
        <f>IFERROR(INDEX(invoice[نوع سفارش],MATCH($C10,invoice[شماره پیش فاکتور],0)),"")</f>
        <v>عادی</v>
      </c>
      <c r="J10" s="99">
        <f>IFERROR(INDEX(invoice[فی],MATCH($C10,invoice[شماره پیش فاکتور],0)),"")</f>
        <v>130000</v>
      </c>
      <c r="K10" s="96" t="str">
        <f>IF(INDEX(Calc!$C$5:$C$40,Dashboard!$B10,1)&lt;&gt;"",INDEX(Calc!$C$5:$C$40,Dashboard!$B10,1),"")</f>
        <v/>
      </c>
      <c r="L10" s="105" t="str">
        <f>IF(H10="","",IF(K10&lt;&gt;"",K10/H10,"در انتظار بارگیری"))</f>
        <v>در انتظار بارگیری</v>
      </c>
      <c r="M10" s="59">
        <f>IF(K10="",H10,IF(H10&lt;&gt;"",H10-K10,""))</f>
        <v>4710</v>
      </c>
      <c r="N10" s="107">
        <f>IFERROR(INDEX(invoice[مبلغ پیش دریافت],MATCH($C10,invoice[شماره پیش فاکتور],0)),"")</f>
        <v>715000000</v>
      </c>
      <c r="O10" s="108">
        <f>SUMIF(bargiri[شماره سند مبنا],Dashboard!C10,bargiri[میزان استهلاک پیش دریافتی])</f>
        <v>715000000</v>
      </c>
      <c r="P10" s="108">
        <f>SUMIF(bargiri[شماره سند مبنا],Dashboard!C10,bargiri[مانده مبلغ])</f>
        <v>539575868</v>
      </c>
      <c r="Q10" s="109"/>
      <c r="R10" s="23"/>
      <c r="S10" s="23"/>
      <c r="T10" s="23"/>
      <c r="U10" s="23"/>
      <c r="V10" s="23"/>
      <c r="W10" s="102"/>
      <c r="X10" s="102"/>
      <c r="Y10" s="102"/>
      <c r="Z10" s="102"/>
      <c r="AA10" s="102"/>
      <c r="AB10" s="102"/>
      <c r="AC10" s="102"/>
    </row>
    <row r="11" spans="1:29" ht="15" customHeight="1" x14ac:dyDescent="0.25">
      <c r="A11" s="23"/>
      <c r="B11" s="60">
        <f>B10+1</f>
        <v>2</v>
      </c>
      <c r="C11" s="93" t="str">
        <f>IF(INDEX(Calc!$A$5:$A$40,$B11,1)&lt;&gt;"",INDEX(Calc!$A$5:$A$40,$B11,1),"")</f>
        <v>پ/92-1404</v>
      </c>
      <c r="D11" s="63" t="str">
        <f>IFERROR(INDEX(invoice[تاریخ],MATCH($C11,invoice[شماره پیش فاکتور],0)),"")</f>
        <v>1404/10/02</v>
      </c>
      <c r="E11" s="95" t="str">
        <f>IFERROR(INDEX(invoice[تاریخ مجوز بهره برداری],MATCH($C11,invoice[شماره پیش فاکتور],0)),"")</f>
        <v>1404/10/02</v>
      </c>
      <c r="F11" s="95">
        <f>IFERROR(INDEX(invoice[تاریخ انقضا],MATCH($C11,invoice[شماره پیش فاکتور],0)),"")</f>
        <v>46437</v>
      </c>
      <c r="G11" s="95" t="str">
        <f>IFERROR(INDEX(invoice[نوع شرکت],MATCH($C11,invoice[شماره پیش فاکتور],0)),"")</f>
        <v>تولید کننده</v>
      </c>
      <c r="H11" s="95">
        <f>IFERROR(INDEX(invoice[میزان سفارش],MATCH($C11,invoice[شماره پیش فاکتور],0)),"")</f>
        <v>4520000</v>
      </c>
      <c r="I11" s="95" t="str">
        <f>IFERROR(INDEX(invoice[نوع سفارش],MATCH($C11,invoice[شماره پیش فاکتور],0)),"")</f>
        <v>عادی</v>
      </c>
      <c r="J11" s="98">
        <f>IFERROR(INDEX(invoice[فی],MATCH($C11,invoice[شماره پیش فاکتور],0)),"")</f>
        <v>123481</v>
      </c>
      <c r="K11" s="95" t="str">
        <f>IF(INDEX(Calc!$C$5:$C$40,Dashboard!$B11,1)&lt;&gt;"",INDEX(Calc!$C$5:$C$40,Dashboard!$B11,1),"")</f>
        <v/>
      </c>
      <c r="L11" s="104" t="str">
        <f t="shared" ref="L11:L17" si="0">IF(H11="","",IF(K11&lt;&gt;"",K11/H11,"در انتظار بارگیری"))</f>
        <v>در انتظار بارگیری</v>
      </c>
      <c r="M11" s="119">
        <f t="shared" ref="M11:M17" si="1">IF(K11="",H11,IF(H11&lt;&gt;"",H11-K11,""))</f>
        <v>4520000</v>
      </c>
      <c r="N11" s="110">
        <f>IFERROR(INDEX(invoice[مبلغ پیش دریافت],MATCH($C11,invoice[شماره پیش فاکتور],0)),"")</f>
        <v>315758000000</v>
      </c>
      <c r="O11" s="111">
        <f>SUMIF(bargiri[شماره سند مبنا],Dashboard!C11,bargiri[میزان استهلاک پیش دریافتی])</f>
        <v>8575065154.8672571</v>
      </c>
      <c r="P11" s="111">
        <f>SUMIF(bargiri[شماره سند مبنا],Dashboard!C11,bargiri[مانده مبلغ])</f>
        <v>-8575065154.8672571</v>
      </c>
      <c r="Q11" s="112"/>
      <c r="R11" s="23"/>
      <c r="S11" s="23"/>
      <c r="T11" s="23"/>
      <c r="U11" s="23"/>
      <c r="V11" s="23"/>
      <c r="W11" s="102"/>
      <c r="X11" s="102"/>
      <c r="Y11" s="102"/>
      <c r="Z11" s="102"/>
      <c r="AA11" s="102"/>
      <c r="AB11" s="102"/>
      <c r="AC11" s="102"/>
    </row>
    <row r="12" spans="1:29" ht="15" customHeight="1" x14ac:dyDescent="0.25">
      <c r="A12" s="23"/>
      <c r="B12" s="57">
        <f t="shared" ref="B12:B17" si="2">B11+1</f>
        <v>3</v>
      </c>
      <c r="C12" s="92" t="str">
        <f>IF(INDEX(Calc!$A$5:$A$40,$B12,1)&lt;&gt;"",INDEX(Calc!$A$5:$A$40,$B12,1),"")</f>
        <v>پ/92-1404-1</v>
      </c>
      <c r="D12" s="61" t="str">
        <f>IFERROR(INDEX(invoice[تاریخ],MATCH($C12,invoice[شماره پیش فاکتور],0)),"")</f>
        <v>1404/10/02</v>
      </c>
      <c r="E12" s="61" t="str">
        <f>IFERROR(INDEX(invoice[تاریخ مجوز بهره برداری],MATCH($C12,invoice[شماره پیش فاکتور],0)),"")</f>
        <v>1404/10/02</v>
      </c>
      <c r="F12" s="62">
        <f>IFERROR(INDEX(invoice[تاریخ انقضا],MATCH($C12,invoice[شماره پیش فاکتور],0)),"")</f>
        <v>46422</v>
      </c>
      <c r="G12" s="62" t="str">
        <f>IFERROR(INDEX(invoice[نوع شرکت],MATCH($C12,invoice[شماره پیش فاکتور],0)),"")</f>
        <v>تولید کننده</v>
      </c>
      <c r="H12" s="58">
        <f>IFERROR(INDEX(invoice[میزان سفارش],MATCH($C12,invoice[شماره پیش فاکتور],0)),"")</f>
        <v>500000</v>
      </c>
      <c r="I12" s="61" t="str">
        <f>IFERROR(INDEX(invoice[نوع سفارش],MATCH($C12,invoice[شماره پیش فاکتور],0)),"")</f>
        <v>عادی</v>
      </c>
      <c r="J12" s="99">
        <f>IFERROR(INDEX(invoice[فی],MATCH($C12,invoice[شماره پیش فاکتور],0)),"")</f>
        <v>115372</v>
      </c>
      <c r="K12" s="96">
        <f>IF(INDEX(Calc!$C$5:$C$40,Dashboard!$B12,1)&lt;&gt;"",INDEX(Calc!$C$5:$C$40,Dashboard!$B12,1),"")</f>
        <v>500000</v>
      </c>
      <c r="L12" s="105">
        <f t="shared" si="0"/>
        <v>1</v>
      </c>
      <c r="M12" s="59">
        <f t="shared" si="1"/>
        <v>0</v>
      </c>
      <c r="N12" s="113">
        <f>IFERROR(INDEX(invoice[مبلغ پیش دریافت],MATCH($C12,invoice[شماره پیش فاکتور],0)),"")</f>
        <v>31450000000</v>
      </c>
      <c r="O12" s="114">
        <f>SUMIF(bargiri[شماره سند مبنا],Dashboard!C12,bargiri[میزان استهلاک پیش دریافتی])</f>
        <v>31450000000</v>
      </c>
      <c r="P12" s="114">
        <f>SUMIF(bargiri[شماره سند مبنا],Dashboard!C12,bargiri[مانده مبلغ])</f>
        <v>32004600000</v>
      </c>
      <c r="Q12" s="115"/>
      <c r="R12" s="23"/>
      <c r="S12" s="23"/>
      <c r="T12" s="23"/>
      <c r="U12" s="23"/>
      <c r="V12" s="23"/>
      <c r="W12" s="102"/>
      <c r="X12" s="102"/>
      <c r="Y12" s="102"/>
      <c r="Z12" s="102"/>
      <c r="AA12" s="102"/>
      <c r="AB12" s="102"/>
      <c r="AC12" s="102"/>
    </row>
    <row r="13" spans="1:29" ht="15" customHeight="1" x14ac:dyDescent="0.25">
      <c r="A13" s="23"/>
      <c r="B13" s="60">
        <f t="shared" si="2"/>
        <v>4</v>
      </c>
      <c r="C13" s="93" t="str">
        <f>IF(INDEX(Calc!$A$5:$A$40,$B13,1)&lt;&gt;"",INDEX(Calc!$A$5:$A$40,$B13,1),"")</f>
        <v>پ/92-1404-2</v>
      </c>
      <c r="D13" s="63" t="str">
        <f>IFERROR(INDEX(invoice[تاریخ],MATCH($C13,invoice[شماره پیش فاکتور],0)),"")</f>
        <v>1404/10/02</v>
      </c>
      <c r="E13" s="95" t="str">
        <f>IFERROR(INDEX(invoice[تاریخ مجوز بهره برداری],MATCH($C13,invoice[شماره پیش فاکتور],0)),"")</f>
        <v>1404/10/02</v>
      </c>
      <c r="F13" s="95">
        <f>IFERROR(INDEX(invoice[تاریخ انقضا],MATCH($C13,invoice[شماره پیش فاکتور],0)),"")</f>
        <v>46422</v>
      </c>
      <c r="G13" s="95" t="str">
        <f>IFERROR(INDEX(invoice[نوع شرکت],MATCH($C13,invoice[شماره پیش فاکتور],0)),"")</f>
        <v>تولید کننده</v>
      </c>
      <c r="H13" s="95">
        <f>IFERROR(INDEX(invoice[میزان سفارش],MATCH($C13,invoice[شماره پیش فاکتور],0)),"")</f>
        <v>500000</v>
      </c>
      <c r="I13" s="95" t="str">
        <f>IFERROR(INDEX(invoice[نوع سفارش],MATCH($C13,invoice[شماره پیش فاکتور],0)),"")</f>
        <v>عادی</v>
      </c>
      <c r="J13" s="98">
        <f>IFERROR(INDEX(invoice[فی],MATCH($C13,invoice[شماره پیش فاکتور],0)),"")</f>
        <v>115372</v>
      </c>
      <c r="K13" s="95">
        <f>IF(INDEX(Calc!$C$5:$C$40,Dashboard!$B13,1)&lt;&gt;"",INDEX(Calc!$C$5:$C$40,Dashboard!$B13,1),"")</f>
        <v>500000</v>
      </c>
      <c r="L13" s="95">
        <f t="shared" si="0"/>
        <v>1</v>
      </c>
      <c r="M13" s="119">
        <f t="shared" si="1"/>
        <v>0</v>
      </c>
      <c r="N13" s="110">
        <f>IFERROR(INDEX(invoice[مبلغ پیش دریافت],MATCH($C13,invoice[شماره پیش فاکتور],0)),"")</f>
        <v>31450000000</v>
      </c>
      <c r="O13" s="111">
        <f>SUMIF(bargiri[شماره سند مبنا],Dashboard!C13,bargiri[میزان استهلاک پیش دریافتی])</f>
        <v>31450000000</v>
      </c>
      <c r="P13" s="111">
        <f>SUMIF(bargiri[شماره سند مبنا],Dashboard!C13,bargiri[مانده مبلغ])</f>
        <v>32004600000</v>
      </c>
      <c r="Q13" s="112"/>
      <c r="R13" s="23"/>
      <c r="S13" s="23"/>
      <c r="T13" s="23"/>
      <c r="U13" s="23"/>
      <c r="V13" s="23"/>
      <c r="W13" s="102"/>
      <c r="X13" s="102"/>
      <c r="Y13" s="102"/>
      <c r="Z13" s="102"/>
      <c r="AA13" s="102"/>
      <c r="AB13" s="102"/>
      <c r="AC13" s="102"/>
    </row>
    <row r="14" spans="1:29" ht="15" customHeight="1" x14ac:dyDescent="0.25">
      <c r="A14" s="23"/>
      <c r="B14" s="57">
        <f t="shared" si="2"/>
        <v>5</v>
      </c>
      <c r="C14" s="92" t="str">
        <f>IF(INDEX(Calc!$A$5:$A$40,$B14,1)&lt;&gt;"",INDEX(Calc!$A$5:$A$40,$B14,1),"")</f>
        <v>پ/92-1404-3</v>
      </c>
      <c r="D14" s="61" t="str">
        <f>IFERROR(INDEX(invoice[تاریخ],MATCH($C14,invoice[شماره پیش فاکتور],0)),"")</f>
        <v>1404/10/02</v>
      </c>
      <c r="E14" s="61" t="str">
        <f>IFERROR(INDEX(invoice[تاریخ مجوز بهره برداری],MATCH($C14,invoice[شماره پیش فاکتور],0)),"")</f>
        <v>1404/10/02</v>
      </c>
      <c r="F14" s="62">
        <f>IFERROR(INDEX(invoice[تاریخ انقضا],MATCH($C14,invoice[شماره پیش فاکتور],0)),"")</f>
        <v>46101</v>
      </c>
      <c r="G14" s="62" t="str">
        <f>IFERROR(INDEX(invoice[نوع شرکت],MATCH($C14,invoice[شماره پیش فاکتور],0)),"")</f>
        <v>تولید کننده</v>
      </c>
      <c r="H14" s="58">
        <f>IFERROR(INDEX(invoice[میزان سفارش],MATCH($C14,invoice[شماره پیش فاکتور],0)),"")</f>
        <v>500000</v>
      </c>
      <c r="I14" s="61" t="str">
        <f>IFERROR(INDEX(invoice[نوع سفارش],MATCH($C14,invoice[شماره پیش فاکتور],0)),"")</f>
        <v>عادی</v>
      </c>
      <c r="J14" s="99">
        <f>IFERROR(INDEX(invoice[فی],MATCH($C14,invoice[شماره پیش فاکتور],0)),"")</f>
        <v>130266</v>
      </c>
      <c r="K14" s="96">
        <f>IF(INDEX(Calc!$C$5:$C$40,Dashboard!$B14,1)&lt;&gt;"",INDEX(Calc!$C$5:$C$40,Dashboard!$B14,1),"")</f>
        <v>500000</v>
      </c>
      <c r="L14" s="105">
        <f t="shared" si="0"/>
        <v>1</v>
      </c>
      <c r="M14" s="59">
        <f t="shared" si="1"/>
        <v>0</v>
      </c>
      <c r="N14" s="113">
        <f>IFERROR(INDEX(invoice[مبلغ پیش دریافت],MATCH($C14,invoice[شماره پیش فاکتور],0)),"")</f>
        <v>31450000000</v>
      </c>
      <c r="O14" s="114">
        <f>SUMIF(bargiri[شماره سند مبنا],Dashboard!C14,bargiri[میزان استهلاک پیش دریافتی])</f>
        <v>31450000000</v>
      </c>
      <c r="P14" s="114">
        <f>SUMIF(bargiri[شماره سند مبنا],Dashboard!C14,bargiri[مانده مبلغ])</f>
        <v>40196300000</v>
      </c>
      <c r="Q14" s="115"/>
      <c r="R14" s="23"/>
      <c r="S14" s="23"/>
      <c r="T14" s="23"/>
      <c r="U14" s="23"/>
      <c r="V14" s="23"/>
      <c r="W14" s="102"/>
      <c r="X14" s="102"/>
      <c r="Y14" s="102"/>
      <c r="Z14" s="102"/>
      <c r="AA14" s="102"/>
      <c r="AB14" s="102"/>
      <c r="AC14" s="102"/>
    </row>
    <row r="15" spans="1:29" ht="15" customHeight="1" x14ac:dyDescent="0.25">
      <c r="A15" s="23"/>
      <c r="B15" s="60">
        <f t="shared" si="2"/>
        <v>6</v>
      </c>
      <c r="C15" s="93" t="str">
        <f>IF(INDEX(Calc!$A$5:$A$40,$B15,1)&lt;&gt;"",INDEX(Calc!$A$5:$A$40,$B15,1),"")</f>
        <v>پ/92-1404-4</v>
      </c>
      <c r="D15" s="63" t="str">
        <f>IFERROR(INDEX(invoice[تاریخ],MATCH($C15,invoice[شماره پیش فاکتور],0)),"")</f>
        <v>1404/10/02</v>
      </c>
      <c r="E15" s="95" t="str">
        <f>IFERROR(INDEX(invoice[تاریخ مجوز بهره برداری],MATCH($C15,invoice[شماره پیش فاکتور],0)),"")</f>
        <v>1404/10/02</v>
      </c>
      <c r="F15" s="95">
        <f>IFERROR(INDEX(invoice[تاریخ انقضا],MATCH($C15,invoice[شماره پیش فاکتور],0)),"")</f>
        <v>46422</v>
      </c>
      <c r="G15" s="95" t="str">
        <f>IFERROR(INDEX(invoice[نوع شرکت],MATCH($C15,invoice[شماره پیش فاکتور],0)),"")</f>
        <v>تولید کننده</v>
      </c>
      <c r="H15" s="95">
        <f>IFERROR(INDEX(invoice[میزان سفارش],MATCH($C15,invoice[شماره پیش فاکتور],0)),"")</f>
        <v>500000</v>
      </c>
      <c r="I15" s="95" t="str">
        <f>IFERROR(INDEX(invoice[نوع سفارش],MATCH($C15,invoice[شماره پیش فاکتور],0)),"")</f>
        <v>عادی</v>
      </c>
      <c r="J15" s="98">
        <f>IFERROR(INDEX(invoice[فی],MATCH($C15,invoice[شماره پیش فاکتور],0)),"")</f>
        <v>127675</v>
      </c>
      <c r="K15" s="95">
        <f>IF(INDEX(Calc!$C$5:$C$40,Dashboard!$B15,1)&lt;&gt;"",INDEX(Calc!$C$5:$C$40,Dashboard!$B15,1),"")</f>
        <v>497150</v>
      </c>
      <c r="L15" s="104">
        <f t="shared" si="0"/>
        <v>0.99429999999999996</v>
      </c>
      <c r="M15" s="119">
        <f t="shared" si="1"/>
        <v>2850</v>
      </c>
      <c r="N15" s="110">
        <f>IFERROR(INDEX(invoice[مبلغ پیش دریافت],MATCH($C15,invoice[شماره پیش فاکتور],0)),"")</f>
        <v>31450000000</v>
      </c>
      <c r="O15" s="111">
        <f>SUMIF(bargiri[شماره سند مبنا],Dashboard!C15,bargiri[میزان استهلاک پیش دریافتی])</f>
        <v>31450000000</v>
      </c>
      <c r="P15" s="111">
        <f>SUMIF(bargiri[شماره سند مبنا],Dashboard!C15,bargiri[مانده مبلغ])</f>
        <v>39484050000</v>
      </c>
      <c r="Q15" s="112"/>
      <c r="R15" s="23"/>
      <c r="S15" s="23"/>
      <c r="T15" s="23"/>
      <c r="U15" s="23"/>
      <c r="V15" s="23"/>
      <c r="W15" s="102"/>
      <c r="X15" s="102"/>
      <c r="Y15" s="102"/>
      <c r="Z15" s="102"/>
      <c r="AA15" s="102"/>
      <c r="AB15" s="102"/>
      <c r="AC15" s="102"/>
    </row>
    <row r="16" spans="1:29" ht="15" customHeight="1" x14ac:dyDescent="0.25">
      <c r="A16" s="23"/>
      <c r="B16" s="57">
        <f t="shared" si="2"/>
        <v>7</v>
      </c>
      <c r="C16" s="92" t="str">
        <f>IF(INDEX(Calc!$A$5:$A$40,$B16,1)&lt;&gt;"",INDEX(Calc!$A$5:$A$40,$B16,1),"")</f>
        <v/>
      </c>
      <c r="D16" s="61" t="str">
        <f>IFERROR(INDEX(invoice[تاریخ],MATCH($C16,invoice[شماره پیش فاکتور],0)),"")</f>
        <v/>
      </c>
      <c r="E16" s="61" t="str">
        <f>IFERROR(INDEX(invoice[تاریخ مجوز بهره برداری],MATCH($C16,invoice[شماره پیش فاکتور],0)),"")</f>
        <v/>
      </c>
      <c r="F16" s="62" t="str">
        <f>IFERROR(INDEX(invoice[تاریخ انقضا],MATCH($C16,invoice[شماره پیش فاکتور],0)),"")</f>
        <v/>
      </c>
      <c r="G16" s="62" t="str">
        <f>IFERROR(INDEX(invoice[نوع شرکت],MATCH($C16,invoice[شماره پیش فاکتور],0)),"")</f>
        <v/>
      </c>
      <c r="H16" s="58" t="str">
        <f>IFERROR(INDEX(invoice[میزان سفارش],MATCH($C16,invoice[شماره پیش فاکتور],0)),"")</f>
        <v/>
      </c>
      <c r="I16" s="61" t="str">
        <f>IFERROR(INDEX(invoice[نوع سفارش],MATCH($C16,invoice[شماره پیش فاکتور],0)),"")</f>
        <v/>
      </c>
      <c r="J16" s="99" t="str">
        <f>IFERROR(INDEX(invoice[فی],MATCH($C16,invoice[شماره پیش فاکتور],0)),"")</f>
        <v/>
      </c>
      <c r="K16" s="96" t="str">
        <f>IF(INDEX(Calc!$C$5:$C$40,Dashboard!$B16,1)&lt;&gt;"",INDEX(Calc!$C$5:$C$40,Dashboard!$B16,1),"")</f>
        <v/>
      </c>
      <c r="L16" s="105" t="str">
        <f t="shared" si="0"/>
        <v/>
      </c>
      <c r="M16" s="59" t="str">
        <f t="shared" si="1"/>
        <v/>
      </c>
      <c r="N16" s="113" t="str">
        <f>IFERROR(INDEX(invoice[مبلغ پیش دریافت],MATCH($C16,invoice[شماره پیش فاکتور],0)),"")</f>
        <v/>
      </c>
      <c r="O16" s="114">
        <f>SUMIF(bargiri[شماره سند مبنا],Dashboard!C16,bargiri[میزان استهلاک پیش دریافتی])</f>
        <v>0</v>
      </c>
      <c r="P16" s="114">
        <f>SUMIF(bargiri[شماره سند مبنا],Dashboard!C16,bargiri[مانده مبلغ])</f>
        <v>0</v>
      </c>
      <c r="Q16" s="115"/>
      <c r="R16" s="23"/>
      <c r="S16" s="23"/>
      <c r="T16" s="23"/>
      <c r="U16" s="23"/>
      <c r="V16" s="23"/>
      <c r="W16" s="102"/>
      <c r="X16" s="102"/>
      <c r="Y16" s="102"/>
      <c r="Z16" s="102"/>
      <c r="AA16" s="102"/>
      <c r="AB16" s="102"/>
      <c r="AC16" s="102"/>
    </row>
    <row r="17" spans="1:29" ht="15" customHeight="1" thickBot="1" x14ac:dyDescent="0.3">
      <c r="A17" s="23"/>
      <c r="B17" s="64">
        <f t="shared" si="2"/>
        <v>8</v>
      </c>
      <c r="C17" s="94" t="str">
        <f>IF(INDEX(Calc!$A$5:$A$40,$B17,1)&lt;&gt;"",INDEX(Calc!$A$5:$A$40,$B17,1),"")</f>
        <v/>
      </c>
      <c r="D17" s="65" t="str">
        <f>IFERROR(INDEX(invoice[تاریخ],MATCH($C17,invoice[شماره پیش فاکتور],0)),"")</f>
        <v/>
      </c>
      <c r="E17" s="97" t="str">
        <f>IFERROR(INDEX(invoice[تاریخ مجوز بهره برداری],MATCH($C17,invoice[شماره پیش فاکتور],0)),"")</f>
        <v/>
      </c>
      <c r="F17" s="97" t="str">
        <f>IFERROR(INDEX(invoice[تاریخ انقضا],MATCH($C17,invoice[شماره پیش فاکتور],0)),"")</f>
        <v/>
      </c>
      <c r="G17" s="97" t="str">
        <f>IFERROR(INDEX(invoice[نوع شرکت],MATCH($C17,invoice[شماره پیش فاکتور],0)),"")</f>
        <v/>
      </c>
      <c r="H17" s="97" t="str">
        <f>IFERROR(INDEX(invoice[میزان سفارش],MATCH($C17,invoice[شماره پیش فاکتور],0)),"")</f>
        <v/>
      </c>
      <c r="I17" s="97" t="str">
        <f>IFERROR(INDEX(invoice[نوع سفارش],MATCH($C17,invoice[شماره پیش فاکتور],0)),"")</f>
        <v/>
      </c>
      <c r="J17" s="100" t="str">
        <f>IFERROR(INDEX(invoice[فی],MATCH($C17,invoice[شماره پیش فاکتور],0)),"")</f>
        <v/>
      </c>
      <c r="K17" s="97" t="str">
        <f>IF(INDEX(Calc!$C$5:$C$40,Dashboard!$B17,1)&lt;&gt;"",INDEX(Calc!$C$5:$C$40,Dashboard!$B17,1),"")</f>
        <v/>
      </c>
      <c r="L17" s="106" t="str">
        <f t="shared" si="0"/>
        <v/>
      </c>
      <c r="M17" s="120" t="str">
        <f t="shared" si="1"/>
        <v/>
      </c>
      <c r="N17" s="116" t="str">
        <f>IFERROR(INDEX(invoice[مبلغ پیش دریافت],MATCH($C17,invoice[شماره پیش فاکتور],0)),"")</f>
        <v/>
      </c>
      <c r="O17" s="117">
        <f>SUMIF(bargiri[شماره سند مبنا],Dashboard!C17,bargiri[میزان استهلاک پیش دریافتی])</f>
        <v>0</v>
      </c>
      <c r="P17" s="117">
        <f>SUMIF(bargiri[شماره سند مبنا],Dashboard!C17,bargiri[مانده مبلغ])</f>
        <v>0</v>
      </c>
      <c r="Q17" s="118"/>
      <c r="R17" s="23"/>
      <c r="S17" s="23"/>
      <c r="T17" s="23"/>
      <c r="U17" s="23"/>
      <c r="V17" s="23"/>
      <c r="W17" s="102"/>
      <c r="X17" s="102"/>
      <c r="Y17" s="102"/>
      <c r="Z17" s="102"/>
      <c r="AA17" s="102"/>
      <c r="AB17" s="102"/>
      <c r="AC17" s="102"/>
    </row>
    <row r="18" spans="1:29" x14ac:dyDescent="0.25">
      <c r="A18" s="23"/>
      <c r="B18" s="23"/>
      <c r="C18" s="23"/>
      <c r="D18" s="23"/>
      <c r="E18" s="23"/>
      <c r="F18" s="23"/>
      <c r="G18" s="23"/>
      <c r="H18" s="23"/>
      <c r="I18" s="23"/>
      <c r="J18" s="23"/>
      <c r="K18" s="23"/>
      <c r="L18" s="23"/>
      <c r="M18" s="23"/>
      <c r="N18" s="23"/>
      <c r="O18" s="23"/>
      <c r="P18" s="23"/>
      <c r="Q18" s="23"/>
      <c r="R18" s="23"/>
      <c r="S18" s="23"/>
      <c r="T18" s="23"/>
      <c r="U18" s="23"/>
      <c r="V18" s="23"/>
      <c r="W18" s="102"/>
      <c r="X18" s="102"/>
      <c r="Y18" s="102"/>
      <c r="Z18" s="102"/>
      <c r="AA18" s="102"/>
      <c r="AB18" s="102"/>
      <c r="AC18" s="102"/>
    </row>
    <row r="19" spans="1:29" ht="11.4" customHeight="1" x14ac:dyDescent="0.25">
      <c r="A19" s="23"/>
      <c r="B19" s="23"/>
      <c r="C19" s="23"/>
      <c r="D19" s="23"/>
      <c r="E19" s="23"/>
      <c r="F19" s="23"/>
      <c r="G19" s="23"/>
      <c r="H19" s="23"/>
      <c r="I19" s="23"/>
      <c r="J19" s="23"/>
      <c r="K19" s="23"/>
      <c r="L19" s="23"/>
      <c r="M19" s="23"/>
      <c r="N19" s="23"/>
      <c r="O19" s="23"/>
      <c r="P19" s="23"/>
      <c r="Q19" s="23"/>
      <c r="R19" s="23"/>
      <c r="S19" s="23"/>
      <c r="T19" s="23"/>
      <c r="U19" s="23"/>
      <c r="V19" s="23"/>
      <c r="W19" s="102"/>
      <c r="X19" s="102"/>
      <c r="Y19" s="102"/>
      <c r="Z19" s="102"/>
      <c r="AA19" s="102"/>
      <c r="AB19" s="102"/>
      <c r="AC19" s="102"/>
    </row>
    <row r="20" spans="1:29" x14ac:dyDescent="0.25">
      <c r="A20" s="23"/>
      <c r="B20" s="23"/>
      <c r="C20" s="23"/>
      <c r="D20" s="23"/>
      <c r="E20" s="23"/>
      <c r="F20" s="23"/>
      <c r="G20" s="23"/>
      <c r="H20" s="23"/>
      <c r="I20" s="23"/>
      <c r="J20" s="23"/>
      <c r="K20" s="23"/>
      <c r="L20" s="23"/>
      <c r="M20" s="23"/>
      <c r="N20" s="23"/>
      <c r="O20" s="23"/>
      <c r="P20" s="23"/>
      <c r="Q20" s="23"/>
      <c r="R20" s="23"/>
      <c r="S20" s="23"/>
      <c r="T20" s="23"/>
      <c r="U20" s="23"/>
      <c r="V20" s="23"/>
      <c r="W20" s="102"/>
      <c r="X20" s="102"/>
      <c r="Y20" s="102"/>
      <c r="Z20" s="102"/>
      <c r="AA20" s="102"/>
      <c r="AB20" s="102"/>
      <c r="AC20" s="102"/>
    </row>
    <row r="21" spans="1:29" ht="14.4" thickBot="1" x14ac:dyDescent="0.3">
      <c r="A21" s="23"/>
      <c r="B21" s="23"/>
      <c r="C21" s="23"/>
      <c r="D21" s="23"/>
      <c r="E21" s="23"/>
      <c r="F21" s="23"/>
      <c r="G21" s="23"/>
      <c r="H21" s="23"/>
      <c r="I21" s="23"/>
      <c r="J21" s="23"/>
      <c r="K21" s="23"/>
      <c r="L21" s="23"/>
      <c r="M21" s="23"/>
      <c r="N21" s="23"/>
      <c r="O21" s="23"/>
      <c r="P21" s="23"/>
      <c r="Q21" s="23"/>
      <c r="R21" s="23"/>
      <c r="S21" s="23"/>
      <c r="T21" s="23"/>
      <c r="U21" s="23"/>
      <c r="V21" s="23"/>
      <c r="W21" s="102"/>
      <c r="X21" s="102"/>
      <c r="Y21" s="102"/>
      <c r="Z21" s="102"/>
      <c r="AA21" s="102"/>
      <c r="AB21" s="102"/>
      <c r="AC21" s="102"/>
    </row>
    <row r="22" spans="1:29" ht="17.399999999999999" x14ac:dyDescent="0.25">
      <c r="A22" s="23"/>
      <c r="B22" s="70" t="s">
        <v>0</v>
      </c>
      <c r="C22" s="71" t="s">
        <v>587</v>
      </c>
      <c r="D22" s="71" t="s">
        <v>1</v>
      </c>
      <c r="E22" s="103" t="s">
        <v>632</v>
      </c>
      <c r="F22" s="122" t="s">
        <v>643</v>
      </c>
      <c r="G22" s="121" t="s">
        <v>633</v>
      </c>
      <c r="H22" s="72" t="s">
        <v>596</v>
      </c>
      <c r="I22" s="123" t="s">
        <v>629</v>
      </c>
      <c r="J22" s="68" t="s">
        <v>9</v>
      </c>
      <c r="K22" s="68" t="s">
        <v>10</v>
      </c>
      <c r="L22" s="68" t="s">
        <v>11</v>
      </c>
      <c r="M22" s="171" t="s">
        <v>12</v>
      </c>
      <c r="N22" s="172"/>
      <c r="O22" s="172"/>
      <c r="P22" s="172"/>
      <c r="Q22" s="173"/>
      <c r="R22" s="23"/>
      <c r="S22" s="23"/>
      <c r="T22" s="23"/>
      <c r="U22" s="23"/>
      <c r="V22" s="23"/>
      <c r="W22" s="102"/>
      <c r="X22" s="102"/>
      <c r="Y22" s="102"/>
      <c r="Z22" s="102"/>
      <c r="AA22" s="102"/>
      <c r="AB22" s="102"/>
      <c r="AC22" s="102"/>
    </row>
    <row r="23" spans="1:29" ht="18.600000000000001" x14ac:dyDescent="0.25">
      <c r="A23" s="23"/>
      <c r="B23" s="57">
        <v>1</v>
      </c>
      <c r="C23" s="61">
        <f>IF(INDEX(Calc!$X$6:$X$50,$B23,1)&lt;&gt;"",INDEX(Calc!$X$6:$X$50,$B23,1),"")</f>
        <v>16</v>
      </c>
      <c r="D23" s="61" t="str">
        <f>IFERROR(INDEX(bargiri[تاریخ حواله],MATCH($C23,bargiri[شماره حواله],0)),"")</f>
        <v>1405/01/31</v>
      </c>
      <c r="E23" s="58">
        <f>IFERROR(INDEX(bargiri[مقدار],MATCH($C23,bargiri[شماره حواله],0)),"")</f>
        <v>20990</v>
      </c>
      <c r="F23" s="59">
        <f>IFERROR(INDEX(bargiri[فی],MATCH($C23,bargiri[شماره حواله],0)),"")</f>
        <v>128971</v>
      </c>
      <c r="G23" s="66">
        <f>IFERROR(INDEX(bargiri[مبلغ خالص],MATCH($C23,bargiri[شماره حواله],0)),"")</f>
        <v>2977811419</v>
      </c>
      <c r="H23" s="58">
        <f>IFERROR(INDEX(bargiri[میزان استهلاک پیش دریافتی],MATCH($C23,bargiri[شماره حواله],0)),"")</f>
        <v>1320271000</v>
      </c>
      <c r="I23" s="59">
        <f>IFERROR(INDEX(bargiri[مانده مبلغ],MATCH($C23,bargiri[شماره حواله],0)),"")</f>
        <v>1657540419</v>
      </c>
      <c r="J23" s="66" t="str">
        <f>IFERROR(INDEX(bargiri[تاریخ واریزی],MATCH($C23,bargiri[شماره حواله],0)),"")</f>
        <v/>
      </c>
      <c r="K23" s="58" t="str">
        <f>IFERROR(INDEX(bargiri[مبلغ واریزی],MATCH($C23,bargiri[شماره حواله],0)),"")</f>
        <v/>
      </c>
      <c r="L23" s="58">
        <f>IFERROR(INDEX(bargiri[مانده حساب باسکول],MATCH($C23,bargiri[شماره حواله],0)),"")</f>
        <v>1657540419</v>
      </c>
      <c r="M23" s="165" t="str">
        <f>IFERROR(INDEX(bargiri[توضیحات],MATCH($C23,bargiri[شماره حواله],0)),"")</f>
        <v/>
      </c>
      <c r="N23" s="165"/>
      <c r="O23" s="165"/>
      <c r="P23" s="165"/>
      <c r="Q23" s="166"/>
      <c r="R23" s="23"/>
      <c r="S23" s="23"/>
      <c r="T23" s="23"/>
      <c r="U23" s="23"/>
      <c r="V23" s="23"/>
      <c r="W23" s="102"/>
      <c r="X23" s="102"/>
      <c r="Y23" s="102"/>
      <c r="Z23" s="102"/>
      <c r="AA23" s="102"/>
      <c r="AB23" s="102"/>
      <c r="AC23" s="102"/>
    </row>
    <row r="24" spans="1:29" ht="18.600000000000001" x14ac:dyDescent="0.25">
      <c r="A24" s="23"/>
      <c r="B24" s="60">
        <f>B23+1</f>
        <v>2</v>
      </c>
      <c r="C24" s="63">
        <f>IF(INDEX(Calc!$X$6:$X$50,$B24,1)&lt;&gt;"",INDEX(Calc!$X$6:$X$50,$B24,1),"")</f>
        <v>17</v>
      </c>
      <c r="D24" s="63" t="str">
        <f>IFERROR(INDEX(bargiri[تاریخ حواله],MATCH($C24,bargiri[شماره حواله],0)),"")</f>
        <v>1405/01/31</v>
      </c>
      <c r="E24" s="95">
        <f>IFERROR(INDEX(bargiri[مقدار],MATCH($C24,bargiri[شماره حواله],0)),"")</f>
        <v>21010</v>
      </c>
      <c r="F24" s="119">
        <f>IFERROR(INDEX(bargiri[فی],MATCH($C24,bargiri[شماره حواله],0)),"")</f>
        <v>128971</v>
      </c>
      <c r="G24" s="98">
        <f>IFERROR(INDEX(bargiri[مبلغ خالص],MATCH($C24,bargiri[شماره حواله],0)),"")</f>
        <v>2980648781</v>
      </c>
      <c r="H24" s="95">
        <f>IFERROR(INDEX(bargiri[میزان استهلاک پیش دریافتی],MATCH($C24,bargiri[شماره حواله],0)),"")</f>
        <v>1321529000</v>
      </c>
      <c r="I24" s="119">
        <f>IFERROR(INDEX(bargiri[مانده مبلغ],MATCH($C24,bargiri[شماره حواله],0)),"")</f>
        <v>1659119781</v>
      </c>
      <c r="J24" s="98" t="str">
        <f>IFERROR(INDEX(bargiri[تاریخ واریزی],MATCH($C24,bargiri[شماره حواله],0)),"")</f>
        <v/>
      </c>
      <c r="K24" s="95" t="str">
        <f>IFERROR(INDEX(bargiri[مبلغ واریزی],MATCH($C24,bargiri[شماره حواله],0)),"")</f>
        <v/>
      </c>
      <c r="L24" s="95">
        <f>IFERROR(INDEX(bargiri[مانده حساب باسکول],MATCH($C24,bargiri[شماره حواله],0)),"")</f>
        <v>1659119781</v>
      </c>
      <c r="M24" s="167" t="str">
        <f>IFERROR(INDEX(bargiri[توضیحات],MATCH($C24,bargiri[شماره حواله],0)),"")</f>
        <v/>
      </c>
      <c r="N24" s="167"/>
      <c r="O24" s="167"/>
      <c r="P24" s="167"/>
      <c r="Q24" s="168"/>
      <c r="R24" s="23"/>
      <c r="S24" s="23"/>
      <c r="T24" s="23"/>
      <c r="U24" s="23"/>
      <c r="V24" s="23"/>
      <c r="W24" s="102"/>
      <c r="X24" s="102"/>
      <c r="Y24" s="102"/>
      <c r="Z24" s="102"/>
      <c r="AA24" s="102"/>
      <c r="AB24" s="102"/>
      <c r="AC24" s="102"/>
    </row>
    <row r="25" spans="1:29" ht="18.600000000000001" x14ac:dyDescent="0.25">
      <c r="A25" s="23"/>
      <c r="B25" s="57">
        <f t="shared" ref="B25:B30" si="3">B24+1</f>
        <v>3</v>
      </c>
      <c r="C25" s="61">
        <f>IF(INDEX(Calc!$X$6:$X$50,$B25,1)&lt;&gt;"",INDEX(Calc!$X$6:$X$50,$B25,1),"")</f>
        <v>18</v>
      </c>
      <c r="D25" s="61" t="str">
        <f>IFERROR(INDEX(bargiri[تاریخ حواله],MATCH($C25,bargiri[شماره حواله],0)),"")</f>
        <v>1405/02/02</v>
      </c>
      <c r="E25" s="58">
        <f>IFERROR(INDEX(bargiri[مقدار],MATCH($C25,bargiri[شماره حواله],0)),"")</f>
        <v>20990</v>
      </c>
      <c r="F25" s="59">
        <f>IFERROR(INDEX(bargiri[فی],MATCH($C25,bargiri[شماره حواله],0)),"")</f>
        <v>128971</v>
      </c>
      <c r="G25" s="66">
        <f>IFERROR(INDEX(bargiri[مبلغ خالص],MATCH($C25,bargiri[شماره حواله],0)),"")</f>
        <v>2977811419</v>
      </c>
      <c r="H25" s="58">
        <f>IFERROR(INDEX(bargiri[میزان استهلاک پیش دریافتی],MATCH($C25,bargiri[شماره حواله],0)),"")</f>
        <v>1320271000</v>
      </c>
      <c r="I25" s="59">
        <f>IFERROR(INDEX(bargiri[مانده مبلغ],MATCH($C25,bargiri[شماره حواله],0)),"")</f>
        <v>1657540419</v>
      </c>
      <c r="J25" s="66" t="str">
        <f>IFERROR(INDEX(bargiri[تاریخ واریزی],MATCH($C25,bargiri[شماره حواله],0)),"")</f>
        <v/>
      </c>
      <c r="K25" s="58" t="str">
        <f>IFERROR(INDEX(bargiri[مبلغ واریزی],MATCH($C25,bargiri[شماره حواله],0)),"")</f>
        <v/>
      </c>
      <c r="L25" s="58">
        <f>IFERROR(INDEX(bargiri[مانده حساب باسکول],MATCH($C25,bargiri[شماره حواله],0)),"")</f>
        <v>1657540419</v>
      </c>
      <c r="M25" s="165" t="str">
        <f>IFERROR(INDEX(bargiri[توضیحات],MATCH($C25,bargiri[شماره حواله],0)),"")</f>
        <v/>
      </c>
      <c r="N25" s="165"/>
      <c r="O25" s="165"/>
      <c r="P25" s="165"/>
      <c r="Q25" s="166"/>
      <c r="R25" s="23"/>
      <c r="S25" s="23"/>
      <c r="T25" s="23"/>
      <c r="U25" s="23"/>
      <c r="V25" s="23"/>
      <c r="W25" s="102"/>
      <c r="X25" s="102"/>
      <c r="Y25" s="102"/>
      <c r="Z25" s="102"/>
      <c r="AA25" s="102"/>
      <c r="AB25" s="102"/>
      <c r="AC25" s="102"/>
    </row>
    <row r="26" spans="1:29" ht="18.600000000000001" x14ac:dyDescent="0.25">
      <c r="A26" s="23"/>
      <c r="B26" s="60">
        <f t="shared" si="3"/>
        <v>4</v>
      </c>
      <c r="C26" s="63">
        <f>IF(INDEX(Calc!$X$6:$X$50,$B26,1)&lt;&gt;"",INDEX(Calc!$X$6:$X$50,$B26,1),"")</f>
        <v>19</v>
      </c>
      <c r="D26" s="63" t="str">
        <f>IFERROR(INDEX(bargiri[تاریخ حواله],MATCH($C26,bargiri[شماره حواله],0)),"")</f>
        <v>1405/02/02</v>
      </c>
      <c r="E26" s="95">
        <f>IFERROR(INDEX(bargiri[مقدار],MATCH($C26,bargiri[شماره حواله],0)),"")</f>
        <v>21100</v>
      </c>
      <c r="F26" s="119">
        <f>IFERROR(INDEX(bargiri[فی],MATCH($C26,bargiri[شماره حواله],0)),"")</f>
        <v>128971</v>
      </c>
      <c r="G26" s="98">
        <f>IFERROR(INDEX(bargiri[مبلغ خالص],MATCH($C26,bargiri[شماره حواله],0)),"")</f>
        <v>2993416910</v>
      </c>
      <c r="H26" s="95">
        <f>IFERROR(INDEX(bargiri[میزان استهلاک پیش دریافتی],MATCH($C26,bargiri[شماره حواله],0)),"")</f>
        <v>1327190000</v>
      </c>
      <c r="I26" s="119">
        <f>IFERROR(INDEX(bargiri[مانده مبلغ],MATCH($C26,bargiri[شماره حواله],0)),"")</f>
        <v>1666226910</v>
      </c>
      <c r="J26" s="98">
        <f>IFERROR(INDEX(bargiri[تاریخ واریزی],MATCH($C26,bargiri[شماره حواله],0)),"")</f>
        <v>0</v>
      </c>
      <c r="K26" s="95">
        <f>IFERROR(INDEX(bargiri[مبلغ واریزی],MATCH($C26,bargiri[شماره حواله],0)),"")</f>
        <v>0</v>
      </c>
      <c r="L26" s="95">
        <f>IFERROR(INDEX(bargiri[مانده حساب باسکول],MATCH($C26,bargiri[شماره حواله],0)),"")</f>
        <v>1666226910</v>
      </c>
      <c r="M26" s="167">
        <f>IFERROR(INDEX(bargiri[توضیحات],MATCH($C26,bargiri[شماره حواله],0)),"")</f>
        <v>0</v>
      </c>
      <c r="N26" s="167"/>
      <c r="O26" s="167"/>
      <c r="P26" s="167"/>
      <c r="Q26" s="168"/>
      <c r="R26" s="23"/>
      <c r="S26" s="23"/>
      <c r="T26" s="23"/>
      <c r="U26" s="23"/>
      <c r="V26" s="23"/>
      <c r="W26" s="102"/>
      <c r="X26" s="102"/>
      <c r="Y26" s="102"/>
      <c r="Z26" s="102"/>
      <c r="AA26" s="102"/>
      <c r="AB26" s="102"/>
      <c r="AC26" s="102"/>
    </row>
    <row r="27" spans="1:29" ht="18.600000000000001" x14ac:dyDescent="0.25">
      <c r="A27" s="23"/>
      <c r="B27" s="57">
        <f t="shared" si="3"/>
        <v>5</v>
      </c>
      <c r="C27" s="61">
        <f>IF(INDEX(Calc!$X$6:$X$50,$B27,1)&lt;&gt;"",INDEX(Calc!$X$6:$X$50,$B27,1),"")</f>
        <v>20</v>
      </c>
      <c r="D27" s="61" t="str">
        <f>IFERROR(INDEX(bargiri[تاریخ حواله],MATCH($C27,bargiri[شماره حواله],0)),"")</f>
        <v>1405/02/02</v>
      </c>
      <c r="E27" s="58">
        <f>IFERROR(INDEX(bargiri[مقدار],MATCH($C27,bargiri[شماره حواله],0)),"")</f>
        <v>21010</v>
      </c>
      <c r="F27" s="59">
        <f>IFERROR(INDEX(bargiri[فی],MATCH($C27,bargiri[شماره حواله],0)),"")</f>
        <v>128971</v>
      </c>
      <c r="G27" s="66">
        <f>IFERROR(INDEX(bargiri[مبلغ خالص],MATCH($C27,bargiri[شماره حواله],0)),"")</f>
        <v>2980648781</v>
      </c>
      <c r="H27" s="58">
        <f>IFERROR(INDEX(bargiri[میزان استهلاک پیش دریافتی],MATCH($C27,bargiri[شماره حواله],0)),"")</f>
        <v>1321529000</v>
      </c>
      <c r="I27" s="59">
        <f>IFERROR(INDEX(bargiri[مانده مبلغ],MATCH($C27,bargiri[شماره حواله],0)),"")</f>
        <v>1659119781</v>
      </c>
      <c r="J27" s="66" t="str">
        <f>IFERROR(INDEX(bargiri[تاریخ واریزی],MATCH($C27,bargiri[شماره حواله],0)),"")</f>
        <v/>
      </c>
      <c r="K27" s="58" t="str">
        <f>IFERROR(INDEX(bargiri[مبلغ واریزی],MATCH($C27,bargiri[شماره حواله],0)),"")</f>
        <v/>
      </c>
      <c r="L27" s="58">
        <f>IFERROR(INDEX(bargiri[مانده حساب باسکول],MATCH($C27,bargiri[شماره حواله],0)),"")</f>
        <v>1659119781</v>
      </c>
      <c r="M27" s="165" t="str">
        <f>IFERROR(INDEX(bargiri[توضیحات],MATCH($C27,bargiri[شماره حواله],0)),"")</f>
        <v/>
      </c>
      <c r="N27" s="165"/>
      <c r="O27" s="165"/>
      <c r="P27" s="165"/>
      <c r="Q27" s="166"/>
      <c r="R27" s="23"/>
      <c r="S27" s="23"/>
      <c r="T27" s="23"/>
      <c r="U27" s="23"/>
      <c r="V27" s="23"/>
      <c r="W27" s="102"/>
      <c r="X27" s="102"/>
      <c r="Y27" s="102"/>
      <c r="Z27" s="102"/>
      <c r="AA27" s="102"/>
      <c r="AB27" s="102"/>
      <c r="AC27" s="102"/>
    </row>
    <row r="28" spans="1:29" ht="18.600000000000001" x14ac:dyDescent="0.25">
      <c r="A28" s="23"/>
      <c r="B28" s="60">
        <f t="shared" si="3"/>
        <v>6</v>
      </c>
      <c r="C28" s="63">
        <f>IF(INDEX(Calc!$X$6:$X$50,$B28,1)&lt;&gt;"",INDEX(Calc!$X$6:$X$50,$B28,1),"")</f>
        <v>21</v>
      </c>
      <c r="D28" s="63" t="str">
        <f>IFERROR(INDEX(bargiri[تاریخ حواله],MATCH($C28,bargiri[شماره حواله],0)),"")</f>
        <v>1405/02/02</v>
      </c>
      <c r="E28" s="95">
        <f>IFERROR(INDEX(bargiri[مقدار],MATCH($C28,bargiri[شماره حواله],0)),"")</f>
        <v>20300</v>
      </c>
      <c r="F28" s="119">
        <f>IFERROR(INDEX(bargiri[فی],MATCH($C28,bargiri[شماره حواله],0)),"")</f>
        <v>128971</v>
      </c>
      <c r="G28" s="98">
        <f>IFERROR(INDEX(bargiri[مبلغ خالص],MATCH($C28,bargiri[شماره حواله],0)),"")</f>
        <v>2879922430</v>
      </c>
      <c r="H28" s="95">
        <f>IFERROR(INDEX(bargiri[میزان استهلاک پیش دریافتی],MATCH($C28,bargiri[شماره حواله],0)),"")</f>
        <v>1276870000</v>
      </c>
      <c r="I28" s="119">
        <f>IFERROR(INDEX(bargiri[مانده مبلغ],MATCH($C28,bargiri[شماره حواله],0)),"")</f>
        <v>1603052430</v>
      </c>
      <c r="J28" s="98" t="str">
        <f>IFERROR(INDEX(bargiri[تاریخ واریزی],MATCH($C28,bargiri[شماره حواله],0)),"")</f>
        <v>1404/03/01</v>
      </c>
      <c r="K28" s="95">
        <f>IFERROR(INDEX(bargiri[مبلغ واریزی],MATCH($C28,bargiri[شماره حواله],0)),"")</f>
        <v>1402850625</v>
      </c>
      <c r="L28" s="95">
        <f>IFERROR(INDEX(bargiri[مانده حساب باسکول],MATCH($C28,bargiri[شماره حواله],0)),"")</f>
        <v>200201805</v>
      </c>
      <c r="M28" s="167">
        <f>IFERROR(INDEX(bargiri[توضیحات],MATCH($C28,bargiri[شماره حواله],0)),"")</f>
        <v>0</v>
      </c>
      <c r="N28" s="167"/>
      <c r="O28" s="167"/>
      <c r="P28" s="167"/>
      <c r="Q28" s="168"/>
      <c r="R28" s="23"/>
      <c r="S28" s="23"/>
      <c r="T28" s="23"/>
      <c r="U28" s="23"/>
      <c r="V28" s="23"/>
      <c r="W28" s="102"/>
      <c r="X28" s="102"/>
      <c r="Y28" s="102"/>
      <c r="Z28" s="102"/>
      <c r="AA28" s="102"/>
      <c r="AB28" s="102"/>
      <c r="AC28" s="102"/>
    </row>
    <row r="29" spans="1:29" ht="18.600000000000001" x14ac:dyDescent="0.25">
      <c r="A29" s="23"/>
      <c r="B29" s="57">
        <f t="shared" si="3"/>
        <v>7</v>
      </c>
      <c r="C29" s="61">
        <f>IF(INDEX(Calc!$X$6:$X$50,$B29,1)&lt;&gt;"",INDEX(Calc!$X$6:$X$50,$B29,1),"")</f>
        <v>22</v>
      </c>
      <c r="D29" s="61" t="str">
        <f>IFERROR(INDEX(bargiri[تاریخ حواله],MATCH($C29,bargiri[شماره حواله],0)),"")</f>
        <v>1405/02/02</v>
      </c>
      <c r="E29" s="58">
        <f>IFERROR(INDEX(bargiri[مقدار],MATCH($C29,bargiri[شماره حواله],0)),"")</f>
        <v>21170</v>
      </c>
      <c r="F29" s="59">
        <f>IFERROR(INDEX(bargiri[فی],MATCH($C29,bargiri[شماره حواله],0)),"")</f>
        <v>128971</v>
      </c>
      <c r="G29" s="66">
        <f>IFERROR(INDEX(bargiri[مبلغ خالص],MATCH($C29,bargiri[شماره حواله],0)),"")</f>
        <v>3003347677</v>
      </c>
      <c r="H29" s="58">
        <f>IFERROR(INDEX(bargiri[میزان استهلاک پیش دریافتی],MATCH($C29,bargiri[شماره حواله],0)),"")</f>
        <v>1331593000</v>
      </c>
      <c r="I29" s="59">
        <f>IFERROR(INDEX(bargiri[مانده مبلغ],MATCH($C29,bargiri[شماره حواله],0)),"")</f>
        <v>1671754677</v>
      </c>
      <c r="J29" s="66" t="str">
        <f>IFERROR(INDEX(bargiri[تاریخ واریزی],MATCH($C29,bargiri[شماره حواله],0)),"")</f>
        <v>1404/01/11</v>
      </c>
      <c r="K29" s="58">
        <f>IFERROR(INDEX(bargiri[مبلغ واریزی],MATCH($C29,bargiri[شماره حواله],0)),"")</f>
        <v>1130500000</v>
      </c>
      <c r="L29" s="58">
        <f>IFERROR(INDEX(bargiri[مانده حساب باسکول],MATCH($C29,bargiri[شماره حواله],0)),"")</f>
        <v>541254677</v>
      </c>
      <c r="M29" s="165">
        <f>IFERROR(INDEX(bargiri[توضیحات],MATCH($C29,bargiri[شماره حواله],0)),"")</f>
        <v>0</v>
      </c>
      <c r="N29" s="165"/>
      <c r="O29" s="165"/>
      <c r="P29" s="165"/>
      <c r="Q29" s="166"/>
      <c r="R29" s="23"/>
      <c r="S29" s="23"/>
      <c r="T29" s="23"/>
      <c r="U29" s="23"/>
      <c r="V29" s="23"/>
      <c r="W29" s="102"/>
      <c r="X29" s="102"/>
      <c r="Y29" s="102"/>
      <c r="Z29" s="102"/>
      <c r="AA29" s="102"/>
      <c r="AB29" s="102"/>
      <c r="AC29" s="102"/>
    </row>
    <row r="30" spans="1:29" ht="19.2" thickBot="1" x14ac:dyDescent="0.3">
      <c r="A30" s="102"/>
      <c r="B30" s="124">
        <f t="shared" si="3"/>
        <v>8</v>
      </c>
      <c r="C30" s="65">
        <f>IF(INDEX(Calc!$X$6:$X$50,$B30,1)&lt;&gt;"",INDEX(Calc!$X$6:$X$50,$B30,1),"")</f>
        <v>23</v>
      </c>
      <c r="D30" s="65" t="str">
        <f>IFERROR(INDEX(bargiri[تاریخ حواله],MATCH($C30,bargiri[شماره حواله],0)),"")</f>
        <v>1405/02/06</v>
      </c>
      <c r="E30" s="97">
        <f>IFERROR(INDEX(bargiri[مقدار],MATCH($C30,bargiri[شماره حواله],0)),"")</f>
        <v>21090</v>
      </c>
      <c r="F30" s="120">
        <f>IFERROR(INDEX(bargiri[فی],MATCH($C30,bargiri[شماره حواله],0)),"")</f>
        <v>128971</v>
      </c>
      <c r="G30" s="100">
        <f>IFERROR(INDEX(bargiri[مبلغ خالص],MATCH($C30,bargiri[شماره حواله],0)),"")</f>
        <v>2991998229</v>
      </c>
      <c r="H30" s="97">
        <f>IFERROR(INDEX(bargiri[میزان استهلاک پیش دریافتی],MATCH($C30,bargiri[شماره حواله],0)),"")</f>
        <v>1326561000</v>
      </c>
      <c r="I30" s="120">
        <f>IFERROR(INDEX(bargiri[مانده مبلغ],MATCH($C30,bargiri[شماره حواله],0)),"")</f>
        <v>1665437229</v>
      </c>
      <c r="J30" s="100" t="str">
        <f>IFERROR(INDEX(bargiri[تاریخ واریزی],MATCH($C30,bargiri[شماره حواله],0)),"")</f>
        <v/>
      </c>
      <c r="K30" s="97" t="str">
        <f>IFERROR(INDEX(bargiri[مبلغ واریزی],MATCH($C30,bargiri[شماره حواله],0)),"")</f>
        <v/>
      </c>
      <c r="L30" s="97">
        <f>IFERROR(INDEX(bargiri[مانده حساب باسکول],MATCH($C30,bargiri[شماره حواله],0)),"")</f>
        <v>1665437229</v>
      </c>
      <c r="M30" s="169" t="str">
        <f>IFERROR(INDEX(bargiri[توضیحات],MATCH($C30,bargiri[شماره حواله],0)),"")</f>
        <v/>
      </c>
      <c r="N30" s="169"/>
      <c r="O30" s="169"/>
      <c r="P30" s="169"/>
      <c r="Q30" s="170"/>
      <c r="R30" s="102"/>
      <c r="S30" s="102"/>
      <c r="T30" s="102"/>
      <c r="U30" s="102"/>
      <c r="V30" s="102"/>
      <c r="W30" s="102"/>
      <c r="X30" s="102"/>
      <c r="Y30" s="102"/>
      <c r="Z30" s="102"/>
      <c r="AA30" s="102"/>
      <c r="AB30" s="102"/>
      <c r="AC30" s="102"/>
    </row>
    <row r="31" spans="1:29" x14ac:dyDescent="0.25">
      <c r="A31" s="102"/>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row>
    <row r="32" spans="1:29" x14ac:dyDescent="0.25">
      <c r="A32" s="102"/>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row>
    <row r="33" spans="1:29" x14ac:dyDescent="0.25">
      <c r="A33" s="102"/>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row>
    <row r="34" spans="1:29" x14ac:dyDescent="0.25">
      <c r="A34" s="102"/>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row>
    <row r="35" spans="1:29" x14ac:dyDescent="0.25">
      <c r="A35" s="102"/>
      <c r="B35" s="102"/>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row>
    <row r="36" spans="1:29" x14ac:dyDescent="0.25">
      <c r="A36" s="102"/>
      <c r="B36" s="102"/>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row>
    <row r="37" spans="1:29" x14ac:dyDescent="0.25">
      <c r="A37" s="102"/>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row>
    <row r="38" spans="1:29" x14ac:dyDescent="0.25">
      <c r="A38" s="102"/>
      <c r="B38" s="102"/>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row>
    <row r="39" spans="1:29" x14ac:dyDescent="0.25">
      <c r="A39" s="102"/>
      <c r="B39" s="102"/>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row>
    <row r="40" spans="1:29" x14ac:dyDescent="0.25">
      <c r="A40" s="102"/>
      <c r="B40" s="102"/>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row>
    <row r="41" spans="1:29" x14ac:dyDescent="0.25">
      <c r="A41" s="102"/>
      <c r="B41" s="102"/>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row>
    <row r="42" spans="1:29" x14ac:dyDescent="0.25">
      <c r="A42" s="102"/>
      <c r="B42" s="102"/>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row>
    <row r="43" spans="1:29" x14ac:dyDescent="0.25">
      <c r="A43" s="102"/>
      <c r="B43" s="102"/>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row>
    <row r="44" spans="1:29" x14ac:dyDescent="0.25">
      <c r="A44" s="102"/>
      <c r="B44" s="102"/>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row>
    <row r="45" spans="1:29" x14ac:dyDescent="0.25">
      <c r="A45" s="102"/>
      <c r="B45" s="102"/>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row>
    <row r="46" spans="1:29" x14ac:dyDescent="0.25">
      <c r="A46" s="102"/>
      <c r="B46" s="102"/>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row>
    <row r="47" spans="1:29" x14ac:dyDescent="0.25">
      <c r="A47" s="102"/>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row>
    <row r="48" spans="1:29" x14ac:dyDescent="0.25">
      <c r="A48" s="102"/>
      <c r="B48" s="102"/>
      <c r="C48" s="102"/>
      <c r="D48" s="102"/>
      <c r="E48" s="102"/>
      <c r="F48" s="102"/>
      <c r="G48" s="102"/>
      <c r="H48" s="102"/>
      <c r="I48" s="102"/>
      <c r="J48" s="102"/>
      <c r="K48" s="102"/>
      <c r="L48" s="102"/>
      <c r="M48" s="102"/>
      <c r="N48" s="102"/>
      <c r="O48" s="102"/>
      <c r="P48" s="102"/>
      <c r="Q48" s="102"/>
      <c r="R48" s="102"/>
      <c r="S48" s="102"/>
      <c r="T48" s="102"/>
      <c r="U48" s="102"/>
      <c r="V48" s="102"/>
    </row>
  </sheetData>
  <mergeCells count="9">
    <mergeCell ref="M27:Q27"/>
    <mergeCell ref="M28:Q28"/>
    <mergeCell ref="M29:Q29"/>
    <mergeCell ref="M30:Q30"/>
    <mergeCell ref="M22:Q22"/>
    <mergeCell ref="M23:Q23"/>
    <mergeCell ref="M24:Q24"/>
    <mergeCell ref="M25:Q25"/>
    <mergeCell ref="M26:Q26"/>
  </mergeCells>
  <conditionalFormatting sqref="L10 L16 L12 L14">
    <cfRule type="dataBar" priority="1">
      <dataBar>
        <cfvo type="num" val="0"/>
        <cfvo type="num" val="1"/>
        <color rgb="FF69FF69"/>
      </dataBar>
      <extLst>
        <ext xmlns:x14="http://schemas.microsoft.com/office/spreadsheetml/2009/9/main" uri="{B025F937-C7B1-47D3-B67F-A62EFF666E3E}">
          <x14:id>{3A63CEED-636F-4776-96D2-CEBD0E855788}</x14:id>
        </ext>
      </extLst>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Scroll Bar 1">
              <controlPr defaultSize="0" autoPict="0">
                <anchor moveWithCells="1">
                  <from>
                    <xdr:col>17</xdr:col>
                    <xdr:colOff>0</xdr:colOff>
                    <xdr:row>8</xdr:row>
                    <xdr:rowOff>0</xdr:rowOff>
                  </from>
                  <to>
                    <xdr:col>17</xdr:col>
                    <xdr:colOff>236220</xdr:colOff>
                    <xdr:row>16</xdr:row>
                    <xdr:rowOff>182880</xdr:rowOff>
                  </to>
                </anchor>
              </controlPr>
            </control>
          </mc:Choice>
        </mc:AlternateContent>
        <mc:AlternateContent xmlns:mc="http://schemas.openxmlformats.org/markup-compatibility/2006">
          <mc:Choice Requires="x14">
            <control shapeId="3129" r:id="rId5" name="Scroll Bar 57">
              <controlPr defaultSize="0" autoPict="0">
                <anchor moveWithCells="1">
                  <from>
                    <xdr:col>17</xdr:col>
                    <xdr:colOff>7620</xdr:colOff>
                    <xdr:row>21</xdr:row>
                    <xdr:rowOff>7620</xdr:rowOff>
                  </from>
                  <to>
                    <xdr:col>17</xdr:col>
                    <xdr:colOff>251460</xdr:colOff>
                    <xdr:row>29</xdr:row>
                    <xdr:rowOff>243840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dataBar" id="{3A63CEED-636F-4776-96D2-CEBD0E855788}">
            <x14:dataBar minLength="0" maxLength="100" gradient="0">
              <x14:cfvo type="num">
                <xm:f>0</xm:f>
              </x14:cfvo>
              <x14:cfvo type="num">
                <xm:f>1</xm:f>
              </x14:cfvo>
              <x14:negativeFillColor rgb="FFFF0000"/>
              <x14:axisColor rgb="FF000000"/>
            </x14:dataBar>
          </x14:cfRule>
          <xm:sqref>L10 L16 L12 L14</xm:sqref>
        </x14:conditionalFormatting>
      </x14:conditionalFormattings>
    </ext>
    <ext xmlns:x14="http://schemas.microsoft.com/office/spreadsheetml/2009/9/main" uri="{A8765BA9-456A-4dab-B4F3-ACF838C121DE}">
      <x14:slicerList>
        <x14:slicer r:id="rId6"/>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B63E2-9BA7-44B7-A530-3EA249B90E8D}">
  <dimension ref="A1:T191"/>
  <sheetViews>
    <sheetView rightToLeft="1" topLeftCell="A10" zoomScaleNormal="100" workbookViewId="0">
      <selection activeCell="F147" sqref="F147"/>
    </sheetView>
  </sheetViews>
  <sheetFormatPr defaultRowHeight="13.8" x14ac:dyDescent="0.25"/>
  <cols>
    <col min="1" max="1" width="15.796875" customWidth="1"/>
    <col min="2" max="2" width="32.69921875" bestFit="1" customWidth="1"/>
    <col min="3" max="3" width="9.69921875" bestFit="1" customWidth="1"/>
    <col min="4" max="4" width="15.296875" style="56" customWidth="1"/>
    <col min="5" max="5" width="10.59765625" customWidth="1"/>
    <col min="6" max="6" width="10.19921875" customWidth="1"/>
    <col min="7" max="7" width="10" customWidth="1"/>
    <col min="10" max="10" width="12.8984375" customWidth="1"/>
    <col min="11" max="11" width="11.09765625" customWidth="1"/>
    <col min="12" max="12" width="11.5" customWidth="1"/>
    <col min="13" max="13" width="15.69921875" customWidth="1"/>
    <col min="14" max="14" width="20.09765625" customWidth="1"/>
    <col min="19" max="19" width="13.09765625" bestFit="1" customWidth="1"/>
  </cols>
  <sheetData>
    <row r="1" spans="1:20" ht="18.600000000000001" x14ac:dyDescent="0.25">
      <c r="A1" s="84" t="s">
        <v>14</v>
      </c>
      <c r="B1" s="84" t="s">
        <v>13</v>
      </c>
      <c r="C1" s="84" t="s">
        <v>224</v>
      </c>
      <c r="D1" s="84" t="s">
        <v>225</v>
      </c>
      <c r="E1" s="84" t="s">
        <v>226</v>
      </c>
      <c r="F1" s="84" t="s">
        <v>227</v>
      </c>
      <c r="G1" s="84" t="s">
        <v>228</v>
      </c>
      <c r="H1" s="84" t="s">
        <v>229</v>
      </c>
      <c r="I1" s="84" t="s">
        <v>230</v>
      </c>
      <c r="J1" s="84" t="s">
        <v>231</v>
      </c>
      <c r="K1" s="84" t="s">
        <v>232</v>
      </c>
      <c r="L1" s="85" t="s">
        <v>597</v>
      </c>
      <c r="M1" s="80" t="s">
        <v>600</v>
      </c>
      <c r="N1" s="79" t="s">
        <v>598</v>
      </c>
      <c r="O1" s="143" t="s">
        <v>935</v>
      </c>
      <c r="P1" s="143" t="s">
        <v>936</v>
      </c>
      <c r="Q1" s="143" t="s">
        <v>937</v>
      </c>
      <c r="R1" s="143" t="s">
        <v>938</v>
      </c>
      <c r="S1" s="143" t="s">
        <v>939</v>
      </c>
      <c r="T1" s="143" t="s">
        <v>940</v>
      </c>
    </row>
    <row r="2" spans="1:20" ht="18.600000000000001" x14ac:dyDescent="0.25">
      <c r="A2" s="81" t="s">
        <v>107</v>
      </c>
      <c r="B2" s="81" t="s">
        <v>30</v>
      </c>
      <c r="C2" s="81" t="str">
        <f>VLOOKUP(invoice[[#This Row],[شماره پیش فاکتور]],[1]!invoice[[شماره پیش فاکتور]:[تاریخ]],3,0)</f>
        <v>1403/06/07</v>
      </c>
      <c r="D2" s="82" t="str">
        <f>VLOOKUP(invoice[[#This Row],[شماره پیش فاکتور]],'[1]لیست پیش فاکتور ها'!$A:$D,4,0)</f>
        <v>1403/12/04</v>
      </c>
      <c r="E2" s="2">
        <f>VLOOKUP(invoice[[#This Row],[شماره پیش فاکتور]],[1]!invoice[[شماره پیش فاکتور]:[میزان سفارش]],5,0)</f>
        <v>500000</v>
      </c>
      <c r="F2" s="2">
        <f>VLOOKUP(invoice[[#This Row],[شماره پیش فاکتور]],[1]!invoice[[شماره پیش فاکتور]:[فی]],6,0)</f>
        <v>70000</v>
      </c>
      <c r="G2" s="3" t="str">
        <f>CHOOSE(MID(invoice[[#This Row],[تاریخ]],6,2),"فروردین","اردیبهشت","خرداد","تیر","مرداد","شهریور","مهر","آبان","آذر","دی","بهمن","اسفند")</f>
        <v>شهریور</v>
      </c>
      <c r="H2" s="3">
        <f>_xlfn.NUMBERVALUE(MID(invoice[[#This Row],[تاریخ]],1,4))</f>
        <v>1403</v>
      </c>
      <c r="I2" s="3" t="str">
        <f>VLOOKUP(invoice[[#This Row],[شماره پیش فاکتور]],[1]!invoice[[شماره پیش فاکتور]:[نوع سفارش]],9,0)</f>
        <v>عادی</v>
      </c>
      <c r="J2" s="3" t="str">
        <f>VLOOKUP(invoice[[#This Row],[شماره پیش فاکتور]],[1]!invoice[[شماره پیش فاکتور]:[نوع شرکت]],10,0)</f>
        <v>تولید کننده</v>
      </c>
      <c r="K2" s="82">
        <v>46101</v>
      </c>
      <c r="L2" s="77">
        <v>0.1</v>
      </c>
      <c r="M2" s="78">
        <v>19250000000</v>
      </c>
      <c r="N2" s="78">
        <f>invoice[[#This Row],[مبلغ پیش دریافت]]/invoice[[#This Row],[میزان سفارش]]</f>
        <v>38500</v>
      </c>
      <c r="O2" s="144">
        <f>SUMIF([1]!bargiri[شماره پیش فاکتور],[1]!invoice[[#This Row],[شماره پیش فاکتور]],[1]!bargiri[میزان بارگیری شده])/[1]!invoice[[#This Row],[میزان سفارش]]</f>
        <v>1.00339</v>
      </c>
      <c r="P2" s="140" t="str">
        <f>VLOOKUP(invoice[[#This Row],[شماره پیش فاکتور]],[1]!invoice[[شماره پیش فاکتور]:[نوع سفارش]],9,0)</f>
        <v>عادی</v>
      </c>
      <c r="Q2" s="145">
        <f>SUMIFS('[1]جزییات بارگیری'!D:D,'[1]جزییات بارگیری'!C:C,[1]!invoice[[#This Row],[شماره پیش فاکتور]])</f>
        <v>501695</v>
      </c>
      <c r="R2" s="140">
        <f>IF([1]!invoice[[#This Row],[میزان سفارش]]-[1]!invoice[[#This Row],[میزان حمل شده ]]&lt;0,0,[1]!invoice[[#This Row],[میزان سفارش]]-[1]!invoice[[#This Row],[میزان حمل شده ]])</f>
        <v>0</v>
      </c>
      <c r="S2" s="140">
        <f>[1]!invoice[[#This Row],[میزان حمل نشده ]]*[1]!invoice[[#This Row],[فی]]</f>
        <v>0</v>
      </c>
      <c r="T2" s="140"/>
    </row>
    <row r="3" spans="1:20" ht="18.600000000000001" x14ac:dyDescent="0.25">
      <c r="A3" s="81" t="s">
        <v>115</v>
      </c>
      <c r="B3" s="81" t="s">
        <v>116</v>
      </c>
      <c r="C3" s="81" t="str">
        <f>VLOOKUP(invoice[[#This Row],[شماره پیش فاکتور]],[1]!invoice[[شماره پیش فاکتور]:[تاریخ]],3,0)</f>
        <v>1403/06/20</v>
      </c>
      <c r="D3" s="82" t="str">
        <f>VLOOKUP(invoice[[#This Row],[شماره پیش فاکتور]],'[1]لیست پیش فاکتور ها'!$A:$D,4,0)</f>
        <v>1403/09/05</v>
      </c>
      <c r="E3" s="2">
        <f>VLOOKUP(invoice[[#This Row],[شماره پیش فاکتور]],[1]!invoice[[شماره پیش فاکتور]:[میزان سفارش]],5,0)</f>
        <v>999320</v>
      </c>
      <c r="F3" s="2">
        <f>VLOOKUP(invoice[[#This Row],[شماره پیش فاکتور]],[1]!invoice[[شماره پیش فاکتور]:[فی]],6,0)</f>
        <v>75000</v>
      </c>
      <c r="G3" s="3" t="str">
        <f>CHOOSE(MID(invoice[[#This Row],[تاریخ]],6,2),"فروردین","اردیبهشت","خرداد","تیر","مرداد","شهریور","مهر","آبان","آذر","دی","بهمن","اسفند")</f>
        <v>شهریور</v>
      </c>
      <c r="H3" s="3">
        <f>_xlfn.NUMBERVALUE(MID(invoice[[#This Row],[تاریخ]],1,4))</f>
        <v>1403</v>
      </c>
      <c r="I3" s="3" t="str">
        <f>VLOOKUP(invoice[[#This Row],[شماره پیش فاکتور]],[1]!invoice[[شماره پیش فاکتور]:[نوع سفارش]],9,0)</f>
        <v>عادی</v>
      </c>
      <c r="J3" s="3" t="str">
        <f>VLOOKUP(invoice[[#This Row],[شماره پیش فاکتور]],[1]!invoice[[شماره پیش فاکتور]:[نوع شرکت]],10,0)</f>
        <v>تولید کننده</v>
      </c>
      <c r="K3" s="82">
        <v>46101</v>
      </c>
      <c r="L3" s="77">
        <v>0.1</v>
      </c>
      <c r="M3" s="78">
        <v>15000000000</v>
      </c>
      <c r="N3" s="78">
        <f>invoice[[#This Row],[مبلغ پیش دریافت]]/invoice[[#This Row],[میزان سفارش]]</f>
        <v>15010.206940719689</v>
      </c>
      <c r="O3" s="144">
        <f>SUMIF([1]!bargiri[شماره پیش فاکتور],[1]!invoice[[#This Row],[شماره پیش فاکتور]],[1]!bargiri[میزان بارگیری شده])/[1]!invoice[[#This Row],[میزان سفارش]]</f>
        <v>1.0019549999999999</v>
      </c>
      <c r="P3" s="140" t="str">
        <f>VLOOKUP(invoice[[#This Row],[شماره پیش فاکتور]],[1]!invoice[[شماره پیش فاکتور]:[نوع سفارش]],9,0)</f>
        <v>عادی</v>
      </c>
      <c r="Q3" s="145">
        <f>SUMIFS('[1]جزییات بارگیری'!D:D,'[1]جزییات بارگیری'!C:C,[1]!invoice[[#This Row],[شماره پیش فاکتور]])</f>
        <v>1001955</v>
      </c>
      <c r="R3" s="145">
        <f>IF([1]!invoice[[#This Row],[میزان سفارش]]-[1]!invoice[[#This Row],[میزان حمل شده ]]&lt;0,0,[1]!invoice[[#This Row],[میزان سفارش]]-[1]!invoice[[#This Row],[میزان حمل شده ]])</f>
        <v>0</v>
      </c>
      <c r="S3" s="145">
        <f>[1]!invoice[[#This Row],[میزان حمل نشده ]]*[1]!invoice[[#This Row],[فی]]</f>
        <v>0</v>
      </c>
      <c r="T3" s="140"/>
    </row>
    <row r="4" spans="1:20" ht="18.600000000000001" x14ac:dyDescent="0.25">
      <c r="A4" s="81" t="s">
        <v>119</v>
      </c>
      <c r="B4" s="81" t="s">
        <v>25</v>
      </c>
      <c r="C4" s="81" t="str">
        <f>VLOOKUP(invoice[[#This Row],[شماره پیش فاکتور]],[1]!invoice[[شماره پیش فاکتور]:[تاریخ]],3,0)</f>
        <v>1403/07/14</v>
      </c>
      <c r="D4" s="82" t="str">
        <f>VLOOKUP(invoice[[#This Row],[شماره پیش فاکتور]],'[1]لیست پیش فاکتور ها'!$A:$D,4,0)</f>
        <v>1403/10/20</v>
      </c>
      <c r="E4" s="2">
        <f>VLOOKUP(invoice[[#This Row],[شماره پیش فاکتور]],[1]!invoice[[شماره پیش فاکتور]:[میزان سفارش]],5,0)</f>
        <v>500000</v>
      </c>
      <c r="F4" s="2">
        <f>VLOOKUP(invoice[[#This Row],[شماره پیش فاکتور]],[1]!invoice[[شماره پیش فاکتور]:[فی]],6,0)</f>
        <v>75000</v>
      </c>
      <c r="G4" s="3" t="str">
        <f>CHOOSE(MID(invoice[[#This Row],[تاریخ]],6,2),"فروردین","اردیبهشت","خرداد","تیر","مرداد","شهریور","مهر","آبان","آذر","دی","بهمن","اسفند")</f>
        <v>مهر</v>
      </c>
      <c r="H4" s="3">
        <f>_xlfn.NUMBERVALUE(MID(invoice[[#This Row],[تاریخ]],1,4))</f>
        <v>1403</v>
      </c>
      <c r="I4" s="3" t="str">
        <f>VLOOKUP(invoice[[#This Row],[شماره پیش فاکتور]],[1]!invoice[[شماره پیش فاکتور]:[نوع سفارش]],9,0)</f>
        <v>عادی</v>
      </c>
      <c r="J4" s="3" t="str">
        <f>VLOOKUP(invoice[[#This Row],[شماره پیش فاکتور]],[1]!invoice[[شماره پیش فاکتور]:[نوع شرکت]],10,0)</f>
        <v>تولید کننده</v>
      </c>
      <c r="K4" s="82">
        <v>46101</v>
      </c>
      <c r="L4" s="77">
        <v>0.1</v>
      </c>
      <c r="M4" s="78">
        <v>6187500000</v>
      </c>
      <c r="N4" s="78">
        <f>invoice[[#This Row],[مبلغ پیش دریافت]]/invoice[[#This Row],[میزان سفارش]]</f>
        <v>12375</v>
      </c>
      <c r="O4" s="144">
        <f>SUMIF([1]!bargiri[شماره پیش فاکتور],[1]!invoice[[#This Row],[شماره پیش فاکتور]],[1]!bargiri[میزان بارگیری شده])/[1]!invoice[[#This Row],[میزان سفارش]]</f>
        <v>1.0004317256691748</v>
      </c>
      <c r="P4" s="140" t="str">
        <f>VLOOKUP(invoice[[#This Row],[شماره پیش فاکتور]],[1]!invoice[[شماره پیش فاکتور]:[نوع سفارش]],9,0)</f>
        <v>عادی</v>
      </c>
      <c r="Q4" s="145">
        <f>SUMIFS('[1]جزییات بارگیری'!D:D,'[1]جزییات بارگیری'!C:C,[1]!invoice[[#This Row],[شماره پیش فاکتور]])</f>
        <v>162210</v>
      </c>
      <c r="R4" s="145">
        <f>IF([1]!invoice[[#This Row],[میزان سفارش]]-[1]!invoice[[#This Row],[میزان حمل شده ]]&lt;0,0,[1]!invoice[[#This Row],[میزان سفارش]]-[1]!invoice[[#This Row],[میزان حمل شده ]])</f>
        <v>0</v>
      </c>
      <c r="S4" s="145">
        <f>[1]!invoice[[#This Row],[میزان حمل نشده ]]*[1]!invoice[[#This Row],[فی]]</f>
        <v>0</v>
      </c>
      <c r="T4" s="140"/>
    </row>
    <row r="5" spans="1:20" ht="18.600000000000001" x14ac:dyDescent="0.25">
      <c r="A5" s="81" t="s">
        <v>128</v>
      </c>
      <c r="B5" s="81" t="s">
        <v>129</v>
      </c>
      <c r="C5" s="81" t="str">
        <f>VLOOKUP(invoice[[#This Row],[شماره پیش فاکتور]],[1]!invoice[[شماره پیش فاکتور]:[تاریخ]],3,0)</f>
        <v>1403/07/23</v>
      </c>
      <c r="D5" s="82" t="str">
        <f>VLOOKUP(invoice[[#This Row],[شماره پیش فاکتور]],'[1]لیست پیش فاکتور ها'!$A:$D,4,0)</f>
        <v>1403/09/18</v>
      </c>
      <c r="E5" s="2">
        <f>VLOOKUP(invoice[[#This Row],[شماره پیش فاکتور]],[1]!invoice[[شماره پیش فاکتور]:[میزان سفارش]],5,0)</f>
        <v>417970</v>
      </c>
      <c r="F5" s="2">
        <f>VLOOKUP(invoice[[#This Row],[شماره پیش فاکتور]],[1]!invoice[[شماره پیش فاکتور]:[فی]],6,0)</f>
        <v>80000</v>
      </c>
      <c r="G5" s="3" t="str">
        <f>CHOOSE(MID(invoice[[#This Row],[تاریخ]],6,2),"فروردین","اردیبهشت","خرداد","تیر","مرداد","شهریور","مهر","آبان","آذر","دی","بهمن","اسفند")</f>
        <v>مهر</v>
      </c>
      <c r="H5" s="3">
        <f>_xlfn.NUMBERVALUE(MID(invoice[[#This Row],[تاریخ]],1,4))</f>
        <v>1403</v>
      </c>
      <c r="I5" s="3" t="str">
        <f>VLOOKUP(invoice[[#This Row],[شماره پیش فاکتور]],[1]!invoice[[شماره پیش فاکتور]:[نوع سفارش]],9,0)</f>
        <v>عادی</v>
      </c>
      <c r="J5" s="3" t="str">
        <f>VLOOKUP(invoice[[#This Row],[شماره پیش فاکتور]],[1]!invoice[[شماره پیش فاکتور]:[نوع شرکت]],10,0)</f>
        <v>واسطه</v>
      </c>
      <c r="K5" s="82">
        <v>46101</v>
      </c>
      <c r="L5" s="77">
        <v>0.1</v>
      </c>
      <c r="M5" s="78">
        <v>5544000000</v>
      </c>
      <c r="N5" s="78">
        <f>invoice[[#This Row],[مبلغ پیش دریافت]]/invoice[[#This Row],[میزان سفارش]]</f>
        <v>13264.109864344331</v>
      </c>
      <c r="O5" s="144">
        <f>SUMIF([1]!bargiri[شماره پیش فاکتور],[1]!invoice[[#This Row],[شماره پیش فاکتور]],[1]!bargiri[میزان بارگیری شده])/[1]!invoice[[#This Row],[میزان سفارش]]</f>
        <v>1</v>
      </c>
      <c r="P5" s="140" t="str">
        <f>VLOOKUP(invoice[[#This Row],[شماره پیش فاکتور]],[1]!invoice[[شماره پیش فاکتور]:[نوع سفارش]],9,0)</f>
        <v>عادی</v>
      </c>
      <c r="Q5" s="145">
        <f>SUMIFS('[1]جزییات بارگیری'!D:D,'[1]جزییات بارگیری'!C:C,[1]!invoice[[#This Row],[شماره پیش فاکتور]])</f>
        <v>300000</v>
      </c>
      <c r="R5" s="145">
        <f>IF([1]!invoice[[#This Row],[میزان سفارش]]-[1]!invoice[[#This Row],[میزان حمل شده ]]&lt;0,0,[1]!invoice[[#This Row],[میزان سفارش]]-[1]!invoice[[#This Row],[میزان حمل شده ]])</f>
        <v>0</v>
      </c>
      <c r="S5" s="145">
        <f>[1]!invoice[[#This Row],[میزان حمل نشده ]]*[1]!invoice[[#This Row],[فی]]</f>
        <v>0</v>
      </c>
      <c r="T5" s="140"/>
    </row>
    <row r="6" spans="1:20" ht="18.600000000000001" x14ac:dyDescent="0.25">
      <c r="A6" s="81" t="s">
        <v>149</v>
      </c>
      <c r="B6" s="81" t="s">
        <v>35</v>
      </c>
      <c r="C6" s="81" t="str">
        <f>VLOOKUP(invoice[[#This Row],[شماره پیش فاکتور]],[1]!invoice[[شماره پیش فاکتور]:[تاریخ]],3,0)</f>
        <v>1403/09/27</v>
      </c>
      <c r="D6" s="82" t="str">
        <f>VLOOKUP(invoice[[#This Row],[شماره پیش فاکتور]],'[1]لیست پیش فاکتور ها'!$A:$D,4,0)</f>
        <v>1403/11/16</v>
      </c>
      <c r="E6" s="2">
        <f>VLOOKUP(invoice[[#This Row],[شماره پیش فاکتور]],[1]!invoice[[شماره پیش فاکتور]:[میزان سفارش]],5,0)</f>
        <v>299978</v>
      </c>
      <c r="F6" s="2">
        <f>VLOOKUP(invoice[[#This Row],[شماره پیش فاکتور]],[1]!invoice[[شماره پیش فاکتور]:[فی]],6,0)</f>
        <v>75000</v>
      </c>
      <c r="G6" s="3" t="str">
        <f>CHOOSE(MID(invoice[[#This Row],[تاریخ]],6,2),"فروردین","اردیبهشت","خرداد","تیر","مرداد","شهریور","مهر","آبان","آذر","دی","بهمن","اسفند")</f>
        <v>آذر</v>
      </c>
      <c r="H6" s="3">
        <f>_xlfn.NUMBERVALUE(MID(invoice[[#This Row],[تاریخ]],1,4))</f>
        <v>1403</v>
      </c>
      <c r="I6" s="3" t="str">
        <f>VLOOKUP(invoice[[#This Row],[شماره پیش فاکتور]],[1]!invoice[[شماره پیش فاکتور]:[نوع سفارش]],9,0)</f>
        <v>عادی</v>
      </c>
      <c r="J6" s="3" t="str">
        <f>VLOOKUP(invoice[[#This Row],[شماره پیش فاکتور]],[1]!invoice[[شماره پیش فاکتور]:[نوع شرکت]],10,0)</f>
        <v>تولید کننده</v>
      </c>
      <c r="K6" s="82">
        <v>46101</v>
      </c>
      <c r="L6" s="77">
        <v>0.1</v>
      </c>
      <c r="M6" s="78">
        <v>3712500000</v>
      </c>
      <c r="N6" s="78">
        <f>invoice[[#This Row],[مبلغ پیش دریافت]]/invoice[[#This Row],[میزان سفارش]]</f>
        <v>12375.907566554881</v>
      </c>
      <c r="O6" s="144">
        <f>SUMIF([1]!bargiri[شماره پیش فاکتور],[1]!invoice[[#This Row],[شماره پیش فاکتور]],[1]!bargiri[میزان بارگیری شده])/[1]!invoice[[#This Row],[میزان سفارش]]</f>
        <v>1</v>
      </c>
      <c r="P6" s="140" t="str">
        <f>VLOOKUP(invoice[[#This Row],[شماره پیش فاکتور]],[1]!invoice[[شماره پیش فاکتور]:[نوع سفارش]],9,0)</f>
        <v>عادی</v>
      </c>
      <c r="Q6" s="145">
        <f>SUMIFS('[1]جزییات بارگیری'!D:D,'[1]جزییات بارگیری'!C:C,[1]!invoice[[#This Row],[شماره پیش فاکتور]])</f>
        <v>76560</v>
      </c>
      <c r="R6" s="145">
        <f>IF([1]!invoice[[#This Row],[میزان سفارش]]-[1]!invoice[[#This Row],[میزان حمل شده ]]&lt;0,0,[1]!invoice[[#This Row],[میزان سفارش]]-[1]!invoice[[#This Row],[میزان حمل شده ]])</f>
        <v>0</v>
      </c>
      <c r="S6" s="145">
        <f>[1]!invoice[[#This Row],[میزان حمل نشده ]]*[1]!invoice[[#This Row],[فی]]</f>
        <v>0</v>
      </c>
      <c r="T6" s="140"/>
    </row>
    <row r="7" spans="1:20" ht="18.600000000000001" x14ac:dyDescent="0.25">
      <c r="A7" s="81" t="s">
        <v>155</v>
      </c>
      <c r="B7" s="81" t="s">
        <v>156</v>
      </c>
      <c r="C7" s="81" t="str">
        <f>VLOOKUP(invoice[[#This Row],[شماره پیش فاکتور]],[1]!invoice[[شماره پیش فاکتور]:[تاریخ]],3,0)</f>
        <v>1403/09/27</v>
      </c>
      <c r="D7" s="82" t="str">
        <f>VLOOKUP(invoice[[#This Row],[شماره پیش فاکتور]],'[1]لیست پیش فاکتور ها'!$A:$D,4,0)</f>
        <v>1403/10/08</v>
      </c>
      <c r="E7" s="2">
        <f>VLOOKUP(invoice[[#This Row],[شماره پیش فاکتور]],[1]!invoice[[شماره پیش فاکتور]:[میزان سفارش]],5,0)</f>
        <v>400000</v>
      </c>
      <c r="F7" s="2">
        <f>VLOOKUP(invoice[[#This Row],[شماره پیش فاکتور]],[1]!invoice[[شماره پیش فاکتور]:[فی]],6,0)</f>
        <v>75000</v>
      </c>
      <c r="G7" s="3" t="str">
        <f>CHOOSE(MID(invoice[[#This Row],[تاریخ]],6,2),"فروردین","اردیبهشت","خرداد","تیر","مرداد","شهریور","مهر","آبان","آذر","دی","بهمن","اسفند")</f>
        <v>آذر</v>
      </c>
      <c r="H7" s="3">
        <f>_xlfn.NUMBERVALUE(MID(invoice[[#This Row],[تاریخ]],1,4))</f>
        <v>1403</v>
      </c>
      <c r="I7" s="3" t="str">
        <f>VLOOKUP(invoice[[#This Row],[شماره پیش فاکتور]],[1]!invoice[[شماره پیش فاکتور]:[نوع سفارش]],9,0)</f>
        <v>عادی</v>
      </c>
      <c r="J7" s="3" t="str">
        <f>VLOOKUP(invoice[[#This Row],[شماره پیش فاکتور]],[1]!invoice[[شماره پیش فاکتور]:[نوع شرکت]],10,0)</f>
        <v>تولید کننده</v>
      </c>
      <c r="K7" s="82">
        <v>46101</v>
      </c>
      <c r="L7" s="77">
        <v>0.1</v>
      </c>
      <c r="M7" s="78">
        <v>4950000000</v>
      </c>
      <c r="N7" s="78">
        <f>invoice[[#This Row],[مبلغ پیش دریافت]]/invoice[[#This Row],[میزان سفارش]]</f>
        <v>12375</v>
      </c>
      <c r="O7" s="144">
        <f>SUMIF([1]!bargiri[شماره پیش فاکتور],[1]!invoice[[#This Row],[شماره پیش فاکتور]],[1]!bargiri[میزان بارگیری شده])/[1]!invoice[[#This Row],[میزان سفارش]]</f>
        <v>1</v>
      </c>
      <c r="P7" s="140" t="str">
        <f>VLOOKUP(invoice[[#This Row],[شماره پیش فاکتور]],[1]!invoice[[شماره پیش فاکتور]:[نوع سفارش]],9,0)</f>
        <v>عادی</v>
      </c>
      <c r="Q7" s="145">
        <f>SUMIFS('[1]جزییات بارگیری'!D:D,'[1]جزییات بارگیری'!C:C,[1]!invoice[[#This Row],[شماره پیش فاکتور]])</f>
        <v>99340</v>
      </c>
      <c r="R7" s="145">
        <f>IF([1]!invoice[[#This Row],[میزان سفارش]]-[1]!invoice[[#This Row],[میزان حمل شده ]]&lt;0,0,[1]!invoice[[#This Row],[میزان سفارش]]-[1]!invoice[[#This Row],[میزان حمل شده ]])</f>
        <v>0</v>
      </c>
      <c r="S7" s="145">
        <f>[1]!invoice[[#This Row],[میزان حمل نشده ]]*[1]!invoice[[#This Row],[فی]]</f>
        <v>0</v>
      </c>
      <c r="T7" s="140"/>
    </row>
    <row r="8" spans="1:20" ht="18.600000000000001" x14ac:dyDescent="0.25">
      <c r="A8" s="81" t="s">
        <v>179</v>
      </c>
      <c r="B8" s="81" t="s">
        <v>180</v>
      </c>
      <c r="C8" s="81" t="str">
        <f>VLOOKUP(invoice[[#This Row],[شماره پیش فاکتور]],[1]!invoice[[شماره پیش فاکتور]:[تاریخ]],3,0)</f>
        <v>1403/10/03</v>
      </c>
      <c r="D8" s="82" t="str">
        <f>VLOOKUP(invoice[[#This Row],[شماره پیش فاکتور]],'[1]لیست پیش فاکتور ها'!$A:$D,4,0)</f>
        <v>1403/10/04</v>
      </c>
      <c r="E8" s="2">
        <f>VLOOKUP(invoice[[#This Row],[شماره پیش فاکتور]],[1]!invoice[[شماره پیش فاکتور]:[میزان سفارش]],5,0)</f>
        <v>68110</v>
      </c>
      <c r="F8" s="2">
        <f>VLOOKUP(invoice[[#This Row],[شماره پیش فاکتور]],[1]!invoice[[شماره پیش فاکتور]:[فی]],6,0)</f>
        <v>75000</v>
      </c>
      <c r="G8" s="3" t="str">
        <f>CHOOSE(MID(invoice[[#This Row],[تاریخ]],6,2),"فروردین","اردیبهشت","خرداد","تیر","مرداد","شهریور","مهر","آبان","آذر","دی","بهمن","اسفند")</f>
        <v>دی</v>
      </c>
      <c r="H8" s="3">
        <f>_xlfn.NUMBERVALUE(MID(invoice[[#This Row],[تاریخ]],1,4))</f>
        <v>1403</v>
      </c>
      <c r="I8" s="3" t="str">
        <f>VLOOKUP(invoice[[#This Row],[شماره پیش فاکتور]],[1]!invoice[[شماره پیش فاکتور]:[نوع سفارش]],9,0)</f>
        <v>عادی</v>
      </c>
      <c r="J8" s="3" t="str">
        <f>VLOOKUP(invoice[[#This Row],[شماره پیش فاکتور]],[1]!invoice[[شماره پیش فاکتور]:[نوع شرکت]],10,0)</f>
        <v>واسطه</v>
      </c>
      <c r="K8" s="82">
        <v>46101</v>
      </c>
      <c r="L8" s="77">
        <v>0.1</v>
      </c>
      <c r="M8" s="78">
        <v>1485000000</v>
      </c>
      <c r="N8" s="78">
        <f>invoice[[#This Row],[مبلغ پیش دریافت]]/invoice[[#This Row],[میزان سفارش]]</f>
        <v>21802.965790632799</v>
      </c>
      <c r="O8" s="144">
        <f>SUMIF([1]!bargiri[شماره پیش فاکتور],[1]!invoice[[#This Row],[شماره پیش فاکتور]],[1]!bargiri[میزان بارگیری شده])/[1]!invoice[[#This Row],[میزان سفارش]]</f>
        <v>1</v>
      </c>
      <c r="P8" s="140" t="str">
        <f>VLOOKUP(invoice[[#This Row],[شماره پیش فاکتور]],[1]!invoice[[شماره پیش فاکتور]:[نوع سفارش]],9,0)</f>
        <v>عادی</v>
      </c>
      <c r="Q8" s="145">
        <f>SUMIFS('[1]جزییات بارگیری'!D:D,'[1]جزییات بارگیری'!C:C,[1]!invoice[[#This Row],[شماره پیش فاکتور]])</f>
        <v>76730</v>
      </c>
      <c r="R8" s="145">
        <f>IF([1]!invoice[[#This Row],[میزان سفارش]]-[1]!invoice[[#This Row],[میزان حمل شده ]]&lt;0,0,[1]!invoice[[#This Row],[میزان سفارش]]-[1]!invoice[[#This Row],[میزان حمل شده ]])</f>
        <v>0</v>
      </c>
      <c r="S8" s="145">
        <f>[1]!invoice[[#This Row],[میزان حمل نشده ]]*[1]!invoice[[#This Row],[فی]]</f>
        <v>0</v>
      </c>
      <c r="T8" s="140"/>
    </row>
    <row r="9" spans="1:20" ht="18.600000000000001" x14ac:dyDescent="0.25">
      <c r="A9" s="81" t="s">
        <v>169</v>
      </c>
      <c r="B9" s="81" t="s">
        <v>51</v>
      </c>
      <c r="C9" s="81" t="str">
        <f>VLOOKUP(invoice[[#This Row],[شماره پیش فاکتور]],[1]!invoice[[شماره پیش فاکتور]:[تاریخ]],3,0)</f>
        <v>1403/10/11</v>
      </c>
      <c r="D9" s="82" t="str">
        <f>VLOOKUP(invoice[[#This Row],[شماره پیش فاکتور]],'[1]لیست پیش فاکتور ها'!$A:$D,4,0)</f>
        <v>1403/11/29</v>
      </c>
      <c r="E9" s="2">
        <f>VLOOKUP(invoice[[#This Row],[شماره پیش فاکتور]],[1]!invoice[[شماره پیش فاکتور]:[میزان سفارش]],5,0)</f>
        <v>39915</v>
      </c>
      <c r="F9" s="2">
        <f>VLOOKUP(invoice[[#This Row],[شماره پیش فاکتور]],[1]!invoice[[شماره پیش فاکتور]:[فی]],6,0)</f>
        <v>90000</v>
      </c>
      <c r="G9" s="3" t="str">
        <f>CHOOSE(MID(invoice[[#This Row],[تاریخ]],6,2),"فروردین","اردیبهشت","خرداد","تیر","مرداد","شهریور","مهر","آبان","آذر","دی","بهمن","اسفند")</f>
        <v>دی</v>
      </c>
      <c r="H9" s="3">
        <f>_xlfn.NUMBERVALUE(MID(invoice[[#This Row],[تاریخ]],1,4))</f>
        <v>1403</v>
      </c>
      <c r="I9" s="3" t="str">
        <f>VLOOKUP(invoice[[#This Row],[شماره پیش فاکتور]],[1]!invoice[[شماره پیش فاکتور]:[نوع سفارش]],9,0)</f>
        <v>عادی</v>
      </c>
      <c r="J9" s="3" t="str">
        <f>VLOOKUP(invoice[[#This Row],[شماره پیش فاکتور]],[1]!invoice[[شماره پیش فاکتور]:[نوع شرکت]],10,0)</f>
        <v>واسطه</v>
      </c>
      <c r="K9" s="82">
        <v>46101</v>
      </c>
      <c r="L9" s="77">
        <v>0.1</v>
      </c>
      <c r="M9" s="78">
        <v>594000000</v>
      </c>
      <c r="N9" s="78">
        <f>invoice[[#This Row],[مبلغ پیش دریافت]]/invoice[[#This Row],[میزان سفارش]]</f>
        <v>14881.623449830891</v>
      </c>
      <c r="O9" s="144">
        <f>SUMIF([1]!bargiri[شماره پیش فاکتور],[1]!invoice[[#This Row],[شماره پیش فاکتور]],[1]!bargiri[میزان بارگیری شده])/[1]!invoice[[#This Row],[میزان سفارش]]</f>
        <v>1</v>
      </c>
      <c r="P9" s="140" t="str">
        <f>VLOOKUP(invoice[[#This Row],[شماره پیش فاکتور]],[1]!invoice[[شماره پیش فاکتور]:[نوع سفارش]],9,0)</f>
        <v>عادی</v>
      </c>
      <c r="Q9" s="145">
        <f>SUMIFS('[1]جزییات بارگیری'!D:D,'[1]جزییات بارگیری'!C:C,[1]!invoice[[#This Row],[شماره پیش فاکتور]])</f>
        <v>101000</v>
      </c>
      <c r="R9" s="145">
        <f>IF([1]!invoice[[#This Row],[میزان سفارش]]-[1]!invoice[[#This Row],[میزان حمل شده ]]&lt;0,0,[1]!invoice[[#This Row],[میزان سفارش]]-[1]!invoice[[#This Row],[میزان حمل شده ]])</f>
        <v>0</v>
      </c>
      <c r="S9" s="145">
        <f>[1]!invoice[[#This Row],[میزان حمل نشده ]]*[1]!invoice[[#This Row],[فی]]</f>
        <v>0</v>
      </c>
      <c r="T9" s="140"/>
    </row>
    <row r="10" spans="1:20" ht="18.600000000000001" x14ac:dyDescent="0.25">
      <c r="A10" s="81" t="s">
        <v>172</v>
      </c>
      <c r="B10" s="81" t="s">
        <v>173</v>
      </c>
      <c r="C10" s="81" t="str">
        <f>VLOOKUP(invoice[[#This Row],[شماره پیش فاکتور]],[1]!invoice[[شماره پیش فاکتور]:[تاریخ]],3,0)</f>
        <v>1403/10/11</v>
      </c>
      <c r="D10" s="82" t="str">
        <f>VLOOKUP(invoice[[#This Row],[شماره پیش فاکتور]],'[1]لیست پیش فاکتور ها'!$A:$D,4,0)</f>
        <v>1403/10/28</v>
      </c>
      <c r="E10" s="2">
        <f>VLOOKUP(invoice[[#This Row],[شماره پیش فاکتور]],[1]!invoice[[شماره پیش فاکتور]:[میزان سفارش]],5,0)</f>
        <v>300000</v>
      </c>
      <c r="F10" s="2">
        <f>VLOOKUP(invoice[[#This Row],[شماره پیش فاکتور]],[1]!invoice[[شماره پیش فاکتور]:[فی]],6,0)</f>
        <v>75000</v>
      </c>
      <c r="G10" s="3" t="str">
        <f>CHOOSE(MID(invoice[[#This Row],[تاریخ]],6,2),"فروردین","اردیبهشت","خرداد","تیر","مرداد","شهریور","مهر","آبان","آذر","دی","بهمن","اسفند")</f>
        <v>دی</v>
      </c>
      <c r="H10" s="3">
        <f>_xlfn.NUMBERVALUE(MID(invoice[[#This Row],[تاریخ]],1,4))</f>
        <v>1403</v>
      </c>
      <c r="I10" s="3" t="str">
        <f>VLOOKUP(invoice[[#This Row],[شماره پیش فاکتور]],[1]!invoice[[شماره پیش فاکتور]:[نوع سفارش]],9,0)</f>
        <v>عادی</v>
      </c>
      <c r="J10" s="3" t="str">
        <f>VLOOKUP(invoice[[#This Row],[شماره پیش فاکتور]],[1]!invoice[[شماره پیش فاکتور]:[نوع شرکت]],10,0)</f>
        <v>واسطه</v>
      </c>
      <c r="K10" s="82">
        <v>46101</v>
      </c>
      <c r="L10" s="77">
        <v>0.1</v>
      </c>
      <c r="M10" s="78">
        <v>3712500000</v>
      </c>
      <c r="N10" s="78">
        <f>invoice[[#This Row],[مبلغ پیش دریافت]]/invoice[[#This Row],[میزان سفارش]]</f>
        <v>12375</v>
      </c>
      <c r="O10" s="144">
        <f>SUMIF([1]!bargiri[شماره پیش فاکتور],[1]!invoice[[#This Row],[شماره پیش فاکتور]],[1]!bargiri[میزان بارگیری شده])/[1]!invoice[[#This Row],[میزان سفارش]]</f>
        <v>1</v>
      </c>
      <c r="P10" s="140" t="str">
        <f>VLOOKUP(invoice[[#This Row],[شماره پیش فاکتور]],[1]!invoice[[شماره پیش فاکتور]:[نوع سفارش]],9,0)</f>
        <v>عادی</v>
      </c>
      <c r="Q10" s="145">
        <f>SUMIFS('[1]جزییات بارگیری'!D:D,'[1]جزییات بارگیری'!C:C,[1]!invoice[[#This Row],[شماره پیش فاکتور]])</f>
        <v>100000</v>
      </c>
      <c r="R10" s="145">
        <f>IF([1]!invoice[[#This Row],[میزان سفارش]]-[1]!invoice[[#This Row],[میزان حمل شده ]]&lt;0,0,[1]!invoice[[#This Row],[میزان سفارش]]-[1]!invoice[[#This Row],[میزان حمل شده ]])</f>
        <v>0</v>
      </c>
      <c r="S10" s="145">
        <f>[1]!invoice[[#This Row],[میزان حمل نشده ]]*[1]!invoice[[#This Row],[فی]]</f>
        <v>0</v>
      </c>
      <c r="T10" s="140"/>
    </row>
    <row r="11" spans="1:20" ht="18.600000000000001" x14ac:dyDescent="0.25">
      <c r="A11" s="81" t="s">
        <v>161</v>
      </c>
      <c r="B11" s="81" t="s">
        <v>40</v>
      </c>
      <c r="C11" s="81" t="str">
        <f>VLOOKUP(invoice[[#This Row],[شماره پیش فاکتور]],[1]!invoice[[شماره پیش فاکتور]:[تاریخ]],3,0)</f>
        <v>1403/10/29</v>
      </c>
      <c r="D11" s="82" t="str">
        <f>VLOOKUP(invoice[[#This Row],[شماره پیش فاکتور]],'[1]لیست پیش فاکتور ها'!$A:$D,4,0)</f>
        <v>1403/12/22</v>
      </c>
      <c r="E11" s="2">
        <f>VLOOKUP(invoice[[#This Row],[شماره پیش فاکتور]],[1]!invoice[[شماره پیش فاکتور]:[میزان سفارش]],5,0)</f>
        <v>85900</v>
      </c>
      <c r="F11" s="2">
        <f>VLOOKUP(invoice[[#This Row],[شماره پیش فاکتور]],[1]!invoice[[شماره پیش فاکتور]:[فی]],6,0)</f>
        <v>65000</v>
      </c>
      <c r="G11" s="3" t="str">
        <f>CHOOSE(MID(invoice[[#This Row],[تاریخ]],6,2),"فروردین","اردیبهشت","خرداد","تیر","مرداد","شهریور","مهر","آبان","آذر","دی","بهمن","اسفند")</f>
        <v>دی</v>
      </c>
      <c r="H11" s="3">
        <f>_xlfn.NUMBERVALUE(MID(invoice[[#This Row],[تاریخ]],1,4))</f>
        <v>1403</v>
      </c>
      <c r="I11" s="3" t="str">
        <f>VLOOKUP(invoice[[#This Row],[شماره پیش فاکتور]],[1]!invoice[[شماره پیش فاکتور]:[نوع سفارش]],9,0)</f>
        <v>تعادلی</v>
      </c>
      <c r="J11" s="3" t="str">
        <f>VLOOKUP(invoice[[#This Row],[شماره پیش فاکتور]],[1]!invoice[[شماره پیش فاکتور]:[نوع شرکت]],10,0)</f>
        <v>تولید کننده</v>
      </c>
      <c r="K11" s="82">
        <v>46101</v>
      </c>
      <c r="L11" s="77">
        <v>0.1</v>
      </c>
      <c r="M11" s="78">
        <v>921277500</v>
      </c>
      <c r="N11" s="78">
        <f>invoice[[#This Row],[مبلغ پیش دریافت]]/invoice[[#This Row],[میزان سفارش]]</f>
        <v>10725</v>
      </c>
      <c r="O11" s="144">
        <f>SUMIF([1]!bargiri[شماره پیش فاکتور],[1]!invoice[[#This Row],[شماره پیش فاکتور]],[1]!bargiri[میزان بارگیری شده])/[1]!invoice[[#This Row],[میزان سفارش]]</f>
        <v>1</v>
      </c>
      <c r="P11" s="140" t="str">
        <f>VLOOKUP(invoice[[#This Row],[شماره پیش فاکتور]],[1]!invoice[[شماره پیش فاکتور]:[نوع سفارش]],9,0)</f>
        <v>تعادلی</v>
      </c>
      <c r="Q11" s="145">
        <f>SUMIFS('[1]جزییات بارگیری'!D:D,'[1]جزییات بارگیری'!C:C,[1]!invoice[[#This Row],[شماره پیش فاکتور]])</f>
        <v>902430</v>
      </c>
      <c r="R11" s="145">
        <f>IF([1]!invoice[[#This Row],[میزان سفارش]]-[1]!invoice[[#This Row],[میزان حمل شده ]]&lt;0,0,[1]!invoice[[#This Row],[میزان سفارش]]-[1]!invoice[[#This Row],[میزان حمل شده ]])</f>
        <v>0</v>
      </c>
      <c r="S11" s="145">
        <f>[1]!invoice[[#This Row],[میزان حمل نشده ]]*[1]!invoice[[#This Row],[فی]]</f>
        <v>0</v>
      </c>
      <c r="T11" s="140"/>
    </row>
    <row r="12" spans="1:20" ht="18.600000000000001" x14ac:dyDescent="0.25">
      <c r="A12" s="81" t="s">
        <v>167</v>
      </c>
      <c r="B12" s="81" t="s">
        <v>43</v>
      </c>
      <c r="C12" s="81" t="str">
        <f>VLOOKUP(invoice[[#This Row],[شماره پیش فاکتور]],[1]!invoice[[شماره پیش فاکتور]:[تاریخ]],3,0)</f>
        <v>1403/10/29</v>
      </c>
      <c r="D12" s="82" t="str">
        <f>VLOOKUP(invoice[[#This Row],[شماره پیش فاکتور]],'[1]لیست پیش فاکتور ها'!$A:$D,4,0)</f>
        <v>1403/11/15</v>
      </c>
      <c r="E12" s="2">
        <f>VLOOKUP(invoice[[#This Row],[شماره پیش فاکتور]],[1]!invoice[[شماره پیش فاکتور]:[میزان سفارش]],5,0)</f>
        <v>300000</v>
      </c>
      <c r="F12" s="2">
        <f>VLOOKUP(invoice[[#This Row],[شماره پیش فاکتور]],[1]!invoice[[شماره پیش فاکتور]:[فی]],6,0)</f>
        <v>80000</v>
      </c>
      <c r="G12" s="3" t="str">
        <f>CHOOSE(MID(invoice[[#This Row],[تاریخ]],6,2),"فروردین","اردیبهشت","خرداد","تیر","مرداد","شهریور","مهر","آبان","آذر","دی","بهمن","اسفند")</f>
        <v>دی</v>
      </c>
      <c r="H12" s="3">
        <f>_xlfn.NUMBERVALUE(MID(invoice[[#This Row],[تاریخ]],1,4))</f>
        <v>1403</v>
      </c>
      <c r="I12" s="3" t="str">
        <f>VLOOKUP(invoice[[#This Row],[شماره پیش فاکتور]],[1]!invoice[[شماره پیش فاکتور]:[نوع سفارش]],9,0)</f>
        <v>عادی</v>
      </c>
      <c r="J12" s="3" t="str">
        <f>VLOOKUP(invoice[[#This Row],[شماره پیش فاکتور]],[1]!invoice[[شماره پیش فاکتور]:[نوع شرکت]],10,0)</f>
        <v>تولید کننده</v>
      </c>
      <c r="K12" s="82">
        <v>46101</v>
      </c>
      <c r="L12" s="77">
        <v>0.1</v>
      </c>
      <c r="M12" s="78">
        <v>5280000000</v>
      </c>
      <c r="N12" s="78">
        <f>invoice[[#This Row],[مبلغ پیش دریافت]]/invoice[[#This Row],[میزان سفارش]]</f>
        <v>17600</v>
      </c>
      <c r="O12" s="144">
        <f>SUMIF([1]!bargiri[شماره پیش فاکتور],[1]!invoice[[#This Row],[شماره پیش فاکتور]],[1]!bargiri[میزان بارگیری شده])/[1]!invoice[[#This Row],[میزان سفارش]]</f>
        <v>1</v>
      </c>
      <c r="P12" s="140" t="str">
        <f>VLOOKUP(invoice[[#This Row],[شماره پیش فاکتور]],[1]!invoice[[شماره پیش فاکتور]:[نوع سفارش]],9,0)</f>
        <v>عادی</v>
      </c>
      <c r="Q12" s="145">
        <f>SUMIFS('[1]جزییات بارگیری'!D:D,'[1]جزییات بارگیری'!C:C,[1]!invoice[[#This Row],[شماره پیش فاکتور]])</f>
        <v>100000</v>
      </c>
      <c r="R12" s="145">
        <f>IF([1]!invoice[[#This Row],[میزان سفارش]]-[1]!invoice[[#This Row],[میزان حمل شده ]]&lt;0,0,[1]!invoice[[#This Row],[میزان سفارش]]-[1]!invoice[[#This Row],[میزان حمل شده ]])</f>
        <v>0</v>
      </c>
      <c r="S12" s="145">
        <f>[1]!invoice[[#This Row],[میزان حمل نشده ]]*[1]!invoice[[#This Row],[فی]]</f>
        <v>0</v>
      </c>
      <c r="T12" s="140"/>
    </row>
    <row r="13" spans="1:20" ht="18.600000000000001" x14ac:dyDescent="0.25">
      <c r="A13" s="81" t="s">
        <v>187</v>
      </c>
      <c r="B13" s="81" t="s">
        <v>43</v>
      </c>
      <c r="C13" s="81" t="str">
        <f>VLOOKUP(invoice[[#This Row],[شماره پیش فاکتور]],[1]!invoice[[شماره پیش فاکتور]:[تاریخ]],3,0)</f>
        <v>1403/11/03</v>
      </c>
      <c r="D13" s="82" t="str">
        <f>VLOOKUP(invoice[[#This Row],[شماره پیش فاکتور]],'[1]لیست پیش فاکتور ها'!$A:$D,4,0)</f>
        <v>1403/11/03</v>
      </c>
      <c r="E13" s="2">
        <f>VLOOKUP(invoice[[#This Row],[شماره پیش فاکتور]],[1]!invoice[[شماره پیش فاکتور]:[میزان سفارش]],5,0)</f>
        <v>1000000</v>
      </c>
      <c r="F13" s="2">
        <f>VLOOKUP(invoice[[#This Row],[شماره پیش فاکتور]],[1]!invoice[[شماره پیش فاکتور]:[فی]],6,0)</f>
        <v>80000</v>
      </c>
      <c r="G13" s="3" t="str">
        <f>CHOOSE(MID(invoice[[#This Row],[تاریخ]],6,2),"فروردین","اردیبهشت","خرداد","تیر","مرداد","شهریور","مهر","آبان","آذر","دی","بهمن","اسفند")</f>
        <v>بهمن</v>
      </c>
      <c r="H13" s="3">
        <f>_xlfn.NUMBERVALUE(MID(invoice[[#This Row],[تاریخ]],1,4))</f>
        <v>1403</v>
      </c>
      <c r="I13" s="3" t="str">
        <f>VLOOKUP(invoice[[#This Row],[شماره پیش فاکتور]],[1]!invoice[[شماره پیش فاکتور]:[نوع سفارش]],9,0)</f>
        <v>عادی</v>
      </c>
      <c r="J13" s="3" t="str">
        <f>VLOOKUP(invoice[[#This Row],[شماره پیش فاکتور]],[1]!invoice[[شماره پیش فاکتور]:[نوع شرکت]],10,0)</f>
        <v>تولید کننده</v>
      </c>
      <c r="K13" s="82">
        <v>46101</v>
      </c>
      <c r="L13" s="77">
        <v>0.1</v>
      </c>
      <c r="M13" s="78">
        <v>17600000000</v>
      </c>
      <c r="N13" s="78">
        <f>invoice[[#This Row],[مبلغ پیش دریافت]]/invoice[[#This Row],[میزان سفارش]]</f>
        <v>17600</v>
      </c>
      <c r="O13" s="144">
        <f>SUMIF([1]!bargiri[شماره پیش فاکتور],[1]!invoice[[#This Row],[شماره پیش فاکتور]],[1]!bargiri[میزان بارگیری شده])/[1]!invoice[[#This Row],[میزان سفارش]]</f>
        <v>1</v>
      </c>
      <c r="P13" s="140" t="str">
        <f>VLOOKUP(invoice[[#This Row],[شماره پیش فاکتور]],[1]!invoice[[شماره پیش فاکتور]:[نوع سفارش]],9,0)</f>
        <v>عادی</v>
      </c>
      <c r="Q13" s="145">
        <f>SUMIFS('[1]جزییات بارگیری'!D:D,'[1]جزییات بارگیری'!C:C,[1]!invoice[[#This Row],[شماره پیش فاکتور]])</f>
        <v>3550</v>
      </c>
      <c r="R13" s="145">
        <f>IF([1]!invoice[[#This Row],[میزان سفارش]]-[1]!invoice[[#This Row],[میزان حمل شده ]]&lt;0,0,[1]!invoice[[#This Row],[میزان سفارش]]-[1]!invoice[[#This Row],[میزان حمل شده ]])</f>
        <v>0</v>
      </c>
      <c r="S13" s="145">
        <f>[1]!invoice[[#This Row],[میزان حمل نشده ]]*[1]!invoice[[#This Row],[فی]]</f>
        <v>0</v>
      </c>
      <c r="T13" s="140"/>
    </row>
    <row r="14" spans="1:20" ht="18.600000000000001" x14ac:dyDescent="0.25">
      <c r="A14" s="81" t="s">
        <v>189</v>
      </c>
      <c r="B14" s="81" t="s">
        <v>173</v>
      </c>
      <c r="C14" s="81" t="str">
        <f>VLOOKUP(invoice[[#This Row],[شماره پیش فاکتور]],[1]!invoice[[شماره پیش فاکتور]:[تاریخ]],3,0)</f>
        <v>1403/11/13</v>
      </c>
      <c r="D14" s="82" t="str">
        <f>VLOOKUP(invoice[[#This Row],[شماره پیش فاکتور]],'[1]لیست پیش فاکتور ها'!$A:$D,4,0)</f>
        <v>1403/11/13</v>
      </c>
      <c r="E14" s="2">
        <f>VLOOKUP(invoice[[#This Row],[شماره پیش فاکتور]],[1]!invoice[[شماره پیش فاکتور]:[میزان سفارش]],5,0)</f>
        <v>500000</v>
      </c>
      <c r="F14" s="2">
        <f>VLOOKUP(invoice[[#This Row],[شماره پیش فاکتور]],[1]!invoice[[شماره پیش فاکتور]:[فی]],6,0)</f>
        <v>75000</v>
      </c>
      <c r="G14" s="3" t="str">
        <f>CHOOSE(MID(invoice[[#This Row],[تاریخ]],6,2),"فروردین","اردیبهشت","خرداد","تیر","مرداد","شهریور","مهر","آبان","آذر","دی","بهمن","اسفند")</f>
        <v>بهمن</v>
      </c>
      <c r="H14" s="3">
        <f>_xlfn.NUMBERVALUE(MID(invoice[[#This Row],[تاریخ]],1,4))</f>
        <v>1403</v>
      </c>
      <c r="I14" s="3" t="str">
        <f>VLOOKUP(invoice[[#This Row],[شماره پیش فاکتور]],[1]!invoice[[شماره پیش فاکتور]:[نوع سفارش]],9,0)</f>
        <v>عادی</v>
      </c>
      <c r="J14" s="3" t="str">
        <f>VLOOKUP(invoice[[#This Row],[شماره پیش فاکتور]],[1]!invoice[[شماره پیش فاکتور]:[نوع شرکت]],10,0)</f>
        <v>واسطه</v>
      </c>
      <c r="K14" s="82">
        <v>46101</v>
      </c>
      <c r="L14" s="77">
        <v>0.1</v>
      </c>
      <c r="M14" s="78">
        <v>6187500000</v>
      </c>
      <c r="N14" s="78">
        <f>invoice[[#This Row],[مبلغ پیش دریافت]]/invoice[[#This Row],[میزان سفارش]]</f>
        <v>12375</v>
      </c>
      <c r="O14" s="144">
        <f>SUMIF([1]!bargiri[شماره پیش فاکتور],[1]!invoice[[#This Row],[شماره پیش فاکتور]],[1]!bargiri[میزان بارگیری شده])/[1]!invoice[[#This Row],[میزان سفارش]]</f>
        <v>1</v>
      </c>
      <c r="P14" s="140" t="str">
        <f>VLOOKUP(invoice[[#This Row],[شماره پیش فاکتور]],[1]!invoice[[شماره پیش فاکتور]:[نوع سفارش]],9,0)</f>
        <v>عادی</v>
      </c>
      <c r="Q14" s="145">
        <f>SUMIFS('[1]جزییات بارگیری'!D:D,'[1]جزییات بارگیری'!C:C,[1]!invoice[[#This Row],[شماره پیش فاکتور]])</f>
        <v>150000</v>
      </c>
      <c r="R14" s="145">
        <f>IF([1]!invoice[[#This Row],[میزان سفارش]]-[1]!invoice[[#This Row],[میزان حمل شده ]]&lt;0,0,[1]!invoice[[#This Row],[میزان سفارش]]-[1]!invoice[[#This Row],[میزان حمل شده ]])</f>
        <v>0</v>
      </c>
      <c r="S14" s="145">
        <f>[1]!invoice[[#This Row],[میزان حمل نشده ]]*[1]!invoice[[#This Row],[فی]]</f>
        <v>0</v>
      </c>
      <c r="T14" s="140"/>
    </row>
    <row r="15" spans="1:20" ht="18.600000000000001" x14ac:dyDescent="0.25">
      <c r="A15" s="81" t="s">
        <v>184</v>
      </c>
      <c r="B15" s="81" t="s">
        <v>40</v>
      </c>
      <c r="C15" s="81" t="str">
        <f>VLOOKUP(invoice[[#This Row],[شماره پیش فاکتور]],[1]!invoice[[شماره پیش فاکتور]:[تاریخ]],3,0)</f>
        <v>1403/11/17</v>
      </c>
      <c r="D15" s="82" t="str">
        <f>VLOOKUP(invoice[[#This Row],[شماره پیش فاکتور]],'[1]لیست پیش فاکتور ها'!$A:$D,4,0)</f>
        <v>1403/11/17</v>
      </c>
      <c r="E15" s="2">
        <f>VLOOKUP(invoice[[#This Row],[شماره پیش فاکتور]],[1]!invoice[[شماره پیش فاکتور]:[میزان سفارش]],5,0)</f>
        <v>50000</v>
      </c>
      <c r="F15" s="2">
        <f>VLOOKUP(invoice[[#This Row],[شماره پیش فاکتور]],[1]!invoice[[شماره پیش فاکتور]:[فی]],6,0)</f>
        <v>83800</v>
      </c>
      <c r="G15" s="3" t="str">
        <f>CHOOSE(MID(invoice[[#This Row],[تاریخ]],6,2),"فروردین","اردیبهشت","خرداد","تیر","مرداد","شهریور","مهر","آبان","آذر","دی","بهمن","اسفند")</f>
        <v>بهمن</v>
      </c>
      <c r="H15" s="3">
        <f>_xlfn.NUMBERVALUE(MID(invoice[[#This Row],[تاریخ]],1,4))</f>
        <v>1403</v>
      </c>
      <c r="I15" s="3" t="str">
        <f>VLOOKUP(invoice[[#This Row],[شماره پیش فاکتور]],[1]!invoice[[شماره پیش فاکتور]:[نوع سفارش]],9,0)</f>
        <v>بورس</v>
      </c>
      <c r="J15" s="3" t="str">
        <f>VLOOKUP(invoice[[#This Row],[شماره پیش فاکتور]],[1]!invoice[[شماره پیش فاکتور]:[نوع شرکت]],10,0)</f>
        <v>تولید کننده</v>
      </c>
      <c r="K15" s="82">
        <v>46101</v>
      </c>
      <c r="L15" s="77">
        <v>0.1</v>
      </c>
      <c r="M15" s="78">
        <v>691350000</v>
      </c>
      <c r="N15" s="78">
        <f>invoice[[#This Row],[مبلغ پیش دریافت]]/invoice[[#This Row],[میزان سفارش]]</f>
        <v>13827</v>
      </c>
      <c r="O15" s="144">
        <f>SUMIF([1]!bargiri[شماره پیش فاکتور],[1]!invoice[[#This Row],[شماره پیش فاکتور]],[1]!bargiri[میزان بارگیری شده])/[1]!invoice[[#This Row],[میزان سفارش]]</f>
        <v>1</v>
      </c>
      <c r="P15" s="140" t="str">
        <f>VLOOKUP(invoice[[#This Row],[شماره پیش فاکتور]],[1]!invoice[[شماره پیش فاکتور]:[نوع سفارش]],9,0)</f>
        <v>بورس</v>
      </c>
      <c r="Q15" s="145">
        <f>SUMIFS('[1]جزییات بارگیری'!D:D,'[1]جزییات بارگیری'!C:C,[1]!invoice[[#This Row],[شماره پیش فاکتور]])</f>
        <v>323670</v>
      </c>
      <c r="R15" s="145">
        <f>IF([1]!invoice[[#This Row],[میزان سفارش]]-[1]!invoice[[#This Row],[میزان حمل شده ]]&lt;0,0,[1]!invoice[[#This Row],[میزان سفارش]]-[1]!invoice[[#This Row],[میزان حمل شده ]])</f>
        <v>0</v>
      </c>
      <c r="S15" s="145">
        <f>[1]!invoice[[#This Row],[میزان حمل نشده ]]*[1]!invoice[[#This Row],[فی]]</f>
        <v>0</v>
      </c>
      <c r="T15" s="140"/>
    </row>
    <row r="16" spans="1:20" ht="18.600000000000001" x14ac:dyDescent="0.25">
      <c r="A16" s="81" t="s">
        <v>182</v>
      </c>
      <c r="B16" s="81" t="s">
        <v>20</v>
      </c>
      <c r="C16" s="81" t="str">
        <f>VLOOKUP(invoice[[#This Row],[شماره پیش فاکتور]],[1]!invoice[[شماره پیش فاکتور]:[تاریخ]],3,0)</f>
        <v>1403/11/21</v>
      </c>
      <c r="D16" s="82" t="str">
        <f>VLOOKUP(invoice[[#This Row],[شماره پیش فاکتور]],'[1]لیست پیش فاکتور ها'!$A:$D,4,0)</f>
        <v>1403/11/21</v>
      </c>
      <c r="E16" s="2">
        <f>VLOOKUP(invoice[[#This Row],[شماره پیش فاکتور]],[1]!invoice[[شماره پیش فاکتور]:[میزان سفارش]],5,0)</f>
        <v>1000000</v>
      </c>
      <c r="F16" s="2">
        <f>VLOOKUP(invoice[[#This Row],[شماره پیش فاکتور]],[1]!invoice[[شماره پیش فاکتور]:[فی]],6,0)</f>
        <v>86500</v>
      </c>
      <c r="G16" s="3" t="str">
        <f>CHOOSE(MID(invoice[[#This Row],[تاریخ]],6,2),"فروردین","اردیبهشت","خرداد","تیر","مرداد","شهریور","مهر","آبان","آذر","دی","بهمن","اسفند")</f>
        <v>بهمن</v>
      </c>
      <c r="H16" s="3">
        <f>_xlfn.NUMBERVALUE(MID(invoice[[#This Row],[تاریخ]],1,4))</f>
        <v>1403</v>
      </c>
      <c r="I16" s="3" t="str">
        <f>VLOOKUP(invoice[[#This Row],[شماره پیش فاکتور]],[1]!invoice[[شماره پیش فاکتور]:[نوع سفارش]],9,0)</f>
        <v>عادی</v>
      </c>
      <c r="J16" s="3" t="str">
        <f>VLOOKUP(invoice[[#This Row],[شماره پیش فاکتور]],[1]!invoice[[شماره پیش فاکتور]:[نوع شرکت]],10,0)</f>
        <v>تولید کننده</v>
      </c>
      <c r="K16" s="82">
        <v>46101</v>
      </c>
      <c r="L16" s="77">
        <v>0.1</v>
      </c>
      <c r="M16" s="78">
        <v>12975000000</v>
      </c>
      <c r="N16" s="78">
        <f>invoice[[#This Row],[مبلغ پیش دریافت]]/invoice[[#This Row],[میزان سفارش]]</f>
        <v>12975</v>
      </c>
      <c r="O16" s="144">
        <f>SUMIF([1]!bargiri[شماره پیش فاکتور],[1]!invoice[[#This Row],[شماره پیش فاکتور]],[1]!bargiri[میزان بارگیری شده])/[1]!invoice[[#This Row],[میزان سفارش]]</f>
        <v>1</v>
      </c>
      <c r="P16" s="140" t="str">
        <f>VLOOKUP(invoice[[#This Row],[شماره پیش فاکتور]],[1]!invoice[[شماره پیش فاکتور]:[نوع سفارش]],9,0)</f>
        <v>عادی</v>
      </c>
      <c r="Q16" s="145">
        <f>SUMIFS('[1]جزییات بارگیری'!D:D,'[1]جزییات بارگیری'!C:C,[1]!invoice[[#This Row],[شماره پیش فاکتور]])</f>
        <v>3084015</v>
      </c>
      <c r="R16" s="145">
        <f>IF([1]!invoice[[#This Row],[میزان سفارش]]-[1]!invoice[[#This Row],[میزان حمل شده ]]&lt;0,0,[1]!invoice[[#This Row],[میزان سفارش]]-[1]!invoice[[#This Row],[میزان حمل شده ]])</f>
        <v>0</v>
      </c>
      <c r="S16" s="145">
        <f>[1]!invoice[[#This Row],[میزان حمل نشده ]]*[1]!invoice[[#This Row],[فی]]</f>
        <v>0</v>
      </c>
      <c r="T16" s="140"/>
    </row>
    <row r="17" spans="1:20" ht="18.600000000000001" x14ac:dyDescent="0.25">
      <c r="A17" s="81" t="s">
        <v>216</v>
      </c>
      <c r="B17" s="81" t="s">
        <v>67</v>
      </c>
      <c r="C17" s="81" t="str">
        <f>VLOOKUP(invoice[[#This Row],[شماره پیش فاکتور]],[1]!invoice[[شماره پیش فاکتور]:[تاریخ]],3,0)</f>
        <v>1403/12/01</v>
      </c>
      <c r="D17" s="82" t="str">
        <f>VLOOKUP(invoice[[#This Row],[شماره پیش فاکتور]],'[1]لیست پیش فاکتور ها'!$A:$D,4,0)</f>
        <v>1403/12/01</v>
      </c>
      <c r="E17" s="2">
        <f>VLOOKUP(invoice[[#This Row],[شماره پیش فاکتور]],[1]!invoice[[شماره پیش فاکتور]:[میزان سفارش]],5,0)</f>
        <v>50000</v>
      </c>
      <c r="F17" s="2">
        <f>VLOOKUP(invoice[[#This Row],[شماره پیش فاکتور]],[1]!invoice[[شماره پیش فاکتور]:[فی]],6,0)</f>
        <v>83800</v>
      </c>
      <c r="G17" s="3" t="str">
        <f>CHOOSE(MID(invoice[[#This Row],[تاریخ]],6,2),"فروردین","اردیبهشت","خرداد","تیر","مرداد","شهریور","مهر","آبان","آذر","دی","بهمن","اسفند")</f>
        <v>اسفند</v>
      </c>
      <c r="H17" s="3">
        <f>_xlfn.NUMBERVALUE(MID(invoice[[#This Row],[تاریخ]],1,4))</f>
        <v>1403</v>
      </c>
      <c r="I17" s="3" t="str">
        <f>VLOOKUP(invoice[[#This Row],[شماره پیش فاکتور]],[1]!invoice[[شماره پیش فاکتور]:[نوع سفارش]],9,0)</f>
        <v>بورس</v>
      </c>
      <c r="J17" s="3" t="str">
        <f>VLOOKUP(invoice[[#This Row],[شماره پیش فاکتور]],[1]!invoice[[شماره پیش فاکتور]:[نوع شرکت]],10,0)</f>
        <v>تولید کننده</v>
      </c>
      <c r="K17" s="82">
        <v>46101</v>
      </c>
      <c r="L17" s="77">
        <v>0.1</v>
      </c>
      <c r="M17" s="78">
        <v>691350000</v>
      </c>
      <c r="N17" s="78">
        <f>invoice[[#This Row],[مبلغ پیش دریافت]]/invoice[[#This Row],[میزان سفارش]]</f>
        <v>13827</v>
      </c>
      <c r="O17" s="144">
        <f>SUMIF([1]!bargiri[شماره پیش فاکتور],[1]!invoice[[#This Row],[شماره پیش فاکتور]],[1]!bargiri[میزان بارگیری شده])/[1]!invoice[[#This Row],[میزان سفارش]]</f>
        <v>1</v>
      </c>
      <c r="P17" s="140" t="str">
        <f>VLOOKUP(invoice[[#This Row],[شماره پیش فاکتور]],[1]!invoice[[شماره پیش فاکتور]:[نوع سفارش]],9,0)</f>
        <v>بورس</v>
      </c>
      <c r="Q17" s="145">
        <f>SUMIFS('[1]جزییات بارگیری'!D:D,'[1]جزییات بارگیری'!C:C,[1]!invoice[[#This Row],[شماره پیش فاکتور]])</f>
        <v>500000</v>
      </c>
      <c r="R17" s="145">
        <f>IF([1]!invoice[[#This Row],[میزان سفارش]]-[1]!invoice[[#This Row],[میزان حمل شده ]]&lt;0,0,[1]!invoice[[#This Row],[میزان سفارش]]-[1]!invoice[[#This Row],[میزان حمل شده ]])</f>
        <v>0</v>
      </c>
      <c r="S17" s="145">
        <f>[1]!invoice[[#This Row],[میزان حمل نشده ]]*[1]!invoice[[#This Row],[فی]]</f>
        <v>0</v>
      </c>
      <c r="T17" s="140"/>
    </row>
    <row r="18" spans="1:20" ht="18.600000000000001" x14ac:dyDescent="0.25">
      <c r="A18" s="81" t="s">
        <v>463</v>
      </c>
      <c r="B18" s="81" t="s">
        <v>207</v>
      </c>
      <c r="C18" s="81" t="str">
        <f>VLOOKUP(invoice[[#This Row],[شماره پیش فاکتور]],[1]!invoice[[شماره پیش فاکتور]:[تاریخ]],3,0)</f>
        <v>1404/02/29</v>
      </c>
      <c r="D18" s="82" t="str">
        <f>VLOOKUP(invoice[[#This Row],[شماره پیش فاکتور]],'[1]لیست پیش فاکتور ها'!$A:$D,4,0)</f>
        <v>1404/03/01</v>
      </c>
      <c r="E18" s="2">
        <f>VLOOKUP(invoice[[#This Row],[شماره پیش فاکتور]],[1]!invoice[[شماره پیش فاکتور]:[میزان سفارش]],5,0)</f>
        <v>217925</v>
      </c>
      <c r="F18" s="2">
        <f>VLOOKUP(invoice[[#This Row],[شماره پیش فاکتور]],[1]!invoice[[شماره پیش فاکتور]:[فی]],6,0)</f>
        <v>142000</v>
      </c>
      <c r="G18" s="3" t="str">
        <f>CHOOSE(MID(invoice[[#This Row],[تاریخ]],6,2),"فروردین","اردیبهشت","خرداد","تیر","مرداد","شهریور","مهر","آبان","آذر","دی","بهمن","اسفند")</f>
        <v>اردیبهشت</v>
      </c>
      <c r="H18" s="3">
        <f>_xlfn.NUMBERVALUE(MID(invoice[[#This Row],[تاریخ]],1,4))</f>
        <v>1404</v>
      </c>
      <c r="I18" s="3" t="str">
        <f>VLOOKUP(invoice[[#This Row],[شماره پیش فاکتور]],[1]!invoice[[شماره پیش فاکتور]:[نوع سفارش]],9,0)</f>
        <v>انجمن</v>
      </c>
      <c r="J18" s="3" t="str">
        <f>VLOOKUP(invoice[[#This Row],[شماره پیش فاکتور]],[1]!invoice[[شماره پیش فاکتور]:[نوع شرکت]],10,0)</f>
        <v>تولید کننده</v>
      </c>
      <c r="K18" s="82">
        <v>46132</v>
      </c>
      <c r="L18" s="77">
        <v>0.1</v>
      </c>
      <c r="M18" s="78">
        <v>6560985750</v>
      </c>
      <c r="N18" s="78">
        <f>invoice[[#This Row],[مبلغ پیش دریافت]]/invoice[[#This Row],[میزان سفارش]]</f>
        <v>30106.622691292876</v>
      </c>
      <c r="O18" s="144">
        <f>SUMIF([1]!bargiri[شماره پیش فاکتور],[1]!invoice[[#This Row],[شماره پیش فاکتور]],[1]!bargiri[میزان بارگیری شده])/[1]!invoice[[#This Row],[میزان سفارش]]</f>
        <v>1</v>
      </c>
      <c r="P18" s="140" t="str">
        <f>VLOOKUP(invoice[[#This Row],[شماره پیش فاکتور]],[1]!invoice[[شماره پیش فاکتور]:[نوع سفارش]],9,0)</f>
        <v>انجمن</v>
      </c>
      <c r="Q18" s="145">
        <f>SUMIFS('[1]جزییات بارگیری'!D:D,'[1]جزییات بارگیری'!C:C,[1]!invoice[[#This Row],[شماره پیش فاکتور]])</f>
        <v>137590</v>
      </c>
      <c r="R18" s="145">
        <f>IF([1]!invoice[[#This Row],[میزان سفارش]]-[1]!invoice[[#This Row],[میزان حمل شده ]]&lt;0,0,[1]!invoice[[#This Row],[میزان سفارش]]-[1]!invoice[[#This Row],[میزان حمل شده ]])</f>
        <v>0</v>
      </c>
      <c r="S18" s="145">
        <f>[1]!invoice[[#This Row],[میزان حمل نشده ]]*[1]!invoice[[#This Row],[فی]]</f>
        <v>0</v>
      </c>
      <c r="T18" s="140"/>
    </row>
    <row r="19" spans="1:20" ht="18.600000000000001" x14ac:dyDescent="0.25">
      <c r="A19" s="81" t="s">
        <v>206</v>
      </c>
      <c r="B19" s="81" t="s">
        <v>207</v>
      </c>
      <c r="C19" s="81" t="str">
        <f>VLOOKUP(invoice[[#This Row],[شماره پیش فاکتور]],[1]!invoice[[شماره پیش فاکتور]:[تاریخ]],3,0)</f>
        <v>1403/12/06</v>
      </c>
      <c r="D19" s="82" t="str">
        <f>VLOOKUP(invoice[[#This Row],[شماره پیش فاکتور]],'[1]لیست پیش فاکتور ها'!$A:$D,4,0)</f>
        <v>1404/02/01</v>
      </c>
      <c r="E19" s="2">
        <f>VLOOKUP(invoice[[#This Row],[شماره پیش فاکتور]],[1]!invoice[[شماره پیش فاکتور]:[میزان سفارش]],5,0)</f>
        <v>19975</v>
      </c>
      <c r="F19" s="2">
        <f>VLOOKUP(invoice[[#This Row],[شماره پیش فاکتور]],[1]!invoice[[شماره پیش فاکتور]:[فی]],6,0)</f>
        <v>100000</v>
      </c>
      <c r="G19" s="3" t="str">
        <f>CHOOSE(MID(invoice[[#This Row],[تاریخ]],6,2),"فروردین","اردیبهشت","خرداد","تیر","مرداد","شهریور","مهر","آبان","آذر","دی","بهمن","اسفند")</f>
        <v>اسفند</v>
      </c>
      <c r="H19" s="3">
        <f>_xlfn.NUMBERVALUE(MID(invoice[[#This Row],[تاریخ]],1,4))</f>
        <v>1403</v>
      </c>
      <c r="I19" s="3" t="str">
        <f>VLOOKUP(invoice[[#This Row],[شماره پیش فاکتور]],[1]!invoice[[شماره پیش فاکتور]:[نوع سفارش]],9,0)</f>
        <v>انجمن</v>
      </c>
      <c r="J19" s="3" t="str">
        <f>VLOOKUP(invoice[[#This Row],[شماره پیش فاکتور]],[1]!invoice[[شماره پیش فاکتور]:[نوع شرکت]],10,0)</f>
        <v>تولید کننده</v>
      </c>
      <c r="K19" s="82">
        <v>46132</v>
      </c>
      <c r="L19" s="77">
        <v>0.1</v>
      </c>
      <c r="M19" s="78">
        <v>329587500</v>
      </c>
      <c r="N19" s="78">
        <f>invoice[[#This Row],[مبلغ پیش دریافت]]/invoice[[#This Row],[میزان سفارش]]</f>
        <v>16500</v>
      </c>
      <c r="O19" s="144">
        <f>SUMIF([1]!bargiri[شماره پیش فاکتور],[1]!invoice[[#This Row],[شماره پیش فاکتور]],[1]!bargiri[میزان بارگیری شده])/[1]!invoice[[#This Row],[میزان سفارش]]</f>
        <v>1</v>
      </c>
      <c r="P19" s="140" t="str">
        <f>VLOOKUP(invoice[[#This Row],[شماره پیش فاکتور]],[1]!invoice[[شماره پیش فاکتور]:[نوع سفارش]],9,0)</f>
        <v>انجمن</v>
      </c>
      <c r="Q19" s="145">
        <f>SUMIFS('[1]جزییات بارگیری'!D:D,'[1]جزییات بارگیری'!C:C,[1]!invoice[[#This Row],[شماره پیش فاکتور]])</f>
        <v>6500000</v>
      </c>
      <c r="R19" s="145">
        <f>IF([1]!invoice[[#This Row],[میزان سفارش]]-[1]!invoice[[#This Row],[میزان حمل شده ]]&lt;0,0,[1]!invoice[[#This Row],[میزان سفارش]]-[1]!invoice[[#This Row],[میزان حمل شده ]])</f>
        <v>0</v>
      </c>
      <c r="S19" s="145">
        <f>[1]!invoice[[#This Row],[میزان حمل نشده ]]*[1]!invoice[[#This Row],[فی]]</f>
        <v>0</v>
      </c>
      <c r="T19" s="140"/>
    </row>
    <row r="20" spans="1:20" ht="18.600000000000001" x14ac:dyDescent="0.25">
      <c r="A20" s="81" t="s">
        <v>601</v>
      </c>
      <c r="B20" s="81" t="s">
        <v>25</v>
      </c>
      <c r="C20" s="81" t="str">
        <f>VLOOKUP(invoice[[#This Row],[شماره پیش فاکتور]],[1]!invoice[[شماره پیش فاکتور]:[تاریخ]],3,0)</f>
        <v>1404/02/29</v>
      </c>
      <c r="D20" s="82" t="str">
        <f>VLOOKUP(invoice[[#This Row],[شماره پیش فاکتور]],'[1]لیست پیش فاکتور ها'!$A:$D,4,0)</f>
        <v>1404/03/01</v>
      </c>
      <c r="E20" s="2">
        <f>VLOOKUP(invoice[[#This Row],[شماره پیش فاکتور]],[1]!invoice[[شماره پیش فاکتور]:[میزان سفارش]],5,0)</f>
        <v>100000</v>
      </c>
      <c r="F20" s="2">
        <f>VLOOKUP(invoice[[#This Row],[شماره پیش فاکتور]],[1]!invoice[[شماره پیش فاکتور]:[فی]],6,0)</f>
        <v>142000</v>
      </c>
      <c r="G20" s="3" t="str">
        <f>CHOOSE(MID(invoice[[#This Row],[تاریخ]],6,2),"فروردین","اردیبهشت","خرداد","تیر","مرداد","شهریور","مهر","آبان","آذر","دی","بهمن","اسفند")</f>
        <v>اردیبهشت</v>
      </c>
      <c r="H20" s="3">
        <f>_xlfn.NUMBERVALUE(MID(invoice[[#This Row],[تاریخ]],1,4))</f>
        <v>1404</v>
      </c>
      <c r="I20" s="3" t="str">
        <f>VLOOKUP(invoice[[#This Row],[شماره پیش فاکتور]],[1]!invoice[[شماره پیش فاکتور]:[نوع سفارش]],9,0)</f>
        <v>انجمن</v>
      </c>
      <c r="J20" s="3" t="str">
        <f>VLOOKUP(invoice[[#This Row],[شماره پیش فاکتور]],[1]!invoice[[شماره پیش فاکتور]:[نوع شرکت]],10,0)</f>
        <v>تولید کننده</v>
      </c>
      <c r="K20" s="82">
        <v>46132</v>
      </c>
      <c r="L20" s="77">
        <v>0.1</v>
      </c>
      <c r="M20" s="78">
        <v>2343000000</v>
      </c>
      <c r="N20" s="78">
        <f>invoice[[#This Row],[مبلغ پیش دریافت]]/invoice[[#This Row],[میزان سفارش]]</f>
        <v>23430</v>
      </c>
      <c r="O20" s="144">
        <f>SUMIF([1]!bargiri[شماره پیش فاکتور],[1]!invoice[[#This Row],[شماره پیش فاکتور]],[1]!bargiri[میزان بارگیری شده])/[1]!invoice[[#This Row],[میزان سفارش]]</f>
        <v>1</v>
      </c>
      <c r="P20" s="140" t="str">
        <f>VLOOKUP(invoice[[#This Row],[شماره پیش فاکتور]],[1]!invoice[[شماره پیش فاکتور]:[نوع سفارش]],9,0)</f>
        <v>انجمن</v>
      </c>
      <c r="Q20" s="145">
        <f>SUMIFS('[1]جزییات بارگیری'!D:D,'[1]جزییات بارگیری'!C:C,[1]!invoice[[#This Row],[شماره پیش فاکتور]])</f>
        <v>1882350</v>
      </c>
      <c r="R20" s="145">
        <f>IF([1]!invoice[[#This Row],[میزان سفارش]]-[1]!invoice[[#This Row],[میزان حمل شده ]]&lt;0,0,[1]!invoice[[#This Row],[میزان سفارش]]-[1]!invoice[[#This Row],[میزان حمل شده ]])</f>
        <v>0</v>
      </c>
      <c r="S20" s="145">
        <f>[1]!invoice[[#This Row],[میزان حمل نشده ]]*[1]!invoice[[#This Row],[فی]]</f>
        <v>0</v>
      </c>
      <c r="T20" s="140"/>
    </row>
    <row r="21" spans="1:20" ht="18.600000000000001" x14ac:dyDescent="0.25">
      <c r="A21" s="81" t="s">
        <v>602</v>
      </c>
      <c r="B21" s="81" t="s">
        <v>30</v>
      </c>
      <c r="C21" s="81" t="str">
        <f>VLOOKUP(invoice[[#This Row],[شماره پیش فاکتور]],[1]!invoice[[شماره پیش فاکتور]:[تاریخ]],3,0)</f>
        <v>1404/02/29</v>
      </c>
      <c r="D21" s="82" t="str">
        <f>VLOOKUP(invoice[[#This Row],[شماره پیش فاکتور]],'[1]لیست پیش فاکتور ها'!$A:$D,4,0)</f>
        <v>1404/03/01</v>
      </c>
      <c r="E21" s="2">
        <f>VLOOKUP(invoice[[#This Row],[شماره پیش فاکتور]],[1]!invoice[[شماره پیش فاکتور]:[میزان سفارش]],5,0)</f>
        <v>144945</v>
      </c>
      <c r="F21" s="2">
        <f>VLOOKUP(invoice[[#This Row],[شماره پیش فاکتور]],[1]!invoice[[شماره پیش فاکتور]:[فی]],6,0)</f>
        <v>142000</v>
      </c>
      <c r="G21" s="3" t="str">
        <f>CHOOSE(MID(invoice[[#This Row],[تاریخ]],6,2),"فروردین","اردیبهشت","خرداد","تیر","مرداد","شهریور","مهر","آبان","آذر","دی","بهمن","اسفند")</f>
        <v>اردیبهشت</v>
      </c>
      <c r="H21" s="3">
        <f>_xlfn.NUMBERVALUE(MID(invoice[[#This Row],[تاریخ]],1,4))</f>
        <v>1404</v>
      </c>
      <c r="I21" s="3" t="str">
        <f>VLOOKUP(invoice[[#This Row],[شماره پیش فاکتور]],[1]!invoice[[شماره پیش فاکتور]:[نوع سفارش]],9,0)</f>
        <v>انجمن</v>
      </c>
      <c r="J21" s="3" t="str">
        <f>VLOOKUP(invoice[[#This Row],[شماره پیش فاکتور]],[1]!invoice[[شماره پیش فاکتور]:[نوع شرکت]],10,0)</f>
        <v>تولید کننده</v>
      </c>
      <c r="K21" s="82">
        <v>46132</v>
      </c>
      <c r="L21" s="77">
        <v>0.1</v>
      </c>
      <c r="M21" s="78">
        <v>16401000000</v>
      </c>
      <c r="N21" s="78">
        <f>invoice[[#This Row],[مبلغ پیش دریافت]]/invoice[[#This Row],[میزان سفارش]]</f>
        <v>113153.2650315637</v>
      </c>
      <c r="O21" s="144">
        <f>SUMIF([1]!bargiri[شماره پیش فاکتور],[1]!invoice[[#This Row],[شماره پیش فاکتور]],[1]!bargiri[میزان بارگیری شده])/[1]!invoice[[#This Row],[میزان سفارش]]</f>
        <v>1</v>
      </c>
      <c r="P21" s="140" t="str">
        <f>VLOOKUP(invoice[[#This Row],[شماره پیش فاکتور]],[1]!invoice[[شماره پیش فاکتور]:[نوع سفارش]],9,0)</f>
        <v>انجمن</v>
      </c>
      <c r="Q21" s="145">
        <f>SUMIFS('[1]جزییات بارگیری'!D:D,'[1]جزییات بارگیری'!C:C,[1]!invoice[[#This Row],[شماره پیش فاکتور]])</f>
        <v>44910</v>
      </c>
      <c r="R21" s="145">
        <f>IF([1]!invoice[[#This Row],[میزان سفارش]]-[1]!invoice[[#This Row],[میزان حمل شده ]]&lt;0,0,[1]!invoice[[#This Row],[میزان سفارش]]-[1]!invoice[[#This Row],[میزان حمل شده ]])</f>
        <v>0</v>
      </c>
      <c r="S21" s="145">
        <f>[1]!invoice[[#This Row],[میزان حمل نشده ]]*[1]!invoice[[#This Row],[فی]]</f>
        <v>0</v>
      </c>
      <c r="T21" s="140"/>
    </row>
    <row r="22" spans="1:20" ht="18.600000000000001" x14ac:dyDescent="0.25">
      <c r="A22" s="81" t="s">
        <v>461</v>
      </c>
      <c r="B22" s="81" t="s">
        <v>35</v>
      </c>
      <c r="C22" s="81" t="str">
        <f>VLOOKUP(invoice[[#This Row],[شماره پیش فاکتور]],[1]!invoice[[شماره پیش فاکتور]:[تاریخ]],3,0)</f>
        <v>1404/02/29</v>
      </c>
      <c r="D22" s="82" t="str">
        <f>VLOOKUP(invoice[[#This Row],[شماره پیش فاکتور]],'[1]لیست پیش فاکتور ها'!$A:$D,4,0)</f>
        <v>1404/03/01</v>
      </c>
      <c r="E22" s="2">
        <f>VLOOKUP(invoice[[#This Row],[شماره پیش فاکتور]],[1]!invoice[[شماره پیش فاکتور]:[میزان سفارش]],5,0)</f>
        <v>713932</v>
      </c>
      <c r="F22" s="2">
        <f>VLOOKUP(invoice[[#This Row],[شماره پیش فاکتور]],[1]!invoice[[شماره پیش فاکتور]:[فی]],6,0)</f>
        <v>142000</v>
      </c>
      <c r="G22" s="3" t="str">
        <f>CHOOSE(MID(invoice[[#This Row],[تاریخ]],6,2),"فروردین","اردیبهشت","خرداد","تیر","مرداد","شهریور","مهر","آبان","آذر","دی","بهمن","اسفند")</f>
        <v>اردیبهشت</v>
      </c>
      <c r="H22" s="3">
        <f>_xlfn.NUMBERVALUE(MID(invoice[[#This Row],[تاریخ]],1,4))</f>
        <v>1404</v>
      </c>
      <c r="I22" s="3" t="str">
        <f>VLOOKUP(invoice[[#This Row],[شماره پیش فاکتور]],[1]!invoice[[شماره پیش فاکتور]:[نوع سفارش]],9,0)</f>
        <v>انجمن</v>
      </c>
      <c r="J22" s="3" t="str">
        <f>VLOOKUP(invoice[[#This Row],[شماره پیش فاکتور]],[1]!invoice[[شماره پیش فاکتور]:[نوع شرکت]],10,0)</f>
        <v>تولید کننده</v>
      </c>
      <c r="K22" s="82">
        <v>46132</v>
      </c>
      <c r="L22" s="77">
        <v>0.1</v>
      </c>
      <c r="M22" s="78">
        <v>23430000000</v>
      </c>
      <c r="N22" s="78">
        <f>invoice[[#This Row],[مبلغ پیش دریافت]]/invoice[[#This Row],[میزان سفارش]]</f>
        <v>32818.251598191426</v>
      </c>
      <c r="O22" s="144">
        <f>SUMIF([1]!bargiri[شماره پیش فاکتور],[1]!invoice[[#This Row],[شماره پیش فاکتور]],[1]!bargiri[میزان بارگیری شده])/[1]!invoice[[#This Row],[میزان سفارش]]</f>
        <v>1.0105</v>
      </c>
      <c r="P22" s="140" t="str">
        <f>VLOOKUP(invoice[[#This Row],[شماره پیش فاکتور]],[1]!invoice[[شماره پیش فاکتور]:[نوع سفارش]],9,0)</f>
        <v>انجمن</v>
      </c>
      <c r="Q22" s="145">
        <f>SUMIFS('[1]جزییات بارگیری'!D:D,'[1]جزییات بارگیری'!C:C,[1]!invoice[[#This Row],[شماره پیش فاکتور]])</f>
        <v>20210</v>
      </c>
      <c r="R22" s="145">
        <f>IF([1]!invoice[[#This Row],[میزان سفارش]]-[1]!invoice[[#This Row],[میزان حمل شده ]]&lt;0,0,[1]!invoice[[#This Row],[میزان سفارش]]-[1]!invoice[[#This Row],[میزان حمل شده ]])</f>
        <v>0</v>
      </c>
      <c r="S22" s="145">
        <f>[1]!invoice[[#This Row],[میزان حمل نشده ]]*[1]!invoice[[#This Row],[فی]]</f>
        <v>0</v>
      </c>
      <c r="T22" s="140"/>
    </row>
    <row r="23" spans="1:20" ht="18.600000000000001" x14ac:dyDescent="0.25">
      <c r="A23" s="81" t="s">
        <v>603</v>
      </c>
      <c r="B23" s="81" t="s">
        <v>40</v>
      </c>
      <c r="C23" s="81" t="str">
        <f>VLOOKUP(invoice[[#This Row],[شماره پیش فاکتور]],[1]!invoice[[شماره پیش فاکتور]:[تاریخ]],3,0)</f>
        <v>1404/02/29</v>
      </c>
      <c r="D23" s="82" t="str">
        <f>VLOOKUP(invoice[[#This Row],[شماره پیش فاکتور]],'[1]لیست پیش فاکتور ها'!$A:$D,4,0)</f>
        <v>1404/03/01</v>
      </c>
      <c r="E23" s="2">
        <f>VLOOKUP(invoice[[#This Row],[شماره پیش فاکتور]],[1]!invoice[[شماره پیش فاکتور]:[میزان سفارش]],5,0)</f>
        <v>58770</v>
      </c>
      <c r="F23" s="2">
        <f>VLOOKUP(invoice[[#This Row],[شماره پیش فاکتور]],[1]!invoice[[شماره پیش فاکتور]:[فی]],6,0)</f>
        <v>142000</v>
      </c>
      <c r="G23" s="3" t="str">
        <f>CHOOSE(MID(invoice[[#This Row],[تاریخ]],6,2),"فروردین","اردیبهشت","خرداد","تیر","مرداد","شهریور","مهر","آبان","آذر","دی","بهمن","اسفند")</f>
        <v>اردیبهشت</v>
      </c>
      <c r="H23" s="3">
        <f>_xlfn.NUMBERVALUE(MID(invoice[[#This Row],[تاریخ]],1,4))</f>
        <v>1404</v>
      </c>
      <c r="I23" s="3" t="str">
        <f>VLOOKUP(invoice[[#This Row],[شماره پیش فاکتور]],[1]!invoice[[شماره پیش فاکتور]:[نوع سفارش]],9,0)</f>
        <v>انجمن</v>
      </c>
      <c r="J23" s="3" t="str">
        <f>VLOOKUP(invoice[[#This Row],[شماره پیش فاکتور]],[1]!invoice[[شماره پیش فاکتور]:[نوع شرکت]],10,0)</f>
        <v>تولید کننده</v>
      </c>
      <c r="K23" s="82">
        <v>46132</v>
      </c>
      <c r="L23" s="77">
        <v>0.1</v>
      </c>
      <c r="M23" s="78">
        <v>4217400000</v>
      </c>
      <c r="N23" s="78">
        <f>invoice[[#This Row],[مبلغ پیش دریافت]]/invoice[[#This Row],[میزان سفارش]]</f>
        <v>71761.102603369072</v>
      </c>
      <c r="O23" s="144">
        <f>SUMIF([1]!bargiri[شماره پیش فاکتور],[1]!invoice[[#This Row],[شماره پیش فاکتور]],[1]!bargiri[میزان بارگیری شده])/[1]!invoice[[#This Row],[میزان سفارش]]</f>
        <v>1</v>
      </c>
      <c r="P23" s="140" t="str">
        <f>VLOOKUP(invoice[[#This Row],[شماره پیش فاکتور]],[1]!invoice[[شماره پیش فاکتور]:[نوع سفارش]],9,0)</f>
        <v>انجمن</v>
      </c>
      <c r="Q23" s="145">
        <f>SUMIFS('[1]جزییات بارگیری'!D:D,'[1]جزییات بارگیری'!C:C,[1]!invoice[[#This Row],[شماره پیش فاکتور]])</f>
        <v>200000</v>
      </c>
      <c r="R23" s="145">
        <f>IF([1]!invoice[[#This Row],[میزان سفارش]]-[1]!invoice[[#This Row],[میزان حمل شده ]]&lt;0,0,[1]!invoice[[#This Row],[میزان سفارش]]-[1]!invoice[[#This Row],[میزان حمل شده ]])</f>
        <v>0</v>
      </c>
      <c r="S23" s="145">
        <f>[1]!invoice[[#This Row],[میزان حمل نشده ]]*[1]!invoice[[#This Row],[فی]]</f>
        <v>0</v>
      </c>
      <c r="T23" s="140"/>
    </row>
    <row r="24" spans="1:20" ht="18.600000000000001" x14ac:dyDescent="0.25">
      <c r="A24" s="81" t="s">
        <v>604</v>
      </c>
      <c r="B24" s="81" t="s">
        <v>40</v>
      </c>
      <c r="C24" s="81" t="e">
        <f>VLOOKUP(invoice[[#This Row],[شماره پیش فاکتور]],[1]!invoice[[شماره پیش فاکتور]:[تاریخ]],3,0)</f>
        <v>#N/A</v>
      </c>
      <c r="D24" s="82" t="e">
        <f>VLOOKUP(invoice[[#This Row],[شماره پیش فاکتور]],'[1]لیست پیش فاکتور ها'!$A:$D,4,0)</f>
        <v>#N/A</v>
      </c>
      <c r="E24" s="2" t="e">
        <f>VLOOKUP(invoice[[#This Row],[شماره پیش فاکتور]],[1]!invoice[[شماره پیش فاکتور]:[میزان سفارش]],5,0)</f>
        <v>#N/A</v>
      </c>
      <c r="F24" s="2" t="e">
        <f>VLOOKUP(invoice[[#This Row],[شماره پیش فاکتور]],[1]!invoice[[شماره پیش فاکتور]:[فی]],6,0)</f>
        <v>#N/A</v>
      </c>
      <c r="G24" s="3" t="e">
        <f>CHOOSE(MID(invoice[[#This Row],[تاریخ]],6,2),"فروردین","اردیبهشت","خرداد","تیر","مرداد","شهریور","مهر","آبان","آذر","دی","بهمن","اسفند")</f>
        <v>#N/A</v>
      </c>
      <c r="H24" s="3" t="e">
        <f>_xlfn.NUMBERVALUE(MID(invoice[[#This Row],[تاریخ]],1,4))</f>
        <v>#N/A</v>
      </c>
      <c r="I24" s="3" t="e">
        <f>VLOOKUP(invoice[[#This Row],[شماره پیش فاکتور]],[1]!invoice[[شماره پیش فاکتور]:[نوع سفارش]],9,0)</f>
        <v>#N/A</v>
      </c>
      <c r="J24" s="3" t="e">
        <f>VLOOKUP(invoice[[#This Row],[شماره پیش فاکتور]],[1]!invoice[[شماره پیش فاکتور]:[نوع شرکت]],10,0)</f>
        <v>#N/A</v>
      </c>
      <c r="K24" s="82">
        <v>46132</v>
      </c>
      <c r="L24" s="77">
        <v>0.1</v>
      </c>
      <c r="M24" s="78">
        <v>7029000000</v>
      </c>
      <c r="N24" s="78" t="e">
        <f>invoice[[#This Row],[مبلغ پیش دریافت]]/invoice[[#This Row],[میزان سفارش]]</f>
        <v>#N/A</v>
      </c>
      <c r="O24" s="144">
        <f>SUMIF([1]!bargiri[شماره پیش فاکتور],[1]!invoice[[#This Row],[شماره پیش فاکتور]],[1]!bargiri[میزان بارگیری شده])/[1]!invoice[[#This Row],[میزان سفارش]]</f>
        <v>1</v>
      </c>
      <c r="P24" s="140" t="e">
        <f>VLOOKUP(invoice[[#This Row],[شماره پیش فاکتور]],[1]!invoice[[شماره پیش فاکتور]:[نوع سفارش]],9,0)</f>
        <v>#N/A</v>
      </c>
      <c r="Q24" s="145">
        <f>SUMIFS('[1]جزییات بارگیری'!D:D,'[1]جزییات بارگیری'!C:C,[1]!invoice[[#This Row],[شماره پیش فاکتور]])</f>
        <v>50000</v>
      </c>
      <c r="R24" s="145">
        <f>IF([1]!invoice[[#This Row],[میزان سفارش]]-[1]!invoice[[#This Row],[میزان حمل شده ]]&lt;0,0,[1]!invoice[[#This Row],[میزان سفارش]]-[1]!invoice[[#This Row],[میزان حمل شده ]])</f>
        <v>0</v>
      </c>
      <c r="S24" s="145">
        <f>[1]!invoice[[#This Row],[میزان حمل نشده ]]*[1]!invoice[[#This Row],[فی]]</f>
        <v>0</v>
      </c>
      <c r="T24" s="140"/>
    </row>
    <row r="25" spans="1:20" ht="18.600000000000001" x14ac:dyDescent="0.25">
      <c r="A25" s="81" t="s">
        <v>212</v>
      </c>
      <c r="B25" s="81" t="s">
        <v>213</v>
      </c>
      <c r="C25" s="81" t="str">
        <f>VLOOKUP(invoice[[#This Row],[شماره پیش فاکتور]],[1]!invoice[[شماره پیش فاکتور]:[تاریخ]],3,0)</f>
        <v>1403/12/06</v>
      </c>
      <c r="D25" s="82" t="str">
        <f>VLOOKUP(invoice[[#This Row],[شماره پیش فاکتور]],'[1]لیست پیش فاکتور ها'!$A:$D,4,0)</f>
        <v>1404/02/01</v>
      </c>
      <c r="E25" s="2">
        <f>VLOOKUP(invoice[[#This Row],[شماره پیش فاکتور]],[1]!invoice[[شماره پیش فاکتور]:[میزان سفارش]],5,0)</f>
        <v>29755</v>
      </c>
      <c r="F25" s="2">
        <f>VLOOKUP(invoice[[#This Row],[شماره پیش فاکتور]],[1]!invoice[[شماره پیش فاکتور]:[فی]],6,0)</f>
        <v>100000</v>
      </c>
      <c r="G25" s="3" t="str">
        <f>CHOOSE(MID(invoice[[#This Row],[تاریخ]],6,2),"فروردین","اردیبهشت","خرداد","تیر","مرداد","شهریور","مهر","آبان","آذر","دی","بهمن","اسفند")</f>
        <v>اسفند</v>
      </c>
      <c r="H25" s="3">
        <f>_xlfn.NUMBERVALUE(MID(invoice[[#This Row],[تاریخ]],1,4))</f>
        <v>1403</v>
      </c>
      <c r="I25" s="3" t="str">
        <f>VLOOKUP(invoice[[#This Row],[شماره پیش فاکتور]],[1]!invoice[[شماره پیش فاکتور]:[نوع سفارش]],9,0)</f>
        <v>انجمن</v>
      </c>
      <c r="J25" s="3" t="str">
        <f>VLOOKUP(invoice[[#This Row],[شماره پیش فاکتور]],[1]!invoice[[شماره پیش فاکتور]:[نوع شرکت]],10,0)</f>
        <v>تولید کننده</v>
      </c>
      <c r="K25" s="82">
        <v>46132</v>
      </c>
      <c r="L25" s="77">
        <v>0.1</v>
      </c>
      <c r="M25" s="78">
        <v>490957500</v>
      </c>
      <c r="N25" s="78">
        <f>invoice[[#This Row],[مبلغ پیش دریافت]]/invoice[[#This Row],[میزان سفارش]]</f>
        <v>16500</v>
      </c>
      <c r="O25" s="144">
        <f>SUMIF([1]!bargiri[شماره پیش فاکتور],[1]!invoice[[#This Row],[شماره پیش فاکتور]],[1]!bargiri[میزان بارگیری شده])/[1]!invoice[[#This Row],[میزان سفارش]]</f>
        <v>1.0035000000000001</v>
      </c>
      <c r="P25" s="140" t="str">
        <f>VLOOKUP(invoice[[#This Row],[شماره پیش فاکتور]],[1]!invoice[[شماره پیش فاکتور]:[نوع سفارش]],9,0)</f>
        <v>انجمن</v>
      </c>
      <c r="Q25" s="145">
        <f>SUMIFS('[1]جزییات بارگیری'!D:D,'[1]جزییات بارگیری'!C:C,[1]!invoice[[#This Row],[شماره پیش فاکتور]])</f>
        <v>20070</v>
      </c>
      <c r="R25" s="145">
        <f>IF([1]!invoice[[#This Row],[میزان سفارش]]-[1]!invoice[[#This Row],[میزان حمل شده ]]&lt;0,0,[1]!invoice[[#This Row],[میزان سفارش]]-[1]!invoice[[#This Row],[میزان حمل شده ]])</f>
        <v>0</v>
      </c>
      <c r="S25" s="145">
        <f>[1]!invoice[[#This Row],[میزان حمل نشده ]]*[1]!invoice[[#This Row],[فی]]</f>
        <v>0</v>
      </c>
      <c r="T25" s="140"/>
    </row>
    <row r="26" spans="1:20" ht="18.600000000000001" x14ac:dyDescent="0.25">
      <c r="A26" s="81" t="s">
        <v>456</v>
      </c>
      <c r="B26" s="81" t="s">
        <v>213</v>
      </c>
      <c r="C26" s="81" t="str">
        <f>VLOOKUP(invoice[[#This Row],[شماره پیش فاکتور]],[1]!invoice[[شماره پیش فاکتور]:[تاریخ]],3,0)</f>
        <v>1404/02/29</v>
      </c>
      <c r="D26" s="82" t="str">
        <f>VLOOKUP(invoice[[#This Row],[شماره پیش فاکتور]],'[1]لیست پیش فاکتور ها'!$A:$D,4,0)</f>
        <v>1404/03/01</v>
      </c>
      <c r="E26" s="2">
        <f>VLOOKUP(invoice[[#This Row],[شماره پیش فاکتور]],[1]!invoice[[شماره پیش فاکتور]:[میزان سفارش]],5,0)</f>
        <v>487745</v>
      </c>
      <c r="F26" s="2">
        <f>VLOOKUP(invoice[[#This Row],[شماره پیش فاکتور]],[1]!invoice[[شماره پیش فاکتور]:[فی]],6,0)</f>
        <v>142000</v>
      </c>
      <c r="G26" s="3" t="str">
        <f>CHOOSE(MID(invoice[[#This Row],[تاریخ]],6,2),"فروردین","اردیبهشت","خرداد","تیر","مرداد","شهریور","مهر","آبان","آذر","دی","بهمن","اسفند")</f>
        <v>اردیبهشت</v>
      </c>
      <c r="H26" s="3">
        <f>_xlfn.NUMBERVALUE(MID(invoice[[#This Row],[تاریخ]],1,4))</f>
        <v>1404</v>
      </c>
      <c r="I26" s="3" t="str">
        <f>VLOOKUP(invoice[[#This Row],[شماره پیش فاکتور]],[1]!invoice[[شماره پیش فاکتور]:[نوع سفارش]],9,0)</f>
        <v>انجمن</v>
      </c>
      <c r="J26" s="3" t="str">
        <f>VLOOKUP(invoice[[#This Row],[شماره پیش فاکتور]],[1]!invoice[[شماره پیش فاکتور]:[نوع شرکت]],10,0)</f>
        <v>تولید کننده</v>
      </c>
      <c r="K26" s="82">
        <v>46132</v>
      </c>
      <c r="L26" s="77">
        <v>0.1</v>
      </c>
      <c r="M26" s="78">
        <v>57877840350.000008</v>
      </c>
      <c r="N26" s="78">
        <f>invoice[[#This Row],[مبلغ پیش دریافت]]/invoice[[#This Row],[میزان سفارش]]</f>
        <v>118664.13874053041</v>
      </c>
      <c r="O26" s="144">
        <f>SUMIF([1]!bargiri[شماره پیش فاکتور],[1]!invoice[[#This Row],[شماره پیش فاکتور]],[1]!bargiri[میزان بارگیری شده])/[1]!invoice[[#This Row],[میزان سفارش]]</f>
        <v>1</v>
      </c>
      <c r="P26" s="140" t="str">
        <f>VLOOKUP(invoice[[#This Row],[شماره پیش فاکتور]],[1]!invoice[[شماره پیش فاکتور]:[نوع سفارش]],9,0)</f>
        <v>انجمن</v>
      </c>
      <c r="Q26" s="145">
        <f>SUMIFS('[1]جزییات بارگیری'!D:D,'[1]جزییات بارگیری'!C:C,[1]!invoice[[#This Row],[شماره پیش فاکتور]])</f>
        <v>400000</v>
      </c>
      <c r="R26" s="145">
        <f>IF([1]!invoice[[#This Row],[میزان سفارش]]-[1]!invoice[[#This Row],[میزان حمل شده ]]&lt;0,0,[1]!invoice[[#This Row],[میزان سفارش]]-[1]!invoice[[#This Row],[میزان حمل شده ]])</f>
        <v>0</v>
      </c>
      <c r="S26" s="145">
        <f>[1]!invoice[[#This Row],[میزان حمل نشده ]]*[1]!invoice[[#This Row],[فی]]</f>
        <v>0</v>
      </c>
      <c r="T26" s="140"/>
    </row>
    <row r="27" spans="1:20" ht="18.600000000000001" x14ac:dyDescent="0.25">
      <c r="A27" s="81" t="s">
        <v>455</v>
      </c>
      <c r="B27" s="81" t="s">
        <v>67</v>
      </c>
      <c r="C27" s="81" t="str">
        <f>VLOOKUP(invoice[[#This Row],[شماره پیش فاکتور]],[1]!invoice[[شماره پیش فاکتور]:[تاریخ]],3,0)</f>
        <v>1404/02/29</v>
      </c>
      <c r="D27" s="82" t="str">
        <f>VLOOKUP(invoice[[#This Row],[شماره پیش فاکتور]],'[1]لیست پیش فاکتور ها'!$A:$D,4,0)</f>
        <v>1404/03/01</v>
      </c>
      <c r="E27" s="2">
        <f>VLOOKUP(invoice[[#This Row],[شماره پیش فاکتور]],[1]!invoice[[شماره پیش فاکتور]:[میزان سفارش]],5,0)</f>
        <v>300000</v>
      </c>
      <c r="F27" s="2">
        <f>VLOOKUP(invoice[[#This Row],[شماره پیش فاکتور]],[1]!invoice[[شماره پیش فاکتور]:[فی]],6,0)</f>
        <v>142000</v>
      </c>
      <c r="G27" s="3" t="str">
        <f>CHOOSE(MID(invoice[[#This Row],[تاریخ]],6,2),"فروردین","اردیبهشت","خرداد","تیر","مرداد","شهریور","مهر","آبان","آذر","دی","بهمن","اسفند")</f>
        <v>اردیبهشت</v>
      </c>
      <c r="H27" s="3">
        <f>_xlfn.NUMBERVALUE(MID(invoice[[#This Row],[تاریخ]],1,4))</f>
        <v>1404</v>
      </c>
      <c r="I27" s="3" t="str">
        <f>VLOOKUP(invoice[[#This Row],[شماره پیش فاکتور]],[1]!invoice[[شماره پیش فاکتور]:[نوع سفارش]],9,0)</f>
        <v>انجمن</v>
      </c>
      <c r="J27" s="3" t="str">
        <f>VLOOKUP(invoice[[#This Row],[شماره پیش فاکتور]],[1]!invoice[[شماره پیش فاکتور]:[نوع شرکت]],10,0)</f>
        <v>تولید کننده</v>
      </c>
      <c r="K27" s="82">
        <v>46132</v>
      </c>
      <c r="L27" s="77">
        <v>0.1</v>
      </c>
      <c r="M27" s="78">
        <v>7029000000</v>
      </c>
      <c r="N27" s="78">
        <f>invoice[[#This Row],[مبلغ پیش دریافت]]/invoice[[#This Row],[میزان سفارش]]</f>
        <v>23430</v>
      </c>
      <c r="O27" s="144">
        <f>SUMIF([1]!bargiri[شماره پیش فاکتور],[1]!invoice[[#This Row],[شماره پیش فاکتور]],[1]!bargiri[میزان بارگیری شده])/[1]!invoice[[#This Row],[میزان سفارش]]</f>
        <v>1</v>
      </c>
      <c r="P27" s="140" t="str">
        <f>VLOOKUP(invoice[[#This Row],[شماره پیش فاکتور]],[1]!invoice[[شماره پیش فاکتور]:[نوع سفارش]],9,0)</f>
        <v>انجمن</v>
      </c>
      <c r="Q27" s="145">
        <f>SUMIFS('[1]جزییات بارگیری'!D:D,'[1]جزییات بارگیری'!C:C,[1]!invoice[[#This Row],[شماره پیش فاکتور]])</f>
        <v>100000</v>
      </c>
      <c r="R27" s="145">
        <f>IF([1]!invoice[[#This Row],[میزان سفارش]]-[1]!invoice[[#This Row],[میزان حمل شده ]]&lt;0,0,[1]!invoice[[#This Row],[میزان سفارش]]-[1]!invoice[[#This Row],[میزان حمل شده ]])</f>
        <v>0</v>
      </c>
      <c r="S27" s="145">
        <f>[1]!invoice[[#This Row],[میزان حمل نشده ]]*[1]!invoice[[#This Row],[فی]]</f>
        <v>0</v>
      </c>
      <c r="T27" s="140"/>
    </row>
    <row r="28" spans="1:20" ht="18.600000000000001" x14ac:dyDescent="0.25">
      <c r="A28" s="81" t="s">
        <v>605</v>
      </c>
      <c r="B28" s="81" t="s">
        <v>70</v>
      </c>
      <c r="C28" s="81" t="str">
        <f>VLOOKUP(invoice[[#This Row],[شماره پیش فاکتور]],[1]!invoice[[شماره پیش فاکتور]:[تاریخ]],3,0)</f>
        <v>1404/02/29</v>
      </c>
      <c r="D28" s="82" t="str">
        <f>VLOOKUP(invoice[[#This Row],[شماره پیش فاکتور]],'[1]لیست پیش فاکتور ها'!$A:$D,4,0)</f>
        <v>1404/03/01</v>
      </c>
      <c r="E28" s="2">
        <f>VLOOKUP(invoice[[#This Row],[شماره پیش فاکتور]],[1]!invoice[[شماره پیش فاکتور]:[میزان سفارش]],5,0)</f>
        <v>180000</v>
      </c>
      <c r="F28" s="2">
        <f>VLOOKUP(invoice[[#This Row],[شماره پیش فاکتور]],[1]!invoice[[شماره پیش فاکتور]:[فی]],6,0)</f>
        <v>142000</v>
      </c>
      <c r="G28" s="3" t="str">
        <f>CHOOSE(MID(invoice[[#This Row],[تاریخ]],6,2),"فروردین","اردیبهشت","خرداد","تیر","مرداد","شهریور","مهر","آبان","آذر","دی","بهمن","اسفند")</f>
        <v>اردیبهشت</v>
      </c>
      <c r="H28" s="3">
        <f>_xlfn.NUMBERVALUE(MID(invoice[[#This Row],[تاریخ]],1,4))</f>
        <v>1404</v>
      </c>
      <c r="I28" s="3" t="str">
        <f>VLOOKUP(invoice[[#This Row],[شماره پیش فاکتور]],[1]!invoice[[شماره پیش فاکتور]:[نوع سفارش]],9,0)</f>
        <v>انجمن</v>
      </c>
      <c r="J28" s="3" t="str">
        <f>VLOOKUP(invoice[[#This Row],[شماره پیش فاکتور]],[1]!invoice[[شماره پیش فاکتور]:[نوع شرکت]],10,0)</f>
        <v>تولید کننده</v>
      </c>
      <c r="K28" s="82">
        <v>46132</v>
      </c>
      <c r="L28" s="77">
        <v>0.1</v>
      </c>
      <c r="M28" s="78">
        <v>4217400000</v>
      </c>
      <c r="N28" s="78">
        <f>invoice[[#This Row],[مبلغ پیش دریافت]]/invoice[[#This Row],[میزان سفارش]]</f>
        <v>23430</v>
      </c>
      <c r="O28" s="144">
        <f>SUMIF([1]!bargiri[شماره پیش فاکتور],[1]!invoice[[#This Row],[شماره پیش فاکتور]],[1]!bargiri[میزان بارگیری شده])/[1]!invoice[[#This Row],[میزان سفارش]]</f>
        <v>1</v>
      </c>
      <c r="P28" s="140" t="str">
        <f>VLOOKUP(invoice[[#This Row],[شماره پیش فاکتور]],[1]!invoice[[شماره پیش فاکتور]:[نوع سفارش]],9,0)</f>
        <v>انجمن</v>
      </c>
      <c r="Q28" s="145">
        <f>SUMIFS('[1]جزییات بارگیری'!D:D,'[1]جزییات بارگیری'!C:C,[1]!invoice[[#This Row],[شماره پیش فاکتور]])</f>
        <v>250000</v>
      </c>
      <c r="R28" s="145">
        <f>IF([1]!invoice[[#This Row],[میزان سفارش]]-[1]!invoice[[#This Row],[میزان حمل شده ]]&lt;0,0,[1]!invoice[[#This Row],[میزان سفارش]]-[1]!invoice[[#This Row],[میزان حمل شده ]])</f>
        <v>0</v>
      </c>
      <c r="S28" s="145">
        <f>[1]!invoice[[#This Row],[میزان حمل نشده ]]*[1]!invoice[[#This Row],[فی]]</f>
        <v>0</v>
      </c>
      <c r="T28" s="140"/>
    </row>
    <row r="29" spans="1:20" ht="18.600000000000001" x14ac:dyDescent="0.25">
      <c r="A29" s="81" t="s">
        <v>218</v>
      </c>
      <c r="B29" s="81" t="s">
        <v>219</v>
      </c>
      <c r="C29" s="81" t="str">
        <f>VLOOKUP(invoice[[#This Row],[شماره پیش فاکتور]],[1]!invoice[[شماره پیش فاکتور]:[تاریخ]],3,0)</f>
        <v>1403/12/06</v>
      </c>
      <c r="D29" s="82" t="str">
        <f>VLOOKUP(invoice[[#This Row],[شماره پیش فاکتور]],'[1]لیست پیش فاکتور ها'!$A:$D,4,0)</f>
        <v>1404/02/01</v>
      </c>
      <c r="E29" s="2">
        <f>VLOOKUP(invoice[[#This Row],[شماره پیش فاکتور]],[1]!invoice[[شماره پیش فاکتور]:[میزان سفارش]],5,0)</f>
        <v>17960</v>
      </c>
      <c r="F29" s="2">
        <f>VLOOKUP(invoice[[#This Row],[شماره پیش فاکتور]],[1]!invoice[[شماره پیش فاکتور]:[فی]],6,0)</f>
        <v>100000</v>
      </c>
      <c r="G29" s="3" t="str">
        <f>CHOOSE(MID(invoice[[#This Row],[تاریخ]],6,2),"فروردین","اردیبهشت","خرداد","تیر","مرداد","شهریور","مهر","آبان","آذر","دی","بهمن","اسفند")</f>
        <v>اسفند</v>
      </c>
      <c r="H29" s="3">
        <f>_xlfn.NUMBERVALUE(MID(invoice[[#This Row],[تاریخ]],1,4))</f>
        <v>1403</v>
      </c>
      <c r="I29" s="3" t="str">
        <f>VLOOKUP(invoice[[#This Row],[شماره پیش فاکتور]],[1]!invoice[[شماره پیش فاکتور]:[نوع سفارش]],9,0)</f>
        <v>انجمن</v>
      </c>
      <c r="J29" s="3" t="str">
        <f>VLOOKUP(invoice[[#This Row],[شماره پیش فاکتور]],[1]!invoice[[شماره پیش فاکتور]:[نوع شرکت]],10,0)</f>
        <v>تولید کننده</v>
      </c>
      <c r="K29" s="82">
        <v>46132</v>
      </c>
      <c r="L29" s="77">
        <v>0.1</v>
      </c>
      <c r="M29" s="78">
        <v>296340000</v>
      </c>
      <c r="N29" s="78">
        <f>invoice[[#This Row],[مبلغ پیش دریافت]]/invoice[[#This Row],[میزان سفارش]]</f>
        <v>16500</v>
      </c>
      <c r="O29" s="144">
        <f>SUMIF([1]!bargiri[شماره پیش فاکتور],[1]!invoice[[#This Row],[شماره پیش فاکتور]],[1]!bargiri[میزان بارگیری شده])/[1]!invoice[[#This Row],[میزان سفارش]]</f>
        <v>1</v>
      </c>
      <c r="P29" s="140" t="str">
        <f>VLOOKUP(invoice[[#This Row],[شماره پیش فاکتور]],[1]!invoice[[شماره پیش فاکتور]:[نوع سفارش]],9,0)</f>
        <v>انجمن</v>
      </c>
      <c r="Q29" s="145">
        <f>SUMIFS('[1]جزییات بارگیری'!D:D,'[1]جزییات بارگیری'!C:C,[1]!invoice[[#This Row],[شماره پیش فاکتور]])</f>
        <v>250000</v>
      </c>
      <c r="R29" s="145">
        <f>IF([1]!invoice[[#This Row],[میزان سفارش]]-[1]!invoice[[#This Row],[میزان حمل شده ]]&lt;0,0,[1]!invoice[[#This Row],[میزان سفارش]]-[1]!invoice[[#This Row],[میزان حمل شده ]])</f>
        <v>0</v>
      </c>
      <c r="S29" s="145">
        <f>[1]!invoice[[#This Row],[میزان حمل نشده ]]*[1]!invoice[[#This Row],[فی]]</f>
        <v>0</v>
      </c>
      <c r="T29" s="140"/>
    </row>
    <row r="30" spans="1:20" ht="18.600000000000001" x14ac:dyDescent="0.25">
      <c r="A30" s="81" t="s">
        <v>606</v>
      </c>
      <c r="B30" s="81" t="s">
        <v>219</v>
      </c>
      <c r="C30" s="81" t="str">
        <f>VLOOKUP(invoice[[#This Row],[شماره پیش فاکتور]],[1]!invoice[[شماره پیش فاکتور]:[تاریخ]],3,0)</f>
        <v>1404/02/29</v>
      </c>
      <c r="D30" s="82" t="str">
        <f>VLOOKUP(invoice[[#This Row],[شماره پیش فاکتور]],'[1]لیست پیش فاکتور ها'!$A:$D,4,0)</f>
        <v>1404/03/01</v>
      </c>
      <c r="E30" s="2">
        <f>VLOOKUP(invoice[[#This Row],[شماره پیش فاکتور]],[1]!invoice[[شماره پیش فاکتور]:[میزان سفارش]],5,0)</f>
        <v>98175</v>
      </c>
      <c r="F30" s="2">
        <f>VLOOKUP(invoice[[#This Row],[شماره پیش فاکتور]],[1]!invoice[[شماره پیش فاکتور]:[فی]],6,0)</f>
        <v>142000</v>
      </c>
      <c r="G30" s="3" t="str">
        <f>CHOOSE(MID(invoice[[#This Row],[تاریخ]],6,2),"فروردین","اردیبهشت","خرداد","تیر","مرداد","شهریور","مهر","آبان","آذر","دی","بهمن","اسفند")</f>
        <v>اردیبهشت</v>
      </c>
      <c r="H30" s="3">
        <f>_xlfn.NUMBERVALUE(MID(invoice[[#This Row],[تاریخ]],1,4))</f>
        <v>1404</v>
      </c>
      <c r="I30" s="3" t="str">
        <f>VLOOKUP(invoice[[#This Row],[شماره پیش فاکتور]],[1]!invoice[[شماره پیش فاکتور]:[نوع سفارش]],9,0)</f>
        <v>انجمن</v>
      </c>
      <c r="J30" s="3" t="str">
        <f>VLOOKUP(invoice[[#This Row],[شماره پیش فاکتور]],[1]!invoice[[شماره پیش فاکتور]:[نوع شرکت]],10,0)</f>
        <v>تولید کننده</v>
      </c>
      <c r="K30" s="82">
        <v>46132</v>
      </c>
      <c r="L30" s="77">
        <v>0.1</v>
      </c>
      <c r="M30" s="78">
        <v>4265197200.0000005</v>
      </c>
      <c r="N30" s="78">
        <f>invoice[[#This Row],[مبلغ پیش دریافت]]/invoice[[#This Row],[میزان سفارش]]</f>
        <v>43444.840336134461</v>
      </c>
      <c r="O30" s="144">
        <f>SUMIF([1]!bargiri[شماره پیش فاکتور],[1]!invoice[[#This Row],[شماره پیش فاکتور]],[1]!bargiri[میزان بارگیری شده])/[1]!invoice[[#This Row],[میزان سفارش]]</f>
        <v>1</v>
      </c>
      <c r="P30" s="140" t="str">
        <f>VLOOKUP(invoice[[#This Row],[شماره پیش فاکتور]],[1]!invoice[[شماره پیش فاکتور]:[نوع سفارش]],9,0)</f>
        <v>انجمن</v>
      </c>
      <c r="Q30" s="145">
        <f>SUMIFS('[1]جزییات بارگیری'!D:D,'[1]جزییات بارگیری'!C:C,[1]!invoice[[#This Row],[شماره پیش فاکتور]])</f>
        <v>100000</v>
      </c>
      <c r="R30" s="145">
        <f>IF([1]!invoice[[#This Row],[میزان سفارش]]-[1]!invoice[[#This Row],[میزان حمل شده ]]&lt;0,0,[1]!invoice[[#This Row],[میزان سفارش]]-[1]!invoice[[#This Row],[میزان حمل شده ]])</f>
        <v>0</v>
      </c>
      <c r="S30" s="145">
        <f>[1]!invoice[[#This Row],[میزان حمل نشده ]]*[1]!invoice[[#This Row],[فی]]</f>
        <v>0</v>
      </c>
      <c r="T30" s="140"/>
    </row>
    <row r="31" spans="1:20" ht="18.600000000000001" x14ac:dyDescent="0.25">
      <c r="A31" s="81" t="s">
        <v>458</v>
      </c>
      <c r="B31" s="81" t="s">
        <v>156</v>
      </c>
      <c r="C31" s="81" t="str">
        <f>VLOOKUP(invoice[[#This Row],[شماره پیش فاکتور]],[1]!invoice[[شماره پیش فاکتور]:[تاریخ]],3,0)</f>
        <v>1404/02/29</v>
      </c>
      <c r="D31" s="82" t="str">
        <f>VLOOKUP(invoice[[#This Row],[شماره پیش فاکتور]],'[1]لیست پیش فاکتور ها'!$A:$D,4,0)</f>
        <v>1404/03/01</v>
      </c>
      <c r="E31" s="2">
        <f>VLOOKUP(invoice[[#This Row],[شماره پیش فاکتور]],[1]!invoice[[شماره پیش فاکتور]:[میزان سفارش]],5,0)</f>
        <v>497690</v>
      </c>
      <c r="F31" s="2">
        <f>VLOOKUP(invoice[[#This Row],[شماره پیش فاکتور]],[1]!invoice[[شماره پیش فاکتور]:[فی]],6,0)</f>
        <v>142000</v>
      </c>
      <c r="G31" s="3" t="str">
        <f>CHOOSE(MID(invoice[[#This Row],[تاریخ]],6,2),"فروردین","اردیبهشت","خرداد","تیر","مرداد","شهریور","مهر","آبان","آذر","دی","بهمن","اسفند")</f>
        <v>اردیبهشت</v>
      </c>
      <c r="H31" s="3">
        <f>_xlfn.NUMBERVALUE(MID(invoice[[#This Row],[تاریخ]],1,4))</f>
        <v>1404</v>
      </c>
      <c r="I31" s="3" t="str">
        <f>VLOOKUP(invoice[[#This Row],[شماره پیش فاکتور]],[1]!invoice[[شماره پیش فاکتور]:[نوع سفارش]],9,0)</f>
        <v>انجمن</v>
      </c>
      <c r="J31" s="3" t="str">
        <f>VLOOKUP(invoice[[#This Row],[شماره پیش فاکتور]],[1]!invoice[[شماره پیش فاکتور]:[نوع شرکت]],10,0)</f>
        <v>تولید کننده</v>
      </c>
      <c r="K31" s="82">
        <v>46132</v>
      </c>
      <c r="L31" s="77">
        <v>0.1</v>
      </c>
      <c r="M31" s="78">
        <v>14058000000</v>
      </c>
      <c r="N31" s="78">
        <f>invoice[[#This Row],[مبلغ پیش دریافت]]/invoice[[#This Row],[میزان سفارش]]</f>
        <v>28246.498824569509</v>
      </c>
      <c r="O31" s="144">
        <f>SUMIF([1]!bargiri[شماره پیش فاکتور],[1]!invoice[[#This Row],[شماره پیش فاکتور]],[1]!bargiri[میزان بارگیری شده])/[1]!invoice[[#This Row],[میزان سفارش]]</f>
        <v>1</v>
      </c>
      <c r="P31" s="140" t="str">
        <f>VLOOKUP(invoice[[#This Row],[شماره پیش فاکتور]],[1]!invoice[[شماره پیش فاکتور]:[نوع سفارش]],9,0)</f>
        <v>انجمن</v>
      </c>
      <c r="Q31" s="145">
        <f>SUMIFS('[1]جزییات بارگیری'!D:D,'[1]جزییات بارگیری'!C:C,[1]!invoice[[#This Row],[شماره پیش فاکتور]])</f>
        <v>415775</v>
      </c>
      <c r="R31" s="145">
        <f>IF([1]!invoice[[#This Row],[میزان سفارش]]-[1]!invoice[[#This Row],[میزان حمل شده ]]&lt;0,0,[1]!invoice[[#This Row],[میزان سفارش]]-[1]!invoice[[#This Row],[میزان حمل شده ]])</f>
        <v>0</v>
      </c>
      <c r="S31" s="145">
        <f>[1]!invoice[[#This Row],[میزان حمل نشده ]]*[1]!invoice[[#This Row],[فی]]</f>
        <v>0</v>
      </c>
      <c r="T31" s="140"/>
    </row>
    <row r="32" spans="1:20" ht="18.600000000000001" x14ac:dyDescent="0.25">
      <c r="A32" s="81" t="s">
        <v>607</v>
      </c>
      <c r="B32" s="81" t="s">
        <v>180</v>
      </c>
      <c r="C32" s="81" t="str">
        <f>VLOOKUP(invoice[[#This Row],[شماره پیش فاکتور]],[1]!invoice[[شماره پیش فاکتور]:[تاریخ]],3,0)</f>
        <v>1404/02/29</v>
      </c>
      <c r="D32" s="82" t="str">
        <f>VLOOKUP(invoice[[#This Row],[شماره پیش فاکتور]],'[1]لیست پیش فاکتور ها'!$A:$D,4,0)</f>
        <v>1404/03/01</v>
      </c>
      <c r="E32" s="2">
        <f>VLOOKUP(invoice[[#This Row],[شماره پیش فاکتور]],[1]!invoice[[شماره پیش فاکتور]:[میزان سفارش]],5,0)</f>
        <v>141245</v>
      </c>
      <c r="F32" s="2">
        <f>VLOOKUP(invoice[[#This Row],[شماره پیش فاکتور]],[1]!invoice[[شماره پیش فاکتور]:[فی]],6,0)</f>
        <v>142000</v>
      </c>
      <c r="G32" s="3" t="str">
        <f>CHOOSE(MID(invoice[[#This Row],[تاریخ]],6,2),"فروردین","اردیبهشت","خرداد","تیر","مرداد","شهریور","مهر","آبان","آذر","دی","بهمن","اسفند")</f>
        <v>اردیبهشت</v>
      </c>
      <c r="H32" s="3">
        <f>_xlfn.NUMBERVALUE(MID(invoice[[#This Row],[تاریخ]],1,4))</f>
        <v>1404</v>
      </c>
      <c r="I32" s="3" t="str">
        <f>VLOOKUP(invoice[[#This Row],[شماره پیش فاکتور]],[1]!invoice[[شماره پیش فاکتور]:[نوع سفارش]],9,0)</f>
        <v>انجمن</v>
      </c>
      <c r="J32" s="3" t="str">
        <f>VLOOKUP(invoice[[#This Row],[شماره پیش فاکتور]],[1]!invoice[[شماره پیش فاکتور]:[نوع شرکت]],10,0)</f>
        <v>واسطه</v>
      </c>
      <c r="K32" s="82">
        <v>46132</v>
      </c>
      <c r="L32" s="77">
        <v>0.1</v>
      </c>
      <c r="M32" s="78">
        <v>10543500000</v>
      </c>
      <c r="N32" s="78">
        <f>invoice[[#This Row],[مبلغ پیش دریافت]]/invoice[[#This Row],[میزان سفارش]]</f>
        <v>74646.890155403729</v>
      </c>
      <c r="O32" s="144">
        <f>SUMIF([1]!bargiri[شماره پیش فاکتور],[1]!invoice[[#This Row],[شماره پیش فاکتور]],[1]!bargiri[میزان بارگیری شده])/[1]!invoice[[#This Row],[میزان سفارش]]</f>
        <v>1</v>
      </c>
      <c r="P32" s="140" t="str">
        <f>VLOOKUP(invoice[[#This Row],[شماره پیش فاکتور]],[1]!invoice[[شماره پیش فاکتور]:[نوع سفارش]],9,0)</f>
        <v>انجمن</v>
      </c>
      <c r="Q32" s="145">
        <f>SUMIFS('[1]جزییات بارگیری'!D:D,'[1]جزییات بارگیری'!C:C,[1]!invoice[[#This Row],[شماره پیش فاکتور]])</f>
        <v>200000</v>
      </c>
      <c r="R32" s="145">
        <f>IF([1]!invoice[[#This Row],[میزان سفارش]]-[1]!invoice[[#This Row],[میزان حمل شده ]]&lt;0,0,[1]!invoice[[#This Row],[میزان سفارش]]-[1]!invoice[[#This Row],[میزان حمل شده ]])</f>
        <v>0</v>
      </c>
      <c r="S32" s="145">
        <f>[1]!invoice[[#This Row],[میزان حمل نشده ]]*[1]!invoice[[#This Row],[فی]]</f>
        <v>0</v>
      </c>
      <c r="T32" s="140"/>
    </row>
    <row r="33" spans="1:20" ht="18.600000000000001" x14ac:dyDescent="0.25">
      <c r="A33" s="81" t="s">
        <v>220</v>
      </c>
      <c r="B33" s="81" t="s">
        <v>221</v>
      </c>
      <c r="C33" s="81" t="str">
        <f>VLOOKUP(invoice[[#This Row],[شماره پیش فاکتور]],[1]!invoice[[شماره پیش فاکتور]:[تاریخ]],3,0)</f>
        <v>1403/12/07</v>
      </c>
      <c r="D33" s="82" t="str">
        <f>VLOOKUP(invoice[[#This Row],[شماره پیش فاکتور]],'[1]لیست پیش فاکتور ها'!$A:$D,4,0)</f>
        <v>1404/02/01</v>
      </c>
      <c r="E33" s="2">
        <f>VLOOKUP(invoice[[#This Row],[شماره پیش فاکتور]],[1]!invoice[[شماره پیش فاکتور]:[میزان سفارش]],5,0)</f>
        <v>28950</v>
      </c>
      <c r="F33" s="2">
        <f>VLOOKUP(invoice[[#This Row],[شماره پیش فاکتور]],[1]!invoice[[شماره پیش فاکتور]:[فی]],6,0)</f>
        <v>100000</v>
      </c>
      <c r="G33" s="3" t="str">
        <f>CHOOSE(MID(invoice[[#This Row],[تاریخ]],6,2),"فروردین","اردیبهشت","خرداد","تیر","مرداد","شهریور","مهر","آبان","آذر","دی","بهمن","اسفند")</f>
        <v>اسفند</v>
      </c>
      <c r="H33" s="3">
        <f>_xlfn.NUMBERVALUE(MID(invoice[[#This Row],[تاریخ]],1,4))</f>
        <v>1403</v>
      </c>
      <c r="I33" s="3" t="str">
        <f>VLOOKUP(invoice[[#This Row],[شماره پیش فاکتور]],[1]!invoice[[شماره پیش فاکتور]:[نوع سفارش]],9,0)</f>
        <v>انجمن</v>
      </c>
      <c r="J33" s="3" t="str">
        <f>VLOOKUP(invoice[[#This Row],[شماره پیش فاکتور]],[1]!invoice[[شماره پیش فاکتور]:[نوع شرکت]],10,0)</f>
        <v>تولید کننده</v>
      </c>
      <c r="K33" s="82">
        <v>46132</v>
      </c>
      <c r="L33" s="77">
        <v>0.1</v>
      </c>
      <c r="M33" s="78">
        <v>477675000</v>
      </c>
      <c r="N33" s="78">
        <f>invoice[[#This Row],[مبلغ پیش دریافت]]/invoice[[#This Row],[میزان سفارش]]</f>
        <v>16500</v>
      </c>
      <c r="O33" s="144">
        <f>SUMIF([1]!bargiri[شماره پیش فاکتور],[1]!invoice[[#This Row],[شماره پیش فاکتور]],[1]!bargiri[میزان بارگیری شده])/[1]!invoice[[#This Row],[میزان سفارش]]</f>
        <v>1</v>
      </c>
      <c r="P33" s="140" t="str">
        <f>VLOOKUP(invoice[[#This Row],[شماره پیش فاکتور]],[1]!invoice[[شماره پیش فاکتور]:[نوع سفارش]],9,0)</f>
        <v>انجمن</v>
      </c>
      <c r="Q33" s="145">
        <f>SUMIFS('[1]جزییات بارگیری'!D:D,'[1]جزییات بارگیری'!C:C,[1]!invoice[[#This Row],[شماره پیش فاکتور]])</f>
        <v>249655</v>
      </c>
      <c r="R33" s="145">
        <f>IF([1]!invoice[[#This Row],[میزان سفارش]]-[1]!invoice[[#This Row],[میزان حمل شده ]]&lt;0,0,[1]!invoice[[#This Row],[میزان سفارش]]-[1]!invoice[[#This Row],[میزان حمل شده ]])</f>
        <v>0</v>
      </c>
      <c r="S33" s="145">
        <f>[1]!invoice[[#This Row],[میزان حمل نشده ]]*[1]!invoice[[#This Row],[فی]]</f>
        <v>0</v>
      </c>
      <c r="T33" s="140"/>
    </row>
    <row r="34" spans="1:20" ht="18.600000000000001" x14ac:dyDescent="0.25">
      <c r="A34" s="81" t="s">
        <v>833</v>
      </c>
      <c r="B34" s="81" t="s">
        <v>17</v>
      </c>
      <c r="C34" s="81" t="str">
        <f>VLOOKUP(invoice[[#This Row],[شماره پیش فاکتور]],[1]!invoice[[شماره پیش فاکتور]:[تاریخ]],3,0)</f>
        <v>1404/03/01</v>
      </c>
      <c r="D34" s="82" t="str">
        <f>VLOOKUP(invoice[[#This Row],[شماره پیش فاکتور]],'[1]لیست پیش فاکتور ها'!$A:$D,4,0)</f>
        <v>1404/02/01</v>
      </c>
      <c r="E34" s="2">
        <f>VLOOKUP(invoice[[#This Row],[شماره پیش فاکتور]],[1]!invoice[[شماره پیش فاکتور]:[میزان سفارش]],5,0)</f>
        <v>120000</v>
      </c>
      <c r="F34" s="2">
        <f>VLOOKUP(invoice[[#This Row],[شماره پیش فاکتور]],[1]!invoice[[شماره پیش فاکتور]:[فی]],6,0)</f>
        <v>142000</v>
      </c>
      <c r="G34" s="3" t="str">
        <f>CHOOSE(MID(invoice[[#This Row],[تاریخ]],6,2),"فروردین","اردیبهشت","خرداد","تیر","مرداد","شهریور","مهر","آبان","آذر","دی","بهمن","اسفند")</f>
        <v>خرداد</v>
      </c>
      <c r="H34" s="3">
        <f>_xlfn.NUMBERVALUE(MID(invoice[[#This Row],[تاریخ]],1,4))</f>
        <v>1404</v>
      </c>
      <c r="I34" s="3" t="str">
        <f>VLOOKUP(invoice[[#This Row],[شماره پیش فاکتور]],[1]!invoice[[شماره پیش فاکتور]:[نوع سفارش]],9,0)</f>
        <v>انجمن</v>
      </c>
      <c r="J34" s="3" t="str">
        <f>VLOOKUP(invoice[[#This Row],[شماره پیش فاکتور]],[1]!invoice[[شماره پیش فاکتور]:[نوع شرکت]],10,0)</f>
        <v>تولید کننده</v>
      </c>
      <c r="K34" s="82">
        <v>46132</v>
      </c>
      <c r="L34" s="77">
        <v>0.1</v>
      </c>
      <c r="M34" s="78">
        <v>2811600000</v>
      </c>
      <c r="N34" s="78">
        <f>invoice[[#This Row],[مبلغ پیش دریافت]]/invoice[[#This Row],[میزان سفارش]]</f>
        <v>23430</v>
      </c>
      <c r="O34" s="144">
        <f>SUMIF([1]!bargiri[شماره پیش فاکتور],[1]!invoice[[#This Row],[شماره پیش فاکتور]],[1]!bargiri[میزان بارگیری شده])/[1]!invoice[[#This Row],[میزان سفارش]]</f>
        <v>1</v>
      </c>
      <c r="P34" s="140" t="str">
        <f>VLOOKUP(invoice[[#This Row],[شماره پیش فاکتور]],[1]!invoice[[شماره پیش فاکتور]:[نوع سفارش]],9,0)</f>
        <v>انجمن</v>
      </c>
      <c r="Q34" s="145">
        <f>SUMIFS('[1]جزییات بارگیری'!D:D,'[1]جزییات بارگیری'!C:C,[1]!invoice[[#This Row],[شماره پیش فاکتور]])</f>
        <v>54710</v>
      </c>
      <c r="R34" s="145">
        <f>IF([1]!invoice[[#This Row],[میزان سفارش]]-[1]!invoice[[#This Row],[میزان حمل شده ]]&lt;0,0,[1]!invoice[[#This Row],[میزان سفارش]]-[1]!invoice[[#This Row],[میزان حمل شده ]])</f>
        <v>0</v>
      </c>
      <c r="S34" s="145">
        <f>[1]!invoice[[#This Row],[میزان حمل نشده ]]*[1]!invoice[[#This Row],[فی]]</f>
        <v>0</v>
      </c>
      <c r="T34" s="140"/>
    </row>
    <row r="35" spans="1:20" ht="18.600000000000001" x14ac:dyDescent="0.25">
      <c r="A35" s="81" t="s">
        <v>199</v>
      </c>
      <c r="B35" s="81" t="s">
        <v>17</v>
      </c>
      <c r="C35" s="81" t="str">
        <f>VLOOKUP(invoice[[#This Row],[شماره پیش فاکتور]],[1]!invoice[[شماره پیش فاکتور]:[تاریخ]],3,0)</f>
        <v>1403/12/08</v>
      </c>
      <c r="D35" s="82" t="str">
        <f>VLOOKUP(invoice[[#This Row],[شماره پیش فاکتور]],'[1]لیست پیش فاکتور ها'!$A:$D,4,0)</f>
        <v>1403/12/27</v>
      </c>
      <c r="E35" s="2">
        <f>VLOOKUP(invoice[[#This Row],[شماره پیش فاکتور]],[1]!invoice[[شماره پیش فاکتور]:[میزان سفارش]],5,0)</f>
        <v>85900</v>
      </c>
      <c r="F35" s="2">
        <f>VLOOKUP(invoice[[#This Row],[شماره پیش فاکتور]],[1]!invoice[[شماره پیش فاکتور]:[فی]],6,0)</f>
        <v>65000</v>
      </c>
      <c r="G35" s="3" t="str">
        <f>CHOOSE(MID(invoice[[#This Row],[تاریخ]],6,2),"فروردین","اردیبهشت","خرداد","تیر","مرداد","شهریور","مهر","آبان","آذر","دی","بهمن","اسفند")</f>
        <v>اسفند</v>
      </c>
      <c r="H35" s="3">
        <f>_xlfn.NUMBERVALUE(MID(invoice[[#This Row],[تاریخ]],1,4))</f>
        <v>1403</v>
      </c>
      <c r="I35" s="3" t="str">
        <f>VLOOKUP(invoice[[#This Row],[شماره پیش فاکتور]],[1]!invoice[[شماره پیش فاکتور]:[نوع سفارش]],9,0)</f>
        <v>تعادلی</v>
      </c>
      <c r="J35" s="3" t="str">
        <f>VLOOKUP(invoice[[#This Row],[شماره پیش فاکتور]],[1]!invoice[[شماره پیش فاکتور]:[نوع شرکت]],10,0)</f>
        <v>تولید کننده</v>
      </c>
      <c r="K35" s="82">
        <v>46101</v>
      </c>
      <c r="L35" s="77">
        <v>0.1</v>
      </c>
      <c r="M35" s="78">
        <v>921277500</v>
      </c>
      <c r="N35" s="78">
        <f>invoice[[#This Row],[مبلغ پیش دریافت]]/invoice[[#This Row],[میزان سفارش]]</f>
        <v>10725</v>
      </c>
      <c r="O35" s="144">
        <f>SUMIF([1]!bargiri[شماره پیش فاکتور],[1]!invoice[[#This Row],[شماره پیش فاکتور]],[1]!bargiri[میزان بارگیری شده])/[1]!invoice[[#This Row],[میزان سفارش]]</f>
        <v>1</v>
      </c>
      <c r="P35" s="140" t="str">
        <f>VLOOKUP(invoice[[#This Row],[شماره پیش فاکتور]],[1]!invoice[[شماره پیش فاکتور]:[نوع سفارش]],9,0)</f>
        <v>تعادلی</v>
      </c>
      <c r="Q35" s="145">
        <f>SUMIFS('[1]جزییات بارگیری'!D:D,'[1]جزییات بارگیری'!C:C,[1]!invoice[[#This Row],[شماره پیش فاکتور]])</f>
        <v>599930</v>
      </c>
      <c r="R35" s="145">
        <f>IF([1]!invoice[[#This Row],[میزان سفارش]]-[1]!invoice[[#This Row],[میزان حمل شده ]]&lt;0,0,[1]!invoice[[#This Row],[میزان سفارش]]-[1]!invoice[[#This Row],[میزان حمل شده ]])</f>
        <v>0</v>
      </c>
      <c r="S35" s="145">
        <f>[1]!invoice[[#This Row],[میزان حمل نشده ]]*[1]!invoice[[#This Row],[فی]]</f>
        <v>0</v>
      </c>
      <c r="T35" s="140"/>
    </row>
    <row r="36" spans="1:20" ht="18.600000000000001" x14ac:dyDescent="0.25">
      <c r="A36" s="81" t="s">
        <v>208</v>
      </c>
      <c r="B36" s="81" t="s">
        <v>30</v>
      </c>
      <c r="C36" s="81" t="str">
        <f>VLOOKUP(invoice[[#This Row],[شماره پیش فاکتور]],[1]!invoice[[شماره پیش فاکتور]:[تاریخ]],3,0)</f>
        <v>1403/12/12</v>
      </c>
      <c r="D36" s="82" t="str">
        <f>VLOOKUP(invoice[[#This Row],[شماره پیش فاکتور]],'[1]لیست پیش فاکتور ها'!$A:$D,4,0)</f>
        <v>1403/12/12</v>
      </c>
      <c r="E36" s="2">
        <f>VLOOKUP(invoice[[#This Row],[شماره پیش فاکتور]],[1]!invoice[[شماره پیش فاکتور]:[میزان سفارش]],5,0)</f>
        <v>150000</v>
      </c>
      <c r="F36" s="2">
        <f>VLOOKUP(invoice[[#This Row],[شماره پیش فاکتور]],[1]!invoice[[شماره پیش فاکتور]:[فی]],6,0)</f>
        <v>89000</v>
      </c>
      <c r="G36" s="3" t="str">
        <f>CHOOSE(MID(invoice[[#This Row],[تاریخ]],6,2),"فروردین","اردیبهشت","خرداد","تیر","مرداد","شهریور","مهر","آبان","آذر","دی","بهمن","اسفند")</f>
        <v>اسفند</v>
      </c>
      <c r="H36" s="3">
        <f>_xlfn.NUMBERVALUE(MID(invoice[[#This Row],[تاریخ]],1,4))</f>
        <v>1403</v>
      </c>
      <c r="I36" s="3" t="str">
        <f>VLOOKUP(invoice[[#This Row],[شماره پیش فاکتور]],[1]!invoice[[شماره پیش فاکتور]:[نوع سفارش]],9,0)</f>
        <v>عادی</v>
      </c>
      <c r="J36" s="3" t="str">
        <f>VLOOKUP(invoice[[#This Row],[شماره پیش فاکتور]],[1]!invoice[[شماره پیش فاکتور]:[نوع شرکت]],10,0)</f>
        <v>تولید کننده</v>
      </c>
      <c r="K36" s="82">
        <v>46101</v>
      </c>
      <c r="L36" s="77">
        <v>0.1</v>
      </c>
      <c r="M36" s="78">
        <v>14685000000</v>
      </c>
      <c r="N36" s="78">
        <f>invoice[[#This Row],[مبلغ پیش دریافت]]/invoice[[#This Row],[میزان سفارش]]</f>
        <v>97900</v>
      </c>
      <c r="O36" s="144">
        <f>SUMIF([1]!bargiri[شماره پیش فاکتور],[1]!invoice[[#This Row],[شماره پیش فاکتور]],[1]!bargiri[میزان بارگیری شده])/[1]!invoice[[#This Row],[میزان سفارش]]</f>
        <v>1.1579999999999999</v>
      </c>
      <c r="P36" s="140" t="str">
        <f>VLOOKUP(invoice[[#This Row],[شماره پیش فاکتور]],[1]!invoice[[شماره پیش فاکتور]:[نوع سفارش]],9,0)</f>
        <v>عادی</v>
      </c>
      <c r="Q36" s="145">
        <f>SUMIFS('[1]جزییات بارگیری'!D:D,'[1]جزییات بارگیری'!C:C,[1]!invoice[[#This Row],[شماره پیش فاکتور]])</f>
        <v>23160</v>
      </c>
      <c r="R36" s="145">
        <f>IF([1]!invoice[[#This Row],[میزان سفارش]]-[1]!invoice[[#This Row],[میزان حمل شده ]]&lt;0,0,[1]!invoice[[#This Row],[میزان سفارش]]-[1]!invoice[[#This Row],[میزان حمل شده ]])</f>
        <v>0</v>
      </c>
      <c r="S36" s="145">
        <f>[1]!invoice[[#This Row],[میزان حمل نشده ]]*[1]!invoice[[#This Row],[فی]]</f>
        <v>0</v>
      </c>
      <c r="T36" s="140"/>
    </row>
    <row r="37" spans="1:20" ht="18.600000000000001" x14ac:dyDescent="0.25">
      <c r="A37" s="81" t="s">
        <v>203</v>
      </c>
      <c r="B37" s="81" t="s">
        <v>17</v>
      </c>
      <c r="C37" s="81" t="str">
        <f>VLOOKUP(invoice[[#This Row],[شماره پیش فاکتور]],[1]!invoice[[شماره پیش فاکتور]:[تاریخ]],3,0)</f>
        <v>1403/12/15</v>
      </c>
      <c r="D37" s="82" t="str">
        <f>VLOOKUP(invoice[[#This Row],[شماره پیش فاکتور]],'[1]لیست پیش فاکتور ها'!$A:$D,4,0)</f>
        <v>1404/01/05</v>
      </c>
      <c r="E37" s="2">
        <f>VLOOKUP(invoice[[#This Row],[شماره پیش فاکتور]],[1]!invoice[[شماره پیش فاکتور]:[میزان سفارش]],5,0)</f>
        <v>20000</v>
      </c>
      <c r="F37" s="2">
        <f>VLOOKUP(invoice[[#This Row],[شماره پیش فاکتور]],[1]!invoice[[شماره پیش فاکتور]:[فی]],6,0)</f>
        <v>92180</v>
      </c>
      <c r="G37" s="3" t="str">
        <f>CHOOSE(MID(invoice[[#This Row],[تاریخ]],6,2),"فروردین","اردیبهشت","خرداد","تیر","مرداد","شهریور","مهر","آبان","آذر","دی","بهمن","اسفند")</f>
        <v>اسفند</v>
      </c>
      <c r="H37" s="3">
        <f>_xlfn.NUMBERVALUE(MID(invoice[[#This Row],[تاریخ]],1,4))</f>
        <v>1403</v>
      </c>
      <c r="I37" s="3" t="str">
        <f>VLOOKUP(invoice[[#This Row],[شماره پیش فاکتور]],[1]!invoice[[شماره پیش فاکتور]:[نوع سفارش]],9,0)</f>
        <v>بورس</v>
      </c>
      <c r="J37" s="3" t="str">
        <f>VLOOKUP(invoice[[#This Row],[شماره پیش فاکتور]],[1]!invoice[[شماره پیش فاکتور]:[نوع شرکت]],10,0)</f>
        <v>تولید کننده</v>
      </c>
      <c r="K37" s="82">
        <v>46101</v>
      </c>
      <c r="L37" s="77">
        <v>0.1</v>
      </c>
      <c r="M37" s="78">
        <v>304194000</v>
      </c>
      <c r="N37" s="78">
        <f>invoice[[#This Row],[مبلغ پیش دریافت]]/invoice[[#This Row],[میزان سفارش]]</f>
        <v>15209.7</v>
      </c>
      <c r="O37" s="144">
        <f>SUMIF([1]!bargiri[شماره پیش فاکتور],[1]!invoice[[#This Row],[شماره پیش فاکتور]],[1]!bargiri[میزان بارگیری شده])/[1]!invoice[[#This Row],[میزان سفارش]]</f>
        <v>1</v>
      </c>
      <c r="P37" s="140" t="str">
        <f>VLOOKUP(invoice[[#This Row],[شماره پیش فاکتور]],[1]!invoice[[شماره پیش فاکتور]:[نوع سفارش]],9,0)</f>
        <v>بورس</v>
      </c>
      <c r="Q37" s="145">
        <f>SUMIFS('[1]جزییات بارگیری'!D:D,'[1]جزییات بارگیری'!C:C,[1]!invoice[[#This Row],[شماره پیش فاکتور]])</f>
        <v>500000</v>
      </c>
      <c r="R37" s="145">
        <f>IF([1]!invoice[[#This Row],[میزان سفارش]]-[1]!invoice[[#This Row],[میزان حمل شده ]]&lt;0,0,[1]!invoice[[#This Row],[میزان سفارش]]-[1]!invoice[[#This Row],[میزان حمل شده ]])</f>
        <v>0</v>
      </c>
      <c r="S37" s="145">
        <f>[1]!invoice[[#This Row],[میزان حمل نشده ]]*[1]!invoice[[#This Row],[فی]]</f>
        <v>0</v>
      </c>
      <c r="T37" s="140"/>
    </row>
    <row r="38" spans="1:20" ht="18.600000000000001" x14ac:dyDescent="0.25">
      <c r="A38" s="81" t="s">
        <v>215</v>
      </c>
      <c r="B38" s="81" t="s">
        <v>67</v>
      </c>
      <c r="C38" s="81" t="str">
        <f>VLOOKUP(invoice[[#This Row],[شماره پیش فاکتور]],[1]!invoice[[شماره پیش فاکتور]:[تاریخ]],3,0)</f>
        <v>1403/12/15</v>
      </c>
      <c r="D38" s="82" t="str">
        <f>VLOOKUP(invoice[[#This Row],[شماره پیش فاکتور]],'[1]لیست پیش فاکتور ها'!$A:$D,4,0)</f>
        <v>1403/12/15</v>
      </c>
      <c r="E38" s="2">
        <f>VLOOKUP(invoice[[#This Row],[شماره پیش فاکتور]],[1]!invoice[[شماره پیش فاکتور]:[میزان سفارش]],5,0)</f>
        <v>30000</v>
      </c>
      <c r="F38" s="2">
        <f>VLOOKUP(invoice[[#This Row],[شماره پیش فاکتور]],[1]!invoice[[شماره پیش فاکتور]:[فی]],6,0)</f>
        <v>92179</v>
      </c>
      <c r="G38" s="3" t="str">
        <f>CHOOSE(MID(invoice[[#This Row],[تاریخ]],6,2),"فروردین","اردیبهشت","خرداد","تیر","مرداد","شهریور","مهر","آبان","آذر","دی","بهمن","اسفند")</f>
        <v>اسفند</v>
      </c>
      <c r="H38" s="3">
        <f>_xlfn.NUMBERVALUE(MID(invoice[[#This Row],[تاریخ]],1,4))</f>
        <v>1403</v>
      </c>
      <c r="I38" s="3" t="str">
        <f>VLOOKUP(invoice[[#This Row],[شماره پیش فاکتور]],[1]!invoice[[شماره پیش فاکتور]:[نوع سفارش]],9,0)</f>
        <v>بورس</v>
      </c>
      <c r="J38" s="3" t="str">
        <f>VLOOKUP(invoice[[#This Row],[شماره پیش فاکتور]],[1]!invoice[[شماره پیش فاکتور]:[نوع شرکت]],10,0)</f>
        <v>تولید کننده</v>
      </c>
      <c r="K38" s="82">
        <v>46101</v>
      </c>
      <c r="L38" s="77">
        <v>0.1</v>
      </c>
      <c r="M38" s="78">
        <v>456286050</v>
      </c>
      <c r="N38" s="78">
        <f>invoice[[#This Row],[مبلغ پیش دریافت]]/invoice[[#This Row],[میزان سفارش]]</f>
        <v>15209.535</v>
      </c>
      <c r="O38" s="144">
        <f>SUMIF([1]!bargiri[شماره پیش فاکتور],[1]!invoice[[#This Row],[شماره پیش فاکتور]],[1]!bargiri[میزان بارگیری شده])/[1]!invoice[[#This Row],[میزان سفارش]]</f>
        <v>1</v>
      </c>
      <c r="P38" s="140" t="str">
        <f>VLOOKUP(invoice[[#This Row],[شماره پیش فاکتور]],[1]!invoice[[شماره پیش فاکتور]:[نوع سفارش]],9,0)</f>
        <v>بورس</v>
      </c>
      <c r="Q38" s="145">
        <f>SUMIFS('[1]جزییات بارگیری'!D:D,'[1]جزییات بارگیری'!C:C,[1]!invoice[[#This Row],[شماره پیش فاکتور]])</f>
        <v>9720</v>
      </c>
      <c r="R38" s="145">
        <f>IF([1]!invoice[[#This Row],[میزان سفارش]]-[1]!invoice[[#This Row],[میزان حمل شده ]]&lt;0,0,[1]!invoice[[#This Row],[میزان سفارش]]-[1]!invoice[[#This Row],[میزان حمل شده ]])</f>
        <v>0</v>
      </c>
      <c r="S38" s="145">
        <f>[1]!invoice[[#This Row],[میزان حمل نشده ]]*[1]!invoice[[#This Row],[فی]]</f>
        <v>0</v>
      </c>
      <c r="T38" s="140"/>
    </row>
    <row r="39" spans="1:20" ht="18.600000000000001" x14ac:dyDescent="0.25">
      <c r="A39" s="81" t="s">
        <v>209</v>
      </c>
      <c r="B39" s="81" t="s">
        <v>40</v>
      </c>
      <c r="C39" s="81" t="str">
        <f>VLOOKUP(invoice[[#This Row],[شماره پیش فاکتور]],[1]!invoice[[شماره پیش فاکتور]:[تاریخ]],3,0)</f>
        <v>1403/12/18</v>
      </c>
      <c r="D39" s="82" t="str">
        <f>VLOOKUP(invoice[[#This Row],[شماره پیش فاکتور]],'[1]لیست پیش فاکتور ها'!$A:$D,4,0)</f>
        <v>1403/12/18</v>
      </c>
      <c r="E39" s="2">
        <f>VLOOKUP(invoice[[#This Row],[شماره پیش فاکتور]],[1]!invoice[[شماره پیش فاکتور]:[میزان سفارش]],5,0)</f>
        <v>50000</v>
      </c>
      <c r="F39" s="2">
        <f>VLOOKUP(invoice[[#This Row],[شماره پیش فاکتور]],[1]!invoice[[شماره پیش فاکتور]:[فی]],6,0)</f>
        <v>66200</v>
      </c>
      <c r="G39" s="3" t="str">
        <f>CHOOSE(MID(invoice[[#This Row],[تاریخ]],6,2),"فروردین","اردیبهشت","خرداد","تیر","مرداد","شهریور","مهر","آبان","آذر","دی","بهمن","اسفند")</f>
        <v>اسفند</v>
      </c>
      <c r="H39" s="3">
        <f>_xlfn.NUMBERVALUE(MID(invoice[[#This Row],[تاریخ]],1,4))</f>
        <v>1403</v>
      </c>
      <c r="I39" s="3" t="str">
        <f>VLOOKUP(invoice[[#This Row],[شماره پیش فاکتور]],[1]!invoice[[شماره پیش فاکتور]:[نوع سفارش]],9,0)</f>
        <v>تعادلی</v>
      </c>
      <c r="J39" s="3" t="str">
        <f>VLOOKUP(invoice[[#This Row],[شماره پیش فاکتور]],[1]!invoice[[شماره پیش فاکتور]:[نوع شرکت]],10,0)</f>
        <v>تولید کننده</v>
      </c>
      <c r="K39" s="82">
        <v>46101</v>
      </c>
      <c r="L39" s="77">
        <v>0.1</v>
      </c>
      <c r="M39" s="78">
        <v>546150000</v>
      </c>
      <c r="N39" s="78">
        <f>invoice[[#This Row],[مبلغ پیش دریافت]]/invoice[[#This Row],[میزان سفارش]]</f>
        <v>10923</v>
      </c>
      <c r="O39" s="144">
        <f>SUMIF([1]!bargiri[شماره پیش فاکتور],[1]!invoice[[#This Row],[شماره پیش فاکتور]],[1]!bargiri[میزان بارگیری شده])/[1]!invoice[[#This Row],[میزان سفارش]]</f>
        <v>1</v>
      </c>
      <c r="P39" s="140" t="str">
        <f>VLOOKUP(invoice[[#This Row],[شماره پیش فاکتور]],[1]!invoice[[شماره پیش فاکتور]:[نوع سفارش]],9,0)</f>
        <v>تعادلی</v>
      </c>
      <c r="Q39" s="145">
        <f>SUMIFS('[1]جزییات بارگیری'!D:D,'[1]جزییات بارگیری'!C:C,[1]!invoice[[#This Row],[شماره پیش فاکتور]])</f>
        <v>100000</v>
      </c>
      <c r="R39" s="145">
        <f>IF([1]!invoice[[#This Row],[میزان سفارش]]-[1]!invoice[[#This Row],[میزان حمل شده ]]&lt;0,0,[1]!invoice[[#This Row],[میزان سفارش]]-[1]!invoice[[#This Row],[میزان حمل شده ]])</f>
        <v>0</v>
      </c>
      <c r="S39" s="145">
        <f>[1]!invoice[[#This Row],[میزان حمل نشده ]]*[1]!invoice[[#This Row],[فی]]</f>
        <v>0</v>
      </c>
      <c r="T39" s="140"/>
    </row>
    <row r="40" spans="1:20" ht="18.600000000000001" x14ac:dyDescent="0.25">
      <c r="A40" s="81" t="s">
        <v>464</v>
      </c>
      <c r="B40" s="81" t="s">
        <v>221</v>
      </c>
      <c r="C40" s="81" t="str">
        <f>VLOOKUP(invoice[[#This Row],[شماره پیش فاکتور]],[1]!invoice[[شماره پیش فاکتور]:[تاریخ]],3,0)</f>
        <v>1404/02/29</v>
      </c>
      <c r="D40" s="82" t="str">
        <f>VLOOKUP(invoice[[#This Row],[شماره پیش فاکتور]],'[1]لیست پیش فاکتور ها'!$A:$D,4,0)</f>
        <v>1404/03/01</v>
      </c>
      <c r="E40" s="2">
        <f>VLOOKUP(invoice[[#This Row],[شماره پیش فاکتور]],[1]!invoice[[شماره پیش فاکتور]:[میزان سفارش]],5,0)</f>
        <v>271050</v>
      </c>
      <c r="F40" s="2">
        <f>VLOOKUP(invoice[[#This Row],[شماره پیش فاکتور]],[1]!invoice[[شماره پیش فاکتور]:[فی]],6,0)</f>
        <v>142000</v>
      </c>
      <c r="G40" s="3" t="str">
        <f>CHOOSE(MID(invoice[[#This Row],[تاریخ]],6,2),"فروردین","اردیبهشت","خرداد","تیر","مرداد","شهریور","مهر","آبان","آذر","دی","بهمن","اسفند")</f>
        <v>اردیبهشت</v>
      </c>
      <c r="H40" s="3">
        <f>_xlfn.NUMBERVALUE(MID(invoice[[#This Row],[تاریخ]],1,4))</f>
        <v>1404</v>
      </c>
      <c r="I40" s="3" t="str">
        <f>VLOOKUP(invoice[[#This Row],[شماره پیش فاکتور]],[1]!invoice[[شماره پیش فاکتور]:[نوع سفارش]],9,0)</f>
        <v>انجمن</v>
      </c>
      <c r="J40" s="3" t="str">
        <f>VLOOKUP(invoice[[#This Row],[شماره پیش فاکتور]],[1]!invoice[[شماره پیش فاکتور]:[نوع شرکت]],10,0)</f>
        <v>تولید کننده</v>
      </c>
      <c r="K40" s="82">
        <v>46132</v>
      </c>
      <c r="L40" s="77">
        <v>0.1</v>
      </c>
      <c r="M40" s="78">
        <v>6350701500</v>
      </c>
      <c r="N40" s="78">
        <f>invoice[[#This Row],[مبلغ پیش دریافت]]/invoice[[#This Row],[میزان سفارش]]</f>
        <v>23430</v>
      </c>
      <c r="O40" s="144">
        <f>SUMIF([1]!bargiri[شماره پیش فاکتور],[1]!invoice[[#This Row],[شماره پیش فاکتور]],[1]!bargiri[میزان بارگیری شده])/[1]!invoice[[#This Row],[میزان سفارش]]</f>
        <v>1.0049999999999999</v>
      </c>
      <c r="P40" s="140" t="str">
        <f>VLOOKUP(invoice[[#This Row],[شماره پیش فاکتور]],[1]!invoice[[شماره پیش فاکتور]:[نوع سفارش]],9,0)</f>
        <v>انجمن</v>
      </c>
      <c r="Q40" s="145">
        <f>SUMIFS('[1]جزییات بارگیری'!D:D,'[1]جزییات بارگیری'!C:C,[1]!invoice[[#This Row],[شماره پیش فاکتور]])</f>
        <v>15075</v>
      </c>
      <c r="R40" s="145">
        <f>IF([1]!invoice[[#This Row],[میزان سفارش]]-[1]!invoice[[#This Row],[میزان حمل شده ]]&lt;0,0,[1]!invoice[[#This Row],[میزان سفارش]]-[1]!invoice[[#This Row],[میزان حمل شده ]])</f>
        <v>0</v>
      </c>
      <c r="S40" s="145">
        <f>[1]!invoice[[#This Row],[میزان حمل نشده ]]*[1]!invoice[[#This Row],[فی]]</f>
        <v>0</v>
      </c>
      <c r="T40" s="140"/>
    </row>
    <row r="41" spans="1:20" ht="18.600000000000001" x14ac:dyDescent="0.25">
      <c r="A41" s="81" t="s">
        <v>608</v>
      </c>
      <c r="B41" s="81" t="s">
        <v>40</v>
      </c>
      <c r="C41" s="81" t="str">
        <f>VLOOKUP(invoice[[#This Row],[شماره پیش فاکتور]],[1]!invoice[[شماره پیش فاکتور]:[تاریخ]],3,0)</f>
        <v>1404/02/29</v>
      </c>
      <c r="D41" s="82" t="str">
        <f>VLOOKUP(invoice[[#This Row],[شماره پیش فاکتور]],'[1]لیست پیش فاکتور ها'!$A:$D,4,0)</f>
        <v>1404/03/01</v>
      </c>
      <c r="E41" s="2">
        <f>VLOOKUP(invoice[[#This Row],[شماره پیش فاکتور]],[1]!invoice[[شماره پیش فاکتور]:[میزان سفارش]],5,0)</f>
        <v>300000</v>
      </c>
      <c r="F41" s="2">
        <f>VLOOKUP(invoice[[#This Row],[شماره پیش فاکتور]],[1]!invoice[[شماره پیش فاکتور]:[فی]],6,0)</f>
        <v>142000</v>
      </c>
      <c r="G41" s="3" t="str">
        <f>CHOOSE(MID(invoice[[#This Row],[تاریخ]],6,2),"فروردین","اردیبهشت","خرداد","تیر","مرداد","شهریور","مهر","آبان","آذر","دی","بهمن","اسفند")</f>
        <v>اردیبهشت</v>
      </c>
      <c r="H41" s="3">
        <f>_xlfn.NUMBERVALUE(MID(invoice[[#This Row],[تاریخ]],1,4))</f>
        <v>1404</v>
      </c>
      <c r="I41" s="3" t="str">
        <f>VLOOKUP(invoice[[#This Row],[شماره پیش فاکتور]],[1]!invoice[[شماره پیش فاکتور]:[نوع سفارش]],9,0)</f>
        <v>انجمن</v>
      </c>
      <c r="J41" s="3" t="str">
        <f>VLOOKUP(invoice[[#This Row],[شماره پیش فاکتور]],[1]!invoice[[شماره پیش فاکتور]:[نوع شرکت]],10,0)</f>
        <v>تولید کننده</v>
      </c>
      <c r="K41" s="82">
        <v>46132</v>
      </c>
      <c r="L41" s="77">
        <v>0.1</v>
      </c>
      <c r="M41" s="78">
        <v>7029000000</v>
      </c>
      <c r="N41" s="78">
        <f>invoice[[#This Row],[مبلغ پیش دریافت]]/invoice[[#This Row],[میزان سفارش]]</f>
        <v>23430</v>
      </c>
      <c r="O41" s="144">
        <f>SUMIF([1]!bargiri[شماره پیش فاکتور],[1]!invoice[[#This Row],[شماره پیش فاکتور]],[1]!bargiri[میزان بارگیری شده])/[1]!invoice[[#This Row],[میزان سفارش]]</f>
        <v>1</v>
      </c>
      <c r="P41" s="140" t="str">
        <f>VLOOKUP(invoice[[#This Row],[شماره پیش فاکتور]],[1]!invoice[[شماره پیش فاکتور]:[نوع سفارش]],9,0)</f>
        <v>انجمن</v>
      </c>
      <c r="Q41" s="145">
        <f>SUMIFS('[1]جزییات بارگیری'!D:D,'[1]جزییات بارگیری'!C:C,[1]!invoice[[#This Row],[شماره پیش فاکتور]])</f>
        <v>500000</v>
      </c>
      <c r="R41" s="145">
        <f>IF([1]!invoice[[#This Row],[میزان سفارش]]-[1]!invoice[[#This Row],[میزان حمل شده ]]&lt;0,0,[1]!invoice[[#This Row],[میزان سفارش]]-[1]!invoice[[#This Row],[میزان حمل شده ]])</f>
        <v>0</v>
      </c>
      <c r="S41" s="145">
        <f>[1]!invoice[[#This Row],[میزان حمل نشده ]]*[1]!invoice[[#This Row],[فی]]</f>
        <v>0</v>
      </c>
      <c r="T41" s="140"/>
    </row>
    <row r="42" spans="1:20" ht="18.600000000000001" x14ac:dyDescent="0.25">
      <c r="A42" s="81" t="s">
        <v>197</v>
      </c>
      <c r="B42" s="81" t="s">
        <v>17</v>
      </c>
      <c r="C42" s="81" t="str">
        <f>VLOOKUP(invoice[[#This Row],[شماره پیش فاکتور]],[1]!invoice[[شماره پیش فاکتور]:[تاریخ]],3,0)</f>
        <v>1403/12/26</v>
      </c>
      <c r="D42" s="82" t="str">
        <f>VLOOKUP(invoice[[#This Row],[شماره پیش فاکتور]],'[1]لیست پیش فاکتور ها'!$A:$D,4,0)</f>
        <v>1403/12/26</v>
      </c>
      <c r="E42" s="2">
        <f>VLOOKUP(invoice[[#This Row],[شماره پیش فاکتور]],[1]!invoice[[شماره پیش فاکتور]:[میزان سفارش]],5,0)</f>
        <v>34360</v>
      </c>
      <c r="F42" s="2">
        <f>VLOOKUP(invoice[[#This Row],[شماره پیش فاکتور]],[1]!invoice[[شماره پیش فاکتور]:[فی]],6,0)</f>
        <v>65000</v>
      </c>
      <c r="G42" s="3" t="str">
        <f>CHOOSE(MID(invoice[[#This Row],[تاریخ]],6,2),"فروردین","اردیبهشت","خرداد","تیر","مرداد","شهریور","مهر","آبان","آذر","دی","بهمن","اسفند")</f>
        <v>اسفند</v>
      </c>
      <c r="H42" s="3">
        <f>_xlfn.NUMBERVALUE(MID(invoice[[#This Row],[تاریخ]],1,4))</f>
        <v>1403</v>
      </c>
      <c r="I42" s="3" t="str">
        <f>VLOOKUP(invoice[[#This Row],[شماره پیش فاکتور]],[1]!invoice[[شماره پیش فاکتور]:[نوع سفارش]],9,0)</f>
        <v>تعادلی</v>
      </c>
      <c r="J42" s="3" t="str">
        <f>VLOOKUP(invoice[[#This Row],[شماره پیش فاکتور]],[1]!invoice[[شماره پیش فاکتور]:[نوع شرکت]],10,0)</f>
        <v>تولید کننده</v>
      </c>
      <c r="K42" s="82">
        <v>46101</v>
      </c>
      <c r="L42" s="77">
        <v>0.1</v>
      </c>
      <c r="M42" s="78">
        <v>368511000.00000006</v>
      </c>
      <c r="N42" s="78">
        <f>invoice[[#This Row],[مبلغ پیش دریافت]]/invoice[[#This Row],[میزان سفارش]]</f>
        <v>10725.000000000002</v>
      </c>
      <c r="O42" s="144">
        <f>SUMIF([1]!bargiri[شماره پیش فاکتور],[1]!invoice[[#This Row],[شماره پیش فاکتور]],[1]!bargiri[میزان بارگیری شده])/[1]!invoice[[#This Row],[میزان سفارش]]</f>
        <v>1</v>
      </c>
      <c r="P42" s="140" t="str">
        <f>VLOOKUP(invoice[[#This Row],[شماره پیش فاکتور]],[1]!invoice[[شماره پیش فاکتور]:[نوع سفارش]],9,0)</f>
        <v>تعادلی</v>
      </c>
      <c r="Q42" s="145">
        <f>SUMIFS('[1]جزییات بارگیری'!D:D,'[1]جزییات بارگیری'!C:C,[1]!invoice[[#This Row],[شماره پیش فاکتور]])</f>
        <v>1822365</v>
      </c>
      <c r="R42" s="145">
        <f>IF([1]!invoice[[#This Row],[میزان سفارش]]-[1]!invoice[[#This Row],[میزان حمل شده ]]&lt;0,0,[1]!invoice[[#This Row],[میزان سفارش]]-[1]!invoice[[#This Row],[میزان حمل شده ]])</f>
        <v>0</v>
      </c>
      <c r="S42" s="145">
        <f>[1]!invoice[[#This Row],[میزان حمل نشده ]]*[1]!invoice[[#This Row],[فی]]</f>
        <v>0</v>
      </c>
      <c r="T42" s="140"/>
    </row>
    <row r="43" spans="1:20" ht="18.600000000000001" x14ac:dyDescent="0.25">
      <c r="A43" s="81" t="s">
        <v>214</v>
      </c>
      <c r="B43" s="81" t="s">
        <v>67</v>
      </c>
      <c r="C43" s="81" t="str">
        <f>VLOOKUP(invoice[[#This Row],[شماره پیش فاکتور]],[1]!invoice[[شماره پیش فاکتور]:[تاریخ]],3,0)</f>
        <v>1403/12/27</v>
      </c>
      <c r="D43" s="82" t="str">
        <f>VLOOKUP(invoice[[#This Row],[شماره پیش فاکتور]],'[1]لیست پیش فاکتور ها'!$A:$D,4,0)</f>
        <v>1403/12/27</v>
      </c>
      <c r="E43" s="2">
        <f>VLOOKUP(invoice[[#This Row],[شماره پیش فاکتور]],[1]!invoice[[شماره پیش فاکتور]:[میزان سفارش]],5,0)</f>
        <v>51540</v>
      </c>
      <c r="F43" s="2">
        <f>VLOOKUP(invoice[[#This Row],[شماره پیش فاکتور]],[1]!invoice[[شماره پیش فاکتور]:[فی]],6,0)</f>
        <v>65000</v>
      </c>
      <c r="G43" s="3" t="str">
        <f>CHOOSE(MID(invoice[[#This Row],[تاریخ]],6,2),"فروردین","اردیبهشت","خرداد","تیر","مرداد","شهریور","مهر","آبان","آذر","دی","بهمن","اسفند")</f>
        <v>اسفند</v>
      </c>
      <c r="H43" s="3">
        <f>_xlfn.NUMBERVALUE(MID(invoice[[#This Row],[تاریخ]],1,4))</f>
        <v>1403</v>
      </c>
      <c r="I43" s="3" t="str">
        <f>VLOOKUP(invoice[[#This Row],[شماره پیش فاکتور]],[1]!invoice[[شماره پیش فاکتور]:[نوع سفارش]],9,0)</f>
        <v>تعادلی</v>
      </c>
      <c r="J43" s="3" t="str">
        <f>VLOOKUP(invoice[[#This Row],[شماره پیش فاکتور]],[1]!invoice[[شماره پیش فاکتور]:[نوع شرکت]],10,0)</f>
        <v>تولید کننده</v>
      </c>
      <c r="K43" s="82">
        <v>46101</v>
      </c>
      <c r="L43" s="77">
        <v>0.1</v>
      </c>
      <c r="M43" s="78">
        <v>552766500</v>
      </c>
      <c r="N43" s="78">
        <f>invoice[[#This Row],[مبلغ پیش دریافت]]/invoice[[#This Row],[میزان سفارش]]</f>
        <v>10725</v>
      </c>
      <c r="O43" s="144">
        <f>SUMIF([1]!bargiri[شماره پیش فاکتور],[1]!invoice[[#This Row],[شماره پیش فاکتور]],[1]!bargiri[میزان بارگیری شده])/[1]!invoice[[#This Row],[میزان سفارش]]</f>
        <v>1</v>
      </c>
      <c r="P43" s="140" t="str">
        <f>VLOOKUP(invoice[[#This Row],[شماره پیش فاکتور]],[1]!invoice[[شماره پیش فاکتور]:[نوع سفارش]],9,0)</f>
        <v>تعادلی</v>
      </c>
      <c r="Q43" s="145">
        <f>SUMIFS('[1]جزییات بارگیری'!D:D,'[1]جزییات بارگیری'!C:C,[1]!invoice[[#This Row],[شماره پیش فاکتور]])</f>
        <v>999320</v>
      </c>
      <c r="R43" s="145">
        <f>IF([1]!invoice[[#This Row],[میزان سفارش]]-[1]!invoice[[#This Row],[میزان حمل شده ]]&lt;0,0,[1]!invoice[[#This Row],[میزان سفارش]]-[1]!invoice[[#This Row],[میزان حمل شده ]])</f>
        <v>0</v>
      </c>
      <c r="S43" s="145">
        <f>[1]!invoice[[#This Row],[میزان حمل نشده ]]*[1]!invoice[[#This Row],[فی]]</f>
        <v>0</v>
      </c>
      <c r="T43" s="140"/>
    </row>
    <row r="44" spans="1:20" ht="18.600000000000001" x14ac:dyDescent="0.25">
      <c r="A44" s="81" t="s">
        <v>466</v>
      </c>
      <c r="B44" s="81" t="s">
        <v>180</v>
      </c>
      <c r="C44" s="81" t="str">
        <f>VLOOKUP(invoice[[#This Row],[شماره پیش فاکتور]],[1]!invoice[[شماره پیش فاکتور]:[تاریخ]],3,0)</f>
        <v>1404/02/01</v>
      </c>
      <c r="D44" s="82" t="str">
        <f>VLOOKUP(invoice[[#This Row],[شماره پیش فاکتور]],'[1]لیست پیش فاکتور ها'!$A:$D,4,0)</f>
        <v>1404/02/01</v>
      </c>
      <c r="E44" s="2">
        <f>VLOOKUP(invoice[[#This Row],[شماره پیش فاکتور]],[1]!invoice[[شماره پیش فاکتور]:[میزان سفارش]],5,0)</f>
        <v>51890</v>
      </c>
      <c r="F44" s="2">
        <f>VLOOKUP(invoice[[#This Row],[شماره پیش فاکتور]],[1]!invoice[[شماره پیش فاکتور]:[فی]],6,0)</f>
        <v>100000</v>
      </c>
      <c r="G44" s="3" t="str">
        <f>CHOOSE(MID(invoice[[#This Row],[تاریخ]],6,2),"فروردین","اردیبهشت","خرداد","تیر","مرداد","شهریور","مهر","آبان","آذر","دی","بهمن","اسفند")</f>
        <v>اردیبهشت</v>
      </c>
      <c r="H44" s="3">
        <f>_xlfn.NUMBERVALUE(MID(invoice[[#This Row],[تاریخ]],1,4))</f>
        <v>1404</v>
      </c>
      <c r="I44" s="3" t="str">
        <f>VLOOKUP(invoice[[#This Row],[شماره پیش فاکتور]],[1]!invoice[[شماره پیش فاکتور]:[نوع سفارش]],9,0)</f>
        <v>عادی</v>
      </c>
      <c r="J44" s="3" t="str">
        <f>VLOOKUP(invoice[[#This Row],[شماره پیش فاکتور]],[1]!invoice[[شماره پیش فاکتور]:[نوع شرکت]],10,0)</f>
        <v>واسطه</v>
      </c>
      <c r="K44" s="83">
        <v>45922</v>
      </c>
      <c r="L44" s="77">
        <v>0.1</v>
      </c>
      <c r="M44" s="78">
        <v>905685000</v>
      </c>
      <c r="N44" s="78">
        <f>invoice[[#This Row],[مبلغ پیش دریافت]]/invoice[[#This Row],[میزان سفارش]]</f>
        <v>17453.94102910002</v>
      </c>
      <c r="O44" s="144">
        <f>SUMIF([1]!bargiri[شماره پیش فاکتور],[1]!invoice[[#This Row],[شماره پیش فاکتور]],[1]!bargiri[میزان بارگیری شده])/[1]!invoice[[#This Row],[میزان سفارش]]</f>
        <v>1</v>
      </c>
      <c r="P44" s="140" t="str">
        <f>VLOOKUP(invoice[[#This Row],[شماره پیش فاکتور]],[1]!invoice[[شماره پیش فاکتور]:[نوع سفارش]],9,0)</f>
        <v>عادی</v>
      </c>
      <c r="Q44" s="145">
        <f>SUMIFS('[1]جزییات بارگیری'!D:D,'[1]جزییات بارگیری'!C:C,[1]!invoice[[#This Row],[شماره پیش فاکتور]])</f>
        <v>50000</v>
      </c>
      <c r="R44" s="145">
        <f>IF([1]!invoice[[#This Row],[میزان سفارش]]-[1]!invoice[[#This Row],[میزان حمل شده ]]&lt;0,0,[1]!invoice[[#This Row],[میزان سفارش]]-[1]!invoice[[#This Row],[میزان حمل شده ]])</f>
        <v>0</v>
      </c>
      <c r="S44" s="145">
        <f>[1]!invoice[[#This Row],[میزان حمل نشده ]]*[1]!invoice[[#This Row],[فی]]</f>
        <v>0</v>
      </c>
      <c r="T44" s="140"/>
    </row>
    <row r="45" spans="1:20" ht="18.600000000000001" x14ac:dyDescent="0.25">
      <c r="A45" s="81" t="s">
        <v>609</v>
      </c>
      <c r="B45" s="81" t="s">
        <v>67</v>
      </c>
      <c r="C45" s="81" t="str">
        <f>VLOOKUP(invoice[[#This Row],[شماره پیش فاکتور]],[1]!invoice[[شماره پیش فاکتور]:[تاریخ]],3,0)</f>
        <v>1404/02/03</v>
      </c>
      <c r="D45" s="82" t="str">
        <f>VLOOKUP(invoice[[#This Row],[شماره پیش فاکتور]],'[1]لیست پیش فاکتور ها'!$A:$D,4,0)</f>
        <v>1404/02/03</v>
      </c>
      <c r="E45" s="2">
        <f>VLOOKUP(invoice[[#This Row],[شماره پیش فاکتور]],[1]!invoice[[شماره پیش فاکتور]:[میزان سفارش]],5,0)</f>
        <v>50000</v>
      </c>
      <c r="F45" s="2">
        <f>VLOOKUP(invoice[[#This Row],[شماره پیش فاکتور]],[1]!invoice[[شماره پیش فاکتور]:[فی]],6,0)</f>
        <v>126000</v>
      </c>
      <c r="G45" s="3" t="str">
        <f>CHOOSE(MID(invoice[[#This Row],[تاریخ]],6,2),"فروردین","اردیبهشت","خرداد","تیر","مرداد","شهریور","مهر","آبان","آذر","دی","بهمن","اسفند")</f>
        <v>اردیبهشت</v>
      </c>
      <c r="H45" s="3">
        <f>_xlfn.NUMBERVALUE(MID(invoice[[#This Row],[تاریخ]],1,4))</f>
        <v>1404</v>
      </c>
      <c r="I45" s="3" t="str">
        <f>VLOOKUP(invoice[[#This Row],[شماره پیش فاکتور]],[1]!invoice[[شماره پیش فاکتور]:[نوع سفارش]],9,0)</f>
        <v>بورس</v>
      </c>
      <c r="J45" s="3" t="str">
        <f>VLOOKUP(invoice[[#This Row],[شماره پیش فاکتور]],[1]!invoice[[شماره پیش فاکتور]:[نوع شرکت]],10,0)</f>
        <v>تولید کننده</v>
      </c>
      <c r="K45" s="3" t="s">
        <v>610</v>
      </c>
      <c r="L45" s="77">
        <v>0.1</v>
      </c>
      <c r="M45" s="78">
        <v>1039500000</v>
      </c>
      <c r="N45" s="78">
        <f>invoice[[#This Row],[مبلغ پیش دریافت]]/invoice[[#This Row],[میزان سفارش]]</f>
        <v>20790</v>
      </c>
      <c r="O45" s="144">
        <f>SUMIF([1]!bargiri[شماره پیش فاکتور],[1]!invoice[[#This Row],[شماره پیش فاکتور]],[1]!bargiri[میزان بارگیری شده])/[1]!invoice[[#This Row],[میزان سفارش]]</f>
        <v>1</v>
      </c>
      <c r="P45" s="140" t="str">
        <f>VLOOKUP(invoice[[#This Row],[شماره پیش فاکتور]],[1]!invoice[[شماره پیش فاکتور]:[نوع سفارش]],9,0)</f>
        <v>بورس</v>
      </c>
      <c r="Q45" s="145">
        <f>SUMIFS('[1]جزییات بارگیری'!D:D,'[1]جزییات بارگیری'!C:C,[1]!invoice[[#This Row],[شماره پیش فاکتور]])</f>
        <v>500000</v>
      </c>
      <c r="R45" s="145">
        <f>IF([1]!invoice[[#This Row],[میزان سفارش]]-[1]!invoice[[#This Row],[میزان حمل شده ]]&lt;0,0,[1]!invoice[[#This Row],[میزان سفارش]]-[1]!invoice[[#This Row],[میزان حمل شده ]])</f>
        <v>0</v>
      </c>
      <c r="S45" s="145">
        <f>[1]!invoice[[#This Row],[میزان حمل نشده ]]*[1]!invoice[[#This Row],[فی]]</f>
        <v>0</v>
      </c>
      <c r="T45" s="140"/>
    </row>
    <row r="46" spans="1:20" ht="18.600000000000001" x14ac:dyDescent="0.25">
      <c r="A46" s="81" t="s">
        <v>467</v>
      </c>
      <c r="B46" s="81" t="s">
        <v>17</v>
      </c>
      <c r="C46" s="81" t="str">
        <f>VLOOKUP(invoice[[#This Row],[شماره پیش فاکتور]],[1]!invoice[[شماره پیش فاکتور]:[تاریخ]],3,0)</f>
        <v>1404/02/03</v>
      </c>
      <c r="D46" s="82" t="str">
        <f>VLOOKUP(invoice[[#This Row],[شماره پیش فاکتور]],'[1]لیست پیش فاکتور ها'!$A:$D,4,0)</f>
        <v>1404/02/03</v>
      </c>
      <c r="E46" s="2">
        <f>VLOOKUP(invoice[[#This Row],[شماره پیش فاکتور]],[1]!invoice[[شماره پیش فاکتور]:[میزان سفارش]],5,0)</f>
        <v>50000</v>
      </c>
      <c r="F46" s="2">
        <f>VLOOKUP(invoice[[#This Row],[شماره پیش فاکتور]],[1]!invoice[[شماره پیش فاکتور]:[فی]],6,0)</f>
        <v>151200</v>
      </c>
      <c r="G46" s="3" t="str">
        <f>CHOOSE(MID(invoice[[#This Row],[تاریخ]],6,2),"فروردین","اردیبهشت","خرداد","تیر","مرداد","شهریور","مهر","آبان","آذر","دی","بهمن","اسفند")</f>
        <v>اردیبهشت</v>
      </c>
      <c r="H46" s="3">
        <f>_xlfn.NUMBERVALUE(MID(invoice[[#This Row],[تاریخ]],1,4))</f>
        <v>1404</v>
      </c>
      <c r="I46" s="3" t="str">
        <f>VLOOKUP(invoice[[#This Row],[شماره پیش فاکتور]],[1]!invoice[[شماره پیش فاکتور]:[نوع سفارش]],9,0)</f>
        <v>بورس</v>
      </c>
      <c r="J46" s="3" t="str">
        <f>VLOOKUP(invoice[[#This Row],[شماره پیش فاکتور]],[1]!invoice[[شماره پیش فاکتور]:[نوع شرکت]],10,0)</f>
        <v>تولید کننده</v>
      </c>
      <c r="K46" s="3" t="s">
        <v>610</v>
      </c>
      <c r="L46" s="77">
        <v>0.1</v>
      </c>
      <c r="M46" s="78">
        <v>1247400000</v>
      </c>
      <c r="N46" s="78">
        <f>invoice[[#This Row],[مبلغ پیش دریافت]]/invoice[[#This Row],[میزان سفارش]]</f>
        <v>24948</v>
      </c>
      <c r="O46" s="144">
        <f>SUMIF([1]!bargiri[شماره پیش فاکتور],[1]!invoice[[#This Row],[شماره پیش فاکتور]],[1]!bargiri[میزان بارگیری شده])/[1]!invoice[[#This Row],[میزان سفارش]]</f>
        <v>1</v>
      </c>
      <c r="P46" s="140" t="str">
        <f>VLOOKUP(invoice[[#This Row],[شماره پیش فاکتور]],[1]!invoice[[شماره پیش فاکتور]:[نوع سفارش]],9,0)</f>
        <v>بورس</v>
      </c>
      <c r="Q46" s="145">
        <f>SUMIFS('[1]جزییات بارگیری'!D:D,'[1]جزییات بارگیری'!C:C,[1]!invoice[[#This Row],[شماره پیش فاکتور]])</f>
        <v>417970</v>
      </c>
      <c r="R46" s="145">
        <f>IF([1]!invoice[[#This Row],[میزان سفارش]]-[1]!invoice[[#This Row],[میزان حمل شده ]]&lt;0,0,[1]!invoice[[#This Row],[میزان سفارش]]-[1]!invoice[[#This Row],[میزان حمل شده ]])</f>
        <v>0</v>
      </c>
      <c r="S46" s="145">
        <f>[1]!invoice[[#This Row],[میزان حمل نشده ]]*[1]!invoice[[#This Row],[فی]]</f>
        <v>0</v>
      </c>
      <c r="T46" s="140"/>
    </row>
    <row r="47" spans="1:20" ht="18.600000000000001" x14ac:dyDescent="0.25">
      <c r="A47" s="81" t="s">
        <v>611</v>
      </c>
      <c r="B47" s="81" t="s">
        <v>67</v>
      </c>
      <c r="C47" s="81" t="str">
        <f>VLOOKUP(invoice[[#This Row],[شماره پیش فاکتور]],[1]!invoice[[شماره پیش فاکتور]:[تاریخ]],3,0)</f>
        <v>1404/02/16</v>
      </c>
      <c r="D47" s="82" t="str">
        <f>VLOOKUP(invoice[[#This Row],[شماره پیش فاکتور]],'[1]لیست پیش فاکتور ها'!$A:$D,4,0)</f>
        <v>1404/02/17</v>
      </c>
      <c r="E47" s="2">
        <f>VLOOKUP(invoice[[#This Row],[شماره پیش فاکتور]],[1]!invoice[[شماره پیش فاکتور]:[میزان سفارش]],5,0)</f>
        <v>65000</v>
      </c>
      <c r="F47" s="2">
        <f>VLOOKUP(invoice[[#This Row],[شماره پیش فاکتور]],[1]!invoice[[شماره پیش فاکتور]:[فی]],6,0)</f>
        <v>80000</v>
      </c>
      <c r="G47" s="3" t="str">
        <f>CHOOSE(MID(invoice[[#This Row],[تاریخ]],6,2),"فروردین","اردیبهشت","خرداد","تیر","مرداد","شهریور","مهر","آبان","آذر","دی","بهمن","اسفند")</f>
        <v>اردیبهشت</v>
      </c>
      <c r="H47" s="3">
        <f>_xlfn.NUMBERVALUE(MID(invoice[[#This Row],[تاریخ]],1,4))</f>
        <v>1404</v>
      </c>
      <c r="I47" s="3" t="str">
        <f>VLOOKUP(invoice[[#This Row],[شماره پیش فاکتور]],[1]!invoice[[شماره پیش فاکتور]:[نوع سفارش]],9,0)</f>
        <v>تعادلی</v>
      </c>
      <c r="J47" s="3" t="str">
        <f>VLOOKUP(invoice[[#This Row],[شماره پیش فاکتور]],[1]!invoice[[شماره پیش فاکتور]:[نوع شرکت]],10,0)</f>
        <v>تولید کننده</v>
      </c>
      <c r="K47" s="3" t="s">
        <v>610</v>
      </c>
      <c r="L47" s="77">
        <v>0.1</v>
      </c>
      <c r="M47" s="78">
        <v>858000000</v>
      </c>
      <c r="N47" s="78">
        <f>invoice[[#This Row],[مبلغ پیش دریافت]]/invoice[[#This Row],[میزان سفارش]]</f>
        <v>13200</v>
      </c>
      <c r="O47" s="144">
        <f>SUMIF([1]!bargiri[شماره پیش فاکتور],[1]!invoice[[#This Row],[شماره پیش فاکتور]],[1]!bargiri[میزان بارگیری شده])/[1]!invoice[[#This Row],[میزان سفارش]]</f>
        <v>1.0044999999999999</v>
      </c>
      <c r="P47" s="140" t="str">
        <f>VLOOKUP(invoice[[#This Row],[شماره پیش فاکتور]],[1]!invoice[[شماره پیش فاکتور]:[نوع سفارش]],9,0)</f>
        <v>تعادلی</v>
      </c>
      <c r="Q47" s="145">
        <f>SUMIFS('[1]جزییات بارگیری'!D:D,'[1]جزییات بارگیری'!C:C,[1]!invoice[[#This Row],[شماره پیش فاکتور]])</f>
        <v>50225</v>
      </c>
      <c r="R47" s="145">
        <f>IF([1]!invoice[[#This Row],[میزان سفارش]]-[1]!invoice[[#This Row],[میزان حمل شده ]]&lt;0,0,[1]!invoice[[#This Row],[میزان سفارش]]-[1]!invoice[[#This Row],[میزان حمل شده ]])</f>
        <v>0</v>
      </c>
      <c r="S47" s="145">
        <f>[1]!invoice[[#This Row],[میزان حمل نشده ]]*[1]!invoice[[#This Row],[فی]]</f>
        <v>0</v>
      </c>
      <c r="T47" s="140"/>
    </row>
    <row r="48" spans="1:20" ht="18.600000000000001" x14ac:dyDescent="0.25">
      <c r="A48" s="81" t="s">
        <v>612</v>
      </c>
      <c r="B48" s="81" t="s">
        <v>17</v>
      </c>
      <c r="C48" s="81" t="str">
        <f>VLOOKUP(invoice[[#This Row],[شماره پیش فاکتور]],[1]!invoice[[شماره پیش فاکتور]:[تاریخ]],3,0)</f>
        <v>1404/02/16</v>
      </c>
      <c r="D48" s="82" t="str">
        <f>VLOOKUP(invoice[[#This Row],[شماره پیش فاکتور]],'[1]لیست پیش فاکتور ها'!$A:$D,4,0)</f>
        <v>1404/02/17</v>
      </c>
      <c r="E48" s="2">
        <f>VLOOKUP(invoice[[#This Row],[شماره پیش فاکتور]],[1]!invoice[[شماره پیش فاکتور]:[میزان سفارش]],5,0)</f>
        <v>102400</v>
      </c>
      <c r="F48" s="2">
        <f>VLOOKUP(invoice[[#This Row],[شماره پیش فاکتور]],[1]!invoice[[شماره پیش فاکتور]:[فی]],6,0)</f>
        <v>75000</v>
      </c>
      <c r="G48" s="3" t="str">
        <f>CHOOSE(MID(invoice[[#This Row],[تاریخ]],6,2),"فروردین","اردیبهشت","خرداد","تیر","مرداد","شهریور","مهر","آبان","آذر","دی","بهمن","اسفند")</f>
        <v>اردیبهشت</v>
      </c>
      <c r="H48" s="3">
        <f>_xlfn.NUMBERVALUE(MID(invoice[[#This Row],[تاریخ]],1,4))</f>
        <v>1404</v>
      </c>
      <c r="I48" s="3" t="str">
        <f>VLOOKUP(invoice[[#This Row],[شماره پیش فاکتور]],[1]!invoice[[شماره پیش فاکتور]:[نوع سفارش]],9,0)</f>
        <v>تعادلی</v>
      </c>
      <c r="J48" s="3" t="str">
        <f>VLOOKUP(invoice[[#This Row],[شماره پیش فاکتور]],[1]!invoice[[شماره پیش فاکتور]:[نوع شرکت]],10,0)</f>
        <v>تولید کننده</v>
      </c>
      <c r="K48" s="3" t="s">
        <v>610</v>
      </c>
      <c r="L48" s="77">
        <v>0.1</v>
      </c>
      <c r="M48" s="78">
        <v>1267200000</v>
      </c>
      <c r="N48" s="78">
        <f>invoice[[#This Row],[مبلغ پیش دریافت]]/invoice[[#This Row],[میزان سفارش]]</f>
        <v>12375</v>
      </c>
      <c r="O48" s="144">
        <f>SUMIF([1]!bargiri[شماره پیش فاکتور],[1]!invoice[[#This Row],[شماره پیش فاکتور]],[1]!bargiri[میزان بارگیری شده])/[1]!invoice[[#This Row],[میزان سفارش]]</f>
        <v>1</v>
      </c>
      <c r="P48" s="140" t="str">
        <f>VLOOKUP(invoice[[#This Row],[شماره پیش فاکتور]],[1]!invoice[[شماره پیش فاکتور]:[نوع سفارش]],9,0)</f>
        <v>تعادلی</v>
      </c>
      <c r="Q48" s="145">
        <f>SUMIFS('[1]جزییات بارگیری'!D:D,'[1]جزییات بارگیری'!C:C,[1]!invoice[[#This Row],[شماره پیش فاکتور]])</f>
        <v>25000</v>
      </c>
      <c r="R48" s="145">
        <f>IF([1]!invoice[[#This Row],[میزان سفارش]]-[1]!invoice[[#This Row],[میزان حمل شده ]]&lt;0,0,[1]!invoice[[#This Row],[میزان سفارش]]-[1]!invoice[[#This Row],[میزان حمل شده ]])</f>
        <v>0</v>
      </c>
      <c r="S48" s="145">
        <f>[1]!invoice[[#This Row],[میزان حمل نشده ]]*[1]!invoice[[#This Row],[فی]]</f>
        <v>0</v>
      </c>
      <c r="T48" s="140"/>
    </row>
    <row r="49" spans="1:20" ht="18.600000000000001" x14ac:dyDescent="0.25">
      <c r="A49" s="81" t="s">
        <v>613</v>
      </c>
      <c r="B49" s="81" t="s">
        <v>219</v>
      </c>
      <c r="C49" s="81" t="str">
        <f>VLOOKUP(invoice[[#This Row],[شماره پیش فاکتور]],[1]!invoice[[شماره پیش فاکتور]:[تاریخ]],3,0)</f>
        <v>1404/02/17</v>
      </c>
      <c r="D49" s="82" t="str">
        <f>VLOOKUP(invoice[[#This Row],[شماره پیش فاکتور]],'[1]لیست پیش فاکتور ها'!$A:$D,4,0)</f>
        <v>1404/02/18</v>
      </c>
      <c r="E49" s="2">
        <f>VLOOKUP(invoice[[#This Row],[شماره پیش فاکتور]],[1]!invoice[[شماره پیش فاکتور]:[میزان سفارش]],5,0)</f>
        <v>40000</v>
      </c>
      <c r="F49" s="2">
        <f>VLOOKUP(invoice[[#This Row],[شماره پیش فاکتور]],[1]!invoice[[شماره پیش فاکتور]:[فی]],6,0)</f>
        <v>151200</v>
      </c>
      <c r="G49" s="3" t="str">
        <f>CHOOSE(MID(invoice[[#This Row],[تاریخ]],6,2),"فروردین","اردیبهشت","خرداد","تیر","مرداد","شهریور","مهر","آبان","آذر","دی","بهمن","اسفند")</f>
        <v>اردیبهشت</v>
      </c>
      <c r="H49" s="3">
        <f>_xlfn.NUMBERVALUE(MID(invoice[[#This Row],[تاریخ]],1,4))</f>
        <v>1404</v>
      </c>
      <c r="I49" s="3" t="str">
        <f>VLOOKUP(invoice[[#This Row],[شماره پیش فاکتور]],[1]!invoice[[شماره پیش فاکتور]:[نوع سفارش]],9,0)</f>
        <v>بورس</v>
      </c>
      <c r="J49" s="3" t="str">
        <f>VLOOKUP(invoice[[#This Row],[شماره پیش فاکتور]],[1]!invoice[[شماره پیش فاکتور]:[نوع شرکت]],10,0)</f>
        <v>تولید کننده</v>
      </c>
      <c r="K49" s="3" t="s">
        <v>610</v>
      </c>
      <c r="L49" s="77">
        <v>0.1</v>
      </c>
      <c r="M49" s="78">
        <v>997920000</v>
      </c>
      <c r="N49" s="78">
        <f>invoice[[#This Row],[مبلغ پیش دریافت]]/invoice[[#This Row],[میزان سفارش]]</f>
        <v>24948</v>
      </c>
      <c r="O49" s="144">
        <f>SUMIF([1]!bargiri[شماره پیش فاکتور],[1]!invoice[[#This Row],[شماره پیش فاکتور]],[1]!bargiri[میزان بارگیری شده])/[1]!invoice[[#This Row],[میزان سفارش]]</f>
        <v>1</v>
      </c>
      <c r="P49" s="140" t="str">
        <f>VLOOKUP(invoice[[#This Row],[شماره پیش فاکتور]],[1]!invoice[[شماره پیش فاکتور]:[نوع سفارش]],9,0)</f>
        <v>بورس</v>
      </c>
      <c r="Q49" s="145">
        <f>SUMIFS('[1]جزییات بارگیری'!D:D,'[1]جزییات بارگیری'!C:C,[1]!invoice[[#This Row],[شماره پیش فاکتور]])</f>
        <v>24870</v>
      </c>
      <c r="R49" s="145">
        <f>IF([1]!invoice[[#This Row],[میزان سفارش]]-[1]!invoice[[#This Row],[میزان حمل شده ]]&lt;0,0,[1]!invoice[[#This Row],[میزان سفارش]]-[1]!invoice[[#This Row],[میزان حمل شده ]])</f>
        <v>0</v>
      </c>
      <c r="S49" s="145">
        <f>[1]!invoice[[#This Row],[میزان حمل نشده ]]*[1]!invoice[[#This Row],[فی]]</f>
        <v>0</v>
      </c>
      <c r="T49" s="140"/>
    </row>
    <row r="50" spans="1:20" ht="18.600000000000001" x14ac:dyDescent="0.25">
      <c r="A50" s="81" t="s">
        <v>614</v>
      </c>
      <c r="B50" s="81" t="s">
        <v>17</v>
      </c>
      <c r="C50" s="81" t="str">
        <f>VLOOKUP(invoice[[#This Row],[شماره پیش فاکتور]],[1]!invoice[[شماره پیش فاکتور]:[تاریخ]],3,0)</f>
        <v>1404/02/17</v>
      </c>
      <c r="D50" s="82" t="str">
        <f>VLOOKUP(invoice[[#This Row],[شماره پیش فاکتور]],'[1]لیست پیش فاکتور ها'!$A:$D,4,0)</f>
        <v>1404/02/18</v>
      </c>
      <c r="E50" s="2">
        <f>VLOOKUP(invoice[[#This Row],[شماره پیش فاکتور]],[1]!invoice[[شماره پیش فاکتور]:[میزان سفارش]],5,0)</f>
        <v>20000</v>
      </c>
      <c r="F50" s="2">
        <f>VLOOKUP(invoice[[#This Row],[شماره پیش فاکتور]],[1]!invoice[[شماره پیش فاکتور]:[فی]],6,0)</f>
        <v>151200</v>
      </c>
      <c r="G50" s="3" t="str">
        <f>CHOOSE(MID(invoice[[#This Row],[تاریخ]],6,2),"فروردین","اردیبهشت","خرداد","تیر","مرداد","شهریور","مهر","آبان","آذر","دی","بهمن","اسفند")</f>
        <v>اردیبهشت</v>
      </c>
      <c r="H50" s="3">
        <f>_xlfn.NUMBERVALUE(MID(invoice[[#This Row],[تاریخ]],1,4))</f>
        <v>1404</v>
      </c>
      <c r="I50" s="3" t="str">
        <f>VLOOKUP(invoice[[#This Row],[شماره پیش فاکتور]],[1]!invoice[[شماره پیش فاکتور]:[نوع سفارش]],9,0)</f>
        <v>بورس</v>
      </c>
      <c r="J50" s="3" t="str">
        <f>VLOOKUP(invoice[[#This Row],[شماره پیش فاکتور]],[1]!invoice[[شماره پیش فاکتور]:[نوع شرکت]],10,0)</f>
        <v>تولید کننده</v>
      </c>
      <c r="K50" s="3" t="s">
        <v>610</v>
      </c>
      <c r="L50" s="77">
        <v>0.1</v>
      </c>
      <c r="M50" s="78">
        <v>498960000</v>
      </c>
      <c r="N50" s="78">
        <f>invoice[[#This Row],[مبلغ پیش دریافت]]/invoice[[#This Row],[میزان سفارش]]</f>
        <v>24948</v>
      </c>
      <c r="O50" s="144">
        <f>SUMIF([1]!bargiri[شماره پیش فاکتور],[1]!invoice[[#This Row],[شماره پیش فاکتور]],[1]!bargiri[میزان بارگیری شده])/[1]!invoice[[#This Row],[میزان سفارش]]</f>
        <v>1</v>
      </c>
      <c r="P50" s="140" t="str">
        <f>VLOOKUP(invoice[[#This Row],[شماره پیش فاکتور]],[1]!invoice[[شماره پیش فاکتور]:[نوع سفارش]],9,0)</f>
        <v>بورس</v>
      </c>
      <c r="Q50" s="145">
        <f>SUMIFS('[1]جزییات بارگیری'!D:D,'[1]جزییات بارگیری'!C:C,[1]!invoice[[#This Row],[شماره پیش فاکتور]])</f>
        <v>18375</v>
      </c>
      <c r="R50" s="145">
        <f>IF([1]!invoice[[#This Row],[میزان سفارش]]-[1]!invoice[[#This Row],[میزان حمل شده ]]&lt;0,0,[1]!invoice[[#This Row],[میزان سفارش]]-[1]!invoice[[#This Row],[میزان حمل شده ]])</f>
        <v>0</v>
      </c>
      <c r="S50" s="145">
        <f>[1]!invoice[[#This Row],[میزان حمل نشده ]]*[1]!invoice[[#This Row],[فی]]</f>
        <v>0</v>
      </c>
      <c r="T50" s="140"/>
    </row>
    <row r="51" spans="1:20" ht="18.600000000000001" x14ac:dyDescent="0.25">
      <c r="A51" s="81" t="s">
        <v>414</v>
      </c>
      <c r="B51" s="81" t="s">
        <v>25</v>
      </c>
      <c r="C51" s="81" t="str">
        <f>VLOOKUP(invoice[[#This Row],[شماره پیش فاکتور]],[1]!invoice[[شماره پیش فاکتور]:[تاریخ]],3,0)</f>
        <v>1404/02/17</v>
      </c>
      <c r="D51" s="82" t="str">
        <f>VLOOKUP(invoice[[#This Row],[شماره پیش فاکتور]],'[1]لیست پیش فاکتور ها'!$A:$D,4,0)</f>
        <v>1404/02/18</v>
      </c>
      <c r="E51" s="2">
        <f>VLOOKUP(invoice[[#This Row],[شماره پیش فاکتور]],[1]!invoice[[شماره پیش فاکتور]:[میزان سفارش]],5,0)</f>
        <v>40000</v>
      </c>
      <c r="F51" s="2">
        <f>VLOOKUP(invoice[[#This Row],[شماره پیش فاکتور]],[1]!invoice[[شماره پیش فاکتور]:[فی]],6,0)</f>
        <v>151200</v>
      </c>
      <c r="G51" s="3" t="str">
        <f>CHOOSE(MID(invoice[[#This Row],[تاریخ]],6,2),"فروردین","اردیبهشت","خرداد","تیر","مرداد","شهریور","مهر","آبان","آذر","دی","بهمن","اسفند")</f>
        <v>اردیبهشت</v>
      </c>
      <c r="H51" s="3">
        <f>_xlfn.NUMBERVALUE(MID(invoice[[#This Row],[تاریخ]],1,4))</f>
        <v>1404</v>
      </c>
      <c r="I51" s="3" t="str">
        <f>VLOOKUP(invoice[[#This Row],[شماره پیش فاکتور]],[1]!invoice[[شماره پیش فاکتور]:[نوع سفارش]],9,0)</f>
        <v>بورس</v>
      </c>
      <c r="J51" s="3" t="str">
        <f>VLOOKUP(invoice[[#This Row],[شماره پیش فاکتور]],[1]!invoice[[شماره پیش فاکتور]:[نوع شرکت]],10,0)</f>
        <v>تولید کننده</v>
      </c>
      <c r="K51" s="3" t="s">
        <v>610</v>
      </c>
      <c r="L51" s="77">
        <v>0.1</v>
      </c>
      <c r="M51" s="78">
        <v>99792000</v>
      </c>
      <c r="N51" s="78">
        <f>invoice[[#This Row],[مبلغ پیش دریافت]]/invoice[[#This Row],[میزان سفارش]]</f>
        <v>2494.8000000000002</v>
      </c>
      <c r="O51" s="144">
        <f>SUMIF([1]!bargiri[شماره پیش فاکتور],[1]!invoice[[#This Row],[شماره پیش فاکتور]],[1]!bargiri[میزان بارگیری شده])/[1]!invoice[[#This Row],[میزان سفارش]]</f>
        <v>1</v>
      </c>
      <c r="P51" s="140" t="str">
        <f>VLOOKUP(invoice[[#This Row],[شماره پیش فاکتور]],[1]!invoice[[شماره پیش فاکتور]:[نوع سفارش]],9,0)</f>
        <v>بورس</v>
      </c>
      <c r="Q51" s="145">
        <f>SUMIFS('[1]جزییات بارگیری'!D:D,'[1]جزییات بارگیری'!C:C,[1]!invoice[[#This Row],[شماره پیش فاکتور]])</f>
        <v>30000</v>
      </c>
      <c r="R51" s="145">
        <f>IF([1]!invoice[[#This Row],[میزان سفارش]]-[1]!invoice[[#This Row],[میزان حمل شده ]]&lt;0,0,[1]!invoice[[#This Row],[میزان سفارش]]-[1]!invoice[[#This Row],[میزان حمل شده ]])</f>
        <v>0</v>
      </c>
      <c r="S51" s="145">
        <f>[1]!invoice[[#This Row],[میزان حمل نشده ]]*[1]!invoice[[#This Row],[فی]]</f>
        <v>0</v>
      </c>
      <c r="T51" s="140"/>
    </row>
    <row r="52" spans="1:20" ht="18.600000000000001" x14ac:dyDescent="0.25">
      <c r="A52" s="81" t="s">
        <v>1021</v>
      </c>
      <c r="B52" s="81" t="s">
        <v>219</v>
      </c>
      <c r="C52" s="81" t="str">
        <f>VLOOKUP(invoice[[#This Row],[شماره پیش فاکتور]],[1]!invoice[[شماره پیش فاکتور]:[تاریخ]],3,0)</f>
        <v>1404/10/09</v>
      </c>
      <c r="D52" s="82">
        <f>VLOOKUP(invoice[[#This Row],[شماره پیش فاکتور]],'[1]لیست پیش فاکتور ها'!$A:$D,4,0)</f>
        <v>46021</v>
      </c>
      <c r="E52" s="2">
        <f>VLOOKUP(invoice[[#This Row],[شماره پیش فاکتور]],[1]!invoice[[شماره پیش فاکتور]:[میزان سفارش]],5,0)</f>
        <v>40000</v>
      </c>
      <c r="F52" s="2">
        <f>VLOOKUP(invoice[[#This Row],[شماره پیش فاکتور]],[1]!invoice[[شماره پیش فاکتور]:[فی]],6,0)</f>
        <v>132800</v>
      </c>
      <c r="G52" s="3" t="str">
        <f>CHOOSE(MID(invoice[[#This Row],[تاریخ]],6,2),"فروردین","اردیبهشت","خرداد","تیر","مرداد","شهریور","مهر","آبان","آذر","دی","بهمن","اسفند")</f>
        <v>دی</v>
      </c>
      <c r="H52" s="3">
        <f>_xlfn.NUMBERVALUE(MID(invoice[[#This Row],[تاریخ]],1,4))</f>
        <v>1404</v>
      </c>
      <c r="I52" s="3" t="str">
        <f>VLOOKUP(invoice[[#This Row],[شماره پیش فاکتور]],[1]!invoice[[شماره پیش فاکتور]:[نوع سفارش]],9,0)</f>
        <v>تعادلی</v>
      </c>
      <c r="J52" s="3" t="str">
        <f>VLOOKUP(invoice[[#This Row],[شماره پیش فاکتور]],[1]!invoice[[شماره پیش فاکتور]:[نوع شرکت]],10,0)</f>
        <v>تولید کننده</v>
      </c>
      <c r="K52" s="3" t="s">
        <v>610</v>
      </c>
      <c r="L52" s="77">
        <v>0.1</v>
      </c>
      <c r="M52" s="78">
        <v>1013760000.0000001</v>
      </c>
      <c r="N52" s="78">
        <f>invoice[[#This Row],[مبلغ پیش دریافت]]/invoice[[#This Row],[میزان سفارش]]</f>
        <v>25344.000000000004</v>
      </c>
      <c r="O52" s="144">
        <f>SUMIF([1]!bargiri[شماره پیش فاکتور],[1]!invoice[[#This Row],[شماره پیش فاکتور]],[1]!bargiri[میزان بارگیری شده])/[1]!invoice[[#This Row],[میزان سفارش]]</f>
        <v>1</v>
      </c>
      <c r="P52" s="140" t="str">
        <f>VLOOKUP(invoice[[#This Row],[شماره پیش فاکتور]],[1]!invoice[[شماره پیش فاکتور]:[نوع سفارش]],9,0)</f>
        <v>تعادلی</v>
      </c>
      <c r="Q52" s="145">
        <f>SUMIFS('[1]جزییات بارگیری'!D:D,'[1]جزییات بارگیری'!C:C,[1]!invoice[[#This Row],[شماره پیش فاکتور]])</f>
        <v>50000</v>
      </c>
      <c r="R52" s="145">
        <f>IF([1]!invoice[[#This Row],[میزان سفارش]]-[1]!invoice[[#This Row],[میزان حمل شده ]]&lt;0,0,[1]!invoice[[#This Row],[میزان سفارش]]-[1]!invoice[[#This Row],[میزان حمل شده ]])</f>
        <v>0</v>
      </c>
      <c r="S52" s="145">
        <f>[1]!invoice[[#This Row],[میزان حمل نشده ]]*[1]!invoice[[#This Row],[فی]]</f>
        <v>0</v>
      </c>
      <c r="T52" s="140"/>
    </row>
    <row r="53" spans="1:20" ht="18.600000000000001" x14ac:dyDescent="0.25">
      <c r="A53" s="81" t="s">
        <v>442</v>
      </c>
      <c r="B53" s="81" t="s">
        <v>17</v>
      </c>
      <c r="C53" s="81" t="str">
        <f>VLOOKUP(invoice[[#This Row],[شماره پیش فاکتور]],[1]!invoice[[شماره پیش فاکتور]:[تاریخ]],3,0)</f>
        <v>1404/02/22</v>
      </c>
      <c r="D53" s="82" t="str">
        <f>VLOOKUP(invoice[[#This Row],[شماره پیش فاکتور]],'[1]لیست پیش فاکتور ها'!$A:$D,4,0)</f>
        <v>1404/02/25</v>
      </c>
      <c r="E53" s="2">
        <f>VLOOKUP(invoice[[#This Row],[شماره پیش فاکتور]],[1]!invoice[[شماره پیش فاکتور]:[میزان سفارش]],5,0)</f>
        <v>51200</v>
      </c>
      <c r="F53" s="2">
        <f>VLOOKUP(invoice[[#This Row],[شماره پیش فاکتور]],[1]!invoice[[شماره پیش فاکتور]:[فی]],6,0)</f>
        <v>80000</v>
      </c>
      <c r="G53" s="3" t="str">
        <f>CHOOSE(MID(invoice[[#This Row],[تاریخ]],6,2),"فروردین","اردیبهشت","خرداد","تیر","مرداد","شهریور","مهر","آبان","آذر","دی","بهمن","اسفند")</f>
        <v>اردیبهشت</v>
      </c>
      <c r="H53" s="3">
        <f>_xlfn.NUMBERVALUE(MID(invoice[[#This Row],[تاریخ]],1,4))</f>
        <v>1404</v>
      </c>
      <c r="I53" s="3" t="str">
        <f>VLOOKUP(invoice[[#This Row],[شماره پیش فاکتور]],[1]!invoice[[شماره پیش فاکتور]:[نوع سفارش]],9,0)</f>
        <v>تعادلی</v>
      </c>
      <c r="J53" s="3" t="str">
        <f>VLOOKUP(invoice[[#This Row],[شماره پیش فاکتور]],[1]!invoice[[شماره پیش فاکتور]:[نوع شرکت]],10,0)</f>
        <v>تولید کننده</v>
      </c>
      <c r="K53" s="3" t="s">
        <v>610</v>
      </c>
      <c r="L53" s="77">
        <v>0.1</v>
      </c>
      <c r="M53" s="78">
        <v>675840000</v>
      </c>
      <c r="N53" s="78">
        <f>invoice[[#This Row],[مبلغ پیش دریافت]]/invoice[[#This Row],[میزان سفارش]]</f>
        <v>13200</v>
      </c>
      <c r="O53" s="144">
        <f>SUMIF([1]!bargiri[شماره پیش فاکتور],[1]!invoice[[#This Row],[شماره پیش فاکتور]],[1]!bargiri[میزان بارگیری شده])/[1]!invoice[[#This Row],[میزان سفارش]]</f>
        <v>1</v>
      </c>
      <c r="P53" s="140" t="str">
        <f>VLOOKUP(invoice[[#This Row],[شماره پیش فاکتور]],[1]!invoice[[شماره پیش فاکتور]:[نوع سفارش]],9,0)</f>
        <v>تعادلی</v>
      </c>
      <c r="Q53" s="145">
        <f>SUMIFS('[1]جزییات بارگیری'!D:D,'[1]جزییات بارگیری'!C:C,[1]!invoice[[#This Row],[شماره پیش فاکتور]])</f>
        <v>50000</v>
      </c>
      <c r="R53" s="145">
        <f>IF([1]!invoice[[#This Row],[میزان سفارش]]-[1]!invoice[[#This Row],[میزان حمل شده ]]&lt;0,0,[1]!invoice[[#This Row],[میزان سفارش]]-[1]!invoice[[#This Row],[میزان حمل شده ]])</f>
        <v>0</v>
      </c>
      <c r="S53" s="145">
        <f>[1]!invoice[[#This Row],[میزان حمل نشده ]]*[1]!invoice[[#This Row],[فی]]</f>
        <v>0</v>
      </c>
      <c r="T53" s="140"/>
    </row>
    <row r="54" spans="1:20" ht="18.600000000000001" x14ac:dyDescent="0.25">
      <c r="A54" s="81" t="s">
        <v>615</v>
      </c>
      <c r="B54" s="81" t="s">
        <v>25</v>
      </c>
      <c r="C54" s="81" t="str">
        <f>VLOOKUP(invoice[[#This Row],[شماره پیش فاکتور]],[1]!invoice[[شماره پیش فاکتور]:[تاریخ]],3,0)</f>
        <v>1404/02/22</v>
      </c>
      <c r="D54" s="82" t="str">
        <f>VLOOKUP(invoice[[#This Row],[شماره پیش فاکتور]],'[1]لیست پیش فاکتور ها'!$A:$D,4,0)</f>
        <v>1404/02/25</v>
      </c>
      <c r="E54" s="2">
        <f>VLOOKUP(invoice[[#This Row],[شماره پیش فاکتور]],[1]!invoice[[شماره پیش فاکتور]:[میزان سفارش]],5,0)</f>
        <v>81920</v>
      </c>
      <c r="F54" s="2">
        <f>VLOOKUP(invoice[[#This Row],[شماره پیش فاکتور]],[1]!invoice[[شماره پیش فاکتور]:[فی]],6,0)</f>
        <v>75000</v>
      </c>
      <c r="G54" s="3" t="str">
        <f>CHOOSE(MID(invoice[[#This Row],[تاریخ]],6,2),"فروردین","اردیبهشت","خرداد","تیر","مرداد","شهریور","مهر","آبان","آذر","دی","بهمن","اسفند")</f>
        <v>اردیبهشت</v>
      </c>
      <c r="H54" s="3">
        <f>_xlfn.NUMBERVALUE(MID(invoice[[#This Row],[تاریخ]],1,4))</f>
        <v>1404</v>
      </c>
      <c r="I54" s="3" t="str">
        <f>VLOOKUP(invoice[[#This Row],[شماره پیش فاکتور]],[1]!invoice[[شماره پیش فاکتور]:[نوع سفارش]],9,0)</f>
        <v>تعادلی</v>
      </c>
      <c r="J54" s="3" t="str">
        <f>VLOOKUP(invoice[[#This Row],[شماره پیش فاکتور]],[1]!invoice[[شماره پیش فاکتور]:[نوع شرکت]],10,0)</f>
        <v>تولید کننده</v>
      </c>
      <c r="K54" s="3" t="s">
        <v>610</v>
      </c>
      <c r="L54" s="77">
        <v>0.1</v>
      </c>
      <c r="M54" s="78">
        <v>1013760000.0000001</v>
      </c>
      <c r="N54" s="78">
        <f>invoice[[#This Row],[مبلغ پیش دریافت]]/invoice[[#This Row],[میزان سفارش]]</f>
        <v>12375.000000000002</v>
      </c>
      <c r="O54" s="144">
        <f>SUMIF([1]!bargiri[شماره پیش فاکتور],[1]!invoice[[#This Row],[شماره پیش فاکتور]],[1]!bargiri[میزان بارگیری شده])/[1]!invoice[[#This Row],[میزان سفارش]]</f>
        <v>1</v>
      </c>
      <c r="P54" s="140" t="str">
        <f>VLOOKUP(invoice[[#This Row],[شماره پیش فاکتور]],[1]!invoice[[شماره پیش فاکتور]:[نوع سفارش]],9,0)</f>
        <v>تعادلی</v>
      </c>
      <c r="Q54" s="145">
        <f>SUMIFS('[1]جزییات بارگیری'!D:D,'[1]جزییات بارگیری'!C:C,[1]!invoice[[#This Row],[شماره پیش فاکتور]])</f>
        <v>299978</v>
      </c>
      <c r="R54" s="145">
        <f>IF([1]!invoice[[#This Row],[میزان سفارش]]-[1]!invoice[[#This Row],[میزان حمل شده ]]&lt;0,0,[1]!invoice[[#This Row],[میزان سفارش]]-[1]!invoice[[#This Row],[میزان حمل شده ]])</f>
        <v>0</v>
      </c>
      <c r="S54" s="145">
        <f>[1]!invoice[[#This Row],[میزان حمل نشده ]]*[1]!invoice[[#This Row],[فی]]</f>
        <v>0</v>
      </c>
      <c r="T54" s="140"/>
    </row>
    <row r="55" spans="1:20" ht="18.600000000000001" x14ac:dyDescent="0.25">
      <c r="A55" s="81" t="s">
        <v>616</v>
      </c>
      <c r="B55" s="81" t="s">
        <v>67</v>
      </c>
      <c r="C55" s="81" t="str">
        <f>VLOOKUP(invoice[[#This Row],[شماره پیش فاکتور]],[1]!invoice[[شماره پیش فاکتور]:[تاریخ]],3,0)</f>
        <v>1404/02/29</v>
      </c>
      <c r="D55" s="82" t="str">
        <f>VLOOKUP(invoice[[#This Row],[شماره پیش فاکتور]],'[1]لیست پیش فاکتور ها'!$A:$D,4,0)</f>
        <v>1404/03/01</v>
      </c>
      <c r="E55" s="2">
        <f>VLOOKUP(invoice[[#This Row],[شماره پیش فاکتور]],[1]!invoice[[شماره پیش فاکتور]:[میزان سفارش]],5,0)</f>
        <v>1000000</v>
      </c>
      <c r="F55" s="2">
        <f>VLOOKUP(invoice[[#This Row],[شماره پیش فاکتور]],[1]!invoice[[شماره پیش فاکتور]:[فی]],6,0)</f>
        <v>142000</v>
      </c>
      <c r="G55" s="3" t="str">
        <f>CHOOSE(MID(invoice[[#This Row],[تاریخ]],6,2),"فروردین","اردیبهشت","خرداد","تیر","مرداد","شهریور","مهر","آبان","آذر","دی","بهمن","اسفند")</f>
        <v>اردیبهشت</v>
      </c>
      <c r="H55" s="3">
        <f>_xlfn.NUMBERVALUE(MID(invoice[[#This Row],[تاریخ]],1,4))</f>
        <v>1404</v>
      </c>
      <c r="I55" s="3" t="str">
        <f>VLOOKUP(invoice[[#This Row],[شماره پیش فاکتور]],[1]!invoice[[شماره پیش فاکتور]:[نوع سفارش]],9,0)</f>
        <v>انجمن</v>
      </c>
      <c r="J55" s="3" t="str">
        <f>VLOOKUP(invoice[[#This Row],[شماره پیش فاکتور]],[1]!invoice[[شماره پیش فاکتور]:[نوع شرکت]],10,0)</f>
        <v>تولید کننده</v>
      </c>
      <c r="K55" s="82">
        <v>46132</v>
      </c>
      <c r="L55" s="77">
        <v>0.1</v>
      </c>
      <c r="M55" s="78">
        <v>23430000000</v>
      </c>
      <c r="N55" s="78">
        <f>invoice[[#This Row],[مبلغ پیش دریافت]]/invoice[[#This Row],[میزان سفارش]]</f>
        <v>23430</v>
      </c>
      <c r="O55" s="144">
        <f>SUMIF([1]!bargiri[شماره پیش فاکتور],[1]!invoice[[#This Row],[شماره پیش فاکتور]],[1]!bargiri[میزان بارگیری شده])/[1]!invoice[[#This Row],[میزان سفارش]]</f>
        <v>1</v>
      </c>
      <c r="P55" s="140" t="str">
        <f>VLOOKUP(invoice[[#This Row],[شماره پیش فاکتور]],[1]!invoice[[شماره پیش فاکتور]:[نوع سفارش]],9,0)</f>
        <v>انجمن</v>
      </c>
      <c r="Q55" s="145">
        <f>SUMIFS('[1]جزییات بارگیری'!D:D,'[1]جزییات بارگیری'!C:C,[1]!invoice[[#This Row],[شماره پیش فاکتور]])</f>
        <v>400000</v>
      </c>
      <c r="R55" s="145">
        <f>IF([1]!invoice[[#This Row],[میزان سفارش]]-[1]!invoice[[#This Row],[میزان حمل شده ]]&lt;0,0,[1]!invoice[[#This Row],[میزان سفارش]]-[1]!invoice[[#This Row],[میزان حمل شده ]])</f>
        <v>0</v>
      </c>
      <c r="S55" s="145">
        <f>[1]!invoice[[#This Row],[میزان حمل نشده ]]*[1]!invoice[[#This Row],[فی]]</f>
        <v>0</v>
      </c>
      <c r="T55" s="140"/>
    </row>
    <row r="56" spans="1:20" ht="18.600000000000001" x14ac:dyDescent="0.25">
      <c r="A56" s="81" t="s">
        <v>617</v>
      </c>
      <c r="B56" s="81" t="s">
        <v>211</v>
      </c>
      <c r="C56" s="81" t="str">
        <f>VLOOKUP(invoice[[#This Row],[شماره پیش فاکتور]],[1]!invoice[[شماره پیش فاکتور]:[تاریخ]],3,0)</f>
        <v>1404/02/29</v>
      </c>
      <c r="D56" s="82" t="str">
        <f>VLOOKUP(invoice[[#This Row],[شماره پیش فاکتور]],'[1]لیست پیش فاکتور ها'!$A:$D,4,0)</f>
        <v>1404/02/01</v>
      </c>
      <c r="E56" s="2">
        <f>VLOOKUP(invoice[[#This Row],[شماره پیش فاکتور]],[1]!invoice[[شماره پیش فاکتور]:[میزان سفارش]],5,0)</f>
        <v>312790</v>
      </c>
      <c r="F56" s="2">
        <f>VLOOKUP(invoice[[#This Row],[شماره پیش فاکتور]],[1]!invoice[[شماره پیش فاکتور]:[فی]],6,0)</f>
        <v>142000</v>
      </c>
      <c r="G56" s="3" t="str">
        <f>CHOOSE(MID(invoice[[#This Row],[تاریخ]],6,2),"فروردین","اردیبهشت","خرداد","تیر","مرداد","شهریور","مهر","آبان","آذر","دی","بهمن","اسفند")</f>
        <v>اردیبهشت</v>
      </c>
      <c r="H56" s="3">
        <f>_xlfn.NUMBERVALUE(MID(invoice[[#This Row],[تاریخ]],1,4))</f>
        <v>1404</v>
      </c>
      <c r="I56" s="3" t="str">
        <f>VLOOKUP(invoice[[#This Row],[شماره پیش فاکتور]],[1]!invoice[[شماره پیش فاکتور]:[نوع سفارش]],9,0)</f>
        <v>انجمن</v>
      </c>
      <c r="J56" s="3" t="str">
        <f>VLOOKUP(invoice[[#This Row],[شماره پیش فاکتور]],[1]!invoice[[شماره پیش فاکتور]:[نوع شرکت]],10,0)</f>
        <v>تولید کننده</v>
      </c>
      <c r="K56" s="82">
        <v>46132</v>
      </c>
      <c r="L56" s="77">
        <v>0.1</v>
      </c>
      <c r="M56" s="78">
        <v>14058000000</v>
      </c>
      <c r="N56" s="78">
        <f>invoice[[#This Row],[مبلغ پیش دریافت]]/invoice[[#This Row],[میزان سفارش]]</f>
        <v>44943.892068160749</v>
      </c>
      <c r="O56" s="144">
        <f>SUMIF([1]!bargiri[شماره پیش فاکتور],[1]!invoice[[#This Row],[شماره پیش فاکتور]],[1]!bargiri[میزان بارگیری شده])/[1]!invoice[[#This Row],[میزان سفارش]]</f>
        <v>1</v>
      </c>
      <c r="P56" s="140" t="str">
        <f>VLOOKUP(invoice[[#This Row],[شماره پیش فاکتور]],[1]!invoice[[شماره پیش فاکتور]:[نوع سفارش]],9,0)</f>
        <v>انجمن</v>
      </c>
      <c r="Q56" s="145">
        <f>SUMIFS('[1]جزییات بارگیری'!D:D,'[1]جزییات بارگیری'!C:C,[1]!invoice[[#This Row],[شماره پیش فاکتور]])</f>
        <v>85900</v>
      </c>
      <c r="R56" s="145">
        <f>IF([1]!invoice[[#This Row],[میزان سفارش]]-[1]!invoice[[#This Row],[میزان حمل شده ]]&lt;0,0,[1]!invoice[[#This Row],[میزان سفارش]]-[1]!invoice[[#This Row],[میزان حمل شده ]])</f>
        <v>0</v>
      </c>
      <c r="S56" s="145">
        <f>[1]!invoice[[#This Row],[میزان حمل نشده ]]*[1]!invoice[[#This Row],[فی]]</f>
        <v>0</v>
      </c>
      <c r="T56" s="140"/>
    </row>
    <row r="57" spans="1:20" ht="18.600000000000001" x14ac:dyDescent="0.25">
      <c r="A57" s="81" t="s">
        <v>1020</v>
      </c>
      <c r="B57" s="81" t="s">
        <v>156</v>
      </c>
      <c r="C57" s="81" t="str">
        <f>VLOOKUP(invoice[[#This Row],[شماره پیش فاکتور]],[1]!invoice[[شماره پیش فاکتور]:[تاریخ]],3,0)</f>
        <v>1404/02/30</v>
      </c>
      <c r="D57" s="82" t="str">
        <f>VLOOKUP(invoice[[#This Row],[شماره پیش فاکتور]],'[1]لیست پیش فاکتور ها'!$A:$D,4,0)</f>
        <v>1404/07/15</v>
      </c>
      <c r="E57" s="2">
        <f>VLOOKUP(invoice[[#This Row],[شماره پیش فاکتور]],[1]!invoice[[شماره پیش فاکتور]:[میزان سفارش]],5,0)</f>
        <v>600000</v>
      </c>
      <c r="F57" s="2">
        <f>VLOOKUP(invoice[[#This Row],[شماره پیش فاکتور]],[1]!invoice[[شماره پیش فاکتور]:[فی]],6,0)</f>
        <v>120000</v>
      </c>
      <c r="G57" s="3" t="str">
        <f>CHOOSE(MID(invoice[[#This Row],[تاریخ]],6,2),"فروردین","اردیبهشت","خرداد","تیر","مرداد","شهریور","مهر","آبان","آذر","دی","بهمن","اسفند")</f>
        <v>اردیبهشت</v>
      </c>
      <c r="H57" s="3">
        <f>_xlfn.NUMBERVALUE(MID(invoice[[#This Row],[تاریخ]],1,4))</f>
        <v>1404</v>
      </c>
      <c r="I57" s="3" t="str">
        <f>VLOOKUP(invoice[[#This Row],[شماره پیش فاکتور]],[1]!invoice[[شماره پیش فاکتور]:[نوع سفارش]],9,0)</f>
        <v>عادی</v>
      </c>
      <c r="J57" s="3" t="str">
        <f>VLOOKUP(invoice[[#This Row],[شماره پیش فاکتور]],[1]!invoice[[شماره پیش فاکتور]:[نوع شرکت]],10,0)</f>
        <v>تولید کننده</v>
      </c>
      <c r="K57" s="82">
        <v>46302</v>
      </c>
      <c r="L57" s="77">
        <v>0.1</v>
      </c>
      <c r="M57" s="78">
        <v>19800000000</v>
      </c>
      <c r="N57" s="78">
        <f>invoice[[#This Row],[مبلغ پیش دریافت]]/invoice[[#This Row],[میزان سفارش]]</f>
        <v>33000</v>
      </c>
      <c r="O57" s="144">
        <f>SUMIF([1]!bargiri[شماره پیش فاکتور],[1]!invoice[[#This Row],[شماره پیش فاکتور]],[1]!bargiri[میزان بارگیری شده])/[1]!invoice[[#This Row],[میزان سفارش]]</f>
        <v>1</v>
      </c>
      <c r="P57" s="140" t="str">
        <f>VLOOKUP(invoice[[#This Row],[شماره پیش فاکتور]],[1]!invoice[[شماره پیش فاکتور]:[نوع سفارش]],9,0)</f>
        <v>عادی</v>
      </c>
      <c r="Q57" s="145">
        <f>SUMIFS('[1]جزییات بارگیری'!D:D,'[1]جزییات بارگیری'!C:C,[1]!invoice[[#This Row],[شماره پیش فاکتور]])</f>
        <v>68110</v>
      </c>
      <c r="R57" s="145">
        <f>IF([1]!invoice[[#This Row],[میزان سفارش]]-[1]!invoice[[#This Row],[میزان حمل شده ]]&lt;0,0,[1]!invoice[[#This Row],[میزان سفارش]]-[1]!invoice[[#This Row],[میزان حمل شده ]])</f>
        <v>0</v>
      </c>
      <c r="S57" s="145">
        <f>[1]!invoice[[#This Row],[میزان حمل نشده ]]*[1]!invoice[[#This Row],[فی]]</f>
        <v>0</v>
      </c>
      <c r="T57" s="140"/>
    </row>
    <row r="58" spans="1:20" ht="18.600000000000001" x14ac:dyDescent="0.25">
      <c r="A58" s="81" t="s">
        <v>757</v>
      </c>
      <c r="B58" s="81" t="s">
        <v>70</v>
      </c>
      <c r="C58" s="81" t="str">
        <f>VLOOKUP(invoice[[#This Row],[شماره پیش فاکتور]],[1]!invoice[[شماره پیش فاکتور]:[تاریخ]],3,0)</f>
        <v>1404/02/30</v>
      </c>
      <c r="D58" s="82" t="str">
        <f>VLOOKUP(invoice[[#This Row],[شماره پیش فاکتور]],'[1]لیست پیش فاکتور ها'!$A:$D,4,0)</f>
        <v>1404/07/15</v>
      </c>
      <c r="E58" s="2">
        <f>VLOOKUP(invoice[[#This Row],[شماره پیش فاکتور]],[1]!invoice[[شماره پیش فاکتور]:[میزان سفارش]],5,0)</f>
        <v>71800</v>
      </c>
      <c r="F58" s="2">
        <f>VLOOKUP(invoice[[#This Row],[شماره پیش فاکتور]],[1]!invoice[[شماره پیش فاکتور]:[فی]],6,0)</f>
        <v>120000</v>
      </c>
      <c r="G58" s="3" t="str">
        <f>CHOOSE(MID(invoice[[#This Row],[تاریخ]],6,2),"فروردین","اردیبهشت","خرداد","تیر","مرداد","شهریور","مهر","آبان","آذر","دی","بهمن","اسفند")</f>
        <v>اردیبهشت</v>
      </c>
      <c r="H58" s="3">
        <f>_xlfn.NUMBERVALUE(MID(invoice[[#This Row],[تاریخ]],1,4))</f>
        <v>1404</v>
      </c>
      <c r="I58" s="3" t="str">
        <f>VLOOKUP(invoice[[#This Row],[شماره پیش فاکتور]],[1]!invoice[[شماره پیش فاکتور]:[نوع سفارش]],9,0)</f>
        <v>عادی</v>
      </c>
      <c r="J58" s="3" t="str">
        <f>VLOOKUP(invoice[[#This Row],[شماره پیش فاکتور]],[1]!invoice[[شماره پیش فاکتور]:[نوع شرکت]],10,0)</f>
        <v>تولید کننده</v>
      </c>
      <c r="K58" s="82">
        <v>46302</v>
      </c>
      <c r="L58" s="77">
        <v>0.1</v>
      </c>
      <c r="M58" s="78">
        <v>11550000000</v>
      </c>
      <c r="N58" s="78">
        <f>invoice[[#This Row],[مبلغ پیش دریافت]]/invoice[[#This Row],[میزان سفارش]]</f>
        <v>160863.50974930363</v>
      </c>
      <c r="O58" s="144">
        <f>SUMIF([1]!bargiri[شماره پیش فاکتور],[1]!invoice[[#This Row],[شماره پیش فاکتور]],[1]!bargiri[میزان بارگیری شده])/[1]!invoice[[#This Row],[میزان سفارش]]</f>
        <v>1</v>
      </c>
      <c r="P58" s="140" t="str">
        <f>VLOOKUP(invoice[[#This Row],[شماره پیش فاکتور]],[1]!invoice[[شماره پیش فاکتور]:[نوع سفارش]],9,0)</f>
        <v>عادی</v>
      </c>
      <c r="Q58" s="145">
        <f>SUMIFS('[1]جزییات بارگیری'!D:D,'[1]جزییات بارگیری'!C:C,[1]!invoice[[#This Row],[شماره پیش فاکتور]])</f>
        <v>50000</v>
      </c>
      <c r="R58" s="145">
        <f>IF([1]!invoice[[#This Row],[میزان سفارش]]-[1]!invoice[[#This Row],[میزان حمل شده ]]&lt;0,0,[1]!invoice[[#This Row],[میزان سفارش]]-[1]!invoice[[#This Row],[میزان حمل شده ]])</f>
        <v>0</v>
      </c>
      <c r="S58" s="145">
        <f>[1]!invoice[[#This Row],[میزان حمل نشده ]]*[1]!invoice[[#This Row],[فی]]</f>
        <v>0</v>
      </c>
      <c r="T58" s="140"/>
    </row>
    <row r="59" spans="1:20" ht="18.600000000000001" x14ac:dyDescent="0.25">
      <c r="A59" s="81" t="s">
        <v>987</v>
      </c>
      <c r="B59" s="81" t="s">
        <v>219</v>
      </c>
      <c r="C59" s="81" t="str">
        <f>VLOOKUP(invoice[[#This Row],[شماره پیش فاکتور]],[1]!invoice[[شماره پیش فاکتور]:[تاریخ]],3,0)</f>
        <v>1404/02/30</v>
      </c>
      <c r="D59" s="82" t="str">
        <f>VLOOKUP(invoice[[#This Row],[شماره پیش فاکتور]],'[1]لیست پیش فاکتور ها'!$A:$D,4,0)</f>
        <v>1404/07/15</v>
      </c>
      <c r="E59" s="2">
        <f>VLOOKUP(invoice[[#This Row],[شماره پیش فاکتور]],[1]!invoice[[شماره پیش فاکتور]:[میزان سفارش]],5,0)</f>
        <v>400000</v>
      </c>
      <c r="F59" s="2">
        <f>VLOOKUP(invoice[[#This Row],[شماره پیش فاکتور]],[1]!invoice[[شماره پیش فاکتور]:[فی]],6,0)</f>
        <v>120000</v>
      </c>
      <c r="G59" s="3" t="str">
        <f>CHOOSE(MID(invoice[[#This Row],[تاریخ]],6,2),"فروردین","اردیبهشت","خرداد","تیر","مرداد","شهریور","مهر","آبان","آذر","دی","بهمن","اسفند")</f>
        <v>اردیبهشت</v>
      </c>
      <c r="H59" s="3">
        <f>_xlfn.NUMBERVALUE(MID(invoice[[#This Row],[تاریخ]],1,4))</f>
        <v>1404</v>
      </c>
      <c r="I59" s="3" t="str">
        <f>VLOOKUP(invoice[[#This Row],[شماره پیش فاکتور]],[1]!invoice[[شماره پیش فاکتور]:[نوع سفارش]],9,0)</f>
        <v>عادی</v>
      </c>
      <c r="J59" s="3" t="str">
        <f>VLOOKUP(invoice[[#This Row],[شماره پیش فاکتور]],[1]!invoice[[شماره پیش فاکتور]:[نوع شرکت]],10,0)</f>
        <v>تولید کننده</v>
      </c>
      <c r="K59" s="82">
        <v>46302</v>
      </c>
      <c r="L59" s="77">
        <v>0.1</v>
      </c>
      <c r="M59" s="78">
        <v>7920000000</v>
      </c>
      <c r="N59" s="78">
        <f>invoice[[#This Row],[مبلغ پیش دریافت]]/invoice[[#This Row],[میزان سفارش]]</f>
        <v>19800</v>
      </c>
      <c r="O59" s="144">
        <f>SUMIF([1]!bargiri[شماره پیش فاکتور],[1]!invoice[[#This Row],[شماره پیش فاکتور]],[1]!bargiri[میزان بارگیری شده])/[1]!invoice[[#This Row],[میزان سفارش]]</f>
        <v>1</v>
      </c>
      <c r="P59" s="140" t="str">
        <f>VLOOKUP(invoice[[#This Row],[شماره پیش فاکتور]],[1]!invoice[[شماره پیش فاکتور]:[نوع سفارش]],9,0)</f>
        <v>عادی</v>
      </c>
      <c r="Q59" s="145">
        <f>SUMIFS('[1]جزییات بارگیری'!D:D,'[1]جزییات بارگیری'!C:C,[1]!invoice[[#This Row],[شماره پیش فاکتور]])</f>
        <v>39915</v>
      </c>
      <c r="R59" s="145">
        <f>IF([1]!invoice[[#This Row],[میزان سفارش]]-[1]!invoice[[#This Row],[میزان حمل شده ]]&lt;0,0,[1]!invoice[[#This Row],[میزان سفارش]]-[1]!invoice[[#This Row],[میزان حمل شده ]])</f>
        <v>0</v>
      </c>
      <c r="S59" s="145">
        <f>[1]!invoice[[#This Row],[میزان حمل نشده ]]*[1]!invoice[[#This Row],[فی]]</f>
        <v>0</v>
      </c>
      <c r="T59" s="140"/>
    </row>
    <row r="60" spans="1:20" ht="18.600000000000001" x14ac:dyDescent="0.25">
      <c r="A60" s="81" t="s">
        <v>754</v>
      </c>
      <c r="B60" s="81" t="s">
        <v>17</v>
      </c>
      <c r="C60" s="81" t="str">
        <f>VLOOKUP(invoice[[#This Row],[شماره پیش فاکتور]],[1]!invoice[[شماره پیش فاکتور]:[تاریخ]],3,0)</f>
        <v>1404/02/30</v>
      </c>
      <c r="D60" s="82" t="str">
        <f>VLOOKUP(invoice[[#This Row],[شماره پیش فاکتور]],'[1]لیست پیش فاکتور ها'!$A:$D,4,0)</f>
        <v>1404/07/15</v>
      </c>
      <c r="E60" s="2">
        <f>VLOOKUP(invoice[[#This Row],[شماره پیش فاکتور]],[1]!invoice[[شماره پیش فاکتور]:[میزان سفارش]],5,0)</f>
        <v>350000</v>
      </c>
      <c r="F60" s="2">
        <f>VLOOKUP(invoice[[#This Row],[شماره پیش فاکتور]],[1]!invoice[[شماره پیش فاکتور]:[فی]],6,0)</f>
        <v>120000</v>
      </c>
      <c r="G60" s="3" t="str">
        <f>CHOOSE(MID(invoice[[#This Row],[تاریخ]],6,2),"فروردین","اردیبهشت","خرداد","تیر","مرداد","شهریور","مهر","آبان","آذر","دی","بهمن","اسفند")</f>
        <v>اردیبهشت</v>
      </c>
      <c r="H60" s="3">
        <f>_xlfn.NUMBERVALUE(MID(invoice[[#This Row],[تاریخ]],1,4))</f>
        <v>1404</v>
      </c>
      <c r="I60" s="3" t="str">
        <f>VLOOKUP(invoice[[#This Row],[شماره پیش فاکتور]],[1]!invoice[[شماره پیش فاکتور]:[نوع سفارش]],9,0)</f>
        <v>عادی</v>
      </c>
      <c r="J60" s="3" t="str">
        <f>VLOOKUP(invoice[[#This Row],[شماره پیش فاکتور]],[1]!invoice[[شماره پیش فاکتور]:[نوع شرکت]],10,0)</f>
        <v>تولید کننده</v>
      </c>
      <c r="K60" s="82">
        <v>46302</v>
      </c>
      <c r="L60" s="77">
        <v>0.1</v>
      </c>
      <c r="M60" s="78">
        <v>6930000000</v>
      </c>
      <c r="N60" s="78">
        <f>invoice[[#This Row],[مبلغ پیش دریافت]]/invoice[[#This Row],[میزان سفارش]]</f>
        <v>19800</v>
      </c>
      <c r="O60" s="144">
        <f>SUMIF([1]!bargiri[شماره پیش فاکتور],[1]!invoice[[#This Row],[شماره پیش فاکتور]],[1]!bargiri[میزان بارگیری شده])/[1]!invoice[[#This Row],[میزان سفارش]]</f>
        <v>1</v>
      </c>
      <c r="P60" s="140" t="str">
        <f>VLOOKUP(invoice[[#This Row],[شماره پیش فاکتور]],[1]!invoice[[شماره پیش فاکتور]:[نوع سفارش]],9,0)</f>
        <v>عادی</v>
      </c>
      <c r="Q60" s="145">
        <f>SUMIFS('[1]جزییات بارگیری'!D:D,'[1]جزییات بارگیری'!C:C,[1]!invoice[[#This Row],[شماره پیش فاکتور]])</f>
        <v>300000</v>
      </c>
      <c r="R60" s="145">
        <f>IF([1]!invoice[[#This Row],[میزان سفارش]]-[1]!invoice[[#This Row],[میزان حمل شده ]]&lt;0,0,[1]!invoice[[#This Row],[میزان سفارش]]-[1]!invoice[[#This Row],[میزان حمل شده ]])</f>
        <v>0</v>
      </c>
      <c r="S60" s="145">
        <f>[1]!invoice[[#This Row],[میزان حمل نشده ]]*[1]!invoice[[#This Row],[فی]]</f>
        <v>0</v>
      </c>
      <c r="T60" s="140"/>
    </row>
    <row r="61" spans="1:20" ht="18.600000000000001" x14ac:dyDescent="0.25">
      <c r="A61" s="81" t="s">
        <v>848</v>
      </c>
      <c r="B61" s="81" t="s">
        <v>219</v>
      </c>
      <c r="C61" s="81" t="str">
        <f>VLOOKUP(invoice[[#This Row],[شماره پیش فاکتور]],[1]!invoice[[شماره پیش فاکتور]:[تاریخ]],3,0)</f>
        <v>1404/02/31</v>
      </c>
      <c r="D61" s="82" t="str">
        <f>VLOOKUP(invoice[[#This Row],[شماره پیش فاکتور]],'[1]لیست پیش فاکتور ها'!$A:$D,4,0)</f>
        <v>1404/03/01</v>
      </c>
      <c r="E61" s="2">
        <f>VLOOKUP(invoice[[#This Row],[شماره پیش فاکتور]],[1]!invoice[[شماره پیش فاکتور]:[میزان سفارش]],5,0)</f>
        <v>50000</v>
      </c>
      <c r="F61" s="2">
        <f>VLOOKUP(invoice[[#This Row],[شماره پیش فاکتور]],[1]!invoice[[شماره پیش فاکتور]:[فی]],6,0)</f>
        <v>151100</v>
      </c>
      <c r="G61" s="3" t="str">
        <f>CHOOSE(MID(invoice[[#This Row],[تاریخ]],6,2),"فروردین","اردیبهشت","خرداد","تیر","مرداد","شهریور","مهر","آبان","آذر","دی","بهمن","اسفند")</f>
        <v>اردیبهشت</v>
      </c>
      <c r="H61" s="3">
        <f>_xlfn.NUMBERVALUE(MID(invoice[[#This Row],[تاریخ]],1,4))</f>
        <v>1404</v>
      </c>
      <c r="I61" s="3" t="str">
        <f>VLOOKUP(invoice[[#This Row],[شماره پیش فاکتور]],[1]!invoice[[شماره پیش فاکتور]:[نوع سفارش]],9,0)</f>
        <v>بورس</v>
      </c>
      <c r="J61" s="3" t="str">
        <f>VLOOKUP(invoice[[#This Row],[شماره پیش فاکتور]],[1]!invoice[[شماره پیش فاکتور]:[نوع شرکت]],10,0)</f>
        <v>تولید کننده</v>
      </c>
      <c r="K61" s="3" t="s">
        <v>610</v>
      </c>
      <c r="L61" s="77">
        <v>0.1</v>
      </c>
      <c r="M61" s="78">
        <v>1246575000</v>
      </c>
      <c r="N61" s="78">
        <f>invoice[[#This Row],[مبلغ پیش دریافت]]/invoice[[#This Row],[میزان سفارش]]</f>
        <v>24931.5</v>
      </c>
      <c r="O61" s="144">
        <f>SUMIF([1]!bargiri[شماره پیش فاکتور],[1]!invoice[[#This Row],[شماره پیش فاکتور]],[1]!bargiri[میزان بارگیری شده])/[1]!invoice[[#This Row],[میزان سفارش]]</f>
        <v>1</v>
      </c>
      <c r="P61" s="140" t="str">
        <f>VLOOKUP(invoice[[#This Row],[شماره پیش فاکتور]],[1]!invoice[[شماره پیش فاکتور]:[نوع سفارش]],9,0)</f>
        <v>بورس</v>
      </c>
      <c r="Q61" s="145">
        <f>SUMIFS('[1]جزییات بارگیری'!D:D,'[1]جزییات بارگیری'!C:C,[1]!invoice[[#This Row],[شماره پیش فاکتور]])</f>
        <v>320000</v>
      </c>
      <c r="R61" s="145">
        <f>IF([1]!invoice[[#This Row],[میزان سفارش]]-[1]!invoice[[#This Row],[میزان حمل شده ]]&lt;0,0,[1]!invoice[[#This Row],[میزان سفارش]]-[1]!invoice[[#This Row],[میزان حمل شده ]])</f>
        <v>0</v>
      </c>
      <c r="S61" s="145">
        <f>[1]!invoice[[#This Row],[میزان حمل نشده ]]*[1]!invoice[[#This Row],[فی]]</f>
        <v>0</v>
      </c>
      <c r="T61" s="140"/>
    </row>
    <row r="62" spans="1:20" ht="18.600000000000001" x14ac:dyDescent="0.25">
      <c r="A62" s="81" t="s">
        <v>864</v>
      </c>
      <c r="B62" s="81" t="s">
        <v>17</v>
      </c>
      <c r="C62" s="81" t="str">
        <f>VLOOKUP(invoice[[#This Row],[شماره پیش فاکتور]],[1]!invoice[[شماره پیش فاکتور]:[تاریخ]],3,0)</f>
        <v>1404/02/31</v>
      </c>
      <c r="D62" s="82" t="str">
        <f>VLOOKUP(invoice[[#This Row],[شماره پیش فاکتور]],'[1]لیست پیش فاکتور ها'!$A:$D,4,0)</f>
        <v>1404/03/01</v>
      </c>
      <c r="E62" s="2">
        <f>VLOOKUP(invoice[[#This Row],[شماره پیش فاکتور]],[1]!invoice[[شماره پیش فاکتور]:[میزان سفارش]],5,0)</f>
        <v>20000</v>
      </c>
      <c r="F62" s="2">
        <f>VLOOKUP(invoice[[#This Row],[شماره پیش فاکتور]],[1]!invoice[[شماره پیش فاکتور]:[فی]],6,0)</f>
        <v>151200</v>
      </c>
      <c r="G62" s="3" t="str">
        <f>CHOOSE(MID(invoice[[#This Row],[تاریخ]],6,2),"فروردین","اردیبهشت","خرداد","تیر","مرداد","شهریور","مهر","آبان","آذر","دی","بهمن","اسفند")</f>
        <v>اردیبهشت</v>
      </c>
      <c r="H62" s="3">
        <f>_xlfn.NUMBERVALUE(MID(invoice[[#This Row],[تاریخ]],1,4))</f>
        <v>1404</v>
      </c>
      <c r="I62" s="3" t="str">
        <f>VLOOKUP(invoice[[#This Row],[شماره پیش فاکتور]],[1]!invoice[[شماره پیش فاکتور]:[نوع سفارش]],9,0)</f>
        <v>بورس</v>
      </c>
      <c r="J62" s="3" t="str">
        <f>VLOOKUP(invoice[[#This Row],[شماره پیش فاکتور]],[1]!invoice[[شماره پیش فاکتور]:[نوع شرکت]],10,0)</f>
        <v>تولید کننده</v>
      </c>
      <c r="K62" s="3" t="s">
        <v>610</v>
      </c>
      <c r="L62" s="77">
        <v>0.1</v>
      </c>
      <c r="M62" s="78">
        <v>498960000</v>
      </c>
      <c r="N62" s="78">
        <f>invoice[[#This Row],[مبلغ پیش دریافت]]/invoice[[#This Row],[میزان سفارش]]</f>
        <v>24948</v>
      </c>
      <c r="O62" s="144">
        <f>SUMIF([1]!bargiri[شماره پیش فاکتور],[1]!invoice[[#This Row],[شماره پیش فاکتور]],[1]!bargiri[میزان بارگیری شده])/[1]!invoice[[#This Row],[میزان سفارش]]</f>
        <v>1</v>
      </c>
      <c r="P62" s="140" t="str">
        <f>VLOOKUP(invoice[[#This Row],[شماره پیش فاکتور]],[1]!invoice[[شماره پیش فاکتور]:[نوع سفارش]],9,0)</f>
        <v>بورس</v>
      </c>
      <c r="Q62" s="145">
        <f>SUMIFS('[1]جزییات بارگیری'!D:D,'[1]جزییات بارگیری'!C:C,[1]!invoice[[#This Row],[شماره پیش فاکتور]])</f>
        <v>50000</v>
      </c>
      <c r="R62" s="145">
        <f>IF([1]!invoice[[#This Row],[میزان سفارش]]-[1]!invoice[[#This Row],[میزان حمل شده ]]&lt;0,0,[1]!invoice[[#This Row],[میزان سفارش]]-[1]!invoice[[#This Row],[میزان حمل شده ]])</f>
        <v>0</v>
      </c>
      <c r="S62" s="145">
        <f>[1]!invoice[[#This Row],[میزان حمل نشده ]]*[1]!invoice[[#This Row],[فی]]</f>
        <v>0</v>
      </c>
      <c r="T62" s="140"/>
    </row>
    <row r="63" spans="1:20" ht="18.600000000000001" x14ac:dyDescent="0.25">
      <c r="A63" s="81" t="s">
        <v>851</v>
      </c>
      <c r="B63" s="81" t="s">
        <v>40</v>
      </c>
      <c r="C63" s="81" t="str">
        <f>VLOOKUP(invoice[[#This Row],[شماره پیش فاکتور]],[1]!invoice[[شماره پیش فاکتور]:[تاریخ]],3,0)</f>
        <v>1404/02/31</v>
      </c>
      <c r="D63" s="82" t="str">
        <f>VLOOKUP(invoice[[#This Row],[شماره پیش فاکتور]],'[1]لیست پیش فاکتور ها'!$A:$D,4,0)</f>
        <v>1404/03/01</v>
      </c>
      <c r="E63" s="2">
        <f>VLOOKUP(invoice[[#This Row],[شماره پیش فاکتور]],[1]!invoice[[شماره پیش فاکتور]:[میزان سفارش]],5,0)</f>
        <v>30000</v>
      </c>
      <c r="F63" s="2">
        <f>VLOOKUP(invoice[[#This Row],[شماره پیش فاکتور]],[1]!invoice[[شماره پیش فاکتور]:[فی]],6,0)</f>
        <v>151100</v>
      </c>
      <c r="G63" s="3" t="str">
        <f>CHOOSE(MID(invoice[[#This Row],[تاریخ]],6,2),"فروردین","اردیبهشت","خرداد","تیر","مرداد","شهریور","مهر","آبان","آذر","دی","بهمن","اسفند")</f>
        <v>اردیبهشت</v>
      </c>
      <c r="H63" s="3">
        <f>_xlfn.NUMBERVALUE(MID(invoice[[#This Row],[تاریخ]],1,4))</f>
        <v>1404</v>
      </c>
      <c r="I63" s="3" t="str">
        <f>VLOOKUP(invoice[[#This Row],[شماره پیش فاکتور]],[1]!invoice[[شماره پیش فاکتور]:[نوع سفارش]],9,0)</f>
        <v>بورس</v>
      </c>
      <c r="J63" s="3" t="str">
        <f>VLOOKUP(invoice[[#This Row],[شماره پیش فاکتور]],[1]!invoice[[شماره پیش فاکتور]:[نوع شرکت]],10,0)</f>
        <v>تولید کننده</v>
      </c>
      <c r="K63" s="3" t="s">
        <v>610</v>
      </c>
      <c r="L63" s="77">
        <v>0.1</v>
      </c>
      <c r="M63" s="78">
        <v>747945000</v>
      </c>
      <c r="N63" s="78">
        <f>invoice[[#This Row],[مبلغ پیش دریافت]]/invoice[[#This Row],[میزان سفارش]]</f>
        <v>24931.5</v>
      </c>
      <c r="O63" s="144">
        <f>SUMIF([1]!bargiri[شماره پیش فاکتور],[1]!invoice[[#This Row],[شماره پیش فاکتور]],[1]!bargiri[میزان بارگیری شده])/[1]!invoice[[#This Row],[میزان سفارش]]</f>
        <v>1</v>
      </c>
      <c r="P63" s="140" t="str">
        <f>VLOOKUP(invoice[[#This Row],[شماره پیش فاکتور]],[1]!invoice[[شماره پیش فاکتور]:[نوع سفارش]],9,0)</f>
        <v>بورس</v>
      </c>
      <c r="Q63" s="145">
        <f>SUMIFS('[1]جزییات بارگیری'!D:D,'[1]جزییات بارگیری'!C:C,[1]!invoice[[#This Row],[شماره پیش فاکتور]])</f>
        <v>18725</v>
      </c>
      <c r="R63" s="145">
        <f>IF([1]!invoice[[#This Row],[میزان سفارش]]-[1]!invoice[[#This Row],[میزان حمل شده ]]&lt;0,0,[1]!invoice[[#This Row],[میزان سفارش]]-[1]!invoice[[#This Row],[میزان حمل شده ]])</f>
        <v>0</v>
      </c>
      <c r="S63" s="145">
        <f>[1]!invoice[[#This Row],[میزان حمل نشده ]]*[1]!invoice[[#This Row],[فی]]</f>
        <v>0</v>
      </c>
      <c r="T63" s="140"/>
    </row>
    <row r="64" spans="1:20" ht="18.600000000000001" x14ac:dyDescent="0.25">
      <c r="A64" s="81" t="s">
        <v>796</v>
      </c>
      <c r="B64" s="81" t="s">
        <v>17</v>
      </c>
      <c r="C64" s="81" t="str">
        <f>VLOOKUP(invoice[[#This Row],[شماره پیش فاکتور]],[1]!invoice[[شماره پیش فاکتور]:[تاریخ]],3,0)</f>
        <v>1404/03/06</v>
      </c>
      <c r="D64" s="82" t="str">
        <f>VLOOKUP(invoice[[#This Row],[شماره پیش فاکتور]],'[1]لیست پیش فاکتور ها'!$A:$D,4,0)</f>
        <v>1404/03/10</v>
      </c>
      <c r="E64" s="2">
        <f>VLOOKUP(invoice[[#This Row],[شماره پیش فاکتور]],[1]!invoice[[شماره پیش فاکتور]:[میزان سفارش]],5,0)</f>
        <v>50000</v>
      </c>
      <c r="F64" s="2">
        <f>VLOOKUP(invoice[[#This Row],[شماره پیش فاکتور]],[1]!invoice[[شماره پیش فاکتور]:[فی]],6,0)</f>
        <v>79520</v>
      </c>
      <c r="G64" s="3" t="str">
        <f>CHOOSE(MID(invoice[[#This Row],[تاریخ]],6,2),"فروردین","اردیبهشت","خرداد","تیر","مرداد","شهریور","مهر","آبان","آذر","دی","بهمن","اسفند")</f>
        <v>خرداد</v>
      </c>
      <c r="H64" s="3">
        <f>_xlfn.NUMBERVALUE(MID(invoice[[#This Row],[تاریخ]],1,4))</f>
        <v>1404</v>
      </c>
      <c r="I64" s="3" t="str">
        <f>VLOOKUP(invoice[[#This Row],[شماره پیش فاکتور]],[1]!invoice[[شماره پیش فاکتور]:[نوع سفارش]],9,0)</f>
        <v>تعادلی</v>
      </c>
      <c r="J64" s="3" t="str">
        <f>VLOOKUP(invoice[[#This Row],[شماره پیش فاکتور]],[1]!invoice[[شماره پیش فاکتور]:[نوع شرکت]],10,0)</f>
        <v>تولید کننده</v>
      </c>
      <c r="K64" s="3" t="s">
        <v>610</v>
      </c>
      <c r="L64" s="77">
        <v>0.1</v>
      </c>
      <c r="M64" s="78">
        <v>656040000</v>
      </c>
      <c r="N64" s="78">
        <f>invoice[[#This Row],[مبلغ پیش دریافت]]/invoice[[#This Row],[میزان سفارش]]</f>
        <v>13120.8</v>
      </c>
      <c r="O64" s="144">
        <f>SUMIF([1]!bargiri[شماره پیش فاکتور],[1]!invoice[[#This Row],[شماره پیش فاکتور]],[1]!bargiri[میزان بارگیری شده])/[1]!invoice[[#This Row],[میزان سفارش]]</f>
        <v>1</v>
      </c>
      <c r="P64" s="140" t="str">
        <f>VLOOKUP(invoice[[#This Row],[شماره پیش فاکتور]],[1]!invoice[[شماره پیش فاکتور]:[نوع سفارش]],9,0)</f>
        <v>تعادلی</v>
      </c>
      <c r="Q64" s="145">
        <f>SUMIFS('[1]جزییات بارگیری'!D:D,'[1]جزییات بارگیری'!C:C,[1]!invoice[[#This Row],[شماره پیش فاکتور]])</f>
        <v>85900</v>
      </c>
      <c r="R64" s="145">
        <f>IF([1]!invoice[[#This Row],[میزان سفارش]]-[1]!invoice[[#This Row],[میزان حمل شده ]]&lt;0,0,[1]!invoice[[#This Row],[میزان سفارش]]-[1]!invoice[[#This Row],[میزان حمل شده ]])</f>
        <v>0</v>
      </c>
      <c r="S64" s="145">
        <f>[1]!invoice[[#This Row],[میزان حمل نشده ]]*[1]!invoice[[#This Row],[فی]]</f>
        <v>0</v>
      </c>
      <c r="T64" s="140"/>
    </row>
    <row r="65" spans="1:20" ht="18.600000000000001" x14ac:dyDescent="0.25">
      <c r="A65" s="81" t="s">
        <v>752</v>
      </c>
      <c r="B65" s="81" t="s">
        <v>40</v>
      </c>
      <c r="C65" s="81" t="str">
        <f>VLOOKUP(invoice[[#This Row],[شماره پیش فاکتور]],[1]!invoice[[شماره پیش فاکتور]:[تاریخ]],3,0)</f>
        <v>1404/03/06</v>
      </c>
      <c r="D65" s="82" t="str">
        <f>VLOOKUP(invoice[[#This Row],[شماره پیش فاکتور]],'[1]لیست پیش فاکتور ها'!$A:$D,4,0)</f>
        <v>1404/03/10</v>
      </c>
      <c r="E65" s="2">
        <f>VLOOKUP(invoice[[#This Row],[شماره پیش فاکتور]],[1]!invoice[[شماره پیش فاکتور]:[میزان سفارش]],5,0)</f>
        <v>75000</v>
      </c>
      <c r="F65" s="2">
        <f>VLOOKUP(invoice[[#This Row],[شماره پیش فاکتور]],[1]!invoice[[شماره پیش فاکتور]:[فی]],6,0)</f>
        <v>79520</v>
      </c>
      <c r="G65" s="3" t="str">
        <f>CHOOSE(MID(invoice[[#This Row],[تاریخ]],6,2),"فروردین","اردیبهشت","خرداد","تیر","مرداد","شهریور","مهر","آبان","آذر","دی","بهمن","اسفند")</f>
        <v>خرداد</v>
      </c>
      <c r="H65" s="3">
        <f>_xlfn.NUMBERVALUE(MID(invoice[[#This Row],[تاریخ]],1,4))</f>
        <v>1404</v>
      </c>
      <c r="I65" s="3" t="str">
        <f>VLOOKUP(invoice[[#This Row],[شماره پیش فاکتور]],[1]!invoice[[شماره پیش فاکتور]:[نوع سفارش]],9,0)</f>
        <v>تعادلی</v>
      </c>
      <c r="J65" s="3" t="str">
        <f>VLOOKUP(invoice[[#This Row],[شماره پیش فاکتور]],[1]!invoice[[شماره پیش فاکتور]:[نوع شرکت]],10,0)</f>
        <v>تولید کننده</v>
      </c>
      <c r="K65" s="3" t="s">
        <v>610</v>
      </c>
      <c r="L65" s="77">
        <v>0.1</v>
      </c>
      <c r="M65" s="78">
        <v>984060000</v>
      </c>
      <c r="N65" s="78">
        <f>invoice[[#This Row],[مبلغ پیش دریافت]]/invoice[[#This Row],[میزان سفارش]]</f>
        <v>13120.8</v>
      </c>
      <c r="O65" s="144">
        <f>SUMIF([1]!bargiri[شماره پیش فاکتور],[1]!invoice[[#This Row],[شماره پیش فاکتور]],[1]!bargiri[میزان بارگیری شده])/[1]!invoice[[#This Row],[میزان سفارش]]</f>
        <v>1</v>
      </c>
      <c r="P65" s="140" t="str">
        <f>VLOOKUP(invoice[[#This Row],[شماره پیش فاکتور]],[1]!invoice[[شماره پیش فاکتور]:[نوع سفارش]],9,0)</f>
        <v>تعادلی</v>
      </c>
      <c r="Q65" s="145">
        <f>SUMIFS('[1]جزییات بارگیری'!D:D,'[1]جزییات بارگیری'!C:C,[1]!invoice[[#This Row],[شماره پیش فاکتور]])</f>
        <v>300000</v>
      </c>
      <c r="R65" s="145">
        <f>IF([1]!invoice[[#This Row],[میزان سفارش]]-[1]!invoice[[#This Row],[میزان حمل شده ]]&lt;0,0,[1]!invoice[[#This Row],[میزان سفارش]]-[1]!invoice[[#This Row],[میزان حمل شده ]])</f>
        <v>0</v>
      </c>
      <c r="S65" s="145">
        <f>[1]!invoice[[#This Row],[میزان حمل نشده ]]*[1]!invoice[[#This Row],[فی]]</f>
        <v>0</v>
      </c>
      <c r="T65" s="140"/>
    </row>
    <row r="66" spans="1:20" ht="18.600000000000001" x14ac:dyDescent="0.25">
      <c r="A66" s="81" t="s">
        <v>1022</v>
      </c>
      <c r="B66" s="81" t="s">
        <v>219</v>
      </c>
      <c r="C66" s="81" t="str">
        <f>VLOOKUP(invoice[[#This Row],[شماره پیش فاکتور]],[1]!invoice[[شماره پیش فاکتور]:[تاریخ]],3,0)</f>
        <v>1404/10/09</v>
      </c>
      <c r="D66" s="82" t="str">
        <f>VLOOKUP(invoice[[#This Row],[شماره پیش فاکتور]],'[1]لیست پیش فاکتور ها'!$A:$D,4,0)</f>
        <v>1404/10/09</v>
      </c>
      <c r="E66" s="2">
        <f>VLOOKUP(invoice[[#This Row],[شماره پیش فاکتور]],[1]!invoice[[شماره پیش فاکتور]:[میزان سفارش]],5,0)</f>
        <v>50000</v>
      </c>
      <c r="F66" s="2">
        <f>VLOOKUP(invoice[[#This Row],[شماره پیش فاکتور]],[1]!invoice[[شماره پیش فاکتور]:[فی]],6,0)</f>
        <v>132900</v>
      </c>
      <c r="G66" s="3" t="str">
        <f>CHOOSE(MID(invoice[[#This Row],[تاریخ]],6,2),"فروردین","اردیبهشت","خرداد","تیر","مرداد","شهریور","مهر","آبان","آذر","دی","بهمن","اسفند")</f>
        <v>دی</v>
      </c>
      <c r="H66" s="3">
        <f>_xlfn.NUMBERVALUE(MID(invoice[[#This Row],[تاریخ]],1,4))</f>
        <v>1404</v>
      </c>
      <c r="I66" s="3" t="str">
        <f>VLOOKUP(invoice[[#This Row],[شماره پیش فاکتور]],[1]!invoice[[شماره پیش فاکتور]:[نوع سفارش]],9,0)</f>
        <v>تعادلی</v>
      </c>
      <c r="J66" s="3" t="str">
        <f>VLOOKUP(invoice[[#This Row],[شماره پیش فاکتور]],[1]!invoice[[شماره پیش فاکتور]:[نوع شرکت]],10,0)</f>
        <v>تولید کننده</v>
      </c>
      <c r="K66" s="3" t="s">
        <v>610</v>
      </c>
      <c r="L66" s="77">
        <v>0.1</v>
      </c>
      <c r="M66" s="78">
        <v>1228425000</v>
      </c>
      <c r="N66" s="78">
        <f>invoice[[#This Row],[مبلغ پیش دریافت]]/invoice[[#This Row],[میزان سفارش]]</f>
        <v>24568.5</v>
      </c>
      <c r="O66" s="144">
        <f>SUMIF([1]!bargiri[شماره پیش فاکتور],[1]!invoice[[#This Row],[شماره پیش فاکتور]],[1]!bargiri[میزان بارگیری شده])/[1]!invoice[[#This Row],[میزان سفارش]]</f>
        <v>1</v>
      </c>
      <c r="P66" s="140" t="str">
        <f>VLOOKUP(invoice[[#This Row],[شماره پیش فاکتور]],[1]!invoice[[شماره پیش فاکتور]:[نوع سفارش]],9,0)</f>
        <v>تعادلی</v>
      </c>
      <c r="Q66" s="145">
        <f>SUMIFS('[1]جزییات بارگیری'!D:D,'[1]جزییات بارگیری'!C:C,[1]!invoice[[#This Row],[شماره پیش فاکتور]])</f>
        <v>50000</v>
      </c>
      <c r="R66" s="145">
        <f>IF([1]!invoice[[#This Row],[میزان سفارش]]-[1]!invoice[[#This Row],[میزان حمل شده ]]&lt;0,0,[1]!invoice[[#This Row],[میزان سفارش]]-[1]!invoice[[#This Row],[میزان حمل شده ]])</f>
        <v>0</v>
      </c>
      <c r="S66" s="145">
        <f>[1]!invoice[[#This Row],[میزان حمل نشده ]]*[1]!invoice[[#This Row],[فی]]</f>
        <v>0</v>
      </c>
      <c r="T66" s="140"/>
    </row>
    <row r="67" spans="1:20" ht="20.399999999999999" x14ac:dyDescent="0.25">
      <c r="A67" s="81" t="s">
        <v>644</v>
      </c>
      <c r="B67" s="81" t="s">
        <v>67</v>
      </c>
      <c r="C67" s="81" t="str">
        <f>VLOOKUP(invoice[[#This Row],[شماره پیش فاکتور]],[1]!invoice[[شماره پیش فاکتور]:[تاریخ]],3,0)</f>
        <v>1404/03/22</v>
      </c>
      <c r="D67" s="82" t="str">
        <f>VLOOKUP(invoice[[#This Row],[شماره پیش فاکتور]],'[1]لیست پیش فاکتور ها'!$A:$D,4,0)</f>
        <v>1404/03/27</v>
      </c>
      <c r="E67" s="2">
        <f>VLOOKUP(invoice[[#This Row],[شماره پیش فاکتور]],[1]!invoice[[شماره پیش فاکتور]:[میزان سفارش]],5,0)</f>
        <v>857945</v>
      </c>
      <c r="F67" s="2">
        <f>VLOOKUP(invoice[[#This Row],[شماره پیش فاکتور]],[1]!invoice[[شماره پیش فاکتور]:[فی]],6,0)</f>
        <v>95000</v>
      </c>
      <c r="G67" s="3" t="str">
        <f>CHOOSE(MID(invoice[[#This Row],[تاریخ]],6,2),"فروردین","اردیبهشت","خرداد","تیر","مرداد","شهریور","مهر","آبان","آذر","دی","بهمن","اسفند")</f>
        <v>خرداد</v>
      </c>
      <c r="H67" s="3">
        <f>_xlfn.NUMBERVALUE(MID(invoice[[#This Row],[تاریخ]],1,4))</f>
        <v>1404</v>
      </c>
      <c r="I67" s="130" t="str">
        <f>VLOOKUP(invoice[[#This Row],[شماره پیش فاکتور]],[1]!invoice[[شماره پیش فاکتور]:[نوع سفارش]],9,0)</f>
        <v>عادی</v>
      </c>
      <c r="J67" s="3" t="str">
        <f>VLOOKUP(invoice[[#This Row],[شماره پیش فاکتور]],[1]!invoice[[شماره پیش فاکتور]:[نوع شرکت]],10,0)</f>
        <v>تولید کننده</v>
      </c>
      <c r="K67" s="125">
        <v>46132</v>
      </c>
      <c r="L67" s="77">
        <v>0.1</v>
      </c>
      <c r="M67" s="78">
        <v>26086473950</v>
      </c>
      <c r="N67" s="78">
        <f>invoice[[#This Row],[مبلغ پیش دریافت]]/invoice[[#This Row],[میزان سفارش]]</f>
        <v>30405.764880033101</v>
      </c>
      <c r="O67" s="144">
        <f>SUMIF([1]!bargiri[شماره پیش فاکتور],[1]!invoice[[#This Row],[شماره پیش فاکتور]],[1]!bargiri[میزان بارگیری شده])/[1]!invoice[[#This Row],[میزان سفارش]]</f>
        <v>1</v>
      </c>
      <c r="P67" s="140" t="str">
        <f>VLOOKUP(invoice[[#This Row],[شماره پیش فاکتور]],[1]!invoice[[شماره پیش فاکتور]:[نوع سفارش]],9,0)</f>
        <v>عادی</v>
      </c>
      <c r="Q67" s="145">
        <f>SUMIFS('[1]جزییات بارگیری'!D:D,'[1]جزییات بارگیری'!C:C,[1]!invoice[[#This Row],[شماره پیش فاکتور]])</f>
        <v>1000000</v>
      </c>
      <c r="R67" s="145">
        <f>IF([1]!invoice[[#This Row],[میزان سفارش]]-[1]!invoice[[#This Row],[میزان حمل شده ]]&lt;0,0,[1]!invoice[[#This Row],[میزان سفارش]]-[1]!invoice[[#This Row],[میزان حمل شده ]])</f>
        <v>0</v>
      </c>
      <c r="S67" s="145">
        <f>[1]!invoice[[#This Row],[میزان حمل نشده ]]*[1]!invoice[[#This Row],[فی]]</f>
        <v>0</v>
      </c>
      <c r="T67" s="140"/>
    </row>
    <row r="68" spans="1:20" ht="20.399999999999999" x14ac:dyDescent="0.25">
      <c r="A68" s="81" t="s">
        <v>647</v>
      </c>
      <c r="B68" s="81" t="s">
        <v>67</v>
      </c>
      <c r="C68" s="81" t="str">
        <f>VLOOKUP(invoice[[#This Row],[شماره پیش فاکتور]],[1]!invoice[[شماره پیش فاکتور]:[تاریخ]],3,0)</f>
        <v>1404/03/21</v>
      </c>
      <c r="D68" s="82" t="str">
        <f>VLOOKUP(invoice[[#This Row],[شماره پیش فاکتور]],'[1]لیست پیش فاکتور ها'!$A:$D,4,0)</f>
        <v>1404/03/21</v>
      </c>
      <c r="E68" s="2">
        <f>VLOOKUP(invoice[[#This Row],[شماره پیش فاکتور]],[1]!invoice[[شماره پیش فاکتور]:[میزان سفارش]],5,0)</f>
        <v>40000</v>
      </c>
      <c r="F68" s="2">
        <f>VLOOKUP(invoice[[#This Row],[شماره پیش فاکتور]],[1]!invoice[[شماره پیش فاکتور]:[فی]],6,0)</f>
        <v>83000</v>
      </c>
      <c r="G68" s="3" t="str">
        <f>CHOOSE(MID(invoice[[#This Row],[تاریخ]],6,2),"فروردین","اردیبهشت","خرداد","تیر","مرداد","شهریور","مهر","آبان","آذر","دی","بهمن","اسفند")</f>
        <v>خرداد</v>
      </c>
      <c r="H68" s="3">
        <f>_xlfn.NUMBERVALUE(MID(invoice[[#This Row],[تاریخ]],1,4))</f>
        <v>1404</v>
      </c>
      <c r="I68" s="130" t="str">
        <f>VLOOKUP(invoice[[#This Row],[شماره پیش فاکتور]],[1]!invoice[[شماره پیش فاکتور]:[نوع سفارش]],9,0)</f>
        <v>تعادلی</v>
      </c>
      <c r="J68" s="3" t="str">
        <f>VLOOKUP(invoice[[#This Row],[شماره پیش فاکتور]],[1]!invoice[[شماره پیش فاکتور]:[نوع شرکت]],10,0)</f>
        <v>تولید کننده</v>
      </c>
      <c r="K68" s="125">
        <v>46101</v>
      </c>
      <c r="L68" s="77">
        <v>0.1</v>
      </c>
      <c r="M68" s="78">
        <v>547800000</v>
      </c>
      <c r="N68" s="78">
        <f>invoice[[#This Row],[مبلغ پیش دریافت]]/invoice[[#This Row],[میزان سفارش]]</f>
        <v>13695</v>
      </c>
      <c r="O68" s="144">
        <f>SUMIF([1]!bargiri[شماره پیش فاکتور],[1]!invoice[[#This Row],[شماره پیش فاکتور]],[1]!bargiri[میزان بارگیری شده])/[1]!invoice[[#This Row],[میزان سفارش]]</f>
        <v>1</v>
      </c>
      <c r="P68" s="140" t="str">
        <f>VLOOKUP(invoice[[#This Row],[شماره پیش فاکتور]],[1]!invoice[[شماره پیش فاکتور]:[نوع سفارش]],9,0)</f>
        <v>تعادلی</v>
      </c>
      <c r="Q68" s="145">
        <f>SUMIFS('[1]جزییات بارگیری'!D:D,'[1]جزییات بارگیری'!C:C,[1]!invoice[[#This Row],[شماره پیش فاکتور]])</f>
        <v>85900</v>
      </c>
      <c r="R68" s="145">
        <f>IF([1]!invoice[[#This Row],[میزان سفارش]]-[1]!invoice[[#This Row],[میزان حمل شده ]]&lt;0,0,[1]!invoice[[#This Row],[میزان سفارش]]-[1]!invoice[[#This Row],[میزان حمل شده ]])</f>
        <v>0</v>
      </c>
      <c r="S68" s="145">
        <f>[1]!invoice[[#This Row],[میزان حمل نشده ]]*[1]!invoice[[#This Row],[فی]]</f>
        <v>0</v>
      </c>
      <c r="T68" s="140"/>
    </row>
    <row r="69" spans="1:20" ht="20.399999999999999" x14ac:dyDescent="0.25">
      <c r="A69" s="81" t="s">
        <v>649</v>
      </c>
      <c r="B69" s="81" t="s">
        <v>67</v>
      </c>
      <c r="C69" s="81" t="str">
        <f>VLOOKUP(invoice[[#This Row],[شماره پیش فاکتور]],[1]!invoice[[شماره پیش فاکتور]:[تاریخ]],3,0)</f>
        <v>1404/03/13</v>
      </c>
      <c r="D69" s="82" t="str">
        <f>VLOOKUP(invoice[[#This Row],[شماره پیش فاکتور]],'[1]لیست پیش فاکتور ها'!$A:$D,4,0)</f>
        <v>1404/03/13</v>
      </c>
      <c r="E69" s="2">
        <f>VLOOKUP(invoice[[#This Row],[شماره پیش فاکتور]],[1]!invoice[[شماره پیش فاکتور]:[میزان سفارش]],5,0)</f>
        <v>40000</v>
      </c>
      <c r="F69" s="2">
        <f>VLOOKUP(invoice[[#This Row],[شماره پیش فاکتور]],[1]!invoice[[شماره پیش فاکتور]:[فی]],6,0)</f>
        <v>201000</v>
      </c>
      <c r="G69" s="3" t="str">
        <f>CHOOSE(MID(invoice[[#This Row],[تاریخ]],6,2),"فروردین","اردیبهشت","خرداد","تیر","مرداد","شهریور","مهر","آبان","آذر","دی","بهمن","اسفند")</f>
        <v>خرداد</v>
      </c>
      <c r="H69" s="3">
        <f>_xlfn.NUMBERVALUE(MID(invoice[[#This Row],[تاریخ]],1,4))</f>
        <v>1404</v>
      </c>
      <c r="I69" s="130" t="str">
        <f>VLOOKUP(invoice[[#This Row],[شماره پیش فاکتور]],[1]!invoice[[شماره پیش فاکتور]:[نوع سفارش]],9,0)</f>
        <v>بورس</v>
      </c>
      <c r="J69" s="3" t="str">
        <f>VLOOKUP(invoice[[#This Row],[شماره پیش فاکتور]],[1]!invoice[[شماره پیش فاکتور]:[نوع شرکت]],10,0)</f>
        <v>تولید کننده</v>
      </c>
      <c r="K69" s="125">
        <v>46101</v>
      </c>
      <c r="L69" s="77">
        <v>0.1</v>
      </c>
      <c r="M69" s="78">
        <v>8844000000</v>
      </c>
      <c r="N69" s="78">
        <f>invoice[[#This Row],[مبلغ پیش دریافت]]/invoice[[#This Row],[میزان سفارش]]</f>
        <v>221100</v>
      </c>
      <c r="O69" s="144">
        <f>SUMIF([1]!bargiri[شماره پیش فاکتور],[1]!invoice[[#This Row],[شماره پیش فاکتور]],[1]!bargiri[میزان بارگیری شده])/[1]!invoice[[#This Row],[میزان سفارش]]</f>
        <v>1</v>
      </c>
      <c r="P69" s="140" t="str">
        <f>VLOOKUP(invoice[[#This Row],[شماره پیش فاکتور]],[1]!invoice[[شماره پیش فاکتور]:[نوع سفارش]],9,0)</f>
        <v>بورس</v>
      </c>
      <c r="Q69" s="145">
        <f>SUMIFS('[1]جزییات بارگیری'!D:D,'[1]جزییات بارگیری'!C:C,[1]!invoice[[#This Row],[شماره پیش فاکتور]])</f>
        <v>500000</v>
      </c>
      <c r="R69" s="145">
        <f>IF([1]!invoice[[#This Row],[میزان سفارش]]-[1]!invoice[[#This Row],[میزان حمل شده ]]&lt;0,0,[1]!invoice[[#This Row],[میزان سفارش]]-[1]!invoice[[#This Row],[میزان حمل شده ]])</f>
        <v>0</v>
      </c>
      <c r="S69" s="145">
        <f>[1]!invoice[[#This Row],[میزان حمل نشده ]]*[1]!invoice[[#This Row],[فی]]</f>
        <v>0</v>
      </c>
      <c r="T69" s="140"/>
    </row>
    <row r="70" spans="1:20" ht="20.399999999999999" x14ac:dyDescent="0.25">
      <c r="A70" s="81" t="s">
        <v>650</v>
      </c>
      <c r="B70" s="81" t="s">
        <v>40</v>
      </c>
      <c r="C70" s="81" t="str">
        <f>VLOOKUP(invoice[[#This Row],[شماره پیش فاکتور]],[1]!invoice[[شماره پیش فاکتور]:[تاریخ]],3,0)</f>
        <v>1404/03/21</v>
      </c>
      <c r="D70" s="82" t="str">
        <f>VLOOKUP(invoice[[#This Row],[شماره پیش فاکتور]],'[1]لیست پیش فاکتور ها'!$A:$D,4,0)</f>
        <v>1404/03/21</v>
      </c>
      <c r="E70" s="2">
        <f>VLOOKUP(invoice[[#This Row],[شماره پیش فاکتور]],[1]!invoice[[شماره پیش فاکتور]:[میزان سفارش]],5,0)</f>
        <v>20000</v>
      </c>
      <c r="F70" s="2">
        <f>VLOOKUP(invoice[[#This Row],[شماره پیش فاکتور]],[1]!invoice[[شماره پیش فاکتور]:[فی]],6,0)</f>
        <v>83000</v>
      </c>
      <c r="G70" s="3" t="str">
        <f>CHOOSE(MID(invoice[[#This Row],[تاریخ]],6,2),"فروردین","اردیبهشت","خرداد","تیر","مرداد","شهریور","مهر","آبان","آذر","دی","بهمن","اسفند")</f>
        <v>خرداد</v>
      </c>
      <c r="H70" s="3">
        <f>_xlfn.NUMBERVALUE(MID(invoice[[#This Row],[تاریخ]],1,4))</f>
        <v>1404</v>
      </c>
      <c r="I70" s="130" t="str">
        <f>VLOOKUP(invoice[[#This Row],[شماره پیش فاکتور]],[1]!invoice[[شماره پیش فاکتور]:[نوع سفارش]],9,0)</f>
        <v>تعادلی</v>
      </c>
      <c r="J70" s="3" t="str">
        <f>VLOOKUP(invoice[[#This Row],[شماره پیش فاکتور]],[1]!invoice[[شماره پیش فاکتور]:[نوع شرکت]],10,0)</f>
        <v>تولید کننده</v>
      </c>
      <c r="K70" s="130" t="s">
        <v>610</v>
      </c>
      <c r="L70" s="77">
        <v>0.1</v>
      </c>
      <c r="M70" s="78">
        <v>273900000</v>
      </c>
      <c r="N70" s="78">
        <f>invoice[[#This Row],[مبلغ پیش دریافت]]/invoice[[#This Row],[میزان سفارش]]</f>
        <v>13695</v>
      </c>
      <c r="O70" s="144">
        <f>SUMIF([1]!bargiri[شماره پیش فاکتور],[1]!invoice[[#This Row],[شماره پیش فاکتور]],[1]!bargiri[میزان بارگیری شده])/[1]!invoice[[#This Row],[میزان سفارش]]</f>
        <v>1</v>
      </c>
      <c r="P70" s="140" t="str">
        <f>VLOOKUP(invoice[[#This Row],[شماره پیش فاکتور]],[1]!invoice[[شماره پیش فاکتور]:[نوع سفارش]],9,0)</f>
        <v>تعادلی</v>
      </c>
      <c r="Q70" s="145">
        <f>SUMIFS('[1]جزییات بارگیری'!D:D,'[1]جزییات بارگیری'!C:C,[1]!invoice[[#This Row],[شماره پیش فاکتور]])</f>
        <v>50000</v>
      </c>
      <c r="R70" s="145">
        <f>IF([1]!invoice[[#This Row],[میزان سفارش]]-[1]!invoice[[#This Row],[میزان حمل شده ]]&lt;0,0,[1]!invoice[[#This Row],[میزان سفارش]]-[1]!invoice[[#This Row],[میزان حمل شده ]])</f>
        <v>0</v>
      </c>
      <c r="S70" s="145">
        <f>[1]!invoice[[#This Row],[میزان حمل نشده ]]*[1]!invoice[[#This Row],[فی]]</f>
        <v>0</v>
      </c>
      <c r="T70" s="140"/>
    </row>
    <row r="71" spans="1:20" ht="20.399999999999999" x14ac:dyDescent="0.25">
      <c r="A71" s="81" t="s">
        <v>651</v>
      </c>
      <c r="B71" s="81" t="s">
        <v>40</v>
      </c>
      <c r="C71" s="81" t="str">
        <f>VLOOKUP(invoice[[#This Row],[شماره پیش فاکتور]],[1]!invoice[[شماره پیش فاکتور]:[تاریخ]],3,0)</f>
        <v>1404/03/13</v>
      </c>
      <c r="D71" s="82" t="str">
        <f>VLOOKUP(invoice[[#This Row],[شماره پیش فاکتور]],'[1]لیست پیش فاکتور ها'!$A:$D,4,0)</f>
        <v>1404/03/13</v>
      </c>
      <c r="E71" s="2">
        <f>VLOOKUP(invoice[[#This Row],[شماره پیش فاکتور]],[1]!invoice[[شماره پیش فاکتور]:[میزان سفارش]],5,0)</f>
        <v>20000</v>
      </c>
      <c r="F71" s="2">
        <f>VLOOKUP(invoice[[#This Row],[شماره پیش فاکتور]],[1]!invoice[[شماره پیش فاکتور]:[فی]],6,0)</f>
        <v>201000</v>
      </c>
      <c r="G71" s="3" t="str">
        <f>CHOOSE(MID(invoice[[#This Row],[تاریخ]],6,2),"فروردین","اردیبهشت","خرداد","تیر","مرداد","شهریور","مهر","آبان","آذر","دی","بهمن","اسفند")</f>
        <v>خرداد</v>
      </c>
      <c r="H71" s="3">
        <f>_xlfn.NUMBERVALUE(MID(invoice[[#This Row],[تاریخ]],1,4))</f>
        <v>1404</v>
      </c>
      <c r="I71" s="130" t="str">
        <f>VLOOKUP(invoice[[#This Row],[شماره پیش فاکتور]],[1]!invoice[[شماره پیش فاکتور]:[نوع سفارش]],9,0)</f>
        <v>بورس</v>
      </c>
      <c r="J71" s="3" t="str">
        <f>VLOOKUP(invoice[[#This Row],[شماره پیش فاکتور]],[1]!invoice[[شماره پیش فاکتور]:[نوع شرکت]],10,0)</f>
        <v>تولید کننده</v>
      </c>
      <c r="K71" s="130" t="s">
        <v>610</v>
      </c>
      <c r="L71" s="77">
        <v>0.1</v>
      </c>
      <c r="M71" s="78">
        <v>4422000000</v>
      </c>
      <c r="N71" s="78">
        <f>invoice[[#This Row],[مبلغ پیش دریافت]]/invoice[[#This Row],[میزان سفارش]]</f>
        <v>221100</v>
      </c>
      <c r="O71" s="144">
        <f>SUMIF([1]!bargiri[شماره پیش فاکتور],[1]!invoice[[#This Row],[شماره پیش فاکتور]],[1]!bargiri[میزان بارگیری شده])/[1]!invoice[[#This Row],[میزان سفارش]]</f>
        <v>1.0018549999999999</v>
      </c>
      <c r="P71" s="140" t="str">
        <f>VLOOKUP(invoice[[#This Row],[شماره پیش فاکتور]],[1]!invoice[[شماره پیش فاکتور]:[نوع سفارش]],9,0)</f>
        <v>بورس</v>
      </c>
      <c r="Q71" s="145">
        <f>SUMIFS('[1]جزییات بارگیری'!D:D,'[1]جزییات بارگیری'!C:C,[1]!invoice[[#This Row],[شماره پیش فاکتور]])</f>
        <v>1001855</v>
      </c>
      <c r="R71" s="145">
        <f>IF([1]!invoice[[#This Row],[میزان سفارش]]-[1]!invoice[[#This Row],[میزان حمل شده ]]&lt;0,0,[1]!invoice[[#This Row],[میزان سفارش]]-[1]!invoice[[#This Row],[میزان حمل شده ]])</f>
        <v>0</v>
      </c>
      <c r="S71" s="145">
        <f>[1]!invoice[[#This Row],[میزان حمل نشده ]]*[1]!invoice[[#This Row],[فی]]</f>
        <v>0</v>
      </c>
      <c r="T71" s="140"/>
    </row>
    <row r="72" spans="1:20" ht="20.399999999999999" x14ac:dyDescent="0.25">
      <c r="A72" s="81" t="s">
        <v>652</v>
      </c>
      <c r="B72" s="81" t="s">
        <v>70</v>
      </c>
      <c r="C72" s="81" t="str">
        <f>VLOOKUP(invoice[[#This Row],[شماره پیش فاکتور]],[1]!invoice[[شماره پیش فاکتور]:[تاریخ]],3,0)</f>
        <v>1404/03/21</v>
      </c>
      <c r="D72" s="82" t="str">
        <f>VLOOKUP(invoice[[#This Row],[شماره پیش فاکتور]],'[1]لیست پیش فاکتور ها'!$A:$D,4,0)</f>
        <v>1404/03/21</v>
      </c>
      <c r="E72" s="2">
        <f>VLOOKUP(invoice[[#This Row],[شماره پیش فاکتور]],[1]!invoice[[شماره پیش فاکتور]:[میزان سفارش]],5,0)</f>
        <v>30000</v>
      </c>
      <c r="F72" s="2">
        <f>VLOOKUP(invoice[[#This Row],[شماره پیش فاکتور]],[1]!invoice[[شماره پیش فاکتور]:[فی]],6,0)</f>
        <v>83000</v>
      </c>
      <c r="G72" s="3" t="str">
        <f>CHOOSE(MID(invoice[[#This Row],[تاریخ]],6,2),"فروردین","اردیبهشت","خرداد","تیر","مرداد","شهریور","مهر","آبان","آذر","دی","بهمن","اسفند")</f>
        <v>خرداد</v>
      </c>
      <c r="H72" s="3">
        <f>_xlfn.NUMBERVALUE(MID(invoice[[#This Row],[تاریخ]],1,4))</f>
        <v>1404</v>
      </c>
      <c r="I72" s="130" t="str">
        <f>VLOOKUP(invoice[[#This Row],[شماره پیش فاکتور]],[1]!invoice[[شماره پیش فاکتور]:[نوع سفارش]],9,0)</f>
        <v>تعادلی</v>
      </c>
      <c r="J72" s="3" t="str">
        <f>VLOOKUP(invoice[[#This Row],[شماره پیش فاکتور]],[1]!invoice[[شماره پیش فاکتور]:[نوع شرکت]],10,0)</f>
        <v>تولید کننده</v>
      </c>
      <c r="K72" s="125">
        <v>46101</v>
      </c>
      <c r="L72" s="77">
        <v>0.1</v>
      </c>
      <c r="M72" s="78">
        <v>410850000</v>
      </c>
      <c r="N72" s="78">
        <f>invoice[[#This Row],[مبلغ پیش دریافت]]/invoice[[#This Row],[میزان سفارش]]</f>
        <v>13695</v>
      </c>
      <c r="O72" s="144">
        <f>SUMIF([1]!bargiri[شماره پیش فاکتور],[1]!invoice[[#This Row],[شماره پیش فاکتور]],[1]!bargiri[میزان بارگیری شده])/[1]!invoice[[#This Row],[میزان سفارش]]</f>
        <v>1</v>
      </c>
      <c r="P72" s="140" t="str">
        <f>VLOOKUP(invoice[[#This Row],[شماره پیش فاکتور]],[1]!invoice[[شماره پیش فاکتور]:[نوع سفارش]],9,0)</f>
        <v>تعادلی</v>
      </c>
      <c r="Q72" s="145">
        <f>SUMIFS('[1]جزییات بارگیری'!D:D,'[1]جزییات بارگیری'!C:C,[1]!invoice[[#This Row],[شماره پیش فاکتور]])</f>
        <v>50000</v>
      </c>
      <c r="R72" s="145">
        <f>IF([1]!invoice[[#This Row],[میزان سفارش]]-[1]!invoice[[#This Row],[میزان حمل شده ]]&lt;0,0,[1]!invoice[[#This Row],[میزان سفارش]]-[1]!invoice[[#This Row],[میزان حمل شده ]])</f>
        <v>0</v>
      </c>
      <c r="S72" s="145">
        <f>[1]!invoice[[#This Row],[میزان حمل نشده ]]*[1]!invoice[[#This Row],[فی]]</f>
        <v>0</v>
      </c>
      <c r="T72" s="140"/>
    </row>
    <row r="73" spans="1:20" ht="20.399999999999999" x14ac:dyDescent="0.25">
      <c r="A73" s="81" t="s">
        <v>653</v>
      </c>
      <c r="B73" s="81" t="s">
        <v>70</v>
      </c>
      <c r="C73" s="81" t="str">
        <f>VLOOKUP(invoice[[#This Row],[شماره پیش فاکتور]],[1]!invoice[[شماره پیش فاکتور]:[تاریخ]],3,0)</f>
        <v>1404/03/13</v>
      </c>
      <c r="D73" s="82" t="str">
        <f>VLOOKUP(invoice[[#This Row],[شماره پیش فاکتور]],'[1]لیست پیش فاکتور ها'!$A:$D,4,0)</f>
        <v>1404/03/13</v>
      </c>
      <c r="E73" s="2">
        <f>VLOOKUP(invoice[[#This Row],[شماره پیش فاکتور]],[1]!invoice[[شماره پیش فاکتور]:[میزان سفارش]],5,0)</f>
        <v>30000</v>
      </c>
      <c r="F73" s="2">
        <f>VLOOKUP(invoice[[#This Row],[شماره پیش فاکتور]],[1]!invoice[[شماره پیش فاکتور]:[فی]],6,0)</f>
        <v>201000</v>
      </c>
      <c r="G73" s="3" t="str">
        <f>CHOOSE(MID(invoice[[#This Row],[تاریخ]],6,2),"فروردین","اردیبهشت","خرداد","تیر","مرداد","شهریور","مهر","آبان","آذر","دی","بهمن","اسفند")</f>
        <v>خرداد</v>
      </c>
      <c r="H73" s="3">
        <f>_xlfn.NUMBERVALUE(MID(invoice[[#This Row],[تاریخ]],1,4))</f>
        <v>1404</v>
      </c>
      <c r="I73" s="130" t="str">
        <f>VLOOKUP(invoice[[#This Row],[شماره پیش فاکتور]],[1]!invoice[[شماره پیش فاکتور]:[نوع سفارش]],9,0)</f>
        <v>بورس</v>
      </c>
      <c r="J73" s="3" t="str">
        <f>VLOOKUP(invoice[[#This Row],[شماره پیش فاکتور]],[1]!invoice[[شماره پیش فاکتور]:[نوع شرکت]],10,0)</f>
        <v>تولید کننده</v>
      </c>
      <c r="K73" s="125">
        <v>46101</v>
      </c>
      <c r="L73" s="77">
        <v>0.1</v>
      </c>
      <c r="M73" s="78">
        <v>6633000000</v>
      </c>
      <c r="N73" s="78">
        <f>invoice[[#This Row],[مبلغ پیش دریافت]]/invoice[[#This Row],[میزان سفارش]]</f>
        <v>221100</v>
      </c>
      <c r="O73" s="144">
        <f>SUMIF([1]!bargiri[شماره پیش فاکتور],[1]!invoice[[#This Row],[شماره پیش فاکتور]],[1]!bargiri[میزان بارگیری شده])/[1]!invoice[[#This Row],[میزان سفارش]]</f>
        <v>1</v>
      </c>
      <c r="P73" s="140" t="str">
        <f>VLOOKUP(invoice[[#This Row],[شماره پیش فاکتور]],[1]!invoice[[شماره پیش فاکتور]:[نوع سفارش]],9,0)</f>
        <v>بورس</v>
      </c>
      <c r="Q73" s="145">
        <f>SUMIFS('[1]جزییات بارگیری'!D:D,'[1]جزییات بارگیری'!C:C,[1]!invoice[[#This Row],[شماره پیش فاکتور]])</f>
        <v>217925</v>
      </c>
      <c r="R73" s="145">
        <f>IF([1]!invoice[[#This Row],[میزان سفارش]]-[1]!invoice[[#This Row],[میزان حمل شده ]]&lt;0,0,[1]!invoice[[#This Row],[میزان سفارش]]-[1]!invoice[[#This Row],[میزان حمل شده ]])</f>
        <v>0</v>
      </c>
      <c r="S73" s="145">
        <f>[1]!invoice[[#This Row],[میزان حمل نشده ]]*[1]!invoice[[#This Row],[فی]]</f>
        <v>0</v>
      </c>
      <c r="T73" s="140"/>
    </row>
    <row r="74" spans="1:20" ht="20.399999999999999" x14ac:dyDescent="0.25">
      <c r="A74" s="81" t="s">
        <v>654</v>
      </c>
      <c r="B74" s="81" t="s">
        <v>51</v>
      </c>
      <c r="C74" s="81" t="str">
        <f>VLOOKUP(invoice[[#This Row],[شماره پیش فاکتور]],[1]!invoice[[شماره پیش فاکتور]:[تاریخ]],3,0)</f>
        <v>1404/03/13</v>
      </c>
      <c r="D74" s="82" t="str">
        <f>VLOOKUP(invoice[[#This Row],[شماره پیش فاکتور]],'[1]لیست پیش فاکتور ها'!$A:$D,4,0)</f>
        <v>1404/03/13</v>
      </c>
      <c r="E74" s="2">
        <f>VLOOKUP(invoice[[#This Row],[شماره پیش فاکتور]],[1]!invoice[[شماره پیش فاکتور]:[میزان سفارش]],5,0)</f>
        <v>20000</v>
      </c>
      <c r="F74" s="2">
        <f>VLOOKUP(invoice[[#This Row],[شماره پیش فاکتور]],[1]!invoice[[شماره پیش فاکتور]:[فی]],6,0)</f>
        <v>201000</v>
      </c>
      <c r="G74" s="3" t="str">
        <f>CHOOSE(MID(invoice[[#This Row],[تاریخ]],6,2),"فروردین","اردیبهشت","خرداد","تیر","مرداد","شهریور","مهر","آبان","آذر","دی","بهمن","اسفند")</f>
        <v>خرداد</v>
      </c>
      <c r="H74" s="3">
        <f>_xlfn.NUMBERVALUE(MID(invoice[[#This Row],[تاریخ]],1,4))</f>
        <v>1404</v>
      </c>
      <c r="I74" s="130" t="str">
        <f>VLOOKUP(invoice[[#This Row],[شماره پیش فاکتور]],[1]!invoice[[شماره پیش فاکتور]:[نوع سفارش]],9,0)</f>
        <v>بورس</v>
      </c>
      <c r="J74" s="3" t="str">
        <f>VLOOKUP(invoice[[#This Row],[شماره پیش فاکتور]],[1]!invoice[[شماره پیش فاکتور]:[نوع شرکت]],10,0)</f>
        <v>واسطه</v>
      </c>
      <c r="K74" s="125">
        <v>46101</v>
      </c>
      <c r="L74" s="77">
        <v>0.1</v>
      </c>
      <c r="M74" s="78">
        <v>4422000000</v>
      </c>
      <c r="N74" s="78">
        <f>invoice[[#This Row],[مبلغ پیش دریافت]]/invoice[[#This Row],[میزان سفارش]]</f>
        <v>221100</v>
      </c>
      <c r="O74" s="144">
        <f>SUMIF([1]!bargiri[شماره پیش فاکتور],[1]!invoice[[#This Row],[شماره پیش فاکتور]],[1]!bargiri[میزان بارگیری شده])/[1]!invoice[[#This Row],[میزان سفارش]]</f>
        <v>1</v>
      </c>
      <c r="P74" s="140" t="str">
        <f>VLOOKUP(invoice[[#This Row],[شماره پیش فاکتور]],[1]!invoice[[شماره پیش فاکتور]:[نوع سفارش]],9,0)</f>
        <v>بورس</v>
      </c>
      <c r="Q74" s="145">
        <f>SUMIFS('[1]جزییات بارگیری'!D:D,'[1]جزییات بارگیری'!C:C,[1]!invoice[[#This Row],[شماره پیش فاکتور]])</f>
        <v>19975</v>
      </c>
      <c r="R74" s="145">
        <f>IF([1]!invoice[[#This Row],[میزان سفارش]]-[1]!invoice[[#This Row],[میزان حمل شده ]]&lt;0,0,[1]!invoice[[#This Row],[میزان سفارش]]-[1]!invoice[[#This Row],[میزان حمل شده ]])</f>
        <v>0</v>
      </c>
      <c r="S74" s="145">
        <f>[1]!invoice[[#This Row],[میزان حمل نشده ]]*[1]!invoice[[#This Row],[فی]]</f>
        <v>0</v>
      </c>
      <c r="T74" s="140"/>
    </row>
    <row r="75" spans="1:20" ht="20.399999999999999" x14ac:dyDescent="0.25">
      <c r="A75" s="81" t="s">
        <v>655</v>
      </c>
      <c r="B75" s="81" t="s">
        <v>67</v>
      </c>
      <c r="C75" s="81" t="str">
        <f>VLOOKUP(invoice[[#This Row],[شماره پیش فاکتور]],[1]!invoice[[شماره پیش فاکتور]:[تاریخ]],3,0)</f>
        <v>1404/04/02</v>
      </c>
      <c r="D75" s="82" t="str">
        <f>VLOOKUP(invoice[[#This Row],[شماره پیش فاکتور]],'[1]لیست پیش فاکتور ها'!$A:$D,4,0)</f>
        <v>1404/04/03</v>
      </c>
      <c r="E75" s="2">
        <f>VLOOKUP(invoice[[#This Row],[شماره پیش فاکتور]],[1]!invoice[[شماره پیش فاکتور]:[میزان سفارش]],5,0)</f>
        <v>50000</v>
      </c>
      <c r="F75" s="2">
        <f>VLOOKUP(invoice[[#This Row],[شماره پیش فاکتور]],[1]!invoice[[شماره پیش فاکتور]:[فی]],6,0)</f>
        <v>167500</v>
      </c>
      <c r="G75" s="3" t="str">
        <f>CHOOSE(MID(invoice[[#This Row],[تاریخ]],6,2),"فروردین","اردیبهشت","خرداد","تیر","مرداد","شهریور","مهر","آبان","آذر","دی","بهمن","اسفند")</f>
        <v>تیر</v>
      </c>
      <c r="H75" s="3">
        <f>_xlfn.NUMBERVALUE(MID(invoice[[#This Row],[تاریخ]],1,4))</f>
        <v>1404</v>
      </c>
      <c r="I75" s="130" t="str">
        <f>VLOOKUP(invoice[[#This Row],[شماره پیش فاکتور]],[1]!invoice[[شماره پیش فاکتور]:[نوع سفارش]],9,0)</f>
        <v>بورس</v>
      </c>
      <c r="J75" s="3" t="str">
        <f>VLOOKUP(invoice[[#This Row],[شماره پیش فاکتور]],[1]!invoice[[شماره پیش فاکتور]:[نوع شرکت]],10,0)</f>
        <v>تولید کننده</v>
      </c>
      <c r="K75" s="125">
        <v>46101</v>
      </c>
      <c r="L75" s="77">
        <v>0.1</v>
      </c>
      <c r="M75" s="78">
        <v>9212500000</v>
      </c>
      <c r="N75" s="78">
        <f>invoice[[#This Row],[مبلغ پیش دریافت]]/invoice[[#This Row],[میزان سفارش]]</f>
        <v>184250</v>
      </c>
      <c r="O75" s="144">
        <f>SUMIF([1]!bargiri[شماره پیش فاکتور],[1]!invoice[[#This Row],[شماره پیش فاکتور]],[1]!bargiri[میزان بارگیری شده])/[1]!invoice[[#This Row],[میزان سفارش]]</f>
        <v>1</v>
      </c>
      <c r="P75" s="140" t="str">
        <f>VLOOKUP(invoice[[#This Row],[شماره پیش فاکتور]],[1]!invoice[[شماره پیش فاکتور]:[نوع سفارش]],9,0)</f>
        <v>بورس</v>
      </c>
      <c r="Q75" s="145">
        <f>SUMIFS('[1]جزییات بارگیری'!D:D,'[1]جزییات بارگیری'!C:C,[1]!invoice[[#This Row],[شماره پیش فاکتور]])</f>
        <v>100000</v>
      </c>
      <c r="R75" s="145">
        <f>IF([1]!invoice[[#This Row],[میزان سفارش]]-[1]!invoice[[#This Row],[میزان حمل شده ]]&lt;0,0,[1]!invoice[[#This Row],[میزان سفارش]]-[1]!invoice[[#This Row],[میزان حمل شده ]])</f>
        <v>0</v>
      </c>
      <c r="S75" s="145">
        <f>[1]!invoice[[#This Row],[میزان حمل نشده ]]*[1]!invoice[[#This Row],[فی]]</f>
        <v>0</v>
      </c>
      <c r="T75" s="140"/>
    </row>
    <row r="76" spans="1:20" ht="20.399999999999999" x14ac:dyDescent="0.25">
      <c r="A76" s="81" t="s">
        <v>658</v>
      </c>
      <c r="B76" s="81" t="s">
        <v>25</v>
      </c>
      <c r="C76" s="81" t="str">
        <f>VLOOKUP(invoice[[#This Row],[شماره پیش فاکتور]],[1]!invoice[[شماره پیش فاکتور]:[تاریخ]],3,0)</f>
        <v>1404/04/02</v>
      </c>
      <c r="D76" s="82" t="str">
        <f>VLOOKUP(invoice[[#This Row],[شماره پیش فاکتور]],'[1]لیست پیش فاکتور ها'!$A:$D,4,0)</f>
        <v>1404/04/03</v>
      </c>
      <c r="E76" s="2">
        <f>VLOOKUP(invoice[[#This Row],[شماره پیش فاکتور]],[1]!invoice[[شماره پیش فاکتور]:[میزان سفارش]],5,0)</f>
        <v>20000</v>
      </c>
      <c r="F76" s="2">
        <f>VLOOKUP(invoice[[#This Row],[شماره پیش فاکتور]],[1]!invoice[[شماره پیش فاکتور]:[فی]],6,0)</f>
        <v>167500</v>
      </c>
      <c r="G76" s="3" t="str">
        <f>CHOOSE(MID(invoice[[#This Row],[تاریخ]],6,2),"فروردین","اردیبهشت","خرداد","تیر","مرداد","شهریور","مهر","آبان","آذر","دی","بهمن","اسفند")</f>
        <v>تیر</v>
      </c>
      <c r="H76" s="3">
        <f>_xlfn.NUMBERVALUE(MID(invoice[[#This Row],[تاریخ]],1,4))</f>
        <v>1404</v>
      </c>
      <c r="I76" s="130" t="str">
        <f>VLOOKUP(invoice[[#This Row],[شماره پیش فاکتور]],[1]!invoice[[شماره پیش فاکتور]:[نوع سفارش]],9,0)</f>
        <v>بورس</v>
      </c>
      <c r="J76" s="3" t="str">
        <f>VLOOKUP(invoice[[#This Row],[شماره پیش فاکتور]],[1]!invoice[[شماره پیش فاکتور]:[نوع شرکت]],10,0)</f>
        <v>تولید کننده</v>
      </c>
      <c r="K76" s="125">
        <v>46101</v>
      </c>
      <c r="L76" s="77">
        <v>0.1</v>
      </c>
      <c r="M76" s="78">
        <v>3685000000</v>
      </c>
      <c r="N76" s="78">
        <f>invoice[[#This Row],[مبلغ پیش دریافت]]/invoice[[#This Row],[میزان سفارش]]</f>
        <v>184250</v>
      </c>
      <c r="O76" s="144">
        <f>SUMIF([1]!bargiri[شماره پیش فاکتور],[1]!invoice[[#This Row],[شماره پیش فاکتور]],[1]!bargiri[میزان بارگیری شده])/[1]!invoice[[#This Row],[میزان سفارش]]</f>
        <v>1</v>
      </c>
      <c r="P76" s="140" t="str">
        <f>VLOOKUP(invoice[[#This Row],[شماره پیش فاکتور]],[1]!invoice[[شماره پیش فاکتور]:[نوع سفارش]],9,0)</f>
        <v>بورس</v>
      </c>
      <c r="Q76" s="145">
        <f>SUMIFS('[1]جزییات بارگیری'!D:D,'[1]جزییات بارگیری'!C:C,[1]!invoice[[#This Row],[شماره پیش فاکتور]])</f>
        <v>144945</v>
      </c>
      <c r="R76" s="145">
        <f>IF([1]!invoice[[#This Row],[میزان سفارش]]-[1]!invoice[[#This Row],[میزان حمل شده ]]&lt;0,0,[1]!invoice[[#This Row],[میزان سفارش]]-[1]!invoice[[#This Row],[میزان حمل شده ]])</f>
        <v>0</v>
      </c>
      <c r="S76" s="145">
        <f>[1]!invoice[[#This Row],[میزان حمل نشده ]]*[1]!invoice[[#This Row],[فی]]</f>
        <v>0</v>
      </c>
      <c r="T76" s="140"/>
    </row>
    <row r="77" spans="1:20" ht="20.399999999999999" x14ac:dyDescent="0.25">
      <c r="A77" s="81" t="s">
        <v>659</v>
      </c>
      <c r="B77" s="81" t="s">
        <v>17</v>
      </c>
      <c r="C77" s="81" t="str">
        <f>VLOOKUP(invoice[[#This Row],[شماره پیش فاکتور]],[1]!invoice[[شماره پیش فاکتور]:[تاریخ]],3,0)</f>
        <v>1404/04/02</v>
      </c>
      <c r="D77" s="82" t="str">
        <f>VLOOKUP(invoice[[#This Row],[شماره پیش فاکتور]],'[1]لیست پیش فاکتور ها'!$A:$D,4,0)</f>
        <v>1404/04/03</v>
      </c>
      <c r="E77" s="2">
        <f>VLOOKUP(invoice[[#This Row],[شماره پیش فاکتور]],[1]!invoice[[شماره پیش فاکتور]:[میزان سفارش]],5,0)</f>
        <v>30000</v>
      </c>
      <c r="F77" s="2">
        <f>VLOOKUP(invoice[[#This Row],[شماره پیش فاکتور]],[1]!invoice[[شماره پیش فاکتور]:[فی]],6,0)</f>
        <v>167500</v>
      </c>
      <c r="G77" s="3" t="str">
        <f>CHOOSE(MID(invoice[[#This Row],[تاریخ]],6,2),"فروردین","اردیبهشت","خرداد","تیر","مرداد","شهریور","مهر","آبان","آذر","دی","بهمن","اسفند")</f>
        <v>تیر</v>
      </c>
      <c r="H77" s="3">
        <f>_xlfn.NUMBERVALUE(MID(invoice[[#This Row],[تاریخ]],1,4))</f>
        <v>1404</v>
      </c>
      <c r="I77" s="130" t="str">
        <f>VLOOKUP(invoice[[#This Row],[شماره پیش فاکتور]],[1]!invoice[[شماره پیش فاکتور]:[نوع سفارش]],9,0)</f>
        <v>بورس</v>
      </c>
      <c r="J77" s="3" t="str">
        <f>VLOOKUP(invoice[[#This Row],[شماره پیش فاکتور]],[1]!invoice[[شماره پیش فاکتور]:[نوع شرکت]],10,0)</f>
        <v>تولید کننده</v>
      </c>
      <c r="K77" s="125">
        <v>46101</v>
      </c>
      <c r="L77" s="77">
        <v>0.1</v>
      </c>
      <c r="M77" s="78">
        <v>5527500000</v>
      </c>
      <c r="N77" s="78">
        <f>invoice[[#This Row],[مبلغ پیش دریافت]]/invoice[[#This Row],[میزان سفارش]]</f>
        <v>184250</v>
      </c>
      <c r="O77" s="144">
        <f>SUMIF([1]!bargiri[شماره پیش فاکتور],[1]!invoice[[#This Row],[شماره پیش فاکتور]],[1]!bargiri[میزان بارگیری شده])/[1]!invoice[[#This Row],[میزان سفارش]]</f>
        <v>1</v>
      </c>
      <c r="P77" s="140" t="str">
        <f>VLOOKUP(invoice[[#This Row],[شماره پیش فاکتور]],[1]!invoice[[شماره پیش فاکتور]:[نوع سفارش]],9,0)</f>
        <v>بورس</v>
      </c>
      <c r="Q77" s="145">
        <f>SUMIFS('[1]جزییات بارگیری'!D:D,'[1]جزییات بارگیری'!C:C,[1]!invoice[[#This Row],[شماره پیش فاکتور]])</f>
        <v>713932</v>
      </c>
      <c r="R77" s="145">
        <f>IF([1]!invoice[[#This Row],[میزان سفارش]]-[1]!invoice[[#This Row],[میزان حمل شده ]]&lt;0,0,[1]!invoice[[#This Row],[میزان سفارش]]-[1]!invoice[[#This Row],[میزان حمل شده ]])</f>
        <v>0</v>
      </c>
      <c r="S77" s="145">
        <f>[1]!invoice[[#This Row],[میزان حمل نشده ]]*[1]!invoice[[#This Row],[فی]]</f>
        <v>0</v>
      </c>
      <c r="T77" s="140"/>
    </row>
    <row r="78" spans="1:20" ht="20.399999999999999" x14ac:dyDescent="0.25">
      <c r="A78" s="81" t="s">
        <v>328</v>
      </c>
      <c r="B78" s="81" t="s">
        <v>67</v>
      </c>
      <c r="C78" s="81" t="str">
        <f>VLOOKUP(invoice[[#This Row],[شماره پیش فاکتور]],[1]!invoice[[شماره پیش فاکتور]:[تاریخ]],3,0)</f>
        <v>1404/04/09</v>
      </c>
      <c r="D78" s="82" t="str">
        <f>VLOOKUP(invoice[[#This Row],[شماره پیش فاکتور]],'[1]لیست پیش فاکتور ها'!$A:$D,4,0)</f>
        <v>1404/04/12</v>
      </c>
      <c r="E78" s="2">
        <f>VLOOKUP(invoice[[#This Row],[شماره پیش فاکتور]],[1]!invoice[[شماره پیش فاکتور]:[میزان سفارش]],5,0)</f>
        <v>50000</v>
      </c>
      <c r="F78" s="2">
        <f>VLOOKUP(invoice[[#This Row],[شماره پیش فاکتور]],[1]!invoice[[شماره پیش فاکتور]:[فی]],6,0)</f>
        <v>116500</v>
      </c>
      <c r="G78" s="3" t="str">
        <f>CHOOSE(MID(invoice[[#This Row],[تاریخ]],6,2),"فروردین","اردیبهشت","خرداد","تیر","مرداد","شهریور","مهر","آبان","آذر","دی","بهمن","اسفند")</f>
        <v>تیر</v>
      </c>
      <c r="H78" s="3">
        <f>_xlfn.NUMBERVALUE(MID(invoice[[#This Row],[تاریخ]],1,4))</f>
        <v>1404</v>
      </c>
      <c r="I78" s="130" t="str">
        <f>VLOOKUP(invoice[[#This Row],[شماره پیش فاکتور]],[1]!invoice[[شماره پیش فاکتور]:[نوع سفارش]],9,0)</f>
        <v>تعادلی</v>
      </c>
      <c r="J78" s="3" t="str">
        <f>VLOOKUP(invoice[[#This Row],[شماره پیش فاکتور]],[1]!invoice[[شماره پیش فاکتور]:[نوع شرکت]],10,0)</f>
        <v>تولید کننده</v>
      </c>
      <c r="K78" s="125">
        <v>46101</v>
      </c>
      <c r="L78" s="77">
        <v>0.1</v>
      </c>
      <c r="M78" s="78">
        <v>961125000</v>
      </c>
      <c r="N78" s="78">
        <f>invoice[[#This Row],[مبلغ پیش دریافت]]/invoice[[#This Row],[میزان سفارش]]</f>
        <v>19222.5</v>
      </c>
      <c r="O78" s="144">
        <f>SUMIF([1]!bargiri[شماره پیش فاکتور],[1]!invoice[[#This Row],[شماره پیش فاکتور]],[1]!bargiri[میزان بارگیری شده])/[1]!invoice[[#This Row],[میزان سفارش]]</f>
        <v>1</v>
      </c>
      <c r="P78" s="140" t="str">
        <f>VLOOKUP(invoice[[#This Row],[شماره پیش فاکتور]],[1]!invoice[[شماره پیش فاکتور]:[نوع سفارش]],9,0)</f>
        <v>تعادلی</v>
      </c>
      <c r="Q78" s="145">
        <f>SUMIFS('[1]جزییات بارگیری'!D:D,'[1]جزییات بارگیری'!C:C,[1]!invoice[[#This Row],[شماره پیش فاکتور]])</f>
        <v>58770</v>
      </c>
      <c r="R78" s="145">
        <f>IF([1]!invoice[[#This Row],[میزان سفارش]]-[1]!invoice[[#This Row],[میزان حمل شده ]]&lt;0,0,[1]!invoice[[#This Row],[میزان سفارش]]-[1]!invoice[[#This Row],[میزان حمل شده ]])</f>
        <v>0</v>
      </c>
      <c r="S78" s="145">
        <f>[1]!invoice[[#This Row],[میزان حمل نشده ]]*[1]!invoice[[#This Row],[فی]]</f>
        <v>0</v>
      </c>
      <c r="T78" s="140"/>
    </row>
    <row r="79" spans="1:20" ht="20.399999999999999" x14ac:dyDescent="0.25">
      <c r="A79" s="81" t="s">
        <v>660</v>
      </c>
      <c r="B79" s="81" t="s">
        <v>25</v>
      </c>
      <c r="C79" s="81" t="str">
        <f>VLOOKUP(invoice[[#This Row],[شماره پیش فاکتور]],[1]!invoice[[شماره پیش فاکتور]:[تاریخ]],3,0)</f>
        <v>1404/04/09</v>
      </c>
      <c r="D79" s="82" t="str">
        <f>VLOOKUP(invoice[[#This Row],[شماره پیش فاکتور]],'[1]لیست پیش فاکتور ها'!$A:$D,4,0)</f>
        <v>1404/04/12</v>
      </c>
      <c r="E79" s="2">
        <f>VLOOKUP(invoice[[#This Row],[شماره پیش فاکتور]],[1]!invoice[[شماره پیش فاکتور]:[میزان سفارش]],5,0)</f>
        <v>20000</v>
      </c>
      <c r="F79" s="2">
        <f>VLOOKUP(invoice[[#This Row],[شماره پیش فاکتور]],[1]!invoice[[شماره پیش فاکتور]:[فی]],6,0)</f>
        <v>116500</v>
      </c>
      <c r="G79" s="3" t="str">
        <f>CHOOSE(MID(invoice[[#This Row],[تاریخ]],6,2),"فروردین","اردیبهشت","خرداد","تیر","مرداد","شهریور","مهر","آبان","آذر","دی","بهمن","اسفند")</f>
        <v>تیر</v>
      </c>
      <c r="H79" s="3">
        <f>_xlfn.NUMBERVALUE(MID(invoice[[#This Row],[تاریخ]],1,4))</f>
        <v>1404</v>
      </c>
      <c r="I79" s="130" t="str">
        <f>VLOOKUP(invoice[[#This Row],[شماره پیش فاکتور]],[1]!invoice[[شماره پیش فاکتور]:[نوع سفارش]],9,0)</f>
        <v>تعادلی</v>
      </c>
      <c r="J79" s="3" t="str">
        <f>VLOOKUP(invoice[[#This Row],[شماره پیش فاکتور]],[1]!invoice[[شماره پیش فاکتور]:[نوع شرکت]],10,0)</f>
        <v>تولید کننده</v>
      </c>
      <c r="K79" s="125">
        <v>46101</v>
      </c>
      <c r="L79" s="77">
        <v>0.1</v>
      </c>
      <c r="M79" s="78">
        <v>384450000</v>
      </c>
      <c r="N79" s="78">
        <f>invoice[[#This Row],[مبلغ پیش دریافت]]/invoice[[#This Row],[میزان سفارش]]</f>
        <v>19222.5</v>
      </c>
      <c r="O79" s="144">
        <f>SUMIF([1]!bargiri[شماره پیش فاکتور],[1]!invoice[[#This Row],[شماره پیش فاکتور]],[1]!bargiri[میزان بارگیری شده])/[1]!invoice[[#This Row],[میزان سفارش]]</f>
        <v>1</v>
      </c>
      <c r="P79" s="140" t="str">
        <f>VLOOKUP(invoice[[#This Row],[شماره پیش فاکتور]],[1]!invoice[[شماره پیش فاکتور]:[نوع سفارش]],9,0)</f>
        <v>تعادلی</v>
      </c>
      <c r="Q79" s="145">
        <f>SUMIFS('[1]جزییات بارگیری'!D:D,'[1]جزییات بارگیری'!C:C,[1]!invoice[[#This Row],[شماره پیش فاکتور]])</f>
        <v>29755</v>
      </c>
      <c r="R79" s="145">
        <f>IF([1]!invoice[[#This Row],[میزان سفارش]]-[1]!invoice[[#This Row],[میزان حمل شده ]]&lt;0,0,[1]!invoice[[#This Row],[میزان سفارش]]-[1]!invoice[[#This Row],[میزان حمل شده ]])</f>
        <v>0</v>
      </c>
      <c r="S79" s="145">
        <f>[1]!invoice[[#This Row],[میزان حمل نشده ]]*[1]!invoice[[#This Row],[فی]]</f>
        <v>0</v>
      </c>
      <c r="T79" s="140"/>
    </row>
    <row r="80" spans="1:20" ht="20.399999999999999" x14ac:dyDescent="0.25">
      <c r="A80" s="81" t="s">
        <v>661</v>
      </c>
      <c r="B80" s="81" t="s">
        <v>17</v>
      </c>
      <c r="C80" s="81" t="str">
        <f>VLOOKUP(invoice[[#This Row],[شماره پیش فاکتور]],[1]!invoice[[شماره پیش فاکتور]:[تاریخ]],3,0)</f>
        <v>1404/04/09</v>
      </c>
      <c r="D80" s="82" t="str">
        <f>VLOOKUP(invoice[[#This Row],[شماره پیش فاکتور]],'[1]لیست پیش فاکتور ها'!$A:$D,4,0)</f>
        <v>1404/04/12</v>
      </c>
      <c r="E80" s="2">
        <f>VLOOKUP(invoice[[#This Row],[شماره پیش فاکتور]],[1]!invoice[[شماره پیش فاکتور]:[میزان سفارش]],5,0)</f>
        <v>30000</v>
      </c>
      <c r="F80" s="2">
        <f>VLOOKUP(invoice[[#This Row],[شماره پیش فاکتور]],[1]!invoice[[شماره پیش فاکتور]:[فی]],6,0)</f>
        <v>116500</v>
      </c>
      <c r="G80" s="3" t="str">
        <f>CHOOSE(MID(invoice[[#This Row],[تاریخ]],6,2),"فروردین","اردیبهشت","خرداد","تیر","مرداد","شهریور","مهر","آبان","آذر","دی","بهمن","اسفند")</f>
        <v>تیر</v>
      </c>
      <c r="H80" s="3">
        <f>_xlfn.NUMBERVALUE(MID(invoice[[#This Row],[تاریخ]],1,4))</f>
        <v>1404</v>
      </c>
      <c r="I80" s="130" t="str">
        <f>VLOOKUP(invoice[[#This Row],[شماره پیش فاکتور]],[1]!invoice[[شماره پیش فاکتور]:[نوع سفارش]],9,0)</f>
        <v>تعادلی</v>
      </c>
      <c r="J80" s="3" t="str">
        <f>VLOOKUP(invoice[[#This Row],[شماره پیش فاکتور]],[1]!invoice[[شماره پیش فاکتور]:[نوع شرکت]],10,0)</f>
        <v>تولید کننده</v>
      </c>
      <c r="K80" s="125">
        <v>46101</v>
      </c>
      <c r="L80" s="77">
        <v>0.1</v>
      </c>
      <c r="M80" s="78">
        <v>576675000</v>
      </c>
      <c r="N80" s="78">
        <f>invoice[[#This Row],[مبلغ پیش دریافت]]/invoice[[#This Row],[میزان سفارش]]</f>
        <v>19222.5</v>
      </c>
      <c r="O80" s="144">
        <f>SUMIF([1]!bargiri[شماره پیش فاکتور],[1]!invoice[[#This Row],[شماره پیش فاکتور]],[1]!bargiri[میزان بارگیری شده])/[1]!invoice[[#This Row],[میزان سفارش]]</f>
        <v>1</v>
      </c>
      <c r="P80" s="140" t="str">
        <f>VLOOKUP(invoice[[#This Row],[شماره پیش فاکتور]],[1]!invoice[[شماره پیش فاکتور]:[نوع سفارش]],9,0)</f>
        <v>تعادلی</v>
      </c>
      <c r="Q80" s="145">
        <f>SUMIFS('[1]جزییات بارگیری'!D:D,'[1]جزییات بارگیری'!C:C,[1]!invoice[[#This Row],[شماره پیش فاکتور]])</f>
        <v>487745</v>
      </c>
      <c r="R80" s="145">
        <f>IF([1]!invoice[[#This Row],[میزان سفارش]]-[1]!invoice[[#This Row],[میزان حمل شده ]]&lt;0,0,[1]!invoice[[#This Row],[میزان سفارش]]-[1]!invoice[[#This Row],[میزان حمل شده ]])</f>
        <v>0</v>
      </c>
      <c r="S80" s="145">
        <f>[1]!invoice[[#This Row],[میزان حمل نشده ]]*[1]!invoice[[#This Row],[فی]]</f>
        <v>0</v>
      </c>
      <c r="T80" s="140"/>
    </row>
    <row r="81" spans="1:20" ht="20.399999999999999" x14ac:dyDescent="0.25">
      <c r="A81" s="81" t="s">
        <v>662</v>
      </c>
      <c r="B81" s="81" t="s">
        <v>40</v>
      </c>
      <c r="C81" s="81" t="str">
        <f>VLOOKUP(invoice[[#This Row],[شماره پیش فاکتور]],[1]!invoice[[شماره پیش فاکتور]:[تاریخ]],3,0)</f>
        <v>1404/04/18</v>
      </c>
      <c r="D81" s="82" t="str">
        <f>VLOOKUP(invoice[[#This Row],[شماره پیش فاکتور]],'[1]لیست پیش فاکتور ها'!$A:$D,4,0)</f>
        <v>1404/04/18</v>
      </c>
      <c r="E81" s="2">
        <f>VLOOKUP(invoice[[#This Row],[شماره پیش فاکتور]],[1]!invoice[[شماره پیش فاکتور]:[میزان سفارش]],5,0)</f>
        <v>40000</v>
      </c>
      <c r="F81" s="2">
        <f>VLOOKUP(invoice[[#This Row],[شماره پیش فاکتور]],[1]!invoice[[شماره پیش فاکتور]:[فی]],6,0)</f>
        <v>167500</v>
      </c>
      <c r="G81" s="3" t="str">
        <f>CHOOSE(MID(invoice[[#This Row],[تاریخ]],6,2),"فروردین","اردیبهشت","خرداد","تیر","مرداد","شهریور","مهر","آبان","آذر","دی","بهمن","اسفند")</f>
        <v>تیر</v>
      </c>
      <c r="H81" s="3">
        <f>_xlfn.NUMBERVALUE(MID(invoice[[#This Row],[تاریخ]],1,4))</f>
        <v>1404</v>
      </c>
      <c r="I81" s="130" t="str">
        <f>VLOOKUP(invoice[[#This Row],[شماره پیش فاکتور]],[1]!invoice[[شماره پیش فاکتور]:[نوع سفارش]],9,0)</f>
        <v>بورس</v>
      </c>
      <c r="J81" s="3" t="str">
        <f>VLOOKUP(invoice[[#This Row],[شماره پیش فاکتور]],[1]!invoice[[شماره پیش فاکتور]:[نوع شرکت]],10,0)</f>
        <v>تولید کننده</v>
      </c>
      <c r="K81" s="125">
        <v>46101</v>
      </c>
      <c r="L81" s="77">
        <v>0.1</v>
      </c>
      <c r="M81" s="78">
        <v>7370000000</v>
      </c>
      <c r="N81" s="78">
        <f>invoice[[#This Row],[مبلغ پیش دریافت]]/invoice[[#This Row],[میزان سفارش]]</f>
        <v>184250</v>
      </c>
      <c r="O81" s="144">
        <f>SUMIF([1]!bargiri[شماره پیش فاکتور],[1]!invoice[[#This Row],[شماره پیش فاکتور]],[1]!bargiri[میزان بارگیری شده])/[1]!invoice[[#This Row],[میزان سفارش]]</f>
        <v>1</v>
      </c>
      <c r="P81" s="140" t="str">
        <f>VLOOKUP(invoice[[#This Row],[شماره پیش فاکتور]],[1]!invoice[[شماره پیش فاکتور]:[نوع سفارش]],9,0)</f>
        <v>بورس</v>
      </c>
      <c r="Q81" s="145">
        <f>SUMIFS('[1]جزییات بارگیری'!D:D,'[1]جزییات بارگیری'!C:C,[1]!invoice[[#This Row],[شماره پیش فاکتور]])</f>
        <v>300000</v>
      </c>
      <c r="R81" s="145">
        <f>IF([1]!invoice[[#This Row],[میزان سفارش]]-[1]!invoice[[#This Row],[میزان حمل شده ]]&lt;0,0,[1]!invoice[[#This Row],[میزان سفارش]]-[1]!invoice[[#This Row],[میزان حمل شده ]])</f>
        <v>0</v>
      </c>
      <c r="S81" s="145">
        <f>[1]!invoice[[#This Row],[میزان حمل نشده ]]*[1]!invoice[[#This Row],[فی]]</f>
        <v>0</v>
      </c>
      <c r="T81" s="140"/>
    </row>
    <row r="82" spans="1:20" ht="20.399999999999999" x14ac:dyDescent="0.25">
      <c r="A82" s="81" t="s">
        <v>664</v>
      </c>
      <c r="B82" s="81" t="s">
        <v>70</v>
      </c>
      <c r="C82" s="81" t="str">
        <f>VLOOKUP(invoice[[#This Row],[شماره پیش فاکتور]],[1]!invoice[[شماره پیش فاکتور]:[تاریخ]],3,0)</f>
        <v>1404/04/18</v>
      </c>
      <c r="D82" s="82" t="str">
        <f>VLOOKUP(invoice[[#This Row],[شماره پیش فاکتور]],'[1]لیست پیش فاکتور ها'!$A:$D,4,0)</f>
        <v>1404/04/18</v>
      </c>
      <c r="E82" s="2">
        <f>VLOOKUP(invoice[[#This Row],[شماره پیش فاکتور]],[1]!invoice[[شماره پیش فاکتور]:[میزان سفارش]],5,0)</f>
        <v>60000</v>
      </c>
      <c r="F82" s="2">
        <f>VLOOKUP(invoice[[#This Row],[شماره پیش فاکتور]],[1]!invoice[[شماره پیش فاکتور]:[فی]],6,0)</f>
        <v>167500</v>
      </c>
      <c r="G82" s="3" t="str">
        <f>CHOOSE(MID(invoice[[#This Row],[تاریخ]],6,2),"فروردین","اردیبهشت","خرداد","تیر","مرداد","شهریور","مهر","آبان","آذر","دی","بهمن","اسفند")</f>
        <v>تیر</v>
      </c>
      <c r="H82" s="3">
        <f>_xlfn.NUMBERVALUE(MID(invoice[[#This Row],[تاریخ]],1,4))</f>
        <v>1404</v>
      </c>
      <c r="I82" s="130" t="str">
        <f>VLOOKUP(invoice[[#This Row],[شماره پیش فاکتور]],[1]!invoice[[شماره پیش فاکتور]:[نوع سفارش]],9,0)</f>
        <v>بورس</v>
      </c>
      <c r="J82" s="3" t="str">
        <f>VLOOKUP(invoice[[#This Row],[شماره پیش فاکتور]],[1]!invoice[[شماره پیش فاکتور]:[نوع شرکت]],10,0)</f>
        <v>تولید کننده</v>
      </c>
      <c r="K82" s="125">
        <v>46101</v>
      </c>
      <c r="L82" s="77">
        <v>0.1</v>
      </c>
      <c r="M82" s="78">
        <v>11055000000</v>
      </c>
      <c r="N82" s="78">
        <f>invoice[[#This Row],[مبلغ پیش دریافت]]/invoice[[#This Row],[میزان سفارش]]</f>
        <v>184250</v>
      </c>
      <c r="O82" s="144">
        <f>SUMIF([1]!bargiri[شماره پیش فاکتور],[1]!invoice[[#This Row],[شماره پیش فاکتور]],[1]!bargiri[میزان بارگیری شده])/[1]!invoice[[#This Row],[میزان سفارش]]</f>
        <v>1</v>
      </c>
      <c r="P82" s="140" t="str">
        <f>VLOOKUP(invoice[[#This Row],[شماره پیش فاکتور]],[1]!invoice[[شماره پیش فاکتور]:[نوع سفارش]],9,0)</f>
        <v>بورس</v>
      </c>
      <c r="Q82" s="145">
        <f>SUMIFS('[1]جزییات بارگیری'!D:D,'[1]جزییات بارگیری'!C:C,[1]!invoice[[#This Row],[شماره پیش فاکتور]])</f>
        <v>180000</v>
      </c>
      <c r="R82" s="145">
        <f>IF([1]!invoice[[#This Row],[میزان سفارش]]-[1]!invoice[[#This Row],[میزان حمل شده ]]&lt;0,0,[1]!invoice[[#This Row],[میزان سفارش]]-[1]!invoice[[#This Row],[میزان حمل شده ]])</f>
        <v>0</v>
      </c>
      <c r="S82" s="145">
        <f>[1]!invoice[[#This Row],[میزان حمل نشده ]]*[1]!invoice[[#This Row],[فی]]</f>
        <v>0</v>
      </c>
      <c r="T82" s="140"/>
    </row>
    <row r="83" spans="1:20" ht="20.399999999999999" x14ac:dyDescent="0.25">
      <c r="A83" s="81" t="s">
        <v>665</v>
      </c>
      <c r="B83" s="81" t="s">
        <v>40</v>
      </c>
      <c r="C83" s="81" t="str">
        <f>VLOOKUP(invoice[[#This Row],[شماره پیش فاکتور]],[1]!invoice[[شماره پیش فاکتور]:[تاریخ]],3,0)</f>
        <v>1404/04/24</v>
      </c>
      <c r="D83" s="82" t="str">
        <f>VLOOKUP(invoice[[#This Row],[شماره پیش فاکتور]],'[1]لیست پیش فاکتور ها'!$A:$D,4,0)</f>
        <v>1404/04/29</v>
      </c>
      <c r="E83" s="2">
        <f>VLOOKUP(invoice[[#This Row],[شماره پیش فاکتور]],[1]!invoice[[شماره پیش فاکتور]:[میزان سفارش]],5,0)</f>
        <v>40000</v>
      </c>
      <c r="F83" s="2">
        <f>VLOOKUP(invoice[[#This Row],[شماره پیش فاکتور]],[1]!invoice[[شماره پیش فاکتور]:[فی]],6,0)</f>
        <v>116500</v>
      </c>
      <c r="G83" s="3" t="str">
        <f>CHOOSE(MID(invoice[[#This Row],[تاریخ]],6,2),"فروردین","اردیبهشت","خرداد","تیر","مرداد","شهریور","مهر","آبان","آذر","دی","بهمن","اسفند")</f>
        <v>تیر</v>
      </c>
      <c r="H83" s="3">
        <f>_xlfn.NUMBERVALUE(MID(invoice[[#This Row],[تاریخ]],1,4))</f>
        <v>1404</v>
      </c>
      <c r="I83" s="130" t="str">
        <f>VLOOKUP(invoice[[#This Row],[شماره پیش فاکتور]],[1]!invoice[[شماره پیش فاکتور]:[نوع سفارش]],9,0)</f>
        <v>تعادلی</v>
      </c>
      <c r="J83" s="3" t="str">
        <f>VLOOKUP(invoice[[#This Row],[شماره پیش فاکتور]],[1]!invoice[[شماره پیش فاکتور]:[نوع شرکت]],10,0)</f>
        <v>تولید کننده</v>
      </c>
      <c r="K83" s="125">
        <v>46101</v>
      </c>
      <c r="L83" s="77">
        <v>0.1</v>
      </c>
      <c r="M83" s="78">
        <v>5126000000</v>
      </c>
      <c r="N83" s="78">
        <f>invoice[[#This Row],[مبلغ پیش دریافت]]/invoice[[#This Row],[میزان سفارش]]</f>
        <v>128150</v>
      </c>
      <c r="O83" s="144">
        <f>SUMIF([1]!bargiri[شماره پیش فاکتور],[1]!invoice[[#This Row],[شماره پیش فاکتور]],[1]!bargiri[میزان بارگیری شده])/[1]!invoice[[#This Row],[میزان سفارش]]</f>
        <v>1</v>
      </c>
      <c r="P83" s="140" t="str">
        <f>VLOOKUP(invoice[[#This Row],[شماره پیش فاکتور]],[1]!invoice[[شماره پیش فاکتور]:[نوع سفارش]],9,0)</f>
        <v>تعادلی</v>
      </c>
      <c r="Q83" s="145">
        <f>SUMIFS('[1]جزییات بارگیری'!D:D,'[1]جزییات بارگیری'!C:C,[1]!invoice[[#This Row],[شماره پیش فاکتور]])</f>
        <v>17960</v>
      </c>
      <c r="R83" s="145">
        <f>IF([1]!invoice[[#This Row],[میزان سفارش]]-[1]!invoice[[#This Row],[میزان حمل شده ]]&lt;0,0,[1]!invoice[[#This Row],[میزان سفارش]]-[1]!invoice[[#This Row],[میزان حمل شده ]])</f>
        <v>0</v>
      </c>
      <c r="S83" s="145">
        <f>[1]!invoice[[#This Row],[میزان حمل نشده ]]*[1]!invoice[[#This Row],[فی]]</f>
        <v>0</v>
      </c>
      <c r="T83" s="140"/>
    </row>
    <row r="84" spans="1:20" ht="20.399999999999999" x14ac:dyDescent="0.25">
      <c r="A84" s="81" t="s">
        <v>668</v>
      </c>
      <c r="B84" s="81" t="s">
        <v>70</v>
      </c>
      <c r="C84" s="81" t="str">
        <f>VLOOKUP(invoice[[#This Row],[شماره پیش فاکتور]],[1]!invoice[[شماره پیش فاکتور]:[تاریخ]],3,0)</f>
        <v>1404/04/24</v>
      </c>
      <c r="D84" s="82" t="str">
        <f>VLOOKUP(invoice[[#This Row],[شماره پیش فاکتور]],'[1]لیست پیش فاکتور ها'!$A:$D,4,0)</f>
        <v>1404/04/29</v>
      </c>
      <c r="E84" s="2">
        <f>VLOOKUP(invoice[[#This Row],[شماره پیش فاکتور]],[1]!invoice[[شماره پیش فاکتور]:[میزان سفارش]],5,0)</f>
        <v>60000</v>
      </c>
      <c r="F84" s="2">
        <f>VLOOKUP(invoice[[#This Row],[شماره پیش فاکتور]],[1]!invoice[[شماره پیش فاکتور]:[فی]],6,0)</f>
        <v>116500</v>
      </c>
      <c r="G84" s="3" t="str">
        <f>CHOOSE(MID(invoice[[#This Row],[تاریخ]],6,2),"فروردین","اردیبهشت","خرداد","تیر","مرداد","شهریور","مهر","آبان","آذر","دی","بهمن","اسفند")</f>
        <v>تیر</v>
      </c>
      <c r="H84" s="3">
        <f>_xlfn.NUMBERVALUE(MID(invoice[[#This Row],[تاریخ]],1,4))</f>
        <v>1404</v>
      </c>
      <c r="I84" s="130" t="str">
        <f>VLOOKUP(invoice[[#This Row],[شماره پیش فاکتور]],[1]!invoice[[شماره پیش فاکتور]:[نوع سفارش]],9,0)</f>
        <v>تعادلی</v>
      </c>
      <c r="J84" s="3" t="str">
        <f>VLOOKUP(invoice[[#This Row],[شماره پیش فاکتور]],[1]!invoice[[شماره پیش فاکتور]:[نوع شرکت]],10,0)</f>
        <v>تولید کننده</v>
      </c>
      <c r="K84" s="125">
        <v>46101</v>
      </c>
      <c r="L84" s="77">
        <v>0.1</v>
      </c>
      <c r="M84" s="78">
        <v>1153350000</v>
      </c>
      <c r="N84" s="78">
        <f>invoice[[#This Row],[مبلغ پیش دریافت]]/invoice[[#This Row],[میزان سفارش]]</f>
        <v>19222.5</v>
      </c>
      <c r="O84" s="144">
        <f>SUMIF([1]!bargiri[شماره پیش فاکتور],[1]!invoice[[#This Row],[شماره پیش فاکتور]],[1]!bargiri[میزان بارگیری شده])/[1]!invoice[[#This Row],[میزان سفارش]]</f>
        <v>1</v>
      </c>
      <c r="P84" s="140" t="str">
        <f>VLOOKUP(invoice[[#This Row],[شماره پیش فاکتور]],[1]!invoice[[شماره پیش فاکتور]:[نوع سفارش]],9,0)</f>
        <v>تعادلی</v>
      </c>
      <c r="Q84" s="145">
        <f>SUMIFS('[1]جزییات بارگیری'!D:D,'[1]جزییات بارگیری'!C:C,[1]!invoice[[#This Row],[شماره پیش فاکتور]])</f>
        <v>98175</v>
      </c>
      <c r="R84" s="145">
        <f>IF([1]!invoice[[#This Row],[میزان سفارش]]-[1]!invoice[[#This Row],[میزان حمل شده ]]&lt;0,0,[1]!invoice[[#This Row],[میزان سفارش]]-[1]!invoice[[#This Row],[میزان حمل شده ]])</f>
        <v>0</v>
      </c>
      <c r="S84" s="145">
        <f>[1]!invoice[[#This Row],[میزان حمل نشده ]]*[1]!invoice[[#This Row],[فی]]</f>
        <v>0</v>
      </c>
      <c r="T84" s="140"/>
    </row>
    <row r="85" spans="1:20" ht="20.399999999999999" x14ac:dyDescent="0.25">
      <c r="A85" s="81" t="s">
        <v>669</v>
      </c>
      <c r="B85" s="81" t="s">
        <v>67</v>
      </c>
      <c r="C85" s="81" t="str">
        <f>VLOOKUP(invoice[[#This Row],[شماره پیش فاکتور]],[1]!invoice[[شماره پیش فاکتور]:[تاریخ]],3,0)</f>
        <v>1404/04/31</v>
      </c>
      <c r="D85" s="82" t="str">
        <f>VLOOKUP(invoice[[#This Row],[شماره پیش فاکتور]],'[1]لیست پیش فاکتور ها'!$A:$D,4,0)</f>
        <v>1404/04/31</v>
      </c>
      <c r="E85" s="2">
        <f>VLOOKUP(invoice[[#This Row],[شماره پیش فاکتور]],[1]!invoice[[شماره پیش فاکتور]:[میزان سفارش]],5,0)</f>
        <v>20000</v>
      </c>
      <c r="F85" s="2">
        <f>VLOOKUP(invoice[[#This Row],[شماره پیش فاکتور]],[1]!invoice[[شماره پیش فاکتور]:[فی]],6,0)</f>
        <v>167500</v>
      </c>
      <c r="G85" s="3" t="str">
        <f>CHOOSE(MID(invoice[[#This Row],[تاریخ]],6,2),"فروردین","اردیبهشت","خرداد","تیر","مرداد","شهریور","مهر","آبان","آذر","دی","بهمن","اسفند")</f>
        <v>تیر</v>
      </c>
      <c r="H85" s="3">
        <f>_xlfn.NUMBERVALUE(MID(invoice[[#This Row],[تاریخ]],1,4))</f>
        <v>1404</v>
      </c>
      <c r="I85" s="130" t="str">
        <f>VLOOKUP(invoice[[#This Row],[شماره پیش فاکتور]],[1]!invoice[[شماره پیش فاکتور]:[نوع سفارش]],9,0)</f>
        <v>بورس</v>
      </c>
      <c r="J85" s="3" t="str">
        <f>VLOOKUP(invoice[[#This Row],[شماره پیش فاکتور]],[1]!invoice[[شماره پیش فاکتور]:[نوع شرکت]],10,0)</f>
        <v>تولید کننده</v>
      </c>
      <c r="K85" s="125">
        <v>46101</v>
      </c>
      <c r="L85" s="77">
        <v>0.1</v>
      </c>
      <c r="M85" s="78">
        <v>3685000000</v>
      </c>
      <c r="N85" s="78">
        <f>invoice[[#This Row],[مبلغ پیش دریافت]]/invoice[[#This Row],[میزان سفارش]]</f>
        <v>184250</v>
      </c>
      <c r="O85" s="144">
        <f>SUMIF([1]!bargiri[شماره پیش فاکتور],[1]!invoice[[#This Row],[شماره پیش فاکتور]],[1]!bargiri[میزان بارگیری شده])/[1]!invoice[[#This Row],[میزان سفارش]]</f>
        <v>1</v>
      </c>
      <c r="P85" s="140" t="str">
        <f>VLOOKUP(invoice[[#This Row],[شماره پیش فاکتور]],[1]!invoice[[شماره پیش فاکتور]:[نوع سفارش]],9,0)</f>
        <v>بورس</v>
      </c>
      <c r="Q85" s="145">
        <f>SUMIFS('[1]جزییات بارگیری'!D:D,'[1]جزییات بارگیری'!C:C,[1]!invoice[[#This Row],[شماره پیش فاکتور]])</f>
        <v>497690</v>
      </c>
      <c r="R85" s="145">
        <f>IF([1]!invoice[[#This Row],[میزان سفارش]]-[1]!invoice[[#This Row],[میزان حمل شده ]]&lt;0,0,[1]!invoice[[#This Row],[میزان سفارش]]-[1]!invoice[[#This Row],[میزان حمل شده ]])</f>
        <v>0</v>
      </c>
      <c r="S85" s="145">
        <f>[1]!invoice[[#This Row],[میزان حمل نشده ]]*[1]!invoice[[#This Row],[فی]]</f>
        <v>0</v>
      </c>
      <c r="T85" s="140"/>
    </row>
    <row r="86" spans="1:20" ht="20.399999999999999" x14ac:dyDescent="0.25">
      <c r="A86" s="81" t="s">
        <v>671</v>
      </c>
      <c r="B86" s="81" t="s">
        <v>40</v>
      </c>
      <c r="C86" s="81" t="str">
        <f>VLOOKUP(invoice[[#This Row],[شماره پیش فاکتور]],[1]!invoice[[شماره پیش فاکتور]:[تاریخ]],3,0)</f>
        <v>1404/04/31</v>
      </c>
      <c r="D86" s="82" t="str">
        <f>VLOOKUP(invoice[[#This Row],[شماره پیش فاکتور]],'[1]لیست پیش فاکتور ها'!$A:$D,4,0)</f>
        <v>1404/04/31</v>
      </c>
      <c r="E86" s="2">
        <f>VLOOKUP(invoice[[#This Row],[شماره پیش فاکتور]],[1]!invoice[[شماره پیش فاکتور]:[میزان سفارش]],5,0)</f>
        <v>20000</v>
      </c>
      <c r="F86" s="2">
        <f>VLOOKUP(invoice[[#This Row],[شماره پیش فاکتور]],[1]!invoice[[شماره پیش فاکتور]:[فی]],6,0)</f>
        <v>167500</v>
      </c>
      <c r="G86" s="3" t="str">
        <f>CHOOSE(MID(invoice[[#This Row],[تاریخ]],6,2),"فروردین","اردیبهشت","خرداد","تیر","مرداد","شهریور","مهر","آبان","آذر","دی","بهمن","اسفند")</f>
        <v>تیر</v>
      </c>
      <c r="H86" s="3">
        <f>_xlfn.NUMBERVALUE(MID(invoice[[#This Row],[تاریخ]],1,4))</f>
        <v>1404</v>
      </c>
      <c r="I86" s="130" t="str">
        <f>VLOOKUP(invoice[[#This Row],[شماره پیش فاکتور]],[1]!invoice[[شماره پیش فاکتور]:[نوع سفارش]],9,0)</f>
        <v>بورس</v>
      </c>
      <c r="J86" s="3" t="str">
        <f>VLOOKUP(invoice[[#This Row],[شماره پیش فاکتور]],[1]!invoice[[شماره پیش فاکتور]:[نوع شرکت]],10,0)</f>
        <v>تولید کننده</v>
      </c>
      <c r="K86" s="125">
        <v>46101</v>
      </c>
      <c r="L86" s="77">
        <v>0.1</v>
      </c>
      <c r="M86" s="78">
        <v>3685000000</v>
      </c>
      <c r="N86" s="78">
        <f>invoice[[#This Row],[مبلغ پیش دریافت]]/invoice[[#This Row],[میزان سفارش]]</f>
        <v>184250</v>
      </c>
      <c r="O86" s="144">
        <f>SUMIF([1]!bargiri[شماره پیش فاکتور],[1]!invoice[[#This Row],[شماره پیش فاکتور]],[1]!bargiri[میزان بارگیری شده])/[1]!invoice[[#This Row],[میزان سفارش]]</f>
        <v>1</v>
      </c>
      <c r="P86" s="140" t="str">
        <f>VLOOKUP(invoice[[#This Row],[شماره پیش فاکتور]],[1]!invoice[[شماره پیش فاکتور]:[نوع سفارش]],9,0)</f>
        <v>بورس</v>
      </c>
      <c r="Q86" s="145">
        <f>SUMIFS('[1]جزییات بارگیری'!D:D,'[1]جزییات بارگیری'!C:C,[1]!invoice[[#This Row],[شماره پیش فاکتور]])</f>
        <v>141245</v>
      </c>
      <c r="R86" s="145">
        <f>IF([1]!invoice[[#This Row],[میزان سفارش]]-[1]!invoice[[#This Row],[میزان حمل شده ]]&lt;0,0,[1]!invoice[[#This Row],[میزان سفارش]]-[1]!invoice[[#This Row],[میزان حمل شده ]])</f>
        <v>0</v>
      </c>
      <c r="S86" s="145">
        <f>[1]!invoice[[#This Row],[میزان حمل نشده ]]*[1]!invoice[[#This Row],[فی]]</f>
        <v>0</v>
      </c>
      <c r="T86" s="140"/>
    </row>
    <row r="87" spans="1:20" ht="20.399999999999999" x14ac:dyDescent="0.25">
      <c r="A87" s="81" t="s">
        <v>672</v>
      </c>
      <c r="B87" s="81" t="s">
        <v>25</v>
      </c>
      <c r="C87" s="81" t="str">
        <f>VLOOKUP(invoice[[#This Row],[شماره پیش فاکتور]],[1]!invoice[[شماره پیش فاکتور]:[تاریخ]],3,0)</f>
        <v>1404/04/31</v>
      </c>
      <c r="D87" s="82" t="str">
        <f>VLOOKUP(invoice[[#This Row],[شماره پیش فاکتور]],'[1]لیست پیش فاکتور ها'!$A:$D,4,0)</f>
        <v>1404/04/31</v>
      </c>
      <c r="E87" s="2">
        <f>VLOOKUP(invoice[[#This Row],[شماره پیش فاکتور]],[1]!invoice[[شماره پیش فاکتور]:[میزان سفارش]],5,0)</f>
        <v>20000</v>
      </c>
      <c r="F87" s="2">
        <f>VLOOKUP(invoice[[#This Row],[شماره پیش فاکتور]],[1]!invoice[[شماره پیش فاکتور]:[فی]],6,0)</f>
        <v>167500</v>
      </c>
      <c r="G87" s="3" t="str">
        <f>CHOOSE(MID(invoice[[#This Row],[تاریخ]],6,2),"فروردین","اردیبهشت","خرداد","تیر","مرداد","شهریور","مهر","آبان","آذر","دی","بهمن","اسفند")</f>
        <v>تیر</v>
      </c>
      <c r="H87" s="3">
        <f>_xlfn.NUMBERVALUE(MID(invoice[[#This Row],[تاریخ]],1,4))</f>
        <v>1404</v>
      </c>
      <c r="I87" s="130" t="str">
        <f>VLOOKUP(invoice[[#This Row],[شماره پیش فاکتور]],[1]!invoice[[شماره پیش فاکتور]:[نوع سفارش]],9,0)</f>
        <v>بورس</v>
      </c>
      <c r="J87" s="3" t="str">
        <f>VLOOKUP(invoice[[#This Row],[شماره پیش فاکتور]],[1]!invoice[[شماره پیش فاکتور]:[نوع شرکت]],10,0)</f>
        <v>تولید کننده</v>
      </c>
      <c r="K87" s="125">
        <v>46101</v>
      </c>
      <c r="L87" s="77">
        <v>0.1</v>
      </c>
      <c r="M87" s="78">
        <v>3685000000</v>
      </c>
      <c r="N87" s="78">
        <f>invoice[[#This Row],[مبلغ پیش دریافت]]/invoice[[#This Row],[میزان سفارش]]</f>
        <v>184250</v>
      </c>
      <c r="O87" s="144">
        <f>SUMIF([1]!bargiri[شماره پیش فاکتور],[1]!invoice[[#This Row],[شماره پیش فاکتور]],[1]!bargiri[میزان بارگیری شده])/[1]!invoice[[#This Row],[میزان سفارش]]</f>
        <v>1</v>
      </c>
      <c r="P87" s="140" t="str">
        <f>VLOOKUP(invoice[[#This Row],[شماره پیش فاکتور]],[1]!invoice[[شماره پیش فاکتور]:[نوع سفارش]],9,0)</f>
        <v>بورس</v>
      </c>
      <c r="Q87" s="145">
        <f>SUMIFS('[1]جزییات بارگیری'!D:D,'[1]جزییات بارگیری'!C:C,[1]!invoice[[#This Row],[شماره پیش فاکتور]])</f>
        <v>28950</v>
      </c>
      <c r="R87" s="145">
        <f>IF([1]!invoice[[#This Row],[میزان سفارش]]-[1]!invoice[[#This Row],[میزان حمل شده ]]&lt;0,0,[1]!invoice[[#This Row],[میزان سفارش]]-[1]!invoice[[#This Row],[میزان حمل شده ]])</f>
        <v>0</v>
      </c>
      <c r="S87" s="145">
        <f>[1]!invoice[[#This Row],[میزان حمل نشده ]]*[1]!invoice[[#This Row],[فی]]</f>
        <v>0</v>
      </c>
      <c r="T87" s="140"/>
    </row>
    <row r="88" spans="1:20" ht="20.399999999999999" x14ac:dyDescent="0.25">
      <c r="A88" s="81" t="s">
        <v>673</v>
      </c>
      <c r="B88" s="81" t="s">
        <v>70</v>
      </c>
      <c r="C88" s="81" t="str">
        <f>VLOOKUP(invoice[[#This Row],[شماره پیش فاکتور]],[1]!invoice[[شماره پیش فاکتور]:[تاریخ]],3,0)</f>
        <v>1404/04/31</v>
      </c>
      <c r="D88" s="82" t="str">
        <f>VLOOKUP(invoice[[#This Row],[شماره پیش فاکتور]],'[1]لیست پیش فاکتور ها'!$A:$D,4,0)</f>
        <v>1404/04/31</v>
      </c>
      <c r="E88" s="2">
        <f>VLOOKUP(invoice[[#This Row],[شماره پیش فاکتور]],[1]!invoice[[شماره پیش فاکتور]:[میزان سفارش]],5,0)</f>
        <v>40000</v>
      </c>
      <c r="F88" s="2">
        <f>VLOOKUP(invoice[[#This Row],[شماره پیش فاکتور]],[1]!invoice[[شماره پیش فاکتور]:[فی]],6,0)</f>
        <v>167500</v>
      </c>
      <c r="G88" s="3" t="str">
        <f>CHOOSE(MID(invoice[[#This Row],[تاریخ]],6,2),"فروردین","اردیبهشت","خرداد","تیر","مرداد","شهریور","مهر","آبان","آذر","دی","بهمن","اسفند")</f>
        <v>تیر</v>
      </c>
      <c r="H88" s="3">
        <f>_xlfn.NUMBERVALUE(MID(invoice[[#This Row],[تاریخ]],1,4))</f>
        <v>1404</v>
      </c>
      <c r="I88" s="130" t="str">
        <f>VLOOKUP(invoice[[#This Row],[شماره پیش فاکتور]],[1]!invoice[[شماره پیش فاکتور]:[نوع سفارش]],9,0)</f>
        <v>بورس</v>
      </c>
      <c r="J88" s="3" t="str">
        <f>VLOOKUP(invoice[[#This Row],[شماره پیش فاکتور]],[1]!invoice[[شماره پیش فاکتور]:[نوع شرکت]],10,0)</f>
        <v>تولید کننده</v>
      </c>
      <c r="K88" s="125">
        <v>46101</v>
      </c>
      <c r="L88" s="77">
        <v>0.1</v>
      </c>
      <c r="M88" s="78">
        <v>3960000000</v>
      </c>
      <c r="N88" s="78">
        <f>invoice[[#This Row],[مبلغ پیش دریافت]]/invoice[[#This Row],[میزان سفارش]]</f>
        <v>99000</v>
      </c>
      <c r="O88" s="144">
        <f>SUMIF([1]!bargiri[شماره پیش فاکتور],[1]!invoice[[#This Row],[شماره پیش فاکتور]],[1]!bargiri[میزان بارگیری شده])/[1]!invoice[[#This Row],[میزان سفارش]]</f>
        <v>1</v>
      </c>
      <c r="P88" s="140" t="str">
        <f>VLOOKUP(invoice[[#This Row],[شماره پیش فاکتور]],[1]!invoice[[شماره پیش فاکتور]:[نوع سفارش]],9,0)</f>
        <v>بورس</v>
      </c>
      <c r="Q88" s="145">
        <f>SUMIFS('[1]جزییات بارگیری'!D:D,'[1]جزییات بارگیری'!C:C,[1]!invoice[[#This Row],[شماره پیش فاکتور]])</f>
        <v>120000</v>
      </c>
      <c r="R88" s="145">
        <f>IF([1]!invoice[[#This Row],[میزان سفارش]]-[1]!invoice[[#This Row],[میزان حمل شده ]]&lt;0,0,[1]!invoice[[#This Row],[میزان سفارش]]-[1]!invoice[[#This Row],[میزان حمل شده ]])</f>
        <v>0</v>
      </c>
      <c r="S88" s="145">
        <f>[1]!invoice[[#This Row],[میزان حمل نشده ]]*[1]!invoice[[#This Row],[فی]]</f>
        <v>0</v>
      </c>
      <c r="T88" s="140"/>
    </row>
    <row r="89" spans="1:20" ht="20.399999999999999" x14ac:dyDescent="0.25">
      <c r="A89" s="81" t="s">
        <v>674</v>
      </c>
      <c r="B89" s="81" t="s">
        <v>40</v>
      </c>
      <c r="C89" s="81" t="str">
        <f>VLOOKUP(invoice[[#This Row],[شماره پیش فاکتور]],[1]!invoice[[شماره پیش فاکتور]:[تاریخ]],3,0)</f>
        <v>1404/05/06</v>
      </c>
      <c r="D89" s="82" t="str">
        <f>VLOOKUP(invoice[[#This Row],[شماره پیش فاکتور]],'[1]لیست پیش فاکتور ها'!$A:$D,4,0)</f>
        <v>1404/05/11</v>
      </c>
      <c r="E89" s="2">
        <f>VLOOKUP(invoice[[#This Row],[شماره پیش فاکتور]],[1]!invoice[[شماره پیش فاکتور]:[میزان سفارش]],5,0)</f>
        <v>20000</v>
      </c>
      <c r="F89" s="2">
        <f>VLOOKUP(invoice[[#This Row],[شماره پیش فاکتور]],[1]!invoice[[شماره پیش فاکتور]:[فی]],6,0)</f>
        <v>116500</v>
      </c>
      <c r="G89" s="3" t="str">
        <f>CHOOSE(MID(invoice[[#This Row],[تاریخ]],6,2),"فروردین","اردیبهشت","خرداد","تیر","مرداد","شهریور","مهر","آبان","آذر","دی","بهمن","اسفند")</f>
        <v>مرداد</v>
      </c>
      <c r="H89" s="3">
        <f>_xlfn.NUMBERVALUE(MID(invoice[[#This Row],[تاریخ]],1,4))</f>
        <v>1404</v>
      </c>
      <c r="I89" s="130" t="str">
        <f>VLOOKUP(invoice[[#This Row],[شماره پیش فاکتور]],[1]!invoice[[شماره پیش فاکتور]:[نوع سفارش]],9,0)</f>
        <v>تعادلی</v>
      </c>
      <c r="J89" s="3" t="str">
        <f>VLOOKUP(invoice[[#This Row],[شماره پیش فاکتور]],[1]!invoice[[شماره پیش فاکتور]:[نوع شرکت]],10,0)</f>
        <v>تولید کننده</v>
      </c>
      <c r="K89" s="125">
        <v>46101</v>
      </c>
      <c r="L89" s="77">
        <v>0.1</v>
      </c>
      <c r="M89" s="78">
        <v>384450000</v>
      </c>
      <c r="N89" s="78">
        <f>invoice[[#This Row],[مبلغ پیش دریافت]]/invoice[[#This Row],[میزان سفارش]]</f>
        <v>19222.5</v>
      </c>
      <c r="O89" s="144">
        <f>SUMIF([1]!bargiri[شماره پیش فاکتور],[1]!invoice[[#This Row],[شماره پیش فاکتور]],[1]!bargiri[میزان بارگیری شده])/[1]!invoice[[#This Row],[میزان سفارش]]</f>
        <v>1</v>
      </c>
      <c r="P89" s="140" t="str">
        <f>VLOOKUP(invoice[[#This Row],[شماره پیش فاکتور]],[1]!invoice[[شماره پیش فاکتور]:[نوع سفارش]],9,0)</f>
        <v>تعادلی</v>
      </c>
      <c r="Q89" s="145">
        <f>SUMIFS('[1]جزییات بارگیری'!D:D,'[1]جزییات بارگیری'!C:C,[1]!invoice[[#This Row],[شماره پیش فاکتور]])</f>
        <v>85900</v>
      </c>
      <c r="R89" s="145">
        <f>IF([1]!invoice[[#This Row],[میزان سفارش]]-[1]!invoice[[#This Row],[میزان حمل شده ]]&lt;0,0,[1]!invoice[[#This Row],[میزان سفارش]]-[1]!invoice[[#This Row],[میزان حمل شده ]])</f>
        <v>0</v>
      </c>
      <c r="S89" s="145">
        <f>[1]!invoice[[#This Row],[میزان حمل نشده ]]*[1]!invoice[[#This Row],[فی]]</f>
        <v>0</v>
      </c>
      <c r="T89" s="140"/>
    </row>
    <row r="90" spans="1:20" ht="20.399999999999999" x14ac:dyDescent="0.25">
      <c r="A90" s="81" t="s">
        <v>677</v>
      </c>
      <c r="B90" s="81" t="s">
        <v>25</v>
      </c>
      <c r="C90" s="81" t="str">
        <f>VLOOKUP(invoice[[#This Row],[شماره پیش فاکتور]],[1]!invoice[[شماره پیش فاکتور]:[تاریخ]],3,0)</f>
        <v>1404/05/06</v>
      </c>
      <c r="D90" s="82" t="str">
        <f>VLOOKUP(invoice[[#This Row],[شماره پیش فاکتور]],'[1]لیست پیش فاکتور ها'!$A:$D,4,0)</f>
        <v>1404/05/11</v>
      </c>
      <c r="E90" s="2">
        <f>VLOOKUP(invoice[[#This Row],[شماره پیش فاکتور]],[1]!invoice[[شماره پیش فاکتور]:[میزان سفارش]],5,0)</f>
        <v>20000</v>
      </c>
      <c r="F90" s="2">
        <f>VLOOKUP(invoice[[#This Row],[شماره پیش فاکتور]],[1]!invoice[[شماره پیش فاکتور]:[فی]],6,0)</f>
        <v>116500</v>
      </c>
      <c r="G90" s="3" t="str">
        <f>CHOOSE(MID(invoice[[#This Row],[تاریخ]],6,2),"فروردین","اردیبهشت","خرداد","تیر","مرداد","شهریور","مهر","آبان","آذر","دی","بهمن","اسفند")</f>
        <v>مرداد</v>
      </c>
      <c r="H90" s="3">
        <f>_xlfn.NUMBERVALUE(MID(invoice[[#This Row],[تاریخ]],1,4))</f>
        <v>1404</v>
      </c>
      <c r="I90" s="130" t="str">
        <f>VLOOKUP(invoice[[#This Row],[شماره پیش فاکتور]],[1]!invoice[[شماره پیش فاکتور]:[نوع سفارش]],9,0)</f>
        <v>تعادلی</v>
      </c>
      <c r="J90" s="3" t="str">
        <f>VLOOKUP(invoice[[#This Row],[شماره پیش فاکتور]],[1]!invoice[[شماره پیش فاکتور]:[نوع شرکت]],10,0)</f>
        <v>تولید کننده</v>
      </c>
      <c r="K90" s="125">
        <v>46101</v>
      </c>
      <c r="L90" s="77">
        <v>0.1</v>
      </c>
      <c r="M90" s="78">
        <v>384450000</v>
      </c>
      <c r="N90" s="78">
        <f>invoice[[#This Row],[مبلغ پیش دریافت]]/invoice[[#This Row],[میزان سفارش]]</f>
        <v>19222.5</v>
      </c>
      <c r="O90" s="144">
        <f>SUMIF([1]!bargiri[شماره پیش فاکتور],[1]!invoice[[#This Row],[شماره پیش فاکتور]],[1]!bargiri[میزان بارگیری شده])/[1]!invoice[[#This Row],[میزان سفارش]]</f>
        <v>1</v>
      </c>
      <c r="P90" s="140" t="str">
        <f>VLOOKUP(invoice[[#This Row],[شماره پیش فاکتور]],[1]!invoice[[شماره پیش فاکتور]:[نوع سفارش]],9,0)</f>
        <v>تعادلی</v>
      </c>
      <c r="Q90" s="145">
        <f>SUMIFS('[1]جزییات بارگیری'!D:D,'[1]جزییات بارگیری'!C:C,[1]!invoice[[#This Row],[شماره پیش فاکتور]])</f>
        <v>150000</v>
      </c>
      <c r="R90" s="145">
        <f>IF([1]!invoice[[#This Row],[میزان سفارش]]-[1]!invoice[[#This Row],[میزان حمل شده ]]&lt;0,0,[1]!invoice[[#This Row],[میزان سفارش]]-[1]!invoice[[#This Row],[میزان حمل شده ]])</f>
        <v>0</v>
      </c>
      <c r="S90" s="145">
        <f>[1]!invoice[[#This Row],[میزان حمل نشده ]]*[1]!invoice[[#This Row],[فی]]</f>
        <v>0</v>
      </c>
      <c r="T90" s="140"/>
    </row>
    <row r="91" spans="1:20" ht="20.399999999999999" x14ac:dyDescent="0.25">
      <c r="A91" s="81" t="s">
        <v>678</v>
      </c>
      <c r="B91" s="81" t="s">
        <v>70</v>
      </c>
      <c r="C91" s="81" t="str">
        <f>VLOOKUP(invoice[[#This Row],[شماره پیش فاکتور]],[1]!invoice[[شماره پیش فاکتور]:[تاریخ]],3,0)</f>
        <v>1404/05/06</v>
      </c>
      <c r="D91" s="82" t="str">
        <f>VLOOKUP(invoice[[#This Row],[شماره پیش فاکتور]],'[1]لیست پیش فاکتور ها'!$A:$D,4,0)</f>
        <v>1404/05/11</v>
      </c>
      <c r="E91" s="2">
        <f>VLOOKUP(invoice[[#This Row],[شماره پیش فاکتور]],[1]!invoice[[شماره پیش فاکتور]:[میزان سفارش]],5,0)</f>
        <v>40000</v>
      </c>
      <c r="F91" s="2">
        <f>VLOOKUP(invoice[[#This Row],[شماره پیش فاکتور]],[1]!invoice[[شماره پیش فاکتور]:[فی]],6,0)</f>
        <v>116500</v>
      </c>
      <c r="G91" s="3" t="str">
        <f>CHOOSE(MID(invoice[[#This Row],[تاریخ]],6,2),"فروردین","اردیبهشت","خرداد","تیر","مرداد","شهریور","مهر","آبان","آذر","دی","بهمن","اسفند")</f>
        <v>مرداد</v>
      </c>
      <c r="H91" s="3">
        <f>_xlfn.NUMBERVALUE(MID(invoice[[#This Row],[تاریخ]],1,4))</f>
        <v>1404</v>
      </c>
      <c r="I91" s="130" t="str">
        <f>VLOOKUP(invoice[[#This Row],[شماره پیش فاکتور]],[1]!invoice[[شماره پیش فاکتور]:[نوع سفارش]],9,0)</f>
        <v>تعادلی</v>
      </c>
      <c r="J91" s="3" t="str">
        <f>VLOOKUP(invoice[[#This Row],[شماره پیش فاکتور]],[1]!invoice[[شماره پیش فاکتور]:[نوع شرکت]],10,0)</f>
        <v>تولید کننده</v>
      </c>
      <c r="K91" s="125">
        <v>46101</v>
      </c>
      <c r="L91" s="77">
        <v>0.1</v>
      </c>
      <c r="M91" s="78">
        <v>768900000</v>
      </c>
      <c r="N91" s="78">
        <f>invoice[[#This Row],[مبلغ پیش دریافت]]/invoice[[#This Row],[میزان سفارش]]</f>
        <v>19222.5</v>
      </c>
      <c r="O91" s="144">
        <f>SUMIF([1]!bargiri[شماره پیش فاکتور],[1]!invoice[[#This Row],[شماره پیش فاکتور]],[1]!bargiri[میزان بارگیری شده])/[1]!invoice[[#This Row],[میزان سفارش]]</f>
        <v>1</v>
      </c>
      <c r="P91" s="140" t="str">
        <f>VLOOKUP(invoice[[#This Row],[شماره پیش فاکتور]],[1]!invoice[[شماره پیش فاکتور]:[نوع سفارش]],9,0)</f>
        <v>تعادلی</v>
      </c>
      <c r="Q91" s="145">
        <f>SUMIFS('[1]جزییات بارگیری'!D:D,'[1]جزییات بارگیری'!C:C,[1]!invoice[[#This Row],[شماره پیش فاکتور]])</f>
        <v>20000</v>
      </c>
      <c r="R91" s="145">
        <f>IF([1]!invoice[[#This Row],[میزان سفارش]]-[1]!invoice[[#This Row],[میزان حمل شده ]]&lt;0,0,[1]!invoice[[#This Row],[میزان سفارش]]-[1]!invoice[[#This Row],[میزان حمل شده ]])</f>
        <v>0</v>
      </c>
      <c r="S91" s="145">
        <f>[1]!invoice[[#This Row],[میزان حمل نشده ]]*[1]!invoice[[#This Row],[فی]]</f>
        <v>0</v>
      </c>
      <c r="T91" s="140"/>
    </row>
    <row r="92" spans="1:20" ht="20.399999999999999" x14ac:dyDescent="0.25">
      <c r="A92" s="81" t="s">
        <v>679</v>
      </c>
      <c r="B92" s="81" t="s">
        <v>67</v>
      </c>
      <c r="C92" s="81" t="str">
        <f>VLOOKUP(invoice[[#This Row],[شماره پیش فاکتور]],[1]!invoice[[شماره پیش فاکتور]:[تاریخ]],3,0)</f>
        <v>1404/05/06</v>
      </c>
      <c r="D92" s="82" t="str">
        <f>VLOOKUP(invoice[[#This Row],[شماره پیش فاکتور]],'[1]لیست پیش فاکتور ها'!$A:$D,4,0)</f>
        <v>1404/05/11</v>
      </c>
      <c r="E92" s="2">
        <f>VLOOKUP(invoice[[#This Row],[شماره پیش فاکتور]],[1]!invoice[[شماره پیش فاکتور]:[میزان سفارش]],5,0)</f>
        <v>20000</v>
      </c>
      <c r="F92" s="2">
        <f>VLOOKUP(invoice[[#This Row],[شماره پیش فاکتور]],[1]!invoice[[شماره پیش فاکتور]:[فی]],6,0)</f>
        <v>116500</v>
      </c>
      <c r="G92" s="3" t="str">
        <f>CHOOSE(MID(invoice[[#This Row],[تاریخ]],6,2),"فروردین","اردیبهشت","خرداد","تیر","مرداد","شهریور","مهر","آبان","آذر","دی","بهمن","اسفند")</f>
        <v>مرداد</v>
      </c>
      <c r="H92" s="3">
        <f>_xlfn.NUMBERVALUE(MID(invoice[[#This Row],[تاریخ]],1,4))</f>
        <v>1404</v>
      </c>
      <c r="I92" s="130" t="str">
        <f>VLOOKUP(invoice[[#This Row],[شماره پیش فاکتور]],[1]!invoice[[شماره پیش فاکتور]:[نوع سفارش]],9,0)</f>
        <v>تعادلی</v>
      </c>
      <c r="J92" s="3" t="str">
        <f>VLOOKUP(invoice[[#This Row],[شماره پیش فاکتور]],[1]!invoice[[شماره پیش فاکتور]:[نوع شرکت]],10,0)</f>
        <v>تولید کننده</v>
      </c>
      <c r="K92" s="125">
        <v>46101</v>
      </c>
      <c r="L92" s="77">
        <v>0.1</v>
      </c>
      <c r="M92" s="78">
        <v>384450000</v>
      </c>
      <c r="N92" s="78">
        <f>invoice[[#This Row],[مبلغ پیش دریافت]]/invoice[[#This Row],[میزان سفارش]]</f>
        <v>19222.5</v>
      </c>
      <c r="O92" s="144">
        <f>SUMIF([1]!bargiri[شماره پیش فاکتور],[1]!invoice[[#This Row],[شماره پیش فاکتور]],[1]!bargiri[میزان بارگیری شده])/[1]!invoice[[#This Row],[میزان سفارش]]</f>
        <v>1</v>
      </c>
      <c r="P92" s="140" t="str">
        <f>VLOOKUP(invoice[[#This Row],[شماره پیش فاکتور]],[1]!invoice[[شماره پیش فاکتور]:[نوع سفارش]],9,0)</f>
        <v>تعادلی</v>
      </c>
      <c r="Q92" s="145">
        <f>SUMIFS('[1]جزییات بارگیری'!D:D,'[1]جزییات بارگیری'!C:C,[1]!invoice[[#This Row],[شماره پیش فاکتور]])</f>
        <v>30000</v>
      </c>
      <c r="R92" s="145">
        <f>IF([1]!invoice[[#This Row],[میزان سفارش]]-[1]!invoice[[#This Row],[میزان حمل شده ]]&lt;0,0,[1]!invoice[[#This Row],[میزان سفارش]]-[1]!invoice[[#This Row],[میزان حمل شده ]])</f>
        <v>0</v>
      </c>
      <c r="S92" s="145">
        <f>[1]!invoice[[#This Row],[میزان حمل نشده ]]*[1]!invoice[[#This Row],[فی]]</f>
        <v>0</v>
      </c>
      <c r="T92" s="140"/>
    </row>
    <row r="93" spans="1:20" ht="20.399999999999999" x14ac:dyDescent="0.25">
      <c r="A93" s="81" t="s">
        <v>680</v>
      </c>
      <c r="B93" s="81" t="s">
        <v>67</v>
      </c>
      <c r="C93" s="81" t="str">
        <f>VLOOKUP(invoice[[#This Row],[شماره پیش فاکتور]],[1]!invoice[[شماره پیش فاکتور]:[تاریخ]],3,0)</f>
        <v>1404/05/14</v>
      </c>
      <c r="D93" s="82" t="str">
        <f>VLOOKUP(invoice[[#This Row],[شماره پیش فاکتور]],'[1]لیست پیش فاکتور ها'!$A:$D,4,0)</f>
        <v>1404/05/14</v>
      </c>
      <c r="E93" s="2">
        <f>VLOOKUP(invoice[[#This Row],[شماره پیش فاکتور]],[1]!invoice[[شماره پیش فاکتور]:[میزان سفارش]],5,0)</f>
        <v>30000</v>
      </c>
      <c r="F93" s="2">
        <f>VLOOKUP(invoice[[#This Row],[شماره پیش فاکتور]],[1]!invoice[[شماره پیش فاکتور]:[فی]],6,0)</f>
        <v>167500</v>
      </c>
      <c r="G93" s="3" t="str">
        <f>CHOOSE(MID(invoice[[#This Row],[تاریخ]],6,2),"فروردین","اردیبهشت","خرداد","تیر","مرداد","شهریور","مهر","آبان","آذر","دی","بهمن","اسفند")</f>
        <v>مرداد</v>
      </c>
      <c r="H93" s="3">
        <f>_xlfn.NUMBERVALUE(MID(invoice[[#This Row],[تاریخ]],1,4))</f>
        <v>1404</v>
      </c>
      <c r="I93" s="130" t="str">
        <f>VLOOKUP(invoice[[#This Row],[شماره پیش فاکتور]],[1]!invoice[[شماره پیش فاکتور]:[نوع سفارش]],9,0)</f>
        <v>بورس</v>
      </c>
      <c r="J93" s="3" t="str">
        <f>VLOOKUP(invoice[[#This Row],[شماره پیش فاکتور]],[1]!invoice[[شماره پیش فاکتور]:[نوع شرکت]],10,0)</f>
        <v>تولید کننده</v>
      </c>
      <c r="K93" s="125">
        <v>46101</v>
      </c>
      <c r="L93" s="77">
        <v>0.1</v>
      </c>
      <c r="M93" s="78">
        <v>5527500000</v>
      </c>
      <c r="N93" s="78">
        <f>invoice[[#This Row],[مبلغ پیش دریافت]]/invoice[[#This Row],[میزان سفارش]]</f>
        <v>184250</v>
      </c>
      <c r="O93" s="144">
        <f>SUMIF([1]!bargiri[شماره پیش فاکتور],[1]!invoice[[#This Row],[شماره پیش فاکتور]],[1]!bargiri[میزان بارگیری شده])/[1]!invoice[[#This Row],[میزان سفارش]]</f>
        <v>1</v>
      </c>
      <c r="P93" s="140" t="str">
        <f>VLOOKUP(invoice[[#This Row],[شماره پیش فاکتور]],[1]!invoice[[شماره پیش فاکتور]:[نوع سفارش]],9,0)</f>
        <v>بورس</v>
      </c>
      <c r="Q93" s="145">
        <f>SUMIFS('[1]جزییات بارگیری'!D:D,'[1]جزییات بارگیری'!C:C,[1]!invoice[[#This Row],[شماره پیش فاکتور]])</f>
        <v>50000</v>
      </c>
      <c r="R93" s="145">
        <f>IF([1]!invoice[[#This Row],[میزان سفارش]]-[1]!invoice[[#This Row],[میزان حمل شده ]]&lt;0,0,[1]!invoice[[#This Row],[میزان سفارش]]-[1]!invoice[[#This Row],[میزان حمل شده ]])</f>
        <v>0</v>
      </c>
      <c r="S93" s="145">
        <f>[1]!invoice[[#This Row],[میزان حمل نشده ]]*[1]!invoice[[#This Row],[فی]]</f>
        <v>0</v>
      </c>
      <c r="T93" s="140"/>
    </row>
    <row r="94" spans="1:20" ht="20.399999999999999" x14ac:dyDescent="0.25">
      <c r="A94" s="81" t="s">
        <v>682</v>
      </c>
      <c r="B94" s="81" t="s">
        <v>219</v>
      </c>
      <c r="C94" s="81" t="str">
        <f>VLOOKUP(invoice[[#This Row],[شماره پیش فاکتور]],[1]!invoice[[شماره پیش فاکتور]:[تاریخ]],3,0)</f>
        <v>1404/05/14</v>
      </c>
      <c r="D94" s="82" t="str">
        <f>VLOOKUP(invoice[[#This Row],[شماره پیش فاکتور]],'[1]لیست پیش فاکتور ها'!$A:$D,4,0)</f>
        <v>1404/05/14</v>
      </c>
      <c r="E94" s="2">
        <f>VLOOKUP(invoice[[#This Row],[شماره پیش فاکتور]],[1]!invoice[[شماره پیش فاکتور]:[میزان سفارش]],5,0)</f>
        <v>20000</v>
      </c>
      <c r="F94" s="2">
        <f>VLOOKUP(invoice[[#This Row],[شماره پیش فاکتور]],[1]!invoice[[شماره پیش فاکتور]:[فی]],6,0)</f>
        <v>167500</v>
      </c>
      <c r="G94" s="3" t="str">
        <f>CHOOSE(MID(invoice[[#This Row],[تاریخ]],6,2),"فروردین","اردیبهشت","خرداد","تیر","مرداد","شهریور","مهر","آبان","آذر","دی","بهمن","اسفند")</f>
        <v>مرداد</v>
      </c>
      <c r="H94" s="3">
        <f>_xlfn.NUMBERVALUE(MID(invoice[[#This Row],[تاریخ]],1,4))</f>
        <v>1404</v>
      </c>
      <c r="I94" s="130" t="str">
        <f>VLOOKUP(invoice[[#This Row],[شماره پیش فاکتور]],[1]!invoice[[شماره پیش فاکتور]:[نوع سفارش]],9,0)</f>
        <v>بورس</v>
      </c>
      <c r="J94" s="3" t="str">
        <f>VLOOKUP(invoice[[#This Row],[شماره پیش فاکتور]],[1]!invoice[[شماره پیش فاکتور]:[نوع شرکت]],10,0)</f>
        <v>تولید کننده</v>
      </c>
      <c r="K94" s="125">
        <v>46101</v>
      </c>
      <c r="L94" s="77">
        <v>0.1</v>
      </c>
      <c r="M94" s="78">
        <v>3685000000</v>
      </c>
      <c r="N94" s="78">
        <f>invoice[[#This Row],[مبلغ پیش دریافت]]/invoice[[#This Row],[میزان سفارش]]</f>
        <v>184250</v>
      </c>
      <c r="O94" s="144">
        <f>SUMIF([1]!bargiri[شماره پیش فاکتور],[1]!invoice[[#This Row],[شماره پیش فاکتور]],[1]!bargiri[میزان بارگیری شده])/[1]!invoice[[#This Row],[میزان سفارش]]</f>
        <v>1</v>
      </c>
      <c r="P94" s="140" t="str">
        <f>VLOOKUP(invoice[[#This Row],[شماره پیش فاکتور]],[1]!invoice[[شماره پیش فاکتور]:[نوع سفارش]],9,0)</f>
        <v>بورس</v>
      </c>
      <c r="Q94" s="145">
        <f>SUMIFS('[1]جزییات بارگیری'!D:D,'[1]جزییات بارگیری'!C:C,[1]!invoice[[#This Row],[شماره پیش فاکتور]])</f>
        <v>271050</v>
      </c>
      <c r="R94" s="145">
        <f>IF([1]!invoice[[#This Row],[میزان سفارش]]-[1]!invoice[[#This Row],[میزان حمل شده ]]&lt;0,0,[1]!invoice[[#This Row],[میزان سفارش]]-[1]!invoice[[#This Row],[میزان حمل شده ]])</f>
        <v>0</v>
      </c>
      <c r="S94" s="145">
        <f>[1]!invoice[[#This Row],[میزان حمل نشده ]]*[1]!invoice[[#This Row],[فی]]</f>
        <v>0</v>
      </c>
      <c r="T94" s="140"/>
    </row>
    <row r="95" spans="1:20" ht="20.399999999999999" x14ac:dyDescent="0.25">
      <c r="A95" s="81" t="s">
        <v>683</v>
      </c>
      <c r="B95" s="81" t="s">
        <v>70</v>
      </c>
      <c r="C95" s="81" t="str">
        <f>VLOOKUP(invoice[[#This Row],[شماره پیش فاکتور]],[1]!invoice[[شماره پیش فاکتور]:[تاریخ]],3,0)</f>
        <v>1404/05/14</v>
      </c>
      <c r="D95" s="82" t="str">
        <f>VLOOKUP(invoice[[#This Row],[شماره پیش فاکتور]],'[1]لیست پیش فاکتور ها'!$A:$D,4,0)</f>
        <v>1404/05/14</v>
      </c>
      <c r="E95" s="2">
        <f>VLOOKUP(invoice[[#This Row],[شماره پیش فاکتور]],[1]!invoice[[شماره پیش فاکتور]:[میزان سفارش]],5,0)</f>
        <v>20000</v>
      </c>
      <c r="F95" s="2">
        <f>VLOOKUP(invoice[[#This Row],[شماره پیش فاکتور]],[1]!invoice[[شماره پیش فاکتور]:[فی]],6,0)</f>
        <v>167500</v>
      </c>
      <c r="G95" s="3" t="str">
        <f>CHOOSE(MID(invoice[[#This Row],[تاریخ]],6,2),"فروردین","اردیبهشت","خرداد","تیر","مرداد","شهریور","مهر","آبان","آذر","دی","بهمن","اسفند")</f>
        <v>مرداد</v>
      </c>
      <c r="H95" s="3">
        <f>_xlfn.NUMBERVALUE(MID(invoice[[#This Row],[تاریخ]],1,4))</f>
        <v>1404</v>
      </c>
      <c r="I95" s="130" t="str">
        <f>VLOOKUP(invoice[[#This Row],[شماره پیش فاکتور]],[1]!invoice[[شماره پیش فاکتور]:[نوع سفارش]],9,0)</f>
        <v>بورس</v>
      </c>
      <c r="J95" s="3" t="str">
        <f>VLOOKUP(invoice[[#This Row],[شماره پیش فاکتور]],[1]!invoice[[شماره پیش فاکتور]:[نوع شرکت]],10,0)</f>
        <v>تولید کننده</v>
      </c>
      <c r="K95" s="125">
        <v>46101</v>
      </c>
      <c r="L95" s="77">
        <v>0.1</v>
      </c>
      <c r="M95" s="78">
        <v>3685000000</v>
      </c>
      <c r="N95" s="78">
        <f>invoice[[#This Row],[مبلغ پیش دریافت]]/invoice[[#This Row],[میزان سفارش]]</f>
        <v>184250</v>
      </c>
      <c r="O95" s="144">
        <f>SUMIF([1]!bargiri[شماره پیش فاکتور],[1]!invoice[[#This Row],[شماره پیش فاکتور]],[1]!bargiri[میزان بارگیری شده])/[1]!invoice[[#This Row],[میزان سفارش]]</f>
        <v>1</v>
      </c>
      <c r="P95" s="140" t="str">
        <f>VLOOKUP(invoice[[#This Row],[شماره پیش فاکتور]],[1]!invoice[[شماره پیش فاکتور]:[نوع سفارش]],9,0)</f>
        <v>بورس</v>
      </c>
      <c r="Q95" s="145">
        <f>SUMIFS('[1]جزییات بارگیری'!D:D,'[1]جزییات بارگیری'!C:C,[1]!invoice[[#This Row],[شماره پیش فاکتور]])</f>
        <v>300000</v>
      </c>
      <c r="R95" s="145">
        <f>IF([1]!invoice[[#This Row],[میزان سفارش]]-[1]!invoice[[#This Row],[میزان حمل شده ]]&lt;0,0,[1]!invoice[[#This Row],[میزان سفارش]]-[1]!invoice[[#This Row],[میزان حمل شده ]])</f>
        <v>0</v>
      </c>
      <c r="S95" s="145">
        <f>[1]!invoice[[#This Row],[میزان حمل نشده ]]*[1]!invoice[[#This Row],[فی]]</f>
        <v>0</v>
      </c>
      <c r="T95" s="140"/>
    </row>
    <row r="96" spans="1:20" ht="20.399999999999999" x14ac:dyDescent="0.25">
      <c r="A96" s="81" t="s">
        <v>684</v>
      </c>
      <c r="B96" s="81" t="s">
        <v>17</v>
      </c>
      <c r="C96" s="81" t="str">
        <f>VLOOKUP(invoice[[#This Row],[شماره پیش فاکتور]],[1]!invoice[[شماره پیش فاکتور]:[تاریخ]],3,0)</f>
        <v>1404/05/14</v>
      </c>
      <c r="D96" s="82" t="str">
        <f>VLOOKUP(invoice[[#This Row],[شماره پیش فاکتور]],'[1]لیست پیش فاکتور ها'!$A:$D,4,0)</f>
        <v>1404/05/14</v>
      </c>
      <c r="E96" s="2">
        <f>VLOOKUP(invoice[[#This Row],[شماره پیش فاکتور]],[1]!invoice[[شماره پیش فاکتور]:[میزان سفارش]],5,0)</f>
        <v>30000</v>
      </c>
      <c r="F96" s="2">
        <f>VLOOKUP(invoice[[#This Row],[شماره پیش فاکتور]],[1]!invoice[[شماره پیش فاکتور]:[فی]],6,0)</f>
        <v>167500</v>
      </c>
      <c r="G96" s="3" t="str">
        <f>CHOOSE(MID(invoice[[#This Row],[تاریخ]],6,2),"فروردین","اردیبهشت","خرداد","تیر","مرداد","شهریور","مهر","آبان","آذر","دی","بهمن","اسفند")</f>
        <v>مرداد</v>
      </c>
      <c r="H96" s="3">
        <f>_xlfn.NUMBERVALUE(MID(invoice[[#This Row],[تاریخ]],1,4))</f>
        <v>1404</v>
      </c>
      <c r="I96" s="130" t="str">
        <f>VLOOKUP(invoice[[#This Row],[شماره پیش فاکتور]],[1]!invoice[[شماره پیش فاکتور]:[نوع سفارش]],9,0)</f>
        <v>بورس</v>
      </c>
      <c r="J96" s="3" t="str">
        <f>VLOOKUP(invoice[[#This Row],[شماره پیش فاکتور]],[1]!invoice[[شماره پیش فاکتور]:[نوع شرکت]],10,0)</f>
        <v>تولید کننده</v>
      </c>
      <c r="K96" s="125">
        <v>46101</v>
      </c>
      <c r="L96" s="77">
        <v>0.1</v>
      </c>
      <c r="M96" s="78">
        <v>5527500000</v>
      </c>
      <c r="N96" s="78">
        <f>invoice[[#This Row],[مبلغ پیش دریافت]]/invoice[[#This Row],[میزان سفارش]]</f>
        <v>184250</v>
      </c>
      <c r="O96" s="144">
        <f>SUMIF([1]!bargiri[شماره پیش فاکتور],[1]!invoice[[#This Row],[شماره پیش فاکتور]],[1]!bargiri[میزان بارگیری شده])/[1]!invoice[[#This Row],[میزان سفارش]]</f>
        <v>1</v>
      </c>
      <c r="P96" s="140" t="str">
        <f>VLOOKUP(invoice[[#This Row],[شماره پیش فاکتور]],[1]!invoice[[شماره پیش فاکتور]:[نوع سفارش]],9,0)</f>
        <v>بورس</v>
      </c>
      <c r="Q96" s="145">
        <f>SUMIFS('[1]جزییات بارگیری'!D:D,'[1]جزییات بارگیری'!C:C,[1]!invoice[[#This Row],[شماره پیش فاکتور]])</f>
        <v>34360</v>
      </c>
      <c r="R96" s="145">
        <f>IF([1]!invoice[[#This Row],[میزان سفارش]]-[1]!invoice[[#This Row],[میزان حمل شده ]]&lt;0,0,[1]!invoice[[#This Row],[میزان سفارش]]-[1]!invoice[[#This Row],[میزان حمل شده ]])</f>
        <v>0</v>
      </c>
      <c r="S96" s="145">
        <f>[1]!invoice[[#This Row],[میزان حمل نشده ]]*[1]!invoice[[#This Row],[فی]]</f>
        <v>0</v>
      </c>
      <c r="T96" s="140"/>
    </row>
    <row r="97" spans="1:20" ht="20.399999999999999" x14ac:dyDescent="0.25">
      <c r="A97" s="81" t="s">
        <v>685</v>
      </c>
      <c r="B97" s="81" t="s">
        <v>67</v>
      </c>
      <c r="C97" s="81" t="str">
        <f>VLOOKUP(invoice[[#This Row],[شماره پیش فاکتور]],[1]!invoice[[شماره پیش فاکتور]:[تاریخ]],3,0)</f>
        <v>1404/05/18</v>
      </c>
      <c r="D97" s="82" t="str">
        <f>VLOOKUP(invoice[[#This Row],[شماره پیش فاکتور]],'[1]لیست پیش فاکتور ها'!$A:$D,4,0)</f>
        <v>1404/05/22</v>
      </c>
      <c r="E97" s="2">
        <f>VLOOKUP(invoice[[#This Row],[شماره پیش فاکتور]],[1]!invoice[[شماره پیش فاکتور]:[میزان سفارش]],5,0)</f>
        <v>30000</v>
      </c>
      <c r="F97" s="2">
        <f>VLOOKUP(invoice[[#This Row],[شماره پیش فاکتور]],[1]!invoice[[شماره پیش فاکتور]:[فی]],6,0)</f>
        <v>116500</v>
      </c>
      <c r="G97" s="3" t="str">
        <f>CHOOSE(MID(invoice[[#This Row],[تاریخ]],6,2),"فروردین","اردیبهشت","خرداد","تیر","مرداد","شهریور","مهر","آبان","آذر","دی","بهمن","اسفند")</f>
        <v>مرداد</v>
      </c>
      <c r="H97" s="3">
        <f>_xlfn.NUMBERVALUE(MID(invoice[[#This Row],[تاریخ]],1,4))</f>
        <v>1404</v>
      </c>
      <c r="I97" s="130" t="str">
        <f>VLOOKUP(invoice[[#This Row],[شماره پیش فاکتور]],[1]!invoice[[شماره پیش فاکتور]:[نوع سفارش]],9,0)</f>
        <v>تعادلی</v>
      </c>
      <c r="J97" s="3" t="str">
        <f>VLOOKUP(invoice[[#This Row],[شماره پیش فاکتور]],[1]!invoice[[شماره پیش فاکتور]:[نوع شرکت]],10,0)</f>
        <v>تولید کننده</v>
      </c>
      <c r="K97" s="131">
        <v>46101</v>
      </c>
      <c r="L97" s="77">
        <v>0.1</v>
      </c>
      <c r="M97" s="78">
        <v>576675000</v>
      </c>
      <c r="N97" s="78">
        <f>invoice[[#This Row],[مبلغ پیش دریافت]]/invoice[[#This Row],[میزان سفارش]]</f>
        <v>19222.5</v>
      </c>
      <c r="O97" s="144">
        <f>SUMIF([1]!bargiri[شماره پیش فاکتور],[1]!invoice[[#This Row],[شماره پیش فاکتور]],[1]!bargiri[میزان بارگیری شده])/[1]!invoice[[#This Row],[میزان سفارش]]</f>
        <v>1</v>
      </c>
      <c r="P97" s="140" t="str">
        <f>VLOOKUP(invoice[[#This Row],[شماره پیش فاکتور]],[1]!invoice[[شماره پیش فاکتور]:[نوع سفارش]],9,0)</f>
        <v>تعادلی</v>
      </c>
      <c r="Q97" s="145">
        <f>SUMIFS('[1]جزییات بارگیری'!D:D,'[1]جزییات بارگیری'!C:C,[1]!invoice[[#This Row],[شماره پیش فاکتور]])</f>
        <v>51540</v>
      </c>
      <c r="R97" s="145">
        <f>IF([1]!invoice[[#This Row],[میزان سفارش]]-[1]!invoice[[#This Row],[میزان حمل شده ]]&lt;0,0,[1]!invoice[[#This Row],[میزان سفارش]]-[1]!invoice[[#This Row],[میزان حمل شده ]])</f>
        <v>0</v>
      </c>
      <c r="S97" s="145">
        <f>[1]!invoice[[#This Row],[میزان حمل نشده ]]*[1]!invoice[[#This Row],[فی]]</f>
        <v>0</v>
      </c>
      <c r="T97" s="140"/>
    </row>
    <row r="98" spans="1:20" ht="20.399999999999999" x14ac:dyDescent="0.25">
      <c r="A98" s="81" t="s">
        <v>688</v>
      </c>
      <c r="B98" s="81" t="s">
        <v>219</v>
      </c>
      <c r="C98" s="81" t="str">
        <f>VLOOKUP(invoice[[#This Row],[شماره پیش فاکتور]],[1]!invoice[[شماره پیش فاکتور]:[تاریخ]],3,0)</f>
        <v>1404/05/18</v>
      </c>
      <c r="D98" s="82" t="str">
        <f>VLOOKUP(invoice[[#This Row],[شماره پیش فاکتور]],'[1]لیست پیش فاکتور ها'!$A:$D,4,0)</f>
        <v>1404/05/22</v>
      </c>
      <c r="E98" s="2">
        <f>VLOOKUP(invoice[[#This Row],[شماره پیش فاکتور]],[1]!invoice[[شماره پیش فاکتور]:[میزان سفارش]],5,0)</f>
        <v>20000</v>
      </c>
      <c r="F98" s="2">
        <f>VLOOKUP(invoice[[#This Row],[شماره پیش فاکتور]],[1]!invoice[[شماره پیش فاکتور]:[فی]],6,0)</f>
        <v>116500</v>
      </c>
      <c r="G98" s="3" t="str">
        <f>CHOOSE(MID(invoice[[#This Row],[تاریخ]],6,2),"فروردین","اردیبهشت","خرداد","تیر","مرداد","شهریور","مهر","آبان","آذر","دی","بهمن","اسفند")</f>
        <v>مرداد</v>
      </c>
      <c r="H98" s="3">
        <f>_xlfn.NUMBERVALUE(MID(invoice[[#This Row],[تاریخ]],1,4))</f>
        <v>1404</v>
      </c>
      <c r="I98" s="130" t="str">
        <f>VLOOKUP(invoice[[#This Row],[شماره پیش فاکتور]],[1]!invoice[[شماره پیش فاکتور]:[نوع سفارش]],9,0)</f>
        <v>تعادلی</v>
      </c>
      <c r="J98" s="3" t="str">
        <f>VLOOKUP(invoice[[#This Row],[شماره پیش فاکتور]],[1]!invoice[[شماره پیش فاکتور]:[نوع شرکت]],10,0)</f>
        <v>تولید کننده</v>
      </c>
      <c r="K98" s="131" t="s">
        <v>894</v>
      </c>
      <c r="L98" s="77">
        <v>0.1</v>
      </c>
      <c r="M98" s="78">
        <v>384450000</v>
      </c>
      <c r="N98" s="78">
        <f>invoice[[#This Row],[مبلغ پیش دریافت]]/invoice[[#This Row],[میزان سفارش]]</f>
        <v>19222.5</v>
      </c>
      <c r="O98" s="144">
        <f>SUMIF([1]!bargiri[شماره پیش فاکتور],[1]!invoice[[#This Row],[شماره پیش فاکتور]],[1]!bargiri[میزان بارگیری شده])/[1]!invoice[[#This Row],[میزان سفارش]]</f>
        <v>1</v>
      </c>
      <c r="P98" s="140" t="str">
        <f>VLOOKUP(invoice[[#This Row],[شماره پیش فاکتور]],[1]!invoice[[شماره پیش فاکتور]:[نوع سفارش]],9,0)</f>
        <v>تعادلی</v>
      </c>
      <c r="Q98" s="145">
        <f>SUMIFS('[1]جزییات بارگیری'!D:D,'[1]جزییات بارگیری'!C:C,[1]!invoice[[#This Row],[شماره پیش فاکتور]])</f>
        <v>5330</v>
      </c>
      <c r="R98" s="145">
        <f>IF([1]!invoice[[#This Row],[میزان سفارش]]-[1]!invoice[[#This Row],[میزان حمل شده ]]&lt;0,0,[1]!invoice[[#This Row],[میزان سفارش]]-[1]!invoice[[#This Row],[میزان حمل شده ]])</f>
        <v>0</v>
      </c>
      <c r="S98" s="145">
        <f>[1]!invoice[[#This Row],[میزان حمل نشده ]]*[1]!invoice[[#This Row],[فی]]</f>
        <v>0</v>
      </c>
      <c r="T98" s="140"/>
    </row>
    <row r="99" spans="1:20" ht="20.399999999999999" x14ac:dyDescent="0.25">
      <c r="A99" s="81" t="s">
        <v>689</v>
      </c>
      <c r="B99" s="81" t="s">
        <v>70</v>
      </c>
      <c r="C99" s="81" t="str">
        <f>VLOOKUP(invoice[[#This Row],[شماره پیش فاکتور]],[1]!invoice[[شماره پیش فاکتور]:[تاریخ]],3,0)</f>
        <v>1404/05/18</v>
      </c>
      <c r="D99" s="82" t="str">
        <f>VLOOKUP(invoice[[#This Row],[شماره پیش فاکتور]],'[1]لیست پیش فاکتور ها'!$A:$D,4,0)</f>
        <v>1404/05/22</v>
      </c>
      <c r="E99" s="2">
        <f>VLOOKUP(invoice[[#This Row],[شماره پیش فاکتور]],[1]!invoice[[شماره پیش فاکتور]:[میزان سفارش]],5,0)</f>
        <v>20000</v>
      </c>
      <c r="F99" s="2">
        <f>VLOOKUP(invoice[[#This Row],[شماره پیش فاکتور]],[1]!invoice[[شماره پیش فاکتور]:[فی]],6,0)</f>
        <v>116500</v>
      </c>
      <c r="G99" s="3" t="str">
        <f>CHOOSE(MID(invoice[[#This Row],[تاریخ]],6,2),"فروردین","اردیبهشت","خرداد","تیر","مرداد","شهریور","مهر","آبان","آذر","دی","بهمن","اسفند")</f>
        <v>مرداد</v>
      </c>
      <c r="H99" s="3">
        <f>_xlfn.NUMBERVALUE(MID(invoice[[#This Row],[تاریخ]],1,4))</f>
        <v>1404</v>
      </c>
      <c r="I99" s="130" t="str">
        <f>VLOOKUP(invoice[[#This Row],[شماره پیش فاکتور]],[1]!invoice[[شماره پیش فاکتور]:[نوع سفارش]],9,0)</f>
        <v>تعادلی</v>
      </c>
      <c r="J99" s="3" t="str">
        <f>VLOOKUP(invoice[[#This Row],[شماره پیش فاکتور]],[1]!invoice[[شماره پیش فاکتور]:[نوع شرکت]],10,0)</f>
        <v>تولید کننده</v>
      </c>
      <c r="K99" s="131">
        <v>46101</v>
      </c>
      <c r="L99" s="77">
        <v>0.1</v>
      </c>
      <c r="M99" s="78">
        <v>384450000</v>
      </c>
      <c r="N99" s="78">
        <f>invoice[[#This Row],[مبلغ پیش دریافت]]/invoice[[#This Row],[میزان سفارش]]</f>
        <v>19222.5</v>
      </c>
      <c r="O99" s="144">
        <f>SUMIF([1]!bargiri[شماره پیش فاکتور],[1]!invoice[[#This Row],[شماره پیش فاکتور]],[1]!bargiri[میزان بارگیری شده])/[1]!invoice[[#This Row],[میزان سفارش]]</f>
        <v>1</v>
      </c>
      <c r="P99" s="140" t="str">
        <f>VLOOKUP(invoice[[#This Row],[شماره پیش فاکتور]],[1]!invoice[[شماره پیش فاکتور]:[نوع سفارش]],9,0)</f>
        <v>تعادلی</v>
      </c>
      <c r="Q99" s="145">
        <f>SUMIFS('[1]جزییات بارگیری'!D:D,'[1]جزییات بارگیری'!C:C,[1]!invoice[[#This Row],[شماره پیش فاکتور]])</f>
        <v>51890</v>
      </c>
      <c r="R99" s="145">
        <f>IF([1]!invoice[[#This Row],[میزان سفارش]]-[1]!invoice[[#This Row],[میزان حمل شده ]]&lt;0,0,[1]!invoice[[#This Row],[میزان سفارش]]-[1]!invoice[[#This Row],[میزان حمل شده ]])</f>
        <v>0</v>
      </c>
      <c r="S99" s="145">
        <f>[1]!invoice[[#This Row],[میزان حمل نشده ]]*[1]!invoice[[#This Row],[فی]]</f>
        <v>0</v>
      </c>
      <c r="T99" s="140"/>
    </row>
    <row r="100" spans="1:20" ht="20.399999999999999" x14ac:dyDescent="0.25">
      <c r="A100" s="81" t="s">
        <v>690</v>
      </c>
      <c r="B100" s="81" t="s">
        <v>17</v>
      </c>
      <c r="C100" s="81" t="str">
        <f>VLOOKUP(invoice[[#This Row],[شماره پیش فاکتور]],[1]!invoice[[شماره پیش فاکتور]:[تاریخ]],3,0)</f>
        <v>1404/05/18</v>
      </c>
      <c r="D100" s="82" t="str">
        <f>VLOOKUP(invoice[[#This Row],[شماره پیش فاکتور]],'[1]لیست پیش فاکتور ها'!$A:$D,4,0)</f>
        <v>1404/05/22</v>
      </c>
      <c r="E100" s="2">
        <f>VLOOKUP(invoice[[#This Row],[شماره پیش فاکتور]],[1]!invoice[[شماره پیش فاکتور]:[میزان سفارش]],5,0)</f>
        <v>30000</v>
      </c>
      <c r="F100" s="2">
        <f>VLOOKUP(invoice[[#This Row],[شماره پیش فاکتور]],[1]!invoice[[شماره پیش فاکتور]:[فی]],6,0)</f>
        <v>116500</v>
      </c>
      <c r="G100" s="3" t="str">
        <f>CHOOSE(MID(invoice[[#This Row],[تاریخ]],6,2),"فروردین","اردیبهشت","خرداد","تیر","مرداد","شهریور","مهر","آبان","آذر","دی","بهمن","اسفند")</f>
        <v>مرداد</v>
      </c>
      <c r="H100" s="3">
        <f>_xlfn.NUMBERVALUE(MID(invoice[[#This Row],[تاریخ]],1,4))</f>
        <v>1404</v>
      </c>
      <c r="I100" s="130" t="str">
        <f>VLOOKUP(invoice[[#This Row],[شماره پیش فاکتور]],[1]!invoice[[شماره پیش فاکتور]:[نوع سفارش]],9,0)</f>
        <v>تعادلی</v>
      </c>
      <c r="J100" s="3" t="str">
        <f>VLOOKUP(invoice[[#This Row],[شماره پیش فاکتور]],[1]!invoice[[شماره پیش فاکتور]:[نوع شرکت]],10,0)</f>
        <v>تولید کننده</v>
      </c>
      <c r="K100" s="131"/>
      <c r="L100" s="77">
        <v>0.1</v>
      </c>
      <c r="M100" s="78">
        <v>3844500000</v>
      </c>
      <c r="N100" s="78">
        <f>invoice[[#This Row],[مبلغ پیش دریافت]]/invoice[[#This Row],[میزان سفارش]]</f>
        <v>128150</v>
      </c>
      <c r="O100" s="144">
        <f>SUMIF([1]!bargiri[شماره پیش فاکتور],[1]!invoice[[#This Row],[شماره پیش فاکتور]],[1]!bargiri[میزان بارگیری شده])/[1]!invoice[[#This Row],[میزان سفارش]]</f>
        <v>1</v>
      </c>
      <c r="P100" s="140" t="str">
        <f>VLOOKUP(invoice[[#This Row],[شماره پیش فاکتور]],[1]!invoice[[شماره پیش فاکتور]:[نوع سفارش]],9,0)</f>
        <v>تعادلی</v>
      </c>
      <c r="Q100" s="145">
        <f>SUMIFS('[1]جزییات بارگیری'!D:D,'[1]جزییات بارگیری'!C:C,[1]!invoice[[#This Row],[شماره پیش فاکتور]])</f>
        <v>50000</v>
      </c>
      <c r="R100" s="145">
        <f>IF([1]!invoice[[#This Row],[میزان سفارش]]-[1]!invoice[[#This Row],[میزان حمل شده ]]&lt;0,0,[1]!invoice[[#This Row],[میزان سفارش]]-[1]!invoice[[#This Row],[میزان حمل شده ]])</f>
        <v>0</v>
      </c>
      <c r="S100" s="145">
        <f>[1]!invoice[[#This Row],[میزان حمل نشده ]]*[1]!invoice[[#This Row],[فی]]</f>
        <v>0</v>
      </c>
      <c r="T100" s="140"/>
    </row>
    <row r="101" spans="1:20" ht="20.399999999999999" x14ac:dyDescent="0.25">
      <c r="A101" s="81" t="s">
        <v>691</v>
      </c>
      <c r="B101" s="81" t="s">
        <v>692</v>
      </c>
      <c r="C101" s="81" t="str">
        <f>VLOOKUP(invoice[[#This Row],[شماره پیش فاکتور]],[1]!invoice[[شماره پیش فاکتور]:[تاریخ]],3,0)</f>
        <v>1404/05/22</v>
      </c>
      <c r="D101" s="82" t="str">
        <f>VLOOKUP(invoice[[#This Row],[شماره پیش فاکتور]],'[1]لیست پیش فاکتور ها'!$A:$D,4,0)</f>
        <v>1404/05/22</v>
      </c>
      <c r="E101" s="2">
        <f>VLOOKUP(invoice[[#This Row],[شماره پیش فاکتور]],[1]!invoice[[شماره پیش فاکتور]:[میزان سفارش]],5,0)</f>
        <v>20000</v>
      </c>
      <c r="F101" s="2">
        <f>VLOOKUP(invoice[[#This Row],[شماره پیش فاکتور]],[1]!invoice[[شماره پیش فاکتور]:[فی]],6,0)</f>
        <v>160000</v>
      </c>
      <c r="G101" s="3" t="str">
        <f>CHOOSE(MID(invoice[[#This Row],[تاریخ]],6,2),"فروردین","اردیبهشت","خرداد","تیر","مرداد","شهریور","مهر","آبان","آذر","دی","بهمن","اسفند")</f>
        <v>مرداد</v>
      </c>
      <c r="H101" s="3">
        <f>_xlfn.NUMBERVALUE(MID(invoice[[#This Row],[تاریخ]],1,4))</f>
        <v>1404</v>
      </c>
      <c r="I101" s="130" t="str">
        <f>VLOOKUP(invoice[[#This Row],[شماره پیش فاکتور]],[1]!invoice[[شماره پیش فاکتور]:[نوع سفارش]],9,0)</f>
        <v>عادی</v>
      </c>
      <c r="J101" s="3" t="str">
        <f>VLOOKUP(invoice[[#This Row],[شماره پیش فاکتور]],[1]!invoice[[شماره پیش فاکتور]:[نوع شرکت]],10,0)</f>
        <v>تولید کننده</v>
      </c>
      <c r="K101" s="132">
        <v>46101</v>
      </c>
      <c r="L101" s="77">
        <v>0.1</v>
      </c>
      <c r="M101" s="78">
        <v>3520000000</v>
      </c>
      <c r="N101" s="78">
        <f>invoice[[#This Row],[مبلغ پیش دریافت]]/invoice[[#This Row],[میزان سفارش]]</f>
        <v>176000</v>
      </c>
      <c r="O101" s="144">
        <f>SUMIF([1]!bargiri[شماره پیش فاکتور],[1]!invoice[[#This Row],[شماره پیش فاکتور]],[1]!bargiri[میزان بارگیری شده])/[1]!invoice[[#This Row],[میزان سفارش]]</f>
        <v>1</v>
      </c>
      <c r="P101" s="140" t="str">
        <f>VLOOKUP(invoice[[#This Row],[شماره پیش فاکتور]],[1]!invoice[[شماره پیش فاکتور]:[نوع سفارش]],9,0)</f>
        <v>عادی</v>
      </c>
      <c r="Q101" s="145">
        <f>SUMIFS('[1]جزییات بارگیری'!D:D,'[1]جزییات بارگیری'!C:C,[1]!invoice[[#This Row],[شماره پیش فاکتور]])</f>
        <v>50000</v>
      </c>
      <c r="R101" s="145">
        <f>IF([1]!invoice[[#This Row],[میزان سفارش]]-[1]!invoice[[#This Row],[میزان حمل شده ]]&lt;0,0,[1]!invoice[[#This Row],[میزان سفارش]]-[1]!invoice[[#This Row],[میزان حمل شده ]])</f>
        <v>0</v>
      </c>
      <c r="S101" s="145">
        <f>[1]!invoice[[#This Row],[میزان حمل نشده ]]*[1]!invoice[[#This Row],[فی]]</f>
        <v>0</v>
      </c>
      <c r="T101" s="140"/>
    </row>
    <row r="102" spans="1:20" ht="20.399999999999999" x14ac:dyDescent="0.25">
      <c r="A102" s="81" t="s">
        <v>693</v>
      </c>
      <c r="B102" s="81" t="s">
        <v>67</v>
      </c>
      <c r="C102" s="81" t="str">
        <f>VLOOKUP(invoice[[#This Row],[شماره پیش فاکتور]],[1]!invoice[[شماره پیش فاکتور]:[تاریخ]],3,0)</f>
        <v>1404/05/28</v>
      </c>
      <c r="D102" s="82" t="str">
        <f>VLOOKUP(invoice[[#This Row],[شماره پیش فاکتور]],'[1]لیست پیش فاکتور ها'!$A:$D,4,0)</f>
        <v>1404/06/01</v>
      </c>
      <c r="E102" s="2">
        <f>VLOOKUP(invoice[[#This Row],[شماره پیش فاکتور]],[1]!invoice[[شماره پیش فاکتور]:[میزان سفارش]],5,0)</f>
        <v>50000</v>
      </c>
      <c r="F102" s="2">
        <f>VLOOKUP(invoice[[#This Row],[شماره پیش فاکتور]],[1]!invoice[[شماره پیش فاکتور]:[فی]],6,0)</f>
        <v>167500</v>
      </c>
      <c r="G102" s="3" t="str">
        <f>CHOOSE(MID(invoice[[#This Row],[تاریخ]],6,2),"فروردین","اردیبهشت","خرداد","تیر","مرداد","شهریور","مهر","آبان","آذر","دی","بهمن","اسفند")</f>
        <v>مرداد</v>
      </c>
      <c r="H102" s="3">
        <f>_xlfn.NUMBERVALUE(MID(invoice[[#This Row],[تاریخ]],1,4))</f>
        <v>1404</v>
      </c>
      <c r="I102" s="130" t="str">
        <f>VLOOKUP(invoice[[#This Row],[شماره پیش فاکتور]],[1]!invoice[[شماره پیش فاکتور]:[نوع سفارش]],9,0)</f>
        <v>بورس</v>
      </c>
      <c r="J102" s="3" t="str">
        <f>VLOOKUP(invoice[[#This Row],[شماره پیش فاکتور]],[1]!invoice[[شماره پیش فاکتور]:[نوع شرکت]],10,0)</f>
        <v>تولید کننده</v>
      </c>
      <c r="K102" s="132">
        <v>46101</v>
      </c>
      <c r="L102" s="77">
        <v>0.1</v>
      </c>
      <c r="M102" s="78">
        <v>9212500000</v>
      </c>
      <c r="N102" s="78">
        <f>invoice[[#This Row],[مبلغ پیش دریافت]]/invoice[[#This Row],[میزان سفارش]]</f>
        <v>184250</v>
      </c>
      <c r="O102" s="144">
        <f>SUMIF([1]!bargiri[شماره پیش فاکتور],[1]!invoice[[#This Row],[شماره پیش فاکتور]],[1]!bargiri[میزان بارگیری شده])/[1]!invoice[[#This Row],[میزان سفارش]]</f>
        <v>1</v>
      </c>
      <c r="P102" s="140" t="str">
        <f>VLOOKUP(invoice[[#This Row],[شماره پیش فاکتور]],[1]!invoice[[شماره پیش فاکتور]:[نوع سفارش]],9,0)</f>
        <v>بورس</v>
      </c>
      <c r="Q102" s="145">
        <f>SUMIFS('[1]جزییات بارگیری'!D:D,'[1]جزییات بارگیری'!C:C,[1]!invoice[[#This Row],[شماره پیش فاکتور]])</f>
        <v>65000</v>
      </c>
      <c r="R102" s="145">
        <f>IF([1]!invoice[[#This Row],[میزان سفارش]]-[1]!invoice[[#This Row],[میزان حمل شده ]]&lt;0,0,[1]!invoice[[#This Row],[میزان سفارش]]-[1]!invoice[[#This Row],[میزان حمل شده ]])</f>
        <v>0</v>
      </c>
      <c r="S102" s="145">
        <f>[1]!invoice[[#This Row],[میزان حمل نشده ]]*[1]!invoice[[#This Row],[فی]]</f>
        <v>0</v>
      </c>
      <c r="T102" s="140"/>
    </row>
    <row r="103" spans="1:20" ht="20.399999999999999" x14ac:dyDescent="0.25">
      <c r="A103" s="81" t="s">
        <v>407</v>
      </c>
      <c r="B103" s="81" t="s">
        <v>219</v>
      </c>
      <c r="C103" s="81" t="str">
        <f>VLOOKUP(invoice[[#This Row],[شماره پیش فاکتور]],[1]!invoice[[شماره پیش فاکتور]:[تاریخ]],3,0)</f>
        <v>1404/05/28</v>
      </c>
      <c r="D103" s="82" t="str">
        <f>VLOOKUP(invoice[[#This Row],[شماره پیش فاکتور]],'[1]لیست پیش فاکتور ها'!$A:$D,4,0)</f>
        <v>1404/06/01</v>
      </c>
      <c r="E103" s="2">
        <f>VLOOKUP(invoice[[#This Row],[شماره پیش فاکتور]],[1]!invoice[[شماره پیش فاکتور]:[میزان سفارش]],5,0)</f>
        <v>20000</v>
      </c>
      <c r="F103" s="2">
        <f>VLOOKUP(invoice[[#This Row],[شماره پیش فاکتور]],[1]!invoice[[شماره پیش فاکتور]:[فی]],6,0)</f>
        <v>167500</v>
      </c>
      <c r="G103" s="3" t="str">
        <f>CHOOSE(MID(invoice[[#This Row],[تاریخ]],6,2),"فروردین","اردیبهشت","خرداد","تیر","مرداد","شهریور","مهر","آبان","آذر","دی","بهمن","اسفند")</f>
        <v>مرداد</v>
      </c>
      <c r="H103" s="3">
        <f>_xlfn.NUMBERVALUE(MID(invoice[[#This Row],[تاریخ]],1,4))</f>
        <v>1404</v>
      </c>
      <c r="I103" s="130" t="str">
        <f>VLOOKUP(invoice[[#This Row],[شماره پیش فاکتور]],[1]!invoice[[شماره پیش فاکتور]:[نوع سفارش]],9,0)</f>
        <v>بورس</v>
      </c>
      <c r="J103" s="3" t="str">
        <f>VLOOKUP(invoice[[#This Row],[شماره پیش فاکتور]],[1]!invoice[[شماره پیش فاکتور]:[نوع شرکت]],10,0)</f>
        <v>تولید کننده</v>
      </c>
      <c r="K103" s="132">
        <v>46101</v>
      </c>
      <c r="L103" s="77">
        <v>0.1</v>
      </c>
      <c r="M103" s="78">
        <v>3685000000</v>
      </c>
      <c r="N103" s="78">
        <f>invoice[[#This Row],[مبلغ پیش دریافت]]/invoice[[#This Row],[میزان سفارش]]</f>
        <v>184250</v>
      </c>
      <c r="O103" s="144">
        <f>SUMIF([1]!bargiri[شماره پیش فاکتور],[1]!invoice[[#This Row],[شماره پیش فاکتور]],[1]!bargiri[میزان بارگیری شده])/[1]!invoice[[#This Row],[میزان سفارش]]</f>
        <v>1</v>
      </c>
      <c r="P103" s="140" t="str">
        <f>VLOOKUP(invoice[[#This Row],[شماره پیش فاکتور]],[1]!invoice[[شماره پیش فاکتور]:[نوع سفارش]],9,0)</f>
        <v>بورس</v>
      </c>
      <c r="Q103" s="145">
        <f>SUMIFS('[1]جزییات بارگیری'!D:D,'[1]جزییات بارگیری'!C:C,[1]!invoice[[#This Row],[شماره پیش فاکتور]])</f>
        <v>102400</v>
      </c>
      <c r="R103" s="145">
        <f>IF([1]!invoice[[#This Row],[میزان سفارش]]-[1]!invoice[[#This Row],[میزان حمل شده ]]&lt;0,0,[1]!invoice[[#This Row],[میزان سفارش]]-[1]!invoice[[#This Row],[میزان حمل شده ]])</f>
        <v>0</v>
      </c>
      <c r="S103" s="145">
        <f>[1]!invoice[[#This Row],[میزان حمل نشده ]]*[1]!invoice[[#This Row],[فی]]</f>
        <v>0</v>
      </c>
      <c r="T103" s="140"/>
    </row>
    <row r="104" spans="1:20" ht="20.399999999999999" x14ac:dyDescent="0.25">
      <c r="A104" s="81" t="s">
        <v>695</v>
      </c>
      <c r="B104" s="81" t="s">
        <v>70</v>
      </c>
      <c r="C104" s="81" t="str">
        <f>VLOOKUP(invoice[[#This Row],[شماره پیش فاکتور]],[1]!invoice[[شماره پیش فاکتور]:[تاریخ]],3,0)</f>
        <v>1404/05/28</v>
      </c>
      <c r="D104" s="82" t="str">
        <f>VLOOKUP(invoice[[#This Row],[شماره پیش فاکتور]],'[1]لیست پیش فاکتور ها'!$A:$D,4,0)</f>
        <v>1404/06/01</v>
      </c>
      <c r="E104" s="2">
        <f>VLOOKUP(invoice[[#This Row],[شماره پیش فاکتور]],[1]!invoice[[شماره پیش فاکتور]:[میزان سفارش]],5,0)</f>
        <v>30000</v>
      </c>
      <c r="F104" s="2">
        <f>VLOOKUP(invoice[[#This Row],[شماره پیش فاکتور]],[1]!invoice[[شماره پیش فاکتور]:[فی]],6,0)</f>
        <v>167500</v>
      </c>
      <c r="G104" s="3" t="str">
        <f>CHOOSE(MID(invoice[[#This Row],[تاریخ]],6,2),"فروردین","اردیبهشت","خرداد","تیر","مرداد","شهریور","مهر","آبان","آذر","دی","بهمن","اسفند")</f>
        <v>مرداد</v>
      </c>
      <c r="H104" s="3">
        <f>_xlfn.NUMBERVALUE(MID(invoice[[#This Row],[تاریخ]],1,4))</f>
        <v>1404</v>
      </c>
      <c r="I104" s="130" t="str">
        <f>VLOOKUP(invoice[[#This Row],[شماره پیش فاکتور]],[1]!invoice[[شماره پیش فاکتور]:[نوع سفارش]],9,0)</f>
        <v>بورس</v>
      </c>
      <c r="J104" s="3" t="str">
        <f>VLOOKUP(invoice[[#This Row],[شماره پیش فاکتور]],[1]!invoice[[شماره پیش فاکتور]:[نوع شرکت]],10,0)</f>
        <v>تولید کننده</v>
      </c>
      <c r="K104" s="132">
        <v>46101</v>
      </c>
      <c r="L104" s="77">
        <v>0.1</v>
      </c>
      <c r="M104" s="78">
        <v>5527500000</v>
      </c>
      <c r="N104" s="78">
        <f>invoice[[#This Row],[مبلغ پیش دریافت]]/invoice[[#This Row],[میزان سفارش]]</f>
        <v>184250</v>
      </c>
      <c r="O104" s="144">
        <f>SUMIF([1]!bargiri[شماره پیش فاکتور],[1]!invoice[[#This Row],[شماره پیش فاکتور]],[1]!bargiri[میزان بارگیری شده])/[1]!invoice[[#This Row],[میزان سفارش]]</f>
        <v>1</v>
      </c>
      <c r="P104" s="140" t="str">
        <f>VLOOKUP(invoice[[#This Row],[شماره پیش فاکتور]],[1]!invoice[[شماره پیش فاکتور]:[نوع سفارش]],9,0)</f>
        <v>بورس</v>
      </c>
      <c r="Q104" s="145">
        <f>SUMIFS('[1]جزییات بارگیری'!D:D,'[1]جزییات بارگیری'!C:C,[1]!invoice[[#This Row],[شماره پیش فاکتور]])</f>
        <v>40000</v>
      </c>
      <c r="R104" s="145">
        <f>IF([1]!invoice[[#This Row],[میزان سفارش]]-[1]!invoice[[#This Row],[میزان حمل شده ]]&lt;0,0,[1]!invoice[[#This Row],[میزان سفارش]]-[1]!invoice[[#This Row],[میزان حمل شده ]])</f>
        <v>0</v>
      </c>
      <c r="S104" s="145">
        <f>[1]!invoice[[#This Row],[میزان حمل نشده ]]*[1]!invoice[[#This Row],[فی]]</f>
        <v>0</v>
      </c>
      <c r="T104" s="140"/>
    </row>
    <row r="105" spans="1:20" ht="20.399999999999999" x14ac:dyDescent="0.25">
      <c r="A105" s="81" t="s">
        <v>696</v>
      </c>
      <c r="B105" s="81" t="s">
        <v>67</v>
      </c>
      <c r="C105" s="81" t="str">
        <f>VLOOKUP(invoice[[#This Row],[شماره پیش فاکتور]],[1]!invoice[[شماره پیش فاکتور]:[تاریخ]],3,0)</f>
        <v>1404/06/04</v>
      </c>
      <c r="D105" s="82" t="str">
        <f>VLOOKUP(invoice[[#This Row],[شماره پیش فاکتور]],'[1]لیست پیش فاکتور ها'!$A:$D,4,0)</f>
        <v>1404/06/09</v>
      </c>
      <c r="E105" s="2">
        <f>VLOOKUP(invoice[[#This Row],[شماره پیش فاکتور]],[1]!invoice[[شماره پیش فاکتور]:[میزان سفارش]],5,0)</f>
        <v>50000</v>
      </c>
      <c r="F105" s="2">
        <f>VLOOKUP(invoice[[#This Row],[شماره پیش فاکتور]],[1]!invoice[[شماره پیش فاکتور]:[فی]],6,0)</f>
        <v>116500</v>
      </c>
      <c r="G105" s="3" t="str">
        <f>CHOOSE(MID(invoice[[#This Row],[تاریخ]],6,2),"فروردین","اردیبهشت","خرداد","تیر","مرداد","شهریور","مهر","آبان","آذر","دی","بهمن","اسفند")</f>
        <v>شهریور</v>
      </c>
      <c r="H105" s="3">
        <f>_xlfn.NUMBERVALUE(MID(invoice[[#This Row],[تاریخ]],1,4))</f>
        <v>1404</v>
      </c>
      <c r="I105" s="130" t="str">
        <f>VLOOKUP(invoice[[#This Row],[شماره پیش فاکتور]],[1]!invoice[[شماره پیش فاکتور]:[نوع سفارش]],9,0)</f>
        <v>تعادلی</v>
      </c>
      <c r="J105" s="3" t="str">
        <f>VLOOKUP(invoice[[#This Row],[شماره پیش فاکتور]],[1]!invoice[[شماره پیش فاکتور]:[نوع شرکت]],10,0)</f>
        <v>تولید کننده</v>
      </c>
      <c r="K105" s="132">
        <v>46101</v>
      </c>
      <c r="L105" s="77">
        <v>0.1</v>
      </c>
      <c r="M105" s="78">
        <v>961125000</v>
      </c>
      <c r="N105" s="78">
        <f>invoice[[#This Row],[مبلغ پیش دریافت]]/invoice[[#This Row],[میزان سفارش]]</f>
        <v>19222.5</v>
      </c>
      <c r="O105" s="144">
        <f>SUMIF([1]!bargiri[شماره پیش فاکتور],[1]!invoice[[#This Row],[شماره پیش فاکتور]],[1]!bargiri[میزان بارگیری شده])/[1]!invoice[[#This Row],[میزان سفارش]]</f>
        <v>1</v>
      </c>
      <c r="P105" s="140" t="str">
        <f>VLOOKUP(invoice[[#This Row],[شماره پیش فاکتور]],[1]!invoice[[شماره پیش فاکتور]:[نوع سفارش]],9,0)</f>
        <v>تعادلی</v>
      </c>
      <c r="Q105" s="145">
        <f>SUMIFS('[1]جزییات بارگیری'!D:D,'[1]جزییات بارگیری'!C:C,[1]!invoice[[#This Row],[شماره پیش فاکتور]])</f>
        <v>20000</v>
      </c>
      <c r="R105" s="145">
        <f>IF([1]!invoice[[#This Row],[میزان سفارش]]-[1]!invoice[[#This Row],[میزان حمل شده ]]&lt;0,0,[1]!invoice[[#This Row],[میزان سفارش]]-[1]!invoice[[#This Row],[میزان حمل شده ]])</f>
        <v>0</v>
      </c>
      <c r="S105" s="145">
        <f>[1]!invoice[[#This Row],[میزان حمل نشده ]]*[1]!invoice[[#This Row],[فی]]</f>
        <v>0</v>
      </c>
      <c r="T105" s="140"/>
    </row>
    <row r="106" spans="1:20" ht="20.399999999999999" x14ac:dyDescent="0.25">
      <c r="A106" s="81" t="s">
        <v>1023</v>
      </c>
      <c r="B106" s="81" t="s">
        <v>219</v>
      </c>
      <c r="C106" s="81" t="str">
        <f>VLOOKUP(invoice[[#This Row],[شماره پیش فاکتور]],[1]!invoice[[شماره پیش فاکتور]:[تاریخ]],3,0)</f>
        <v>1404/06/04</v>
      </c>
      <c r="D106" s="82" t="str">
        <f>VLOOKUP(invoice[[#This Row],[شماره پیش فاکتور]],'[1]لیست پیش فاکتور ها'!$A:$D,4,0)</f>
        <v>1404/06/09</v>
      </c>
      <c r="E106" s="2">
        <f>VLOOKUP(invoice[[#This Row],[شماره پیش فاکتور]],[1]!invoice[[شماره پیش فاکتور]:[میزان سفارش]],5,0)</f>
        <v>20000</v>
      </c>
      <c r="F106" s="2">
        <f>VLOOKUP(invoice[[#This Row],[شماره پیش فاکتور]],[1]!invoice[[شماره پیش فاکتور]:[فی]],6,0)</f>
        <v>116500</v>
      </c>
      <c r="G106" s="3" t="str">
        <f>CHOOSE(MID(invoice[[#This Row],[تاریخ]],6,2),"فروردین","اردیبهشت","خرداد","تیر","مرداد","شهریور","مهر","آبان","آذر","دی","بهمن","اسفند")</f>
        <v>شهریور</v>
      </c>
      <c r="H106" s="3">
        <f>_xlfn.NUMBERVALUE(MID(invoice[[#This Row],[تاریخ]],1,4))</f>
        <v>1404</v>
      </c>
      <c r="I106" s="130" t="str">
        <f>VLOOKUP(invoice[[#This Row],[شماره پیش فاکتور]],[1]!invoice[[شماره پیش فاکتور]:[نوع سفارش]],9,0)</f>
        <v>تعادلی</v>
      </c>
      <c r="J106" s="3" t="str">
        <f>VLOOKUP(invoice[[#This Row],[شماره پیش فاکتور]],[1]!invoice[[شماره پیش فاکتور]:[نوع شرکت]],10,0)</f>
        <v>تولید کننده</v>
      </c>
      <c r="K106" s="132">
        <v>46101</v>
      </c>
      <c r="L106" s="77">
        <v>0.1</v>
      </c>
      <c r="M106" s="78">
        <v>384450000</v>
      </c>
      <c r="N106" s="78">
        <f>invoice[[#This Row],[مبلغ پیش دریافت]]/invoice[[#This Row],[میزان سفارش]]</f>
        <v>19222.5</v>
      </c>
      <c r="O106" s="144">
        <f>SUMIF([1]!bargiri[شماره پیش فاکتور],[1]!invoice[[#This Row],[شماره پیش فاکتور]],[1]!bargiri[میزان بارگیری شده])/[1]!invoice[[#This Row],[میزان سفارش]]</f>
        <v>1</v>
      </c>
      <c r="P106" s="140" t="str">
        <f>VLOOKUP(invoice[[#This Row],[شماره پیش فاکتور]],[1]!invoice[[شماره پیش فاکتور]:[نوع سفارش]],9,0)</f>
        <v>تعادلی</v>
      </c>
      <c r="Q106" s="145">
        <f>SUMIFS('[1]جزییات بارگیری'!D:D,'[1]جزییات بارگیری'!C:C,[1]!invoice[[#This Row],[شماره پیش فاکتور]])</f>
        <v>40000</v>
      </c>
      <c r="R106" s="145">
        <f>IF([1]!invoice[[#This Row],[میزان سفارش]]-[1]!invoice[[#This Row],[میزان حمل شده ]]&lt;0,0,[1]!invoice[[#This Row],[میزان سفارش]]-[1]!invoice[[#This Row],[میزان حمل شده ]])</f>
        <v>0</v>
      </c>
      <c r="S106" s="145">
        <f>[1]!invoice[[#This Row],[میزان حمل نشده ]]*[1]!invoice[[#This Row],[فی]]</f>
        <v>0</v>
      </c>
      <c r="T106" s="140"/>
    </row>
    <row r="107" spans="1:20" ht="20.399999999999999" x14ac:dyDescent="0.25">
      <c r="A107" s="81" t="s">
        <v>699</v>
      </c>
      <c r="B107" s="81" t="s">
        <v>70</v>
      </c>
      <c r="C107" s="81" t="str">
        <f>VLOOKUP(invoice[[#This Row],[شماره پیش فاکتور]],[1]!invoice[[شماره پیش فاکتور]:[تاریخ]],3,0)</f>
        <v>1404/06/04</v>
      </c>
      <c r="D107" s="82" t="str">
        <f>VLOOKUP(invoice[[#This Row],[شماره پیش فاکتور]],'[1]لیست پیش فاکتور ها'!$A:$D,4,0)</f>
        <v>1404/06/09</v>
      </c>
      <c r="E107" s="2">
        <f>VLOOKUP(invoice[[#This Row],[شماره پیش فاکتور]],[1]!invoice[[شماره پیش فاکتور]:[میزان سفارش]],5,0)</f>
        <v>30000</v>
      </c>
      <c r="F107" s="2">
        <f>VLOOKUP(invoice[[#This Row],[شماره پیش فاکتور]],[1]!invoice[[شماره پیش فاکتور]:[فی]],6,0)</f>
        <v>116500</v>
      </c>
      <c r="G107" s="3" t="str">
        <f>CHOOSE(MID(invoice[[#This Row],[تاریخ]],6,2),"فروردین","اردیبهشت","خرداد","تیر","مرداد","شهریور","مهر","آبان","آذر","دی","بهمن","اسفند")</f>
        <v>شهریور</v>
      </c>
      <c r="H107" s="3">
        <f>_xlfn.NUMBERVALUE(MID(invoice[[#This Row],[تاریخ]],1,4))</f>
        <v>1404</v>
      </c>
      <c r="I107" s="130" t="str">
        <f>VLOOKUP(invoice[[#This Row],[شماره پیش فاکتور]],[1]!invoice[[شماره پیش فاکتور]:[نوع سفارش]],9,0)</f>
        <v>تعادلی</v>
      </c>
      <c r="J107" s="3" t="str">
        <f>VLOOKUP(invoice[[#This Row],[شماره پیش فاکتور]],[1]!invoice[[شماره پیش فاکتور]:[نوع شرکت]],10,0)</f>
        <v>تولید کننده</v>
      </c>
      <c r="K107" s="132">
        <v>46101</v>
      </c>
      <c r="L107" s="77">
        <v>0.1</v>
      </c>
      <c r="M107" s="78">
        <v>576675000</v>
      </c>
      <c r="N107" s="78">
        <f>invoice[[#This Row],[مبلغ پیش دریافت]]/invoice[[#This Row],[میزان سفارش]]</f>
        <v>19222.5</v>
      </c>
      <c r="O107" s="144">
        <f>SUMIF([1]!bargiri[شماره پیش فاکتور],[1]!invoice[[#This Row],[شماره پیش فاکتور]],[1]!bargiri[میزان بارگیری شده])/[1]!invoice[[#This Row],[میزان سفارش]]</f>
        <v>0</v>
      </c>
      <c r="P107" s="140" t="str">
        <f>VLOOKUP(invoice[[#This Row],[شماره پیش فاکتور]],[1]!invoice[[شماره پیش فاکتور]:[نوع سفارش]],9,0)</f>
        <v>تعادلی</v>
      </c>
      <c r="Q107" s="145">
        <f>SUMIFS('[1]جزییات بارگیری'!D:D,'[1]جزییات بارگیری'!C:C,[1]!invoice[[#This Row],[شماره پیش فاکتور]])</f>
        <v>0</v>
      </c>
      <c r="R107" s="145">
        <f>IF([1]!invoice[[#This Row],[میزان سفارش]]-[1]!invoice[[#This Row],[میزان حمل شده ]]&lt;0,0,[1]!invoice[[#This Row],[میزان سفارش]]-[1]!invoice[[#This Row],[میزان حمل شده ]])</f>
        <v>40000</v>
      </c>
      <c r="S107" s="145">
        <f>[1]!invoice[[#This Row],[میزان حمل نشده ]]*[1]!invoice[[#This Row],[فی]]</f>
        <v>5312000000</v>
      </c>
      <c r="T107" s="140"/>
    </row>
    <row r="108" spans="1:20" ht="20.399999999999999" x14ac:dyDescent="0.25">
      <c r="A108" s="81" t="s">
        <v>700</v>
      </c>
      <c r="B108" s="81" t="s">
        <v>67</v>
      </c>
      <c r="C108" s="81" t="str">
        <f>VLOOKUP(invoice[[#This Row],[شماره پیش فاکتور]],[1]!invoice[[شماره پیش فاکتور]:[تاریخ]],3,0)</f>
        <v>1404/06/16</v>
      </c>
      <c r="D108" s="82" t="str">
        <f>VLOOKUP(invoice[[#This Row],[شماره پیش فاکتور]],'[1]لیست پیش فاکتور ها'!$A:$D,4,0)</f>
        <v>1404/06/22</v>
      </c>
      <c r="E108" s="2">
        <f>VLOOKUP(invoice[[#This Row],[شماره پیش فاکتور]],[1]!invoice[[شماره پیش فاکتور]:[میزان سفارش]],5,0)</f>
        <v>60000</v>
      </c>
      <c r="F108" s="2">
        <f>VLOOKUP(invoice[[#This Row],[شماره پیش فاکتور]],[1]!invoice[[شماره پیش فاکتور]:[فی]],6,0)</f>
        <v>74000</v>
      </c>
      <c r="G108" s="3" t="str">
        <f>CHOOSE(MID(invoice[[#This Row],[تاریخ]],6,2),"فروردین","اردیبهشت","خرداد","تیر","مرداد","شهریور","مهر","آبان","آذر","دی","بهمن","اسفند")</f>
        <v>شهریور</v>
      </c>
      <c r="H108" s="3">
        <f>_xlfn.NUMBERVALUE(MID(invoice[[#This Row],[تاریخ]],1,4))</f>
        <v>1404</v>
      </c>
      <c r="I108" s="130" t="str">
        <f>VLOOKUP(invoice[[#This Row],[شماره پیش فاکتور]],[1]!invoice[[شماره پیش فاکتور]:[نوع سفارش]],9,0)</f>
        <v>تعادلی</v>
      </c>
      <c r="J108" s="3" t="str">
        <f>VLOOKUP(invoice[[#This Row],[شماره پیش فاکتور]],[1]!invoice[[شماره پیش فاکتور]:[نوع شرکت]],10,0)</f>
        <v>تولید کننده</v>
      </c>
      <c r="K108" s="132">
        <v>46101</v>
      </c>
      <c r="L108" s="77">
        <v>0.1</v>
      </c>
      <c r="M108" s="78">
        <v>732600000</v>
      </c>
      <c r="N108" s="78">
        <f>invoice[[#This Row],[مبلغ پیش دریافت]]/invoice[[#This Row],[میزان سفارش]]</f>
        <v>12210</v>
      </c>
      <c r="O108" s="144">
        <f>SUMIF([1]!bargiri[شماره پیش فاکتور],[1]!invoice[[#This Row],[شماره پیش فاکتور]],[1]!bargiri[میزان بارگیری شده])/[1]!invoice[[#This Row],[میزان سفارش]]</f>
        <v>1</v>
      </c>
      <c r="P108" s="140" t="str">
        <f>VLOOKUP(invoice[[#This Row],[شماره پیش فاکتور]],[1]!invoice[[شماره پیش فاکتور]:[نوع سفارش]],9,0)</f>
        <v>تعادلی</v>
      </c>
      <c r="Q108" s="145">
        <f>SUMIFS('[1]جزییات بارگیری'!D:D,'[1]جزییات بارگیری'!C:C,[1]!invoice[[#This Row],[شماره پیش فاکتور]])</f>
        <v>51200</v>
      </c>
      <c r="R108" s="145">
        <f>IF([1]!invoice[[#This Row],[میزان سفارش]]-[1]!invoice[[#This Row],[میزان حمل شده ]]&lt;0,0,[1]!invoice[[#This Row],[میزان سفارش]]-[1]!invoice[[#This Row],[میزان حمل شده ]])</f>
        <v>0</v>
      </c>
      <c r="S108" s="145">
        <f>[1]!invoice[[#This Row],[میزان حمل نشده ]]*[1]!invoice[[#This Row],[فی]]</f>
        <v>0</v>
      </c>
      <c r="T108" s="140"/>
    </row>
    <row r="109" spans="1:20" ht="20.399999999999999" x14ac:dyDescent="0.25">
      <c r="A109" s="81" t="s">
        <v>703</v>
      </c>
      <c r="B109" s="81" t="s">
        <v>40</v>
      </c>
      <c r="C109" s="81" t="str">
        <f>VLOOKUP(invoice[[#This Row],[شماره پیش فاکتور]],[1]!invoice[[شماره پیش فاکتور]:[تاریخ]],3,0)</f>
        <v>1404/06/11</v>
      </c>
      <c r="D109" s="82" t="str">
        <f>VLOOKUP(invoice[[#This Row],[شماره پیش فاکتور]],'[1]لیست پیش فاکتور ها'!$A:$D,4,0)</f>
        <v>1404/06/11</v>
      </c>
      <c r="E109" s="2">
        <f>VLOOKUP(invoice[[#This Row],[شماره پیش فاکتور]],[1]!invoice[[شماره پیش فاکتور]:[میزان سفارش]],5,0)</f>
        <v>20000</v>
      </c>
      <c r="F109" s="2">
        <f>VLOOKUP(invoice[[#This Row],[شماره پیش فاکتور]],[1]!invoice[[شماره پیش فاکتور]:[فی]],6,0)</f>
        <v>210000</v>
      </c>
      <c r="G109" s="3" t="str">
        <f>CHOOSE(MID(invoice[[#This Row],[تاریخ]],6,2),"فروردین","اردیبهشت","خرداد","تیر","مرداد","شهریور","مهر","آبان","آذر","دی","بهمن","اسفند")</f>
        <v>شهریور</v>
      </c>
      <c r="H109" s="3">
        <f>_xlfn.NUMBERVALUE(MID(invoice[[#This Row],[تاریخ]],1,4))</f>
        <v>1404</v>
      </c>
      <c r="I109" s="130" t="str">
        <f>VLOOKUP(invoice[[#This Row],[شماره پیش فاکتور]],[1]!invoice[[شماره پیش فاکتور]:[نوع سفارش]],9,0)</f>
        <v>بورس</v>
      </c>
      <c r="J109" s="3" t="str">
        <f>VLOOKUP(invoice[[#This Row],[شماره پیش فاکتور]],[1]!invoice[[شماره پیش فاکتور]:[نوع شرکت]],10,0)</f>
        <v>تولید کننده</v>
      </c>
      <c r="K109" s="132">
        <v>46101</v>
      </c>
      <c r="L109" s="77">
        <v>0.1</v>
      </c>
      <c r="M109" s="78">
        <v>4620000000</v>
      </c>
      <c r="N109" s="78">
        <f>invoice[[#This Row],[مبلغ پیش دریافت]]/invoice[[#This Row],[میزان سفارش]]</f>
        <v>231000</v>
      </c>
      <c r="O109" s="144">
        <f>SUMIF([1]!bargiri[شماره پیش فاکتور],[1]!invoice[[#This Row],[شماره پیش فاکتور]],[1]!bargiri[میزان بارگیری شده])/[1]!invoice[[#This Row],[میزان سفارش]]</f>
        <v>1</v>
      </c>
      <c r="P109" s="140" t="str">
        <f>VLOOKUP(invoice[[#This Row],[شماره پیش فاکتور]],[1]!invoice[[شماره پیش فاکتور]:[نوع سفارش]],9,0)</f>
        <v>بورس</v>
      </c>
      <c r="Q109" s="145">
        <f>SUMIFS('[1]جزییات بارگیری'!D:D,'[1]جزییات بارگیری'!C:C,[1]!invoice[[#This Row],[شماره پیش فاکتور]])</f>
        <v>81920</v>
      </c>
      <c r="R109" s="145">
        <f>IF([1]!invoice[[#This Row],[میزان سفارش]]-[1]!invoice[[#This Row],[میزان حمل شده ]]&lt;0,0,[1]!invoice[[#This Row],[میزان سفارش]]-[1]!invoice[[#This Row],[میزان حمل شده ]])</f>
        <v>0</v>
      </c>
      <c r="S109" s="145">
        <f>[1]!invoice[[#This Row],[میزان حمل نشده ]]*[1]!invoice[[#This Row],[فی]]</f>
        <v>0</v>
      </c>
      <c r="T109" s="140"/>
    </row>
    <row r="110" spans="1:20" ht="20.399999999999999" x14ac:dyDescent="0.25">
      <c r="A110" s="81" t="s">
        <v>705</v>
      </c>
      <c r="B110" s="81" t="s">
        <v>25</v>
      </c>
      <c r="C110" s="81" t="str">
        <f>VLOOKUP(invoice[[#This Row],[شماره پیش فاکتور]],[1]!invoice[[شماره پیش فاکتور]:[تاریخ]],3,0)</f>
        <v>1404/06/11</v>
      </c>
      <c r="D110" s="82" t="str">
        <f>VLOOKUP(invoice[[#This Row],[شماره پیش فاکتور]],'[1]لیست پیش فاکتور ها'!$A:$D,4,0)</f>
        <v>1404/06/11</v>
      </c>
      <c r="E110" s="2">
        <f>VLOOKUP(invoice[[#This Row],[شماره پیش فاکتور]],[1]!invoice[[شماره پیش فاکتور]:[میزان سفارش]],5,0)</f>
        <v>20000</v>
      </c>
      <c r="F110" s="2">
        <f>VLOOKUP(invoice[[#This Row],[شماره پیش فاکتور]],[1]!invoice[[شماره پیش فاکتور]:[فی]],6,0)</f>
        <v>196009</v>
      </c>
      <c r="G110" s="3" t="str">
        <f>CHOOSE(MID(invoice[[#This Row],[تاریخ]],6,2),"فروردین","اردیبهشت","خرداد","تیر","مرداد","شهریور","مهر","آبان","آذر","دی","بهمن","اسفند")</f>
        <v>شهریور</v>
      </c>
      <c r="H110" s="3">
        <f>_xlfn.NUMBERVALUE(MID(invoice[[#This Row],[تاریخ]],1,4))</f>
        <v>1404</v>
      </c>
      <c r="I110" s="130" t="str">
        <f>VLOOKUP(invoice[[#This Row],[شماره پیش فاکتور]],[1]!invoice[[شماره پیش فاکتور]:[نوع سفارش]],9,0)</f>
        <v>بورس</v>
      </c>
      <c r="J110" s="3" t="str">
        <f>VLOOKUP(invoice[[#This Row],[شماره پیش فاکتور]],[1]!invoice[[شماره پیش فاکتور]:[نوع شرکت]],10,0)</f>
        <v>تولید کننده</v>
      </c>
      <c r="K110" s="132">
        <v>46101</v>
      </c>
      <c r="L110" s="77">
        <v>0.1</v>
      </c>
      <c r="M110" s="78">
        <v>4312198000</v>
      </c>
      <c r="N110" s="78">
        <f>invoice[[#This Row],[مبلغ پیش دریافت]]/invoice[[#This Row],[میزان سفارش]]</f>
        <v>215609.9</v>
      </c>
      <c r="O110" s="144">
        <f>SUMIF([1]!bargiri[شماره پیش فاکتور],[1]!invoice[[#This Row],[شماره پیش فاکتور]],[1]!bargiri[میزان بارگیری شده])/[1]!invoice[[#This Row],[میزان سفارش]]</f>
        <v>1</v>
      </c>
      <c r="P110" s="140" t="str">
        <f>VLOOKUP(invoice[[#This Row],[شماره پیش فاکتور]],[1]!invoice[[شماره پیش فاکتور]:[نوع سفارش]],9,0)</f>
        <v>بورس</v>
      </c>
      <c r="Q110" s="145">
        <f>SUMIFS('[1]جزییات بارگیری'!D:D,'[1]جزییات بارگیری'!C:C,[1]!invoice[[#This Row],[شماره پیش فاکتور]])</f>
        <v>1000000</v>
      </c>
      <c r="R110" s="145">
        <f>IF([1]!invoice[[#This Row],[میزان سفارش]]-[1]!invoice[[#This Row],[میزان حمل شده ]]&lt;0,0,[1]!invoice[[#This Row],[میزان سفارش]]-[1]!invoice[[#This Row],[میزان حمل شده ]])</f>
        <v>0</v>
      </c>
      <c r="S110" s="145">
        <f>[1]!invoice[[#This Row],[میزان حمل نشده ]]*[1]!invoice[[#This Row],[فی]]</f>
        <v>0</v>
      </c>
      <c r="T110" s="140"/>
    </row>
    <row r="111" spans="1:20" ht="20.399999999999999" x14ac:dyDescent="0.25">
      <c r="A111" s="81" t="s">
        <v>706</v>
      </c>
      <c r="B111" s="81" t="s">
        <v>67</v>
      </c>
      <c r="C111" s="81" t="str">
        <f>VLOOKUP(invoice[[#This Row],[شماره پیش فاکتور]],[1]!invoice[[شماره پیش فاکتور]:[تاریخ]],3,0)</f>
        <v>1404/06/11</v>
      </c>
      <c r="D111" s="82" t="str">
        <f>VLOOKUP(invoice[[#This Row],[شماره پیش فاکتور]],'[1]لیست پیش فاکتور ها'!$A:$D,4,0)</f>
        <v>1404/06/11</v>
      </c>
      <c r="E111" s="2">
        <f>VLOOKUP(invoice[[#This Row],[شماره پیش فاکتور]],[1]!invoice[[شماره پیش فاکتور]:[میزان سفارش]],5,0)</f>
        <v>60000</v>
      </c>
      <c r="F111" s="2">
        <f>VLOOKUP(invoice[[#This Row],[شماره پیش فاکتور]],[1]!invoice[[شماره پیش فاکتور]:[فی]],6,0)</f>
        <v>210000</v>
      </c>
      <c r="G111" s="3" t="str">
        <f>CHOOSE(MID(invoice[[#This Row],[تاریخ]],6,2),"فروردین","اردیبهشت","خرداد","تیر","مرداد","شهریور","مهر","آبان","آذر","دی","بهمن","اسفند")</f>
        <v>شهریور</v>
      </c>
      <c r="H111" s="3">
        <f>_xlfn.NUMBERVALUE(MID(invoice[[#This Row],[تاریخ]],1,4))</f>
        <v>1404</v>
      </c>
      <c r="I111" s="130" t="str">
        <f>VLOOKUP(invoice[[#This Row],[شماره پیش فاکتور]],[1]!invoice[[شماره پیش فاکتور]:[نوع سفارش]],9,0)</f>
        <v>بورس</v>
      </c>
      <c r="J111" s="3" t="str">
        <f>VLOOKUP(invoice[[#This Row],[شماره پیش فاکتور]],[1]!invoice[[شماره پیش فاکتور]:[نوع شرکت]],10,0)</f>
        <v>تولید کننده</v>
      </c>
      <c r="K111" s="132">
        <v>46101</v>
      </c>
      <c r="L111" s="77">
        <v>0.1</v>
      </c>
      <c r="M111" s="78">
        <v>13860000000</v>
      </c>
      <c r="N111" s="78">
        <f>invoice[[#This Row],[مبلغ پیش دریافت]]/invoice[[#This Row],[میزان سفارش]]</f>
        <v>231000</v>
      </c>
      <c r="O111" s="144">
        <f>SUMIF([1]!bargiri[شماره پیش فاکتور],[1]!invoice[[#This Row],[شماره پیش فاکتور]],[1]!bargiri[میزان بارگیری شده])/[1]!invoice[[#This Row],[میزان سفارش]]</f>
        <v>1</v>
      </c>
      <c r="P111" s="140" t="str">
        <f>VLOOKUP(invoice[[#This Row],[شماره پیش فاکتور]],[1]!invoice[[شماره پیش فاکتور]:[نوع سفارش]],9,0)</f>
        <v>بورس</v>
      </c>
      <c r="Q111" s="145">
        <f>SUMIFS('[1]جزییات بارگیری'!D:D,'[1]جزییات بارگیری'!C:C,[1]!invoice[[#This Row],[شماره پیش فاکتور]])</f>
        <v>312790</v>
      </c>
      <c r="R111" s="145">
        <f>IF([1]!invoice[[#This Row],[میزان سفارش]]-[1]!invoice[[#This Row],[میزان حمل شده ]]&lt;0,0,[1]!invoice[[#This Row],[میزان سفارش]]-[1]!invoice[[#This Row],[میزان حمل شده ]])</f>
        <v>0</v>
      </c>
      <c r="S111" s="145">
        <f>[1]!invoice[[#This Row],[میزان حمل نشده ]]*[1]!invoice[[#This Row],[فی]]</f>
        <v>0</v>
      </c>
      <c r="T111" s="140"/>
    </row>
    <row r="112" spans="1:20" ht="20.399999999999999" x14ac:dyDescent="0.25">
      <c r="A112" s="81" t="s">
        <v>707</v>
      </c>
      <c r="B112" s="81" t="s">
        <v>40</v>
      </c>
      <c r="C112" s="81" t="str">
        <f>VLOOKUP(invoice[[#This Row],[شماره پیش فاکتور]],[1]!invoice[[شماره پیش فاکتور]:[تاریخ]],3,0)</f>
        <v>1404/06/16</v>
      </c>
      <c r="D112" s="82" t="str">
        <f>VLOOKUP(invoice[[#This Row],[شماره پیش فاکتور]],'[1]لیست پیش فاکتور ها'!$A:$D,4,0)</f>
        <v>1404/06/22</v>
      </c>
      <c r="E112" s="2">
        <f>VLOOKUP(invoice[[#This Row],[شماره پیش فاکتور]],[1]!invoice[[شماره پیش فاکتور]:[میزان سفارش]],5,0)</f>
        <v>20000</v>
      </c>
      <c r="F112" s="2">
        <f>VLOOKUP(invoice[[#This Row],[شماره پیش فاکتور]],[1]!invoice[[شماره پیش فاکتور]:[فی]],6,0)</f>
        <v>74000</v>
      </c>
      <c r="G112" s="3" t="str">
        <f>CHOOSE(MID(invoice[[#This Row],[تاریخ]],6,2),"فروردین","اردیبهشت","خرداد","تیر","مرداد","شهریور","مهر","آبان","آذر","دی","بهمن","اسفند")</f>
        <v>شهریور</v>
      </c>
      <c r="H112" s="3">
        <f>_xlfn.NUMBERVALUE(MID(invoice[[#This Row],[تاریخ]],1,4))</f>
        <v>1404</v>
      </c>
      <c r="I112" s="130" t="str">
        <f>VLOOKUP(invoice[[#This Row],[شماره پیش فاکتور]],[1]!invoice[[شماره پیش فاکتور]:[نوع سفارش]],9,0)</f>
        <v>تعادلی</v>
      </c>
      <c r="J112" s="3" t="str">
        <f>VLOOKUP(invoice[[#This Row],[شماره پیش فاکتور]],[1]!invoice[[شماره پیش فاکتور]:[نوع شرکت]],10,0)</f>
        <v>تولید کننده</v>
      </c>
      <c r="K112" s="132">
        <v>46101</v>
      </c>
      <c r="L112" s="77">
        <v>0.1</v>
      </c>
      <c r="M112" s="78">
        <v>244200000</v>
      </c>
      <c r="N112" s="78">
        <f>invoice[[#This Row],[مبلغ پیش دریافت]]/invoice[[#This Row],[میزان سفارش]]</f>
        <v>12210</v>
      </c>
      <c r="O112" s="144">
        <f>SUMIF([1]!bargiri[شماره پیش فاکتور],[1]!invoice[[#This Row],[شماره پیش فاکتور]],[1]!bargiri[میزان بارگیری شده])/[1]!invoice[[#This Row],[میزان سفارش]]</f>
        <v>0</v>
      </c>
      <c r="P112" s="140" t="str">
        <f>VLOOKUP(invoice[[#This Row],[شماره پیش فاکتور]],[1]!invoice[[شماره پیش فاکتور]:[نوع سفارش]],9,0)</f>
        <v>تعادلی</v>
      </c>
      <c r="Q112" s="145">
        <f>SUMIFS('[1]جزییات بارگیری'!D:D,'[1]جزییات بارگیری'!C:C,[1]!invoice[[#This Row],[شماره پیش فاکتور]])</f>
        <v>0</v>
      </c>
      <c r="R112" s="145">
        <f>IF([1]!invoice[[#This Row],[میزان سفارش]]-[1]!invoice[[#This Row],[میزان حمل شده ]]&lt;0,0,[1]!invoice[[#This Row],[میزان سفارش]]-[1]!invoice[[#This Row],[میزان حمل شده ]])</f>
        <v>600000</v>
      </c>
      <c r="S112" s="145">
        <f>[1]!invoice[[#This Row],[میزان حمل نشده ]]*[1]!invoice[[#This Row],[فی]]</f>
        <v>72000000000</v>
      </c>
      <c r="T112" s="140"/>
    </row>
    <row r="113" spans="1:20" ht="20.399999999999999" x14ac:dyDescent="0.25">
      <c r="A113" s="81" t="s">
        <v>708</v>
      </c>
      <c r="B113" s="81" t="s">
        <v>25</v>
      </c>
      <c r="C113" s="81" t="str">
        <f>VLOOKUP(invoice[[#This Row],[شماره پیش فاکتور]],[1]!invoice[[شماره پیش فاکتور]:[تاریخ]],3,0)</f>
        <v>1404/06/16</v>
      </c>
      <c r="D113" s="82" t="str">
        <f>VLOOKUP(invoice[[#This Row],[شماره پیش فاکتور]],'[1]لیست پیش فاکتور ها'!$A:$D,4,0)</f>
        <v>1404/06/22</v>
      </c>
      <c r="E113" s="2">
        <f>VLOOKUP(invoice[[#This Row],[شماره پیش فاکتور]],[1]!invoice[[شماره پیش فاکتور]:[میزان سفارش]],5,0)</f>
        <v>20000</v>
      </c>
      <c r="F113" s="2">
        <f>VLOOKUP(invoice[[#This Row],[شماره پیش فاکتور]],[1]!invoice[[شماره پیش فاکتور]:[فی]],6,0)</f>
        <v>87991</v>
      </c>
      <c r="G113" s="3" t="str">
        <f>CHOOSE(MID(invoice[[#This Row],[تاریخ]],6,2),"فروردین","اردیبهشت","خرداد","تیر","مرداد","شهریور","مهر","آبان","آذر","دی","بهمن","اسفند")</f>
        <v>شهریور</v>
      </c>
      <c r="H113" s="3">
        <f>_xlfn.NUMBERVALUE(MID(invoice[[#This Row],[تاریخ]],1,4))</f>
        <v>1404</v>
      </c>
      <c r="I113" s="130" t="str">
        <f>VLOOKUP(invoice[[#This Row],[شماره پیش فاکتور]],[1]!invoice[[شماره پیش فاکتور]:[نوع سفارش]],9,0)</f>
        <v>تعادلی</v>
      </c>
      <c r="J113" s="3" t="str">
        <f>VLOOKUP(invoice[[#This Row],[شماره پیش فاکتور]],[1]!invoice[[شماره پیش فاکتور]:[نوع شرکت]],10,0)</f>
        <v>تولید کننده</v>
      </c>
      <c r="K113" s="132">
        <v>46101</v>
      </c>
      <c r="L113" s="77">
        <v>0.1</v>
      </c>
      <c r="M113" s="78">
        <v>290370300</v>
      </c>
      <c r="N113" s="78">
        <f>invoice[[#This Row],[مبلغ پیش دریافت]]/invoice[[#This Row],[میزان سفارش]]</f>
        <v>14518.514999999999</v>
      </c>
      <c r="O113" s="144">
        <f>SUMIF([1]!bargiri[شماره پیش فاکتور],[1]!invoice[[#This Row],[شماره پیش فاکتور]],[1]!bargiri[میزان بارگیری شده])/[1]!invoice[[#This Row],[میزان سفارش]]</f>
        <v>1</v>
      </c>
      <c r="P113" s="140" t="str">
        <f>VLOOKUP(invoice[[#This Row],[شماره پیش فاکتور]],[1]!invoice[[شماره پیش فاکتور]:[نوع سفارش]],9,0)</f>
        <v>تعادلی</v>
      </c>
      <c r="Q113" s="145">
        <f>SUMIFS('[1]جزییات بارگیری'!D:D,'[1]جزییات بارگیری'!C:C,[1]!invoice[[#This Row],[شماره پیش فاکتور]])</f>
        <v>71800</v>
      </c>
      <c r="R113" s="145">
        <f>IF([1]!invoice[[#This Row],[میزان سفارش]]-[1]!invoice[[#This Row],[میزان حمل شده ]]&lt;0,0,[1]!invoice[[#This Row],[میزان سفارش]]-[1]!invoice[[#This Row],[میزان حمل شده ]])</f>
        <v>0</v>
      </c>
      <c r="S113" s="145">
        <f>[1]!invoice[[#This Row],[میزان حمل نشده ]]*[1]!invoice[[#This Row],[فی]]</f>
        <v>0</v>
      </c>
      <c r="T113" s="140"/>
    </row>
    <row r="114" spans="1:20" ht="20.399999999999999" x14ac:dyDescent="0.25">
      <c r="A114" s="81" t="s">
        <v>709</v>
      </c>
      <c r="B114" s="81" t="s">
        <v>43</v>
      </c>
      <c r="C114" s="81" t="str">
        <f>VLOOKUP(invoice[[#This Row],[شماره پیش فاکتور]],[1]!invoice[[شماره پیش فاکتور]:[تاریخ]],3,0)</f>
        <v>1404/06/30</v>
      </c>
      <c r="D114" s="82">
        <f>VLOOKUP(invoice[[#This Row],[شماره پیش فاکتور]],'[1]لیست پیش فاکتور ها'!$A:$D,4,0)</f>
        <v>45923</v>
      </c>
      <c r="E114" s="2">
        <f>VLOOKUP(invoice[[#This Row],[شماره پیش فاکتور]],[1]!invoice[[شماره پیش فاکتور]:[میزان سفارش]],5,0)</f>
        <v>500000</v>
      </c>
      <c r="F114" s="2">
        <f>VLOOKUP(invoice[[#This Row],[شماره پیش فاکتور]],[1]!invoice[[شماره پیش فاکتور]:[فی]],6,0)</f>
        <v>111000</v>
      </c>
      <c r="G114" s="3" t="str">
        <f>CHOOSE(MID(invoice[[#This Row],[تاریخ]],6,2),"فروردین","اردیبهشت","خرداد","تیر","مرداد","شهریور","مهر","آبان","آذر","دی","بهمن","اسفند")</f>
        <v>شهریور</v>
      </c>
      <c r="H114" s="3">
        <f>_xlfn.NUMBERVALUE(MID(invoice[[#This Row],[تاریخ]],1,4))</f>
        <v>1404</v>
      </c>
      <c r="I114" s="130" t="str">
        <f>VLOOKUP(invoice[[#This Row],[شماره پیش فاکتور]],[1]!invoice[[شماره پیش فاکتور]:[نوع سفارش]],9,0)</f>
        <v>عادی</v>
      </c>
      <c r="J114" s="3" t="str">
        <f>VLOOKUP(invoice[[#This Row],[شماره پیش فاکتور]],[1]!invoice[[شماره پیش فاکتور]:[نوع شرکت]],10,0)</f>
        <v>تولید کننده</v>
      </c>
      <c r="K114" s="132">
        <v>46194</v>
      </c>
      <c r="L114" s="77">
        <v>0.1</v>
      </c>
      <c r="M114" s="78">
        <v>42735000000</v>
      </c>
      <c r="N114" s="78">
        <f>invoice[[#This Row],[مبلغ پیش دریافت]]/invoice[[#This Row],[میزان سفارش]]</f>
        <v>85470</v>
      </c>
      <c r="O114" s="144">
        <f>SUMIF([1]!bargiri[شماره پیش فاکتور],[1]!invoice[[#This Row],[شماره پیش فاکتور]],[1]!bargiri[میزان بارگیری شده])/[1]!invoice[[#This Row],[میزان سفارش]]</f>
        <v>5.2124999999999998E-2</v>
      </c>
      <c r="P114" s="140" t="str">
        <f>VLOOKUP(invoice[[#This Row],[شماره پیش فاکتور]],[1]!invoice[[شماره پیش فاکتور]:[نوع سفارش]],9,0)</f>
        <v>عادی</v>
      </c>
      <c r="Q114" s="145">
        <f>SUMIFS('[1]جزییات بارگیری'!D:D,'[1]جزییات بارگیری'!C:C,[1]!invoice[[#This Row],[شماره پیش فاکتور]])</f>
        <v>20850</v>
      </c>
      <c r="R114" s="145">
        <f>IF([1]!invoice[[#This Row],[میزان سفارش]]-[1]!invoice[[#This Row],[میزان حمل شده ]]&lt;0,0,[1]!invoice[[#This Row],[میزان سفارش]]-[1]!invoice[[#This Row],[میزان حمل شده ]])</f>
        <v>379150</v>
      </c>
      <c r="S114" s="145">
        <f>[1]!invoice[[#This Row],[میزان حمل نشده ]]*[1]!invoice[[#This Row],[فی]]</f>
        <v>45498000000</v>
      </c>
      <c r="T114" s="140"/>
    </row>
    <row r="115" spans="1:20" ht="20.399999999999999" x14ac:dyDescent="0.25">
      <c r="A115" s="81" t="s">
        <v>711</v>
      </c>
      <c r="B115" s="81" t="s">
        <v>67</v>
      </c>
      <c r="C115" s="81" t="str">
        <f>VLOOKUP(invoice[[#This Row],[شماره پیش فاکتور]],[1]!invoice[[شماره پیش فاکتور]:[تاریخ]],3,0)</f>
        <v>1404/06/25</v>
      </c>
      <c r="D115" s="82" t="str">
        <f>VLOOKUP(invoice[[#This Row],[شماره پیش فاکتور]],'[1]لیست پیش فاکتور ها'!$A:$D,4,0)</f>
        <v>1404/06/25</v>
      </c>
      <c r="E115" s="2">
        <f>VLOOKUP(invoice[[#This Row],[شماره پیش فاکتور]],[1]!invoice[[شماره پیش فاکتور]:[میزان سفارش]],5,0)</f>
        <v>50000</v>
      </c>
      <c r="F115" s="2">
        <f>VLOOKUP(invoice[[#This Row],[شماره پیش فاکتور]],[1]!invoice[[شماره پیش فاکتور]:[فی]],6,0)</f>
        <v>167500</v>
      </c>
      <c r="G115" s="3" t="str">
        <f>CHOOSE(MID(invoice[[#This Row],[تاریخ]],6,2),"فروردین","اردیبهشت","خرداد","تیر","مرداد","شهریور","مهر","آبان","آذر","دی","بهمن","اسفند")</f>
        <v>شهریور</v>
      </c>
      <c r="H115" s="3">
        <f>_xlfn.NUMBERVALUE(MID(invoice[[#This Row],[تاریخ]],1,4))</f>
        <v>1404</v>
      </c>
      <c r="I115" s="130" t="str">
        <f>VLOOKUP(invoice[[#This Row],[شماره پیش فاکتور]],[1]!invoice[[شماره پیش فاکتور]:[نوع سفارش]],9,0)</f>
        <v>بورس</v>
      </c>
      <c r="J115" s="3" t="str">
        <f>VLOOKUP(invoice[[#This Row],[شماره پیش فاکتور]],[1]!invoice[[شماره پیش فاکتور]:[نوع شرکت]],10,0)</f>
        <v>تولید کننده</v>
      </c>
      <c r="K115" s="132">
        <v>46101</v>
      </c>
      <c r="L115" s="77">
        <v>0.1</v>
      </c>
      <c r="M115" s="78">
        <v>9212500000</v>
      </c>
      <c r="N115" s="78">
        <f>invoice[[#This Row],[مبلغ پیش دریافت]]/invoice[[#This Row],[میزان سفارش]]</f>
        <v>184250</v>
      </c>
      <c r="O115" s="144">
        <f>SUMIF([1]!bargiri[شماره پیش فاکتور],[1]!invoice[[#This Row],[شماره پیش فاکتور]],[1]!bargiri[میزان بارگیری شده])/[1]!invoice[[#This Row],[میزان سفارش]]</f>
        <v>0.49127142857142858</v>
      </c>
      <c r="P115" s="140" t="str">
        <f>VLOOKUP(invoice[[#This Row],[شماره پیش فاکتور]],[1]!invoice[[شماره پیش فاکتور]:[نوع سفارش]],9,0)</f>
        <v>بورس</v>
      </c>
      <c r="Q115" s="145">
        <f>SUMIFS('[1]جزییات بارگیری'!D:D,'[1]جزییات بارگیری'!C:C,[1]!invoice[[#This Row],[شماره پیش فاکتور]])</f>
        <v>171945</v>
      </c>
      <c r="R115" s="145">
        <f>IF([1]!invoice[[#This Row],[میزان سفارش]]-[1]!invoice[[#This Row],[میزان حمل شده ]]&lt;0,0,[1]!invoice[[#This Row],[میزان سفارش]]-[1]!invoice[[#This Row],[میزان حمل شده ]])</f>
        <v>178055</v>
      </c>
      <c r="S115" s="145">
        <f>[1]!invoice[[#This Row],[میزان حمل نشده ]]*[1]!invoice[[#This Row],[فی]]</f>
        <v>21366600000</v>
      </c>
      <c r="T115" s="140"/>
    </row>
    <row r="116" spans="1:20" ht="20.399999999999999" x14ac:dyDescent="0.25">
      <c r="A116" s="81" t="s">
        <v>713</v>
      </c>
      <c r="B116" s="81" t="s">
        <v>40</v>
      </c>
      <c r="C116" s="81" t="str">
        <f>VLOOKUP(invoice[[#This Row],[شماره پیش فاکتور]],[1]!invoice[[شماره پیش فاکتور]:[تاریخ]],3,0)</f>
        <v>1404/06/25</v>
      </c>
      <c r="D116" s="82" t="str">
        <f>VLOOKUP(invoice[[#This Row],[شماره پیش فاکتور]],'[1]لیست پیش فاکتور ها'!$A:$D,4,0)</f>
        <v>1404/06/25</v>
      </c>
      <c r="E116" s="2">
        <f>VLOOKUP(invoice[[#This Row],[شماره پیش فاکتور]],[1]!invoice[[شماره پیش فاکتور]:[میزان سفارش]],5,0)</f>
        <v>20000</v>
      </c>
      <c r="F116" s="2">
        <f>VLOOKUP(invoice[[#This Row],[شماره پیش فاکتور]],[1]!invoice[[شماره پیش فاکتور]:[فی]],6,0)</f>
        <v>167500</v>
      </c>
      <c r="G116" s="3" t="str">
        <f>CHOOSE(MID(invoice[[#This Row],[تاریخ]],6,2),"فروردین","اردیبهشت","خرداد","تیر","مرداد","شهریور","مهر","آبان","آذر","دی","بهمن","اسفند")</f>
        <v>شهریور</v>
      </c>
      <c r="H116" s="3">
        <f>_xlfn.NUMBERVALUE(MID(invoice[[#This Row],[تاریخ]],1,4))</f>
        <v>1404</v>
      </c>
      <c r="I116" s="130" t="str">
        <f>VLOOKUP(invoice[[#This Row],[شماره پیش فاکتور]],[1]!invoice[[شماره پیش فاکتور]:[نوع سفارش]],9,0)</f>
        <v>بورس</v>
      </c>
      <c r="J116" s="3" t="str">
        <f>VLOOKUP(invoice[[#This Row],[شماره پیش فاکتور]],[1]!invoice[[شماره پیش فاکتور]:[نوع شرکت]],10,0)</f>
        <v>تولید کننده</v>
      </c>
      <c r="K116" s="132">
        <v>46101</v>
      </c>
      <c r="L116" s="77">
        <v>0.1</v>
      </c>
      <c r="M116" s="78">
        <v>3685000000</v>
      </c>
      <c r="N116" s="78">
        <f>invoice[[#This Row],[مبلغ پیش دریافت]]/invoice[[#This Row],[میزان سفارش]]</f>
        <v>184250</v>
      </c>
      <c r="O116" s="144">
        <f>SUMIF([1]!bargiri[شماره پیش فاکتور],[1]!invoice[[#This Row],[شماره پیش فاکتور]],[1]!bargiri[میزان بارگیری شده])/[1]!invoice[[#This Row],[میزان سفارش]]</f>
        <v>1</v>
      </c>
      <c r="P116" s="140" t="str">
        <f>VLOOKUP(invoice[[#This Row],[شماره پیش فاکتور]],[1]!invoice[[شماره پیش فاکتور]:[نوع سفارش]],9,0)</f>
        <v>بورس</v>
      </c>
      <c r="Q116" s="145">
        <f>SUMIFS('[1]جزییات بارگیری'!D:D,'[1]جزییات بارگیری'!C:C,[1]!invoice[[#This Row],[شماره پیش فاکتور]])</f>
        <v>50000</v>
      </c>
      <c r="R116" s="145">
        <f>IF([1]!invoice[[#This Row],[میزان سفارش]]-[1]!invoice[[#This Row],[میزان حمل شده ]]&lt;0,0,[1]!invoice[[#This Row],[میزان سفارش]]-[1]!invoice[[#This Row],[میزان حمل شده ]])</f>
        <v>0</v>
      </c>
      <c r="S116" s="145">
        <f>[1]!invoice[[#This Row],[میزان حمل نشده ]]*[1]!invoice[[#This Row],[فی]]</f>
        <v>0</v>
      </c>
      <c r="T116" s="140"/>
    </row>
    <row r="117" spans="1:20" ht="20.399999999999999" x14ac:dyDescent="0.25">
      <c r="A117" s="81" t="s">
        <v>714</v>
      </c>
      <c r="B117" s="81" t="s">
        <v>70</v>
      </c>
      <c r="C117" s="81" t="str">
        <f>VLOOKUP(invoice[[#This Row],[شماره پیش فاکتور]],[1]!invoice[[شماره پیش فاکتور]:[تاریخ]],3,0)</f>
        <v>1404/06/25</v>
      </c>
      <c r="D117" s="82" t="str">
        <f>VLOOKUP(invoice[[#This Row],[شماره پیش فاکتور]],'[1]لیست پیش فاکتور ها'!$A:$D,4,0)</f>
        <v>1404/06/25</v>
      </c>
      <c r="E117" s="2">
        <f>VLOOKUP(invoice[[#This Row],[شماره پیش فاکتور]],[1]!invoice[[شماره پیش فاکتور]:[میزان سفارش]],5,0)</f>
        <v>30000</v>
      </c>
      <c r="F117" s="2">
        <f>VLOOKUP(invoice[[#This Row],[شماره پیش فاکتور]],[1]!invoice[[شماره پیش فاکتور]:[فی]],6,0)</f>
        <v>167500</v>
      </c>
      <c r="G117" s="3" t="str">
        <f>CHOOSE(MID(invoice[[#This Row],[تاریخ]],6,2),"فروردین","اردیبهشت","خرداد","تیر","مرداد","شهریور","مهر","آبان","آذر","دی","بهمن","اسفند")</f>
        <v>شهریور</v>
      </c>
      <c r="H117" s="3">
        <f>_xlfn.NUMBERVALUE(MID(invoice[[#This Row],[تاریخ]],1,4))</f>
        <v>1404</v>
      </c>
      <c r="I117" s="130" t="str">
        <f>VLOOKUP(invoice[[#This Row],[شماره پیش فاکتور]],[1]!invoice[[شماره پیش فاکتور]:[نوع سفارش]],9,0)</f>
        <v>بورس</v>
      </c>
      <c r="J117" s="3" t="str">
        <f>VLOOKUP(invoice[[#This Row],[شماره پیش فاکتور]],[1]!invoice[[شماره پیش فاکتور]:[نوع شرکت]],10,0)</f>
        <v>تولید کننده</v>
      </c>
      <c r="K117" s="132">
        <v>46101</v>
      </c>
      <c r="L117" s="77">
        <v>0.1</v>
      </c>
      <c r="M117" s="78">
        <v>5527500000</v>
      </c>
      <c r="N117" s="78">
        <f>invoice[[#This Row],[مبلغ پیش دریافت]]/invoice[[#This Row],[میزان سفارش]]</f>
        <v>184250</v>
      </c>
      <c r="O117" s="144">
        <f>SUMIF([1]!bargiri[شماره پیش فاکتور],[1]!invoice[[#This Row],[شماره پیش فاکتور]],[1]!bargiri[میزان بارگیری شده])/[1]!invoice[[#This Row],[میزان سفارش]]</f>
        <v>1</v>
      </c>
      <c r="P117" s="140" t="str">
        <f>VLOOKUP(invoice[[#This Row],[شماره پیش فاکتور]],[1]!invoice[[شماره پیش فاکتور]:[نوع سفارش]],9,0)</f>
        <v>بورس</v>
      </c>
      <c r="Q117" s="145">
        <f>SUMIFS('[1]جزییات بارگیری'!D:D,'[1]جزییات بارگیری'!C:C,[1]!invoice[[#This Row],[شماره پیش فاکتور]])</f>
        <v>20000</v>
      </c>
      <c r="R117" s="145">
        <f>IF([1]!invoice[[#This Row],[میزان سفارش]]-[1]!invoice[[#This Row],[میزان حمل شده ]]&lt;0,0,[1]!invoice[[#This Row],[میزان سفارش]]-[1]!invoice[[#This Row],[میزان حمل شده ]])</f>
        <v>0</v>
      </c>
      <c r="S117" s="145">
        <f>[1]!invoice[[#This Row],[میزان حمل نشده ]]*[1]!invoice[[#This Row],[فی]]</f>
        <v>0</v>
      </c>
      <c r="T117" s="140"/>
    </row>
    <row r="118" spans="1:20" ht="20.399999999999999" x14ac:dyDescent="0.25">
      <c r="A118" s="81" t="s">
        <v>715</v>
      </c>
      <c r="B118" s="81" t="s">
        <v>67</v>
      </c>
      <c r="C118" s="81" t="str">
        <f>VLOOKUP(invoice[[#This Row],[شماره پیش فاکتور]],[1]!invoice[[شماره پیش فاکتور]:[تاریخ]],3,0)</f>
        <v>1404/07/08</v>
      </c>
      <c r="D118" s="82" t="str">
        <f>VLOOKUP(invoice[[#This Row],[شماره پیش فاکتور]],'[1]لیست پیش فاکتور ها'!$A:$D,4,0)</f>
        <v>1404/07/08</v>
      </c>
      <c r="E118" s="2">
        <f>VLOOKUP(invoice[[#This Row],[شماره پیش فاکتور]],[1]!invoice[[شماره پیش فاکتور]:[میزان سفارش]],5,0)</f>
        <v>100000</v>
      </c>
      <c r="F118" s="2">
        <f>VLOOKUP(invoice[[#This Row],[شماره پیش فاکتور]],[1]!invoice[[شماره پیش فاکتور]:[فی]],6,0)</f>
        <v>167500</v>
      </c>
      <c r="G118" s="3" t="str">
        <f>CHOOSE(MID(invoice[[#This Row],[تاریخ]],6,2),"فروردین","اردیبهشت","خرداد","تیر","مرداد","شهریور","مهر","آبان","آذر","دی","بهمن","اسفند")</f>
        <v>مهر</v>
      </c>
      <c r="H118" s="3">
        <f>_xlfn.NUMBERVALUE(MID(invoice[[#This Row],[تاریخ]],1,4))</f>
        <v>1404</v>
      </c>
      <c r="I118" s="130" t="str">
        <f>VLOOKUP(invoice[[#This Row],[شماره پیش فاکتور]],[1]!invoice[[شماره پیش فاکتور]:[نوع سفارش]],9,0)</f>
        <v>بورس</v>
      </c>
      <c r="J118" s="3" t="str">
        <f>VLOOKUP(invoice[[#This Row],[شماره پیش فاکتور]],[1]!invoice[[شماره پیش فاکتور]:[نوع شرکت]],10,0)</f>
        <v>تولید کننده</v>
      </c>
      <c r="K118" s="132">
        <v>46101</v>
      </c>
      <c r="L118" s="77">
        <v>0.1</v>
      </c>
      <c r="M118" s="78">
        <v>18425000000</v>
      </c>
      <c r="N118" s="78">
        <f>invoice[[#This Row],[مبلغ پیش دریافت]]/invoice[[#This Row],[میزان سفارش]]</f>
        <v>184250</v>
      </c>
      <c r="O118" s="144">
        <f>SUMIF([1]!bargiri[شماره پیش فاکتور],[1]!invoice[[#This Row],[شماره پیش فاکتور]],[1]!bargiri[میزان بارگیری شده])/[1]!invoice[[#This Row],[میزان سفارش]]</f>
        <v>1</v>
      </c>
      <c r="P118" s="140" t="str">
        <f>VLOOKUP(invoice[[#This Row],[شماره پیش فاکتور]],[1]!invoice[[شماره پیش فاکتور]:[نوع سفارش]],9,0)</f>
        <v>بورس</v>
      </c>
      <c r="Q118" s="145">
        <f>SUMIFS('[1]جزییات بارگیری'!D:D,'[1]جزییات بارگیری'!C:C,[1]!invoice[[#This Row],[شماره پیش فاکتور]])</f>
        <v>30000</v>
      </c>
      <c r="R118" s="145">
        <f>IF([1]!invoice[[#This Row],[میزان سفارش]]-[1]!invoice[[#This Row],[میزان حمل شده ]]&lt;0,0,[1]!invoice[[#This Row],[میزان سفارش]]-[1]!invoice[[#This Row],[میزان حمل شده ]])</f>
        <v>0</v>
      </c>
      <c r="S118" s="145">
        <f>[1]!invoice[[#This Row],[میزان حمل نشده ]]*[1]!invoice[[#This Row],[فی]]</f>
        <v>0</v>
      </c>
      <c r="T118" s="140"/>
    </row>
    <row r="119" spans="1:20" ht="20.399999999999999" x14ac:dyDescent="0.25">
      <c r="A119" s="81" t="s">
        <v>717</v>
      </c>
      <c r="B119" s="81" t="s">
        <v>40</v>
      </c>
      <c r="C119" s="81" t="str">
        <f>VLOOKUP(invoice[[#This Row],[شماره پیش فاکتور]],[1]!invoice[[شماره پیش فاکتور]:[تاریخ]],3,0)</f>
        <v>1404/07/01</v>
      </c>
      <c r="D119" s="82">
        <f>VLOOKUP(invoice[[#This Row],[شماره پیش فاکتور]],'[1]لیست پیش فاکتور ها'!$A:$D,4,0)</f>
        <v>45929</v>
      </c>
      <c r="E119" s="2">
        <f>VLOOKUP(invoice[[#This Row],[شماره پیش فاکتور]],[1]!invoice[[شماره پیش فاکتور]:[میزان سفارش]],5,0)</f>
        <v>20000</v>
      </c>
      <c r="F119" s="2">
        <f>VLOOKUP(invoice[[#This Row],[شماره پیش فاکتور]],[1]!invoice[[شماره پیش فاکتور]:[فی]],6,0)</f>
        <v>116500</v>
      </c>
      <c r="G119" s="3" t="str">
        <f>CHOOSE(MID(invoice[[#This Row],[تاریخ]],6,2),"فروردین","اردیبهشت","خرداد","تیر","مرداد","شهریور","مهر","آبان","آذر","دی","بهمن","اسفند")</f>
        <v>مهر</v>
      </c>
      <c r="H119" s="3">
        <f>_xlfn.NUMBERVALUE(MID(invoice[[#This Row],[تاریخ]],1,4))</f>
        <v>1404</v>
      </c>
      <c r="I119" s="130" t="str">
        <f>VLOOKUP(invoice[[#This Row],[شماره پیش فاکتور]],[1]!invoice[[شماره پیش فاکتور]:[نوع سفارش]],9,0)</f>
        <v>تعادلی</v>
      </c>
      <c r="J119" s="3" t="str">
        <f>VLOOKUP(invoice[[#This Row],[شماره پیش فاکتور]],[1]!invoice[[شماره پیش فاکتور]:[نوع شرکت]],10,0)</f>
        <v>تولید کننده</v>
      </c>
      <c r="K119" s="132">
        <v>46101</v>
      </c>
      <c r="L119" s="77">
        <v>0.1</v>
      </c>
      <c r="M119" s="78">
        <v>384450000</v>
      </c>
      <c r="N119" s="78">
        <f>invoice[[#This Row],[مبلغ پیش دریافت]]/invoice[[#This Row],[میزان سفارش]]</f>
        <v>19222.5</v>
      </c>
      <c r="O119" s="144">
        <f>SUMIF([1]!bargiri[شماره پیش فاکتور],[1]!invoice[[#This Row],[شماره پیش فاکتور]],[1]!bargiri[میزان بارگیری شده])/[1]!invoice[[#This Row],[میزان سفارش]]</f>
        <v>1</v>
      </c>
      <c r="P119" s="140" t="str">
        <f>VLOOKUP(invoice[[#This Row],[شماره پیش فاکتور]],[1]!invoice[[شماره پیش فاکتور]:[نوع سفارش]],9,0)</f>
        <v>تعادلی</v>
      </c>
      <c r="Q119" s="145">
        <f>SUMIFS('[1]جزییات بارگیری'!D:D,'[1]جزییات بارگیری'!C:C,[1]!invoice[[#This Row],[شماره پیش فاکتور]])</f>
        <v>50000</v>
      </c>
      <c r="R119" s="145">
        <f>IF([1]!invoice[[#This Row],[میزان سفارش]]-[1]!invoice[[#This Row],[میزان حمل شده ]]&lt;0,0,[1]!invoice[[#This Row],[میزان سفارش]]-[1]!invoice[[#This Row],[میزان حمل شده ]])</f>
        <v>0</v>
      </c>
      <c r="S119" s="145">
        <f>[1]!invoice[[#This Row],[میزان حمل نشده ]]*[1]!invoice[[#This Row],[فی]]</f>
        <v>0</v>
      </c>
      <c r="T119" s="140"/>
    </row>
    <row r="120" spans="1:20" ht="20.399999999999999" x14ac:dyDescent="0.25">
      <c r="A120" s="81" t="s">
        <v>719</v>
      </c>
      <c r="B120" s="81" t="s">
        <v>70</v>
      </c>
      <c r="C120" s="81" t="str">
        <f>VLOOKUP(invoice[[#This Row],[شماره پیش فاکتور]],[1]!invoice[[شماره پیش فاکتور]:[تاریخ]],3,0)</f>
        <v>1404/07/01</v>
      </c>
      <c r="D120" s="82" t="str">
        <f>VLOOKUP(invoice[[#This Row],[شماره پیش فاکتور]],'[1]لیست پیش فاکتور ها'!$A:$D,4,0)</f>
        <v>1404/07/07</v>
      </c>
      <c r="E120" s="2">
        <f>VLOOKUP(invoice[[#This Row],[شماره پیش فاکتور]],[1]!invoice[[شماره پیش فاکتور]:[میزان سفارش]],5,0)</f>
        <v>30000</v>
      </c>
      <c r="F120" s="2">
        <f>VLOOKUP(invoice[[#This Row],[شماره پیش فاکتور]],[1]!invoice[[شماره پیش فاکتور]:[فی]],6,0)</f>
        <v>116500</v>
      </c>
      <c r="G120" s="3" t="str">
        <f>CHOOSE(MID(invoice[[#This Row],[تاریخ]],6,2),"فروردین","اردیبهشت","خرداد","تیر","مرداد","شهریور","مهر","آبان","آذر","دی","بهمن","اسفند")</f>
        <v>مهر</v>
      </c>
      <c r="H120" s="3">
        <f>_xlfn.NUMBERVALUE(MID(invoice[[#This Row],[تاریخ]],1,4))</f>
        <v>1404</v>
      </c>
      <c r="I120" s="130" t="str">
        <f>VLOOKUP(invoice[[#This Row],[شماره پیش فاکتور]],[1]!invoice[[شماره پیش فاکتور]:[نوع سفارش]],9,0)</f>
        <v>تعادلی</v>
      </c>
      <c r="J120" s="3" t="str">
        <f>VLOOKUP(invoice[[#This Row],[شماره پیش فاکتور]],[1]!invoice[[شماره پیش فاکتور]:[نوع شرکت]],10,0)</f>
        <v>تولید کننده</v>
      </c>
      <c r="K120" s="132">
        <v>46101</v>
      </c>
      <c r="L120" s="77">
        <v>0.1</v>
      </c>
      <c r="M120" s="78">
        <v>576675000</v>
      </c>
      <c r="N120" s="78">
        <f>invoice[[#This Row],[مبلغ پیش دریافت]]/invoice[[#This Row],[میزان سفارش]]</f>
        <v>19222.5</v>
      </c>
      <c r="O120" s="144">
        <f>SUMIF([1]!bargiri[شماره پیش فاکتور],[1]!invoice[[#This Row],[شماره پیش فاکتور]],[1]!bargiri[میزان بارگیری شده])/[1]!invoice[[#This Row],[میزان سفارش]]</f>
        <v>1</v>
      </c>
      <c r="P120" s="140" t="str">
        <f>VLOOKUP(invoice[[#This Row],[شماره پیش فاکتور]],[1]!invoice[[شماره پیش فاکتور]:[نوع سفارش]],9,0)</f>
        <v>تعادلی</v>
      </c>
      <c r="Q120" s="145">
        <f>SUMIFS('[1]جزییات بارگیری'!D:D,'[1]جزییات بارگیری'!C:C,[1]!invoice[[#This Row],[شماره پیش فاکتور]])</f>
        <v>75000</v>
      </c>
      <c r="R120" s="145">
        <f>IF([1]!invoice[[#This Row],[میزان سفارش]]-[1]!invoice[[#This Row],[میزان حمل شده ]]&lt;0,0,[1]!invoice[[#This Row],[میزان سفارش]]-[1]!invoice[[#This Row],[میزان حمل شده ]])</f>
        <v>0</v>
      </c>
      <c r="S120" s="145">
        <f>[1]!invoice[[#This Row],[میزان حمل نشده ]]*[1]!invoice[[#This Row],[فی]]</f>
        <v>0</v>
      </c>
      <c r="T120" s="140"/>
    </row>
    <row r="121" spans="1:20" ht="20.399999999999999" x14ac:dyDescent="0.25">
      <c r="A121" s="81" t="s">
        <v>720</v>
      </c>
      <c r="B121" s="81" t="s">
        <v>20</v>
      </c>
      <c r="C121" s="81" t="str">
        <f>VLOOKUP(invoice[[#This Row],[شماره پیش فاکتور]],[1]!invoice[[شماره پیش فاکتور]:[تاریخ]],3,0)</f>
        <v>1404/07/26</v>
      </c>
      <c r="D121" s="82" t="str">
        <f>VLOOKUP(invoice[[#This Row],[شماره پیش فاکتور]],'[1]لیست پیش فاکتور ها'!$A:$D,4,0)</f>
        <v>1404/08/02</v>
      </c>
      <c r="E121" s="2">
        <f>VLOOKUP(invoice[[#This Row],[شماره پیش فاکتور]],[1]!invoice[[شماره پیش فاکتور]:[میزان سفارش]],5,0)</f>
        <v>1000000</v>
      </c>
      <c r="F121" s="2">
        <f>VLOOKUP(invoice[[#This Row],[شماره پیش فاکتور]],[1]!invoice[[شماره پیش فاکتور]:[فی]],6,0)</f>
        <v>105000</v>
      </c>
      <c r="G121" s="3" t="str">
        <f>CHOOSE(MID(invoice[[#This Row],[تاریخ]],6,2),"فروردین","اردیبهشت","خرداد","تیر","مرداد","شهریور","مهر","آبان","آذر","دی","بهمن","اسفند")</f>
        <v>مهر</v>
      </c>
      <c r="H121" s="3">
        <f>_xlfn.NUMBERVALUE(MID(invoice[[#This Row],[تاریخ]],1,4))</f>
        <v>1404</v>
      </c>
      <c r="I121" s="130" t="str">
        <f>VLOOKUP(invoice[[#This Row],[شماره پیش فاکتور]],[1]!invoice[[شماره پیش فاکتور]:[نوع سفارش]],9,0)</f>
        <v>عادی</v>
      </c>
      <c r="J121" s="3" t="str">
        <f>VLOOKUP(invoice[[#This Row],[شماره پیش فاکتور]],[1]!invoice[[شماره پیش فاکتور]:[نوع شرکت]],10,0)</f>
        <v>تولید کننده</v>
      </c>
      <c r="K121" s="82">
        <v>46466</v>
      </c>
      <c r="L121" s="77">
        <v>0.1</v>
      </c>
      <c r="M121" s="78">
        <v>52500000000</v>
      </c>
      <c r="N121" s="78">
        <f>invoice[[#This Row],[مبلغ پیش دریافت]]/invoice[[#This Row],[میزان سفارش]]</f>
        <v>52500</v>
      </c>
      <c r="O121" s="144">
        <f>SUMIF([1]!bargiri[شماره پیش فاکتور],[1]!invoice[[#This Row],[شماره پیش فاکتور]],[1]!bargiri[میزان بارگیری شده])/[1]!invoice[[#This Row],[میزان سفارش]]</f>
        <v>0</v>
      </c>
      <c r="P121" s="140" t="str">
        <f>VLOOKUP(invoice[[#This Row],[شماره پیش فاکتور]],[1]!invoice[[شماره پیش فاکتور]:[نوع سفارش]],9,0)</f>
        <v>عادی</v>
      </c>
      <c r="Q121" s="145">
        <f>SUMIFS('[1]جزییات بارگیری'!D:D,'[1]جزییات بارگیری'!C:C,[1]!invoice[[#This Row],[شماره پیش فاکتور]])</f>
        <v>0</v>
      </c>
      <c r="R121" s="145">
        <f>IF([1]!invoice[[#This Row],[میزان سفارش]]-[1]!invoice[[#This Row],[میزان حمل شده ]]&lt;0,0,[1]!invoice[[#This Row],[میزان سفارش]]-[1]!invoice[[#This Row],[میزان حمل شده ]])</f>
        <v>50000</v>
      </c>
      <c r="S121" s="145">
        <f>[1]!invoice[[#This Row],[میزان حمل نشده ]]*[1]!invoice[[#This Row],[فی]]</f>
        <v>6645000000</v>
      </c>
      <c r="T121" s="140"/>
    </row>
    <row r="122" spans="1:20" ht="20.399999999999999" x14ac:dyDescent="0.25">
      <c r="A122" s="81" t="s">
        <v>723</v>
      </c>
      <c r="B122" s="81" t="s">
        <v>116</v>
      </c>
      <c r="C122" s="81" t="str">
        <f>VLOOKUP(invoice[[#This Row],[شماره پیش فاکتور]],[1]!invoice[[شماره پیش فاکتور]:[تاریخ]],3,0)</f>
        <v>1404/07/26</v>
      </c>
      <c r="D122" s="82" t="str">
        <f>VLOOKUP(invoice[[#This Row],[شماره پیش فاکتور]],'[1]لیست پیش فاکتور ها'!$A:$D,4,0)</f>
        <v>1404/08/02</v>
      </c>
      <c r="E122" s="2">
        <f>VLOOKUP(invoice[[#This Row],[شماره پیش فاکتور]],[1]!invoice[[شماره پیش فاکتور]:[میزان سفارش]],5,0)</f>
        <v>1000000</v>
      </c>
      <c r="F122" s="2">
        <f>VLOOKUP(invoice[[#This Row],[شماره پیش فاکتور]],[1]!invoice[[شماره پیش فاکتور]:[فی]],6,0)</f>
        <v>105000</v>
      </c>
      <c r="G122" s="3" t="str">
        <f>CHOOSE(MID(invoice[[#This Row],[تاریخ]],6,2),"فروردین","اردیبهشت","خرداد","تیر","مرداد","شهریور","مهر","آبان","آذر","دی","بهمن","اسفند")</f>
        <v>مهر</v>
      </c>
      <c r="H122" s="3">
        <f>_xlfn.NUMBERVALUE(MID(invoice[[#This Row],[تاریخ]],1,4))</f>
        <v>1404</v>
      </c>
      <c r="I122" s="130" t="str">
        <f>VLOOKUP(invoice[[#This Row],[شماره پیش فاکتور]],[1]!invoice[[شماره پیش فاکتور]:[نوع سفارش]],9,0)</f>
        <v>عادی</v>
      </c>
      <c r="J122" s="3" t="str">
        <f>VLOOKUP(invoice[[#This Row],[شماره پیش فاکتور]],[1]!invoice[[شماره پیش فاکتور]:[نوع شرکت]],10,0)</f>
        <v>تولید کننده</v>
      </c>
      <c r="K122" s="132">
        <v>46466</v>
      </c>
      <c r="L122" s="77">
        <v>0.1</v>
      </c>
      <c r="M122" s="78">
        <v>52500000000</v>
      </c>
      <c r="N122" s="78">
        <f>invoice[[#This Row],[مبلغ پیش دریافت]]/invoice[[#This Row],[میزان سفارش]]</f>
        <v>52500</v>
      </c>
      <c r="O122" s="144">
        <f>SUMIF([1]!bargiri[شماره پیش فاکتور],[1]!invoice[[#This Row],[شماره پیش فاکتور]],[1]!bargiri[میزان بارگیری شده])/[1]!invoice[[#This Row],[میزان سفارش]]</f>
        <v>1</v>
      </c>
      <c r="P122" s="140" t="str">
        <f>VLOOKUP(invoice[[#This Row],[شماره پیش فاکتور]],[1]!invoice[[شماره پیش فاکتور]:[نوع سفارش]],9,0)</f>
        <v>عادی</v>
      </c>
      <c r="Q122" s="145">
        <f>SUMIFS('[1]جزییات بارگیری'!D:D,'[1]جزییات بارگیری'!C:C,[1]!invoice[[#This Row],[شماره پیش فاکتور]])</f>
        <v>857945</v>
      </c>
      <c r="R122" s="145">
        <f>IF([1]!invoice[[#This Row],[میزان سفارش]]-[1]!invoice[[#This Row],[میزان حمل شده ]]&lt;0,0,[1]!invoice[[#This Row],[میزان سفارش]]-[1]!invoice[[#This Row],[میزان حمل شده ]])</f>
        <v>0</v>
      </c>
      <c r="S122" s="145">
        <f>[1]!invoice[[#This Row],[میزان حمل نشده ]]*[1]!invoice[[#This Row],[فی]]</f>
        <v>0</v>
      </c>
      <c r="T122" s="140"/>
    </row>
    <row r="123" spans="1:20" ht="20.399999999999999" x14ac:dyDescent="0.25">
      <c r="A123" s="81" t="s">
        <v>724</v>
      </c>
      <c r="B123" s="81" t="s">
        <v>30</v>
      </c>
      <c r="C123" s="81" t="str">
        <f>VLOOKUP(invoice[[#This Row],[شماره پیش فاکتور]],[1]!invoice[[شماره پیش فاکتور]:[تاریخ]],3,0)</f>
        <v>1404/08/03</v>
      </c>
      <c r="D123" s="82" t="str">
        <f>VLOOKUP(invoice[[#This Row],[شماره پیش فاکتور]],'[1]لیست پیش فاکتور ها'!$A:$D,4,0)</f>
        <v>1405/01/01</v>
      </c>
      <c r="E123" s="2">
        <f>VLOOKUP(invoice[[#This Row],[شماره پیش فاکتور]],[1]!invoice[[شماره پیش فاکتور]:[میزان سفارش]],5,0)</f>
        <v>500000</v>
      </c>
      <c r="F123" s="2">
        <f>VLOOKUP(invoice[[#This Row],[شماره پیش فاکتور]],[1]!invoice[[شماره پیش فاکتور]:[فی]],6,0)</f>
        <v>108000</v>
      </c>
      <c r="G123" s="3" t="str">
        <f>CHOOSE(MID(invoice[[#This Row],[تاریخ]],6,2),"فروردین","اردیبهشت","خرداد","تیر","مرداد","شهریور","مهر","آبان","آذر","دی","بهمن","اسفند")</f>
        <v>آبان</v>
      </c>
      <c r="H123" s="3">
        <f>_xlfn.NUMBERVALUE(MID(invoice[[#This Row],[تاریخ]],1,4))</f>
        <v>1404</v>
      </c>
      <c r="I123" s="130" t="str">
        <f>VLOOKUP(invoice[[#This Row],[شماره پیش فاکتور]],[1]!invoice[[شماره پیش فاکتور]:[نوع سفارش]],9,0)</f>
        <v>عادی</v>
      </c>
      <c r="J123" s="3" t="str">
        <f>VLOOKUP(invoice[[#This Row],[شماره پیش فاکتور]],[1]!invoice[[شماره پیش فاکتور]:[نوع شرکت]],10,0)</f>
        <v>تولید کننده</v>
      </c>
      <c r="K123" s="132">
        <v>46466</v>
      </c>
      <c r="L123" s="77">
        <v>0.1</v>
      </c>
      <c r="M123" s="78">
        <v>29700000000</v>
      </c>
      <c r="N123" s="78">
        <f>invoice[[#This Row],[مبلغ پیش دریافت]]/invoice[[#This Row],[میزان سفارش]]</f>
        <v>59400</v>
      </c>
      <c r="O123" s="144">
        <f>SUMIF([1]!bargiri[شماره پیش فاکتور],[1]!invoice[[#This Row],[شماره پیش فاکتور]],[1]!bargiri[میزان بارگیری شده])/[1]!invoice[[#This Row],[میزان سفارش]]</f>
        <v>1</v>
      </c>
      <c r="P123" s="140" t="str">
        <f>VLOOKUP(invoice[[#This Row],[شماره پیش فاکتور]],[1]!invoice[[شماره پیش فاکتور]:[نوع سفارش]],9,0)</f>
        <v>عادی</v>
      </c>
      <c r="Q123" s="145">
        <f>SUMIFS('[1]جزییات بارگیری'!D:D,'[1]جزییات بارگیری'!C:C,[1]!invoice[[#This Row],[شماره پیش فاکتور]])</f>
        <v>40000</v>
      </c>
      <c r="R123" s="145">
        <f>IF([1]!invoice[[#This Row],[میزان سفارش]]-[1]!invoice[[#This Row],[میزان حمل شده ]]&lt;0,0,[1]!invoice[[#This Row],[میزان سفارش]]-[1]!invoice[[#This Row],[میزان حمل شده ]])</f>
        <v>0</v>
      </c>
      <c r="S123" s="145">
        <f>[1]!invoice[[#This Row],[میزان حمل نشده ]]*[1]!invoice[[#This Row],[فی]]</f>
        <v>0</v>
      </c>
      <c r="T123" s="140"/>
    </row>
    <row r="124" spans="1:20" ht="20.399999999999999" x14ac:dyDescent="0.25">
      <c r="A124" s="81" t="s">
        <v>726</v>
      </c>
      <c r="B124" s="81" t="s">
        <v>67</v>
      </c>
      <c r="C124" s="81" t="str">
        <f>VLOOKUP(invoice[[#This Row],[شماره پیش فاکتور]],[1]!invoice[[شماره پیش فاکتور]:[تاریخ]],3,0)</f>
        <v>1404/08/07</v>
      </c>
      <c r="D124" s="82" t="str">
        <f>VLOOKUP(invoice[[#This Row],[شماره پیش فاکتور]],'[1]لیست پیش فاکتور ها'!$A:$D,4,0)</f>
        <v>1404/08/07</v>
      </c>
      <c r="E124" s="2">
        <f>VLOOKUP(invoice[[#This Row],[شماره پیش فاکتور]],[1]!invoice[[شماره پیش فاکتور]:[میزان سفارش]],5,0)</f>
        <v>20000</v>
      </c>
      <c r="F124" s="2">
        <f>VLOOKUP(invoice[[#This Row],[شماره پیش فاکتور]],[1]!invoice[[شماره پیش فاکتور]:[فی]],6,0)</f>
        <v>167500</v>
      </c>
      <c r="G124" s="3" t="str">
        <f>CHOOSE(MID(invoice[[#This Row],[تاریخ]],6,2),"فروردین","اردیبهشت","خرداد","تیر","مرداد","شهریور","مهر","آبان","آذر","دی","بهمن","اسفند")</f>
        <v>آبان</v>
      </c>
      <c r="H124" s="3">
        <f>_xlfn.NUMBERVALUE(MID(invoice[[#This Row],[تاریخ]],1,4))</f>
        <v>1404</v>
      </c>
      <c r="I124" s="130" t="str">
        <f>VLOOKUP(invoice[[#This Row],[شماره پیش فاکتور]],[1]!invoice[[شماره پیش فاکتور]:[نوع سفارش]],9,0)</f>
        <v>بورس</v>
      </c>
      <c r="J124" s="3" t="str">
        <f>VLOOKUP(invoice[[#This Row],[شماره پیش فاکتور]],[1]!invoice[[شماره پیش فاکتور]:[نوع شرکت]],10,0)</f>
        <v>تولید کننده</v>
      </c>
      <c r="K124" s="132">
        <v>46101</v>
      </c>
      <c r="L124" s="77">
        <v>0.1</v>
      </c>
      <c r="M124" s="78">
        <v>3685000000</v>
      </c>
      <c r="N124" s="78">
        <f>invoice[[#This Row],[مبلغ پیش دریافت]]/invoice[[#This Row],[میزان سفارش]]</f>
        <v>184250</v>
      </c>
      <c r="O124" s="144">
        <f>SUMIF([1]!bargiri[شماره پیش فاکتور],[1]!invoice[[#This Row],[شماره پیش فاکتور]],[1]!bargiri[میزان بارگیری شده])/[1]!invoice[[#This Row],[میزان سفارش]]</f>
        <v>1</v>
      </c>
      <c r="P124" s="140" t="str">
        <f>VLOOKUP(invoice[[#This Row],[شماره پیش فاکتور]],[1]!invoice[[شماره پیش فاکتور]:[نوع سفارش]],9,0)</f>
        <v>بورس</v>
      </c>
      <c r="Q124" s="145">
        <f>SUMIFS('[1]جزییات بارگیری'!D:D,'[1]جزییات بارگیری'!C:C,[1]!invoice[[#This Row],[شماره پیش فاکتور]])</f>
        <v>40000</v>
      </c>
      <c r="R124" s="145">
        <f>IF([1]!invoice[[#This Row],[میزان سفارش]]-[1]!invoice[[#This Row],[میزان حمل شده ]]&lt;0,0,[1]!invoice[[#This Row],[میزان سفارش]]-[1]!invoice[[#This Row],[میزان حمل شده ]])</f>
        <v>0</v>
      </c>
      <c r="S124" s="145">
        <f>[1]!invoice[[#This Row],[میزان حمل نشده ]]*[1]!invoice[[#This Row],[فی]]</f>
        <v>0</v>
      </c>
      <c r="T124" s="140"/>
    </row>
    <row r="125" spans="1:20" ht="20.399999999999999" x14ac:dyDescent="0.25">
      <c r="A125" s="81" t="s">
        <v>728</v>
      </c>
      <c r="B125" s="81" t="s">
        <v>40</v>
      </c>
      <c r="C125" s="81" t="str">
        <f>VLOOKUP(invoice[[#This Row],[شماره پیش فاکتور]],[1]!invoice[[شماره پیش فاکتور]:[تاریخ]],3,0)</f>
        <v>1404/08/07</v>
      </c>
      <c r="D125" s="82" t="str">
        <f>VLOOKUP(invoice[[#This Row],[شماره پیش فاکتور]],'[1]لیست پیش فاکتور ها'!$A:$D,4,0)</f>
        <v>1404/08/07</v>
      </c>
      <c r="E125" s="2">
        <f>VLOOKUP(invoice[[#This Row],[شماره پیش فاکتور]],[1]!invoice[[شماره پیش فاکتور]:[میزان سفارش]],5,0)</f>
        <v>30000</v>
      </c>
      <c r="F125" s="2">
        <f>VLOOKUP(invoice[[#This Row],[شماره پیش فاکتور]],[1]!invoice[[شماره پیش فاکتور]:[فی]],6,0)</f>
        <v>167500</v>
      </c>
      <c r="G125" s="3" t="str">
        <f>CHOOSE(MID(invoice[[#This Row],[تاریخ]],6,2),"فروردین","اردیبهشت","خرداد","تیر","مرداد","شهریور","مهر","آبان","آذر","دی","بهمن","اسفند")</f>
        <v>آبان</v>
      </c>
      <c r="H125" s="3">
        <f>_xlfn.NUMBERVALUE(MID(invoice[[#This Row],[تاریخ]],1,4))</f>
        <v>1404</v>
      </c>
      <c r="I125" s="130" t="str">
        <f>VLOOKUP(invoice[[#This Row],[شماره پیش فاکتور]],[1]!invoice[[شماره پیش فاکتور]:[نوع سفارش]],9,0)</f>
        <v>بورس</v>
      </c>
      <c r="J125" s="3" t="str">
        <f>VLOOKUP(invoice[[#This Row],[شماره پیش فاکتور]],[1]!invoice[[شماره پیش فاکتور]:[نوع شرکت]],10,0)</f>
        <v>تولید کننده</v>
      </c>
      <c r="K125" s="132">
        <v>46101</v>
      </c>
      <c r="L125" s="77">
        <v>0.1</v>
      </c>
      <c r="M125" s="78">
        <v>5527500000</v>
      </c>
      <c r="N125" s="78">
        <f>invoice[[#This Row],[مبلغ پیش دریافت]]/invoice[[#This Row],[میزان سفارش]]</f>
        <v>184250</v>
      </c>
      <c r="O125" s="144">
        <f>SUMIF([1]!bargiri[شماره پیش فاکتور],[1]!invoice[[#This Row],[شماره پیش فاکتور]],[1]!bargiri[میزان بارگیری شده])/[1]!invoice[[#This Row],[میزان سفارش]]</f>
        <v>1</v>
      </c>
      <c r="P125" s="140" t="str">
        <f>VLOOKUP(invoice[[#This Row],[شماره پیش فاکتور]],[1]!invoice[[شماره پیش فاکتور]:[نوع سفارش]],9,0)</f>
        <v>بورس</v>
      </c>
      <c r="Q125" s="145">
        <f>SUMIFS('[1]جزییات بارگیری'!D:D,'[1]جزییات بارگیری'!C:C,[1]!invoice[[#This Row],[شماره پیش فاکتور]])</f>
        <v>20000</v>
      </c>
      <c r="R125" s="145">
        <f>IF([1]!invoice[[#This Row],[میزان سفارش]]-[1]!invoice[[#This Row],[میزان حمل شده ]]&lt;0,0,[1]!invoice[[#This Row],[میزان سفارش]]-[1]!invoice[[#This Row],[میزان حمل شده ]])</f>
        <v>0</v>
      </c>
      <c r="S125" s="145">
        <f>[1]!invoice[[#This Row],[میزان حمل نشده ]]*[1]!invoice[[#This Row],[فی]]</f>
        <v>0</v>
      </c>
      <c r="T125" s="140"/>
    </row>
    <row r="126" spans="1:20" ht="20.399999999999999" x14ac:dyDescent="0.25">
      <c r="A126" s="81" t="s">
        <v>729</v>
      </c>
      <c r="B126" s="81" t="s">
        <v>17</v>
      </c>
      <c r="C126" s="81" t="str">
        <f>VLOOKUP(invoice[[#This Row],[شماره پیش فاکتور]],[1]!invoice[[شماره پیش فاکتور]:[تاریخ]],3,0)</f>
        <v>1404/08/07</v>
      </c>
      <c r="D126" s="82" t="str">
        <f>VLOOKUP(invoice[[#This Row],[شماره پیش فاکتور]],'[1]لیست پیش فاکتور ها'!$A:$D,4,0)</f>
        <v>1404/08/07</v>
      </c>
      <c r="E126" s="2">
        <f>VLOOKUP(invoice[[#This Row],[شماره پیش فاکتور]],[1]!invoice[[شماره پیش فاکتور]:[میزان سفارش]],5,0)</f>
        <v>30000</v>
      </c>
      <c r="F126" s="2">
        <f>VLOOKUP(invoice[[#This Row],[شماره پیش فاکتور]],[1]!invoice[[شماره پیش فاکتور]:[فی]],6,0)</f>
        <v>167500</v>
      </c>
      <c r="G126" s="3" t="str">
        <f>CHOOSE(MID(invoice[[#This Row],[تاریخ]],6,2),"فروردین","اردیبهشت","خرداد","تیر","مرداد","شهریور","مهر","آبان","آذر","دی","بهمن","اسفند")</f>
        <v>آبان</v>
      </c>
      <c r="H126" s="3">
        <f>_xlfn.NUMBERVALUE(MID(invoice[[#This Row],[تاریخ]],1,4))</f>
        <v>1404</v>
      </c>
      <c r="I126" s="130" t="str">
        <f>VLOOKUP(invoice[[#This Row],[شماره پیش فاکتور]],[1]!invoice[[شماره پیش فاکتور]:[نوع سفارش]],9,0)</f>
        <v>بورس</v>
      </c>
      <c r="J126" s="3" t="str">
        <f>VLOOKUP(invoice[[#This Row],[شماره پیش فاکتور]],[1]!invoice[[شماره پیش فاکتور]:[نوع شرکت]],10,0)</f>
        <v>تولید کننده</v>
      </c>
      <c r="K126" s="132">
        <v>46101</v>
      </c>
      <c r="L126" s="77">
        <v>0.1</v>
      </c>
      <c r="M126" s="78">
        <v>5527500000</v>
      </c>
      <c r="N126" s="78">
        <f>invoice[[#This Row],[مبلغ پیش دریافت]]/invoice[[#This Row],[میزان سفارش]]</f>
        <v>184250</v>
      </c>
      <c r="O126" s="144">
        <f>SUMIF([1]!bargiri[شماره پیش فاکتور],[1]!invoice[[#This Row],[شماره پیش فاکتور]],[1]!bargiri[میزان بارگیری شده])/[1]!invoice[[#This Row],[میزان سفارش]]</f>
        <v>1</v>
      </c>
      <c r="P126" s="140" t="str">
        <f>VLOOKUP(invoice[[#This Row],[شماره پیش فاکتور]],[1]!invoice[[شماره پیش فاکتور]:[نوع سفارش]],9,0)</f>
        <v>بورس</v>
      </c>
      <c r="Q126" s="145">
        <f>SUMIFS('[1]جزییات بارگیری'!D:D,'[1]جزییات بارگیری'!C:C,[1]!invoice[[#This Row],[شماره پیش فاکتور]])</f>
        <v>20000</v>
      </c>
      <c r="R126" s="145">
        <f>IF([1]!invoice[[#This Row],[میزان سفارش]]-[1]!invoice[[#This Row],[میزان حمل شده ]]&lt;0,0,[1]!invoice[[#This Row],[میزان سفارش]]-[1]!invoice[[#This Row],[میزان حمل شده ]])</f>
        <v>0</v>
      </c>
      <c r="S126" s="145">
        <f>[1]!invoice[[#This Row],[میزان حمل نشده ]]*[1]!invoice[[#This Row],[فی]]</f>
        <v>0</v>
      </c>
      <c r="T126" s="140"/>
    </row>
    <row r="127" spans="1:20" ht="20.399999999999999" x14ac:dyDescent="0.25">
      <c r="A127" s="81" t="s">
        <v>730</v>
      </c>
      <c r="B127" s="81" t="s">
        <v>67</v>
      </c>
      <c r="C127" s="81" t="str">
        <f>VLOOKUP(invoice[[#This Row],[شماره پیش فاکتور]],[1]!invoice[[شماره پیش فاکتور]:[تاریخ]],3,0)</f>
        <v>1404/08/17</v>
      </c>
      <c r="D127" s="82" t="str">
        <f>VLOOKUP(invoice[[#This Row],[شماره پیش فاکتور]],'[1]لیست پیش فاکتور ها'!$A:$D,4,0)</f>
        <v>1404/08/21</v>
      </c>
      <c r="E127" s="2">
        <f>VLOOKUP(invoice[[#This Row],[شماره پیش فاکتور]],[1]!invoice[[شماره پیش فاکتور]:[میزان سفارش]],5,0)</f>
        <v>20000</v>
      </c>
      <c r="F127" s="2">
        <f>VLOOKUP(invoice[[#This Row],[شماره پیش فاکتور]],[1]!invoice[[شماره پیش فاکتور]:[فی]],6,0)</f>
        <v>116500</v>
      </c>
      <c r="G127" s="3" t="str">
        <f>CHOOSE(MID(invoice[[#This Row],[تاریخ]],6,2),"فروردین","اردیبهشت","خرداد","تیر","مرداد","شهریور","مهر","آبان","آذر","دی","بهمن","اسفند")</f>
        <v>آبان</v>
      </c>
      <c r="H127" s="3">
        <f>_xlfn.NUMBERVALUE(MID(invoice[[#This Row],[تاریخ]],1,4))</f>
        <v>1404</v>
      </c>
      <c r="I127" s="130" t="str">
        <f>VLOOKUP(invoice[[#This Row],[شماره پیش فاکتور]],[1]!invoice[[شماره پیش فاکتور]:[نوع سفارش]],9,0)</f>
        <v>تعادلی</v>
      </c>
      <c r="J127" s="3" t="str">
        <f>VLOOKUP(invoice[[#This Row],[شماره پیش فاکتور]],[1]!invoice[[شماره پیش فاکتور]:[نوع شرکت]],10,0)</f>
        <v>تولید کننده</v>
      </c>
      <c r="K127" s="132">
        <v>46101</v>
      </c>
      <c r="L127" s="77">
        <v>0.1</v>
      </c>
      <c r="M127" s="78">
        <v>384450000</v>
      </c>
      <c r="N127" s="78">
        <f>invoice[[#This Row],[مبلغ پیش دریافت]]/invoice[[#This Row],[میزان سفارش]]</f>
        <v>19222.5</v>
      </c>
      <c r="O127" s="144">
        <f>SUMIF([1]!bargiri[شماره پیش فاکتور],[1]!invoice[[#This Row],[شماره پیش فاکتور]],[1]!bargiri[میزان بارگیری شده])/[1]!invoice[[#This Row],[میزان سفارش]]</f>
        <v>1</v>
      </c>
      <c r="P127" s="140" t="str">
        <f>VLOOKUP(invoice[[#This Row],[شماره پیش فاکتور]],[1]!invoice[[شماره پیش فاکتور]:[نوع سفارش]],9,0)</f>
        <v>تعادلی</v>
      </c>
      <c r="Q127" s="145">
        <f>SUMIFS('[1]جزییات بارگیری'!D:D,'[1]جزییات بارگیری'!C:C,[1]!invoice[[#This Row],[شماره پیش فاکتور]])</f>
        <v>30000</v>
      </c>
      <c r="R127" s="145">
        <f>IF([1]!invoice[[#This Row],[میزان سفارش]]-[1]!invoice[[#This Row],[میزان حمل شده ]]&lt;0,0,[1]!invoice[[#This Row],[میزان سفارش]]-[1]!invoice[[#This Row],[میزان حمل شده ]])</f>
        <v>0</v>
      </c>
      <c r="S127" s="145">
        <f>[1]!invoice[[#This Row],[میزان حمل نشده ]]*[1]!invoice[[#This Row],[فی]]</f>
        <v>0</v>
      </c>
      <c r="T127" s="140"/>
    </row>
    <row r="128" spans="1:20" ht="20.399999999999999" x14ac:dyDescent="0.25">
      <c r="A128" s="81" t="s">
        <v>733</v>
      </c>
      <c r="B128" s="81" t="s">
        <v>40</v>
      </c>
      <c r="C128" s="81" t="str">
        <f>VLOOKUP(invoice[[#This Row],[شماره پیش فاکتور]],[1]!invoice[[شماره پیش فاکتور]:[تاریخ]],3,0)</f>
        <v>1404/08/17</v>
      </c>
      <c r="D128" s="82" t="str">
        <f>VLOOKUP(invoice[[#This Row],[شماره پیش فاکتور]],'[1]لیست پیش فاکتور ها'!$A:$D,4,0)</f>
        <v>1404/08/21</v>
      </c>
      <c r="E128" s="2">
        <f>VLOOKUP(invoice[[#This Row],[شماره پیش فاکتور]],[1]!invoice[[شماره پیش فاکتور]:[میزان سفارش]],5,0)</f>
        <v>30000</v>
      </c>
      <c r="F128" s="2">
        <f>VLOOKUP(invoice[[#This Row],[شماره پیش فاکتور]],[1]!invoice[[شماره پیش فاکتور]:[فی]],6,0)</f>
        <v>116500</v>
      </c>
      <c r="G128" s="3" t="str">
        <f>CHOOSE(MID(invoice[[#This Row],[تاریخ]],6,2),"فروردین","اردیبهشت","خرداد","تیر","مرداد","شهریور","مهر","آبان","آذر","دی","بهمن","اسفند")</f>
        <v>آبان</v>
      </c>
      <c r="H128" s="3">
        <f>_xlfn.NUMBERVALUE(MID(invoice[[#This Row],[تاریخ]],1,4))</f>
        <v>1404</v>
      </c>
      <c r="I128" s="130" t="str">
        <f>VLOOKUP(invoice[[#This Row],[شماره پیش فاکتور]],[1]!invoice[[شماره پیش فاکتور]:[نوع سفارش]],9,0)</f>
        <v>تعادلی</v>
      </c>
      <c r="J128" s="3" t="str">
        <f>VLOOKUP(invoice[[#This Row],[شماره پیش فاکتور]],[1]!invoice[[شماره پیش فاکتور]:[نوع شرکت]],10,0)</f>
        <v>تولید کننده</v>
      </c>
      <c r="K128" s="132">
        <v>46101</v>
      </c>
      <c r="L128" s="77">
        <v>0.1</v>
      </c>
      <c r="M128" s="78">
        <v>3844500000</v>
      </c>
      <c r="N128" s="78">
        <f>invoice[[#This Row],[مبلغ پیش دریافت]]/invoice[[#This Row],[میزان سفارش]]</f>
        <v>128150</v>
      </c>
      <c r="O128" s="144">
        <f>SUMIF([1]!bargiri[شماره پیش فاکتور],[1]!invoice[[#This Row],[شماره پیش فاکتور]],[1]!bargiri[میزان بارگیری شده])/[1]!invoice[[#This Row],[میزان سفارش]]</f>
        <v>1</v>
      </c>
      <c r="P128" s="140" t="str">
        <f>VLOOKUP(invoice[[#This Row],[شماره پیش فاکتور]],[1]!invoice[[شماره پیش فاکتور]:[نوع سفارش]],9,0)</f>
        <v>تعادلی</v>
      </c>
      <c r="Q128" s="145">
        <f>SUMIFS('[1]جزییات بارگیری'!D:D,'[1]جزییات بارگیری'!C:C,[1]!invoice[[#This Row],[شماره پیش فاکتور]])</f>
        <v>30000</v>
      </c>
      <c r="R128" s="145">
        <f>IF([1]!invoice[[#This Row],[میزان سفارش]]-[1]!invoice[[#This Row],[میزان حمل شده ]]&lt;0,0,[1]!invoice[[#This Row],[میزان سفارش]]-[1]!invoice[[#This Row],[میزان حمل شده ]])</f>
        <v>0</v>
      </c>
      <c r="S128" s="145">
        <f>[1]!invoice[[#This Row],[میزان حمل نشده ]]*[1]!invoice[[#This Row],[فی]]</f>
        <v>0</v>
      </c>
      <c r="T128" s="140"/>
    </row>
    <row r="129" spans="1:20" ht="20.399999999999999" x14ac:dyDescent="0.25">
      <c r="A129" s="81" t="s">
        <v>734</v>
      </c>
      <c r="B129" s="81" t="s">
        <v>17</v>
      </c>
      <c r="C129" s="81" t="str">
        <f>VLOOKUP(invoice[[#This Row],[شماره پیش فاکتور]],[1]!invoice[[شماره پیش فاکتور]:[تاریخ]],3,0)</f>
        <v>1404/08/17</v>
      </c>
      <c r="D129" s="82" t="str">
        <f>VLOOKUP(invoice[[#This Row],[شماره پیش فاکتور]],'[1]لیست پیش فاکتور ها'!$A:$D,4,0)</f>
        <v>1404/08/21</v>
      </c>
      <c r="E129" s="2">
        <f>VLOOKUP(invoice[[#This Row],[شماره پیش فاکتور]],[1]!invoice[[شماره پیش فاکتور]:[میزان سفارش]],5,0)</f>
        <v>30000</v>
      </c>
      <c r="F129" s="2">
        <f>VLOOKUP(invoice[[#This Row],[شماره پیش فاکتور]],[1]!invoice[[شماره پیش فاکتور]:[فی]],6,0)</f>
        <v>116500</v>
      </c>
      <c r="G129" s="3" t="str">
        <f>CHOOSE(MID(invoice[[#This Row],[تاریخ]],6,2),"فروردین","اردیبهشت","خرداد","تیر","مرداد","شهریور","مهر","آبان","آذر","دی","بهمن","اسفند")</f>
        <v>آبان</v>
      </c>
      <c r="H129" s="3">
        <f>_xlfn.NUMBERVALUE(MID(invoice[[#This Row],[تاریخ]],1,4))</f>
        <v>1404</v>
      </c>
      <c r="I129" s="130" t="str">
        <f>VLOOKUP(invoice[[#This Row],[شماره پیش فاکتور]],[1]!invoice[[شماره پیش فاکتور]:[نوع سفارش]],9,0)</f>
        <v>تعادلی</v>
      </c>
      <c r="J129" s="3" t="str">
        <f>VLOOKUP(invoice[[#This Row],[شماره پیش فاکتور]],[1]!invoice[[شماره پیش فاکتور]:[نوع شرکت]],10,0)</f>
        <v>تولید کننده</v>
      </c>
      <c r="K129" s="132">
        <v>46101</v>
      </c>
      <c r="L129" s="77">
        <v>0.1</v>
      </c>
      <c r="M129" s="78">
        <v>576675000</v>
      </c>
      <c r="N129" s="78">
        <f>invoice[[#This Row],[مبلغ پیش دریافت]]/invoice[[#This Row],[میزان سفارش]]</f>
        <v>19222.5</v>
      </c>
      <c r="O129" s="144">
        <f>SUMIF([1]!bargiri[شماره پیش فاکتور],[1]!invoice[[#This Row],[شماره پیش فاکتور]],[1]!bargiri[میزان بارگیری شده])/[1]!invoice[[#This Row],[میزان سفارش]]</f>
        <v>1.00725</v>
      </c>
      <c r="P129" s="140" t="str">
        <f>VLOOKUP(invoice[[#This Row],[شماره پیش فاکتور]],[1]!invoice[[شماره پیش فاکتور]:[نوع سفارش]],9,0)</f>
        <v>تعادلی</v>
      </c>
      <c r="Q129" s="145">
        <f>SUMIFS('[1]جزییات بارگیری'!D:D,'[1]جزییات بارگیری'!C:C,[1]!invoice[[#This Row],[شماره پیش فاکتور]])</f>
        <v>20145</v>
      </c>
      <c r="R129" s="145">
        <f>IF([1]!invoice[[#This Row],[میزان سفارش]]-[1]!invoice[[#This Row],[میزان حمل شده ]]&lt;0,0,[1]!invoice[[#This Row],[میزان سفارش]]-[1]!invoice[[#This Row],[میزان حمل شده ]])</f>
        <v>0</v>
      </c>
      <c r="S129" s="145">
        <f>[1]!invoice[[#This Row],[میزان حمل نشده ]]*[1]!invoice[[#This Row],[فی]]</f>
        <v>0</v>
      </c>
      <c r="T129" s="140"/>
    </row>
    <row r="130" spans="1:20" ht="20.399999999999999" x14ac:dyDescent="0.25">
      <c r="A130" s="81" t="s">
        <v>735</v>
      </c>
      <c r="B130" s="81" t="s">
        <v>116</v>
      </c>
      <c r="C130" s="81" t="str">
        <f>VLOOKUP(invoice[[#This Row],[شماره پیش فاکتور]],[1]!invoice[[شماره پیش فاکتور]:[تاریخ]],3,0)</f>
        <v>1404/08/20</v>
      </c>
      <c r="D130" s="82" t="str">
        <f>VLOOKUP(invoice[[#This Row],[شماره پیش فاکتور]],'[1]لیست پیش فاکتور ها'!$A:$D,4,0)</f>
        <v>1404/08/29</v>
      </c>
      <c r="E130" s="2">
        <f>VLOOKUP(invoice[[#This Row],[شماره پیش فاکتور]],[1]!invoice[[شماره پیش فاکتور]:[میزان سفارش]],5,0)</f>
        <v>1000000</v>
      </c>
      <c r="F130" s="2">
        <f>VLOOKUP(invoice[[#This Row],[شماره پیش فاکتور]],[1]!invoice[[شماره پیش فاکتور]:[فی]],6,0)</f>
        <v>100000</v>
      </c>
      <c r="G130" s="3" t="str">
        <f>CHOOSE(MID(invoice[[#This Row],[تاریخ]],6,2),"فروردین","اردیبهشت","خرداد","تیر","مرداد","شهریور","مهر","آبان","آذر","دی","بهمن","اسفند")</f>
        <v>آبان</v>
      </c>
      <c r="H130" s="3">
        <f>_xlfn.NUMBERVALUE(MID(invoice[[#This Row],[تاریخ]],1,4))</f>
        <v>1404</v>
      </c>
      <c r="I130" s="130" t="str">
        <f>VLOOKUP(invoice[[#This Row],[شماره پیش فاکتور]],[1]!invoice[[شماره پیش فاکتور]:[نوع سفارش]],9,0)</f>
        <v>عادی</v>
      </c>
      <c r="J130" s="3" t="str">
        <f>VLOOKUP(invoice[[#This Row],[شماره پیش فاکتور]],[1]!invoice[[شماره پیش فاکتور]:[نوع شرکت]],10,0)</f>
        <v>تولید کننده</v>
      </c>
      <c r="K130" s="132">
        <v>46101</v>
      </c>
      <c r="L130" s="77">
        <v>0.1</v>
      </c>
      <c r="M130" s="78">
        <v>50000000000</v>
      </c>
      <c r="N130" s="78">
        <f>invoice[[#This Row],[مبلغ پیش دریافت]]/invoice[[#This Row],[میزان سفارش]]</f>
        <v>50000</v>
      </c>
      <c r="O130" s="144">
        <f>SUMIF([1]!bargiri[شماره پیش فاکتور],[1]!invoice[[#This Row],[شماره پیش فاکتور]],[1]!bargiri[میزان بارگیری شده])/[1]!invoice[[#This Row],[میزان سفارش]]</f>
        <v>1</v>
      </c>
      <c r="P130" s="140" t="str">
        <f>VLOOKUP(invoice[[#This Row],[شماره پیش فاکتور]],[1]!invoice[[شماره پیش فاکتور]:[نوع سفارش]],9,0)</f>
        <v>عادی</v>
      </c>
      <c r="Q130" s="145">
        <f>SUMIFS('[1]جزییات بارگیری'!D:D,'[1]جزییات بارگیری'!C:C,[1]!invoice[[#This Row],[شماره پیش فاکتور]])</f>
        <v>50000</v>
      </c>
      <c r="R130" s="145">
        <f>IF([1]!invoice[[#This Row],[میزان سفارش]]-[1]!invoice[[#This Row],[میزان حمل شده ]]&lt;0,0,[1]!invoice[[#This Row],[میزان سفارش]]-[1]!invoice[[#This Row],[میزان حمل شده ]])</f>
        <v>0</v>
      </c>
      <c r="S130" s="145">
        <f>[1]!invoice[[#This Row],[میزان حمل نشده ]]*[1]!invoice[[#This Row],[فی]]</f>
        <v>0</v>
      </c>
      <c r="T130" s="140"/>
    </row>
    <row r="131" spans="1:20" ht="20.399999999999999" x14ac:dyDescent="0.25">
      <c r="A131" s="81" t="s">
        <v>738</v>
      </c>
      <c r="B131" s="81" t="s">
        <v>211</v>
      </c>
      <c r="C131" s="81" t="str">
        <f>VLOOKUP(invoice[[#This Row],[شماره پیش فاکتور]],[1]!invoice[[شماره پیش فاکتور]:[تاریخ]],3,0)</f>
        <v>1404/08/20</v>
      </c>
      <c r="D131" s="82" t="str">
        <f>VLOOKUP(invoice[[#This Row],[شماره پیش فاکتور]],'[1]لیست پیش فاکتور ها'!$A:$D,4,0)</f>
        <v>1404/08/29</v>
      </c>
      <c r="E131" s="2">
        <f>VLOOKUP(invoice[[#This Row],[شماره پیش فاکتور]],[1]!invoice[[شماره پیش فاکتور]:[میزان سفارش]],5,0)</f>
        <v>1000000</v>
      </c>
      <c r="F131" s="2">
        <f>VLOOKUP(invoice[[#This Row],[شماره پیش فاکتور]],[1]!invoice[[شماره پیش فاکتور]:[فی]],6,0)</f>
        <v>100000</v>
      </c>
      <c r="G131" s="3" t="str">
        <f>CHOOSE(MID(invoice[[#This Row],[تاریخ]],6,2),"فروردین","اردیبهشت","خرداد","تیر","مرداد","شهریور","مهر","آبان","آذر","دی","بهمن","اسفند")</f>
        <v>آبان</v>
      </c>
      <c r="H131" s="3">
        <f>_xlfn.NUMBERVALUE(MID(invoice[[#This Row],[تاریخ]],1,4))</f>
        <v>1404</v>
      </c>
      <c r="I131" s="130" t="str">
        <f>VLOOKUP(invoice[[#This Row],[شماره پیش فاکتور]],[1]!invoice[[شماره پیش فاکتور]:[نوع سفارش]],9,0)</f>
        <v>عادی</v>
      </c>
      <c r="J131" s="3" t="str">
        <f>VLOOKUP(invoice[[#This Row],[شماره پیش فاکتور]],[1]!invoice[[شماره پیش فاکتور]:[نوع شرکت]],10,0)</f>
        <v>تولید کننده</v>
      </c>
      <c r="K131" s="132">
        <v>46101</v>
      </c>
      <c r="L131" s="77">
        <v>0.1</v>
      </c>
      <c r="M131" s="78">
        <v>50000000000</v>
      </c>
      <c r="N131" s="78">
        <f>invoice[[#This Row],[مبلغ پیش دریافت]]/invoice[[#This Row],[میزان سفارش]]</f>
        <v>50000</v>
      </c>
      <c r="O131" s="144">
        <f>SUMIF([1]!bargiri[شماره پیش فاکتور],[1]!invoice[[#This Row],[شماره پیش فاکتور]],[1]!bargiri[میزان بارگیری شده])/[1]!invoice[[#This Row],[میزان سفارش]]</f>
        <v>1</v>
      </c>
      <c r="P131" s="140" t="str">
        <f>VLOOKUP(invoice[[#This Row],[شماره پیش فاکتور]],[1]!invoice[[شماره پیش فاکتور]:[نوع سفارش]],9,0)</f>
        <v>عادی</v>
      </c>
      <c r="Q131" s="145">
        <f>SUMIFS('[1]جزییات بارگیری'!D:D,'[1]جزییات بارگیری'!C:C,[1]!invoice[[#This Row],[شماره پیش فاکتور]])</f>
        <v>20000</v>
      </c>
      <c r="R131" s="145">
        <f>IF([1]!invoice[[#This Row],[میزان سفارش]]-[1]!invoice[[#This Row],[میزان حمل شده ]]&lt;0,0,[1]!invoice[[#This Row],[میزان سفارش]]-[1]!invoice[[#This Row],[میزان حمل شده ]])</f>
        <v>0</v>
      </c>
      <c r="S131" s="145">
        <f>[1]!invoice[[#This Row],[میزان حمل نشده ]]*[1]!invoice[[#This Row],[فی]]</f>
        <v>0</v>
      </c>
      <c r="T131" s="140"/>
    </row>
    <row r="132" spans="1:20" ht="20.399999999999999" x14ac:dyDescent="0.25">
      <c r="A132" s="81" t="s">
        <v>739</v>
      </c>
      <c r="B132" s="81" t="s">
        <v>73</v>
      </c>
      <c r="C132" s="81" t="str">
        <f>VLOOKUP(invoice[[#This Row],[شماره پیش فاکتور]],[1]!invoice[[شماره پیش فاکتور]:[تاریخ]],3,0)</f>
        <v>1404/08/26</v>
      </c>
      <c r="D132" s="82" t="str">
        <f>VLOOKUP(invoice[[#This Row],[شماره پیش فاکتور]],'[1]لیست پیش فاکتور ها'!$A:$D,4,0)</f>
        <v>1404/08/26</v>
      </c>
      <c r="E132" s="2">
        <f>VLOOKUP(invoice[[#This Row],[شماره پیش فاکتور]],[1]!invoice[[شماره پیش فاکتور]:[میزان سفارش]],5,0)</f>
        <v>4710</v>
      </c>
      <c r="F132" s="2">
        <f>VLOOKUP(invoice[[#This Row],[شماره پیش فاکتور]],[1]!invoice[[شماره پیش فاکتور]:[فی]],6,0)</f>
        <v>130000</v>
      </c>
      <c r="G132" s="3" t="str">
        <f>CHOOSE(MID(invoice[[#This Row],[تاریخ]],6,2),"فروردین","اردیبهشت","خرداد","تیر","مرداد","شهریور","مهر","آبان","آذر","دی","بهمن","اسفند")</f>
        <v>آبان</v>
      </c>
      <c r="H132" s="3">
        <f>_xlfn.NUMBERVALUE(MID(invoice[[#This Row],[تاریخ]],1,4))</f>
        <v>1404</v>
      </c>
      <c r="I132" s="130" t="str">
        <f>VLOOKUP(invoice[[#This Row],[شماره پیش فاکتور]],[1]!invoice[[شماره پیش فاکتور]:[نوع سفارش]],9,0)</f>
        <v>عادی</v>
      </c>
      <c r="J132" s="3" t="str">
        <f>VLOOKUP(invoice[[#This Row],[شماره پیش فاکتور]],[1]!invoice[[شماره پیش فاکتور]:[نوع شرکت]],10,0)</f>
        <v>تولید کننده</v>
      </c>
      <c r="K132" s="132">
        <v>46101</v>
      </c>
      <c r="L132" s="77">
        <v>0.1</v>
      </c>
      <c r="M132" s="78">
        <v>715000000</v>
      </c>
      <c r="N132" s="78">
        <f>invoice[[#This Row],[مبلغ پیش دریافت]]/invoice[[#This Row],[میزان سفارش]]</f>
        <v>151804.67091295117</v>
      </c>
      <c r="O132" s="144">
        <f>SUMIF([1]!bargiri[شماره پیش فاکتور],[1]!invoice[[#This Row],[شماره پیش فاکتور]],[1]!bargiri[میزان بارگیری شده])/[1]!invoice[[#This Row],[میزان سفارش]]</f>
        <v>1</v>
      </c>
      <c r="P132" s="140" t="str">
        <f>VLOOKUP(invoice[[#This Row],[شماره پیش فاکتور]],[1]!invoice[[شماره پیش فاکتور]:[نوع سفارش]],9,0)</f>
        <v>عادی</v>
      </c>
      <c r="Q132" s="145">
        <f>SUMIFS('[1]جزییات بارگیری'!D:D,'[1]جزییات بارگیری'!C:C,[1]!invoice[[#This Row],[شماره پیش فاکتور]])</f>
        <v>30000</v>
      </c>
      <c r="R132" s="145">
        <f>IF([1]!invoice[[#This Row],[میزان سفارش]]-[1]!invoice[[#This Row],[میزان حمل شده ]]&lt;0,0,[1]!invoice[[#This Row],[میزان سفارش]]-[1]!invoice[[#This Row],[میزان حمل شده ]])</f>
        <v>0</v>
      </c>
      <c r="S132" s="145">
        <f>[1]!invoice[[#This Row],[میزان حمل نشده ]]*[1]!invoice[[#This Row],[فی]]</f>
        <v>0</v>
      </c>
      <c r="T132" s="140"/>
    </row>
    <row r="133" spans="1:20" ht="20.399999999999999" x14ac:dyDescent="0.25">
      <c r="A133" s="81" t="s">
        <v>741</v>
      </c>
      <c r="B133" s="81" t="s">
        <v>25</v>
      </c>
      <c r="C133" s="81" t="str">
        <f>VLOOKUP(invoice[[#This Row],[شماره پیش فاکتور]],[1]!invoice[[شماره پیش فاکتور]:[تاریخ]],3,0)</f>
        <v>1404/08/20</v>
      </c>
      <c r="D133" s="82" t="str">
        <f>VLOOKUP(invoice[[#This Row],[شماره پیش فاکتور]],'[1]لیست پیش فاکتور ها'!$A:$D,4,0)</f>
        <v>1404/08/29</v>
      </c>
      <c r="E133" s="2">
        <f>VLOOKUP(invoice[[#This Row],[شماره پیش فاکتور]],[1]!invoice[[شماره پیش فاکتور]:[میزان سفارش]],5,0)</f>
        <v>40000</v>
      </c>
      <c r="F133" s="2">
        <f>VLOOKUP(invoice[[#This Row],[شماره پیش فاکتور]],[1]!invoice[[شماره پیش فاکتور]:[فی]],6,0)</f>
        <v>167500</v>
      </c>
      <c r="G133" s="3" t="str">
        <f>CHOOSE(MID(invoice[[#This Row],[تاریخ]],6,2),"فروردین","اردیبهشت","خرداد","تیر","مرداد","شهریور","مهر","آبان","آذر","دی","بهمن","اسفند")</f>
        <v>آبان</v>
      </c>
      <c r="H133" s="3">
        <f>_xlfn.NUMBERVALUE(MID(invoice[[#This Row],[تاریخ]],1,4))</f>
        <v>1404</v>
      </c>
      <c r="I133" s="130" t="str">
        <f>VLOOKUP(invoice[[#This Row],[شماره پیش فاکتور]],[1]!invoice[[شماره پیش فاکتور]:[نوع سفارش]],9,0)</f>
        <v>بورس</v>
      </c>
      <c r="J133" s="3" t="str">
        <f>VLOOKUP(invoice[[#This Row],[شماره پیش فاکتور]],[1]!invoice[[شماره پیش فاکتور]:[نوع شرکت]],10,0)</f>
        <v>تولید کننده</v>
      </c>
      <c r="K133" s="132">
        <v>46101</v>
      </c>
      <c r="L133" s="77">
        <v>0.1</v>
      </c>
      <c r="M133" s="78">
        <v>7370000000</v>
      </c>
      <c r="N133" s="78">
        <f>invoice[[#This Row],[مبلغ پیش دریافت]]/invoice[[#This Row],[میزان سفارش]]</f>
        <v>184250</v>
      </c>
      <c r="O133" s="144">
        <f>SUMIF([1]!bargiri[شماره پیش فاکتور],[1]!invoice[[#This Row],[شماره پیش فاکتور]],[1]!bargiri[میزان بارگیری شده])/[1]!invoice[[#This Row],[میزان سفارش]]</f>
        <v>1</v>
      </c>
      <c r="P133" s="140" t="str">
        <f>VLOOKUP(invoice[[#This Row],[شماره پیش فاکتور]],[1]!invoice[[شماره پیش فاکتور]:[نوع سفارش]],9,0)</f>
        <v>بورس</v>
      </c>
      <c r="Q133" s="145">
        <f>SUMIFS('[1]جزییات بارگیری'!D:D,'[1]جزییات بارگیری'!C:C,[1]!invoice[[#This Row],[شماره پیش فاکتور]])</f>
        <v>50000</v>
      </c>
      <c r="R133" s="145">
        <f>IF([1]!invoice[[#This Row],[میزان سفارش]]-[1]!invoice[[#This Row],[میزان حمل شده ]]&lt;0,0,[1]!invoice[[#This Row],[میزان سفارش]]-[1]!invoice[[#This Row],[میزان حمل شده ]])</f>
        <v>0</v>
      </c>
      <c r="S133" s="145">
        <f>[1]!invoice[[#This Row],[میزان حمل نشده ]]*[1]!invoice[[#This Row],[فی]]</f>
        <v>0</v>
      </c>
      <c r="T133" s="140"/>
    </row>
    <row r="134" spans="1:20" ht="20.399999999999999" x14ac:dyDescent="0.25">
      <c r="A134" s="81" t="s">
        <v>742</v>
      </c>
      <c r="B134" s="81" t="s">
        <v>67</v>
      </c>
      <c r="C134" s="81" t="str">
        <f>VLOOKUP(invoice[[#This Row],[شماره پیش فاکتور]],[1]!invoice[[شماره پیش فاکتور]:[تاریخ]],3,0)</f>
        <v>1404/08/20</v>
      </c>
      <c r="D134" s="82" t="str">
        <f>VLOOKUP(invoice[[#This Row],[شماره پیش فاکتور]],'[1]لیست پیش فاکتور ها'!$A:$D,4,0)</f>
        <v>1404/08/29</v>
      </c>
      <c r="E134" s="2">
        <f>VLOOKUP(invoice[[#This Row],[شماره پیش فاکتور]],[1]!invoice[[شماره پیش فاکتور]:[میزان سفارش]],5,0)</f>
        <v>40000</v>
      </c>
      <c r="F134" s="2">
        <f>VLOOKUP(invoice[[#This Row],[شماره پیش فاکتور]],[1]!invoice[[شماره پیش فاکتور]:[فی]],6,0)</f>
        <v>167500</v>
      </c>
      <c r="G134" s="3" t="str">
        <f>CHOOSE(MID(invoice[[#This Row],[تاریخ]],6,2),"فروردین","اردیبهشت","خرداد","تیر","مرداد","شهریور","مهر","آبان","آذر","دی","بهمن","اسفند")</f>
        <v>آبان</v>
      </c>
      <c r="H134" s="3">
        <f>_xlfn.NUMBERVALUE(MID(invoice[[#This Row],[تاریخ]],1,4))</f>
        <v>1404</v>
      </c>
      <c r="I134" s="130" t="str">
        <f>VLOOKUP(invoice[[#This Row],[شماره پیش فاکتور]],[1]!invoice[[شماره پیش فاکتور]:[نوع سفارش]],9,0)</f>
        <v>بورس</v>
      </c>
      <c r="J134" s="3" t="str">
        <f>VLOOKUP(invoice[[#This Row],[شماره پیش فاکتور]],[1]!invoice[[شماره پیش فاکتور]:[نوع شرکت]],10,0)</f>
        <v>تولید کننده</v>
      </c>
      <c r="K134" s="132">
        <v>46101</v>
      </c>
      <c r="L134" s="77">
        <v>0.1</v>
      </c>
      <c r="M134" s="78">
        <v>7370000000</v>
      </c>
      <c r="N134" s="78">
        <f>invoice[[#This Row],[مبلغ پیش دریافت]]/invoice[[#This Row],[میزان سفارش]]</f>
        <v>184250</v>
      </c>
      <c r="O134" s="144">
        <f>SUMIF([1]!bargiri[شماره پیش فاکتور],[1]!invoice[[#This Row],[شماره پیش فاکتور]],[1]!bargiri[میزان بارگیری شده])/[1]!invoice[[#This Row],[میزان سفارش]]</f>
        <v>1</v>
      </c>
      <c r="P134" s="140" t="str">
        <f>VLOOKUP(invoice[[#This Row],[شماره پیش فاکتور]],[1]!invoice[[شماره پیش فاکتور]:[نوع سفارش]],9,0)</f>
        <v>بورس</v>
      </c>
      <c r="Q134" s="145">
        <f>SUMIFS('[1]جزییات بارگیری'!D:D,'[1]جزییات بارگیری'!C:C,[1]!invoice[[#This Row],[شماره پیش فاکتور]])</f>
        <v>20000</v>
      </c>
      <c r="R134" s="145">
        <f>IF([1]!invoice[[#This Row],[میزان سفارش]]-[1]!invoice[[#This Row],[میزان حمل شده ]]&lt;0,0,[1]!invoice[[#This Row],[میزان سفارش]]-[1]!invoice[[#This Row],[میزان حمل شده ]])</f>
        <v>0</v>
      </c>
      <c r="S134" s="145">
        <f>[1]!invoice[[#This Row],[میزان حمل نشده ]]*[1]!invoice[[#This Row],[فی]]</f>
        <v>0</v>
      </c>
      <c r="T134" s="140"/>
    </row>
    <row r="135" spans="1:20" ht="20.399999999999999" x14ac:dyDescent="0.25">
      <c r="A135" s="81" t="s">
        <v>743</v>
      </c>
      <c r="B135" s="81" t="s">
        <v>25</v>
      </c>
      <c r="C135" s="81" t="str">
        <f>VLOOKUP(invoice[[#This Row],[شماره پیش فاکتور]],[1]!invoice[[شماره پیش فاکتور]:[تاریخ]],3,0)</f>
        <v>1404/08/26</v>
      </c>
      <c r="D135" s="82" t="str">
        <f>VLOOKUP(invoice[[#This Row],[شماره پیش فاکتور]],'[1]لیست پیش فاکتور ها'!$A:$D,4,0)</f>
        <v>1404/08/29</v>
      </c>
      <c r="E135" s="2">
        <f>VLOOKUP(invoice[[#This Row],[شماره پیش فاکتور]],[1]!invoice[[شماره پیش فاکتور]:[میزان سفارش]],5,0)</f>
        <v>40000</v>
      </c>
      <c r="F135" s="2">
        <f>VLOOKUP(invoice[[#This Row],[شماره پیش فاکتور]],[1]!invoice[[شماره پیش فاکتور]:[فی]],6,0)</f>
        <v>116500</v>
      </c>
      <c r="G135" s="3" t="str">
        <f>CHOOSE(MID(invoice[[#This Row],[تاریخ]],6,2),"فروردین","اردیبهشت","خرداد","تیر","مرداد","شهریور","مهر","آبان","آذر","دی","بهمن","اسفند")</f>
        <v>آبان</v>
      </c>
      <c r="H135" s="3">
        <f>_xlfn.NUMBERVALUE(MID(invoice[[#This Row],[تاریخ]],1,4))</f>
        <v>1404</v>
      </c>
      <c r="I135" s="130" t="str">
        <f>VLOOKUP(invoice[[#This Row],[شماره پیش فاکتور]],[1]!invoice[[شماره پیش فاکتور]:[نوع سفارش]],9,0)</f>
        <v>تعادلی</v>
      </c>
      <c r="J135" s="3" t="str">
        <f>VLOOKUP(invoice[[#This Row],[شماره پیش فاکتور]],[1]!invoice[[شماره پیش فاکتور]:[نوع شرکت]],10,0)</f>
        <v>تولید کننده</v>
      </c>
      <c r="K135" s="132">
        <v>46101</v>
      </c>
      <c r="L135" s="77">
        <v>0.1</v>
      </c>
      <c r="M135" s="78">
        <v>768900000</v>
      </c>
      <c r="N135" s="78">
        <f>invoice[[#This Row],[مبلغ پیش دریافت]]/invoice[[#This Row],[میزان سفارش]]</f>
        <v>19222.5</v>
      </c>
      <c r="O135" s="144">
        <f>SUMIF([1]!bargiri[شماره پیش فاکتور],[1]!invoice[[#This Row],[شماره پیش فاکتور]],[1]!bargiri[میزان بارگیری شده])/[1]!invoice[[#This Row],[میزان سفارش]]</f>
        <v>1</v>
      </c>
      <c r="P135" s="140" t="str">
        <f>VLOOKUP(invoice[[#This Row],[شماره پیش فاکتور]],[1]!invoice[[شماره پیش فاکتور]:[نوع سفارش]],9,0)</f>
        <v>تعادلی</v>
      </c>
      <c r="Q135" s="145">
        <f>SUMIFS('[1]جزییات بارگیری'!D:D,'[1]جزییات بارگیری'!C:C,[1]!invoice[[#This Row],[شماره پیش فاکتور]])</f>
        <v>30000</v>
      </c>
      <c r="R135" s="145">
        <f>IF([1]!invoice[[#This Row],[میزان سفارش]]-[1]!invoice[[#This Row],[میزان حمل شده ]]&lt;0,0,[1]!invoice[[#This Row],[میزان سفارش]]-[1]!invoice[[#This Row],[میزان حمل شده ]])</f>
        <v>0</v>
      </c>
      <c r="S135" s="145">
        <f>[1]!invoice[[#This Row],[میزان حمل نشده ]]*[1]!invoice[[#This Row],[فی]]</f>
        <v>0</v>
      </c>
      <c r="T135" s="140"/>
    </row>
    <row r="136" spans="1:20" ht="20.399999999999999" x14ac:dyDescent="0.25">
      <c r="A136" s="81" t="s">
        <v>744</v>
      </c>
      <c r="B136" s="81" t="s">
        <v>67</v>
      </c>
      <c r="C136" s="81" t="str">
        <f>VLOOKUP(invoice[[#This Row],[شماره پیش فاکتور]],[1]!invoice[[شماره پیش فاکتور]:[تاریخ]],3,0)</f>
        <v>1404/08/26</v>
      </c>
      <c r="D136" s="82" t="str">
        <f>VLOOKUP(invoice[[#This Row],[شماره پیش فاکتور]],'[1]لیست پیش فاکتور ها'!$A:$D,4,0)</f>
        <v>1404/08/29</v>
      </c>
      <c r="E136" s="2">
        <f>VLOOKUP(invoice[[#This Row],[شماره پیش فاکتور]],[1]!invoice[[شماره پیش فاکتور]:[میزان سفارش]],5,0)</f>
        <v>40000</v>
      </c>
      <c r="F136" s="2">
        <f>VLOOKUP(invoice[[#This Row],[شماره پیش فاکتور]],[1]!invoice[[شماره پیش فاکتور]:[فی]],6,0)</f>
        <v>116500</v>
      </c>
      <c r="G136" s="3" t="str">
        <f>CHOOSE(MID(invoice[[#This Row],[تاریخ]],6,2),"فروردین","اردیبهشت","خرداد","تیر","مرداد","شهریور","مهر","آبان","آذر","دی","بهمن","اسفند")</f>
        <v>آبان</v>
      </c>
      <c r="H136" s="3">
        <f>_xlfn.NUMBERVALUE(MID(invoice[[#This Row],[تاریخ]],1,4))</f>
        <v>1404</v>
      </c>
      <c r="I136" s="130" t="str">
        <f>VLOOKUP(invoice[[#This Row],[شماره پیش فاکتور]],[1]!invoice[[شماره پیش فاکتور]:[نوع سفارش]],9,0)</f>
        <v>تعادلی</v>
      </c>
      <c r="J136" s="3" t="str">
        <f>VLOOKUP(invoice[[#This Row],[شماره پیش فاکتور]],[1]!invoice[[شماره پیش فاکتور]:[نوع شرکت]],10,0)</f>
        <v>تولید کننده</v>
      </c>
      <c r="K136" s="132">
        <v>46101</v>
      </c>
      <c r="L136" s="77">
        <v>0.1</v>
      </c>
      <c r="M136" s="78">
        <v>768900000</v>
      </c>
      <c r="N136" s="78">
        <f>invoice[[#This Row],[مبلغ پیش دریافت]]/invoice[[#This Row],[میزان سفارش]]</f>
        <v>19222.5</v>
      </c>
      <c r="O136" s="144">
        <f>SUMIF([1]!bargiri[شماره پیش فاکتور],[1]!invoice[[#This Row],[شماره پیش فاکتور]],[1]!bargiri[میزان بارگیری شده])/[1]!invoice[[#This Row],[میزان سفارش]]</f>
        <v>1</v>
      </c>
      <c r="P136" s="140" t="str">
        <f>VLOOKUP(invoice[[#This Row],[شماره پیش فاکتور]],[1]!invoice[[شماره پیش فاکتور]:[نوع سفارش]],9,0)</f>
        <v>تعادلی</v>
      </c>
      <c r="Q136" s="145">
        <f>SUMIFS('[1]جزییات بارگیری'!D:D,'[1]جزییات بارگیری'!C:C,[1]!invoice[[#This Row],[شماره پیش فاکتور]])</f>
        <v>40000</v>
      </c>
      <c r="R136" s="145">
        <f>IF([1]!invoice[[#This Row],[میزان سفارش]]-[1]!invoice[[#This Row],[میزان حمل شده ]]&lt;0,0,[1]!invoice[[#This Row],[میزان سفارش]]-[1]!invoice[[#This Row],[میزان حمل شده ]])</f>
        <v>0</v>
      </c>
      <c r="S136" s="145">
        <f>[1]!invoice[[#This Row],[میزان حمل نشده ]]*[1]!invoice[[#This Row],[فی]]</f>
        <v>0</v>
      </c>
      <c r="T136" s="140"/>
    </row>
    <row r="137" spans="1:20" ht="20.399999999999999" x14ac:dyDescent="0.25">
      <c r="A137" s="81" t="s">
        <v>745</v>
      </c>
      <c r="B137" s="81" t="s">
        <v>221</v>
      </c>
      <c r="C137" s="81" t="str">
        <f>VLOOKUP(invoice[[#This Row],[شماره پیش فاکتور]],[1]!invoice[[شماره پیش فاکتور]:[تاریخ]],3,0)</f>
        <v>1404/09/05</v>
      </c>
      <c r="D137" s="82" t="str">
        <f>VLOOKUP(invoice[[#This Row],[شماره پیش فاکتور]],'[1]لیست پیش فاکتور ها'!$A:$D,4,0)</f>
        <v>1404/09/06</v>
      </c>
      <c r="E137" s="2">
        <f>VLOOKUP(invoice[[#This Row],[شماره پیش فاکتور]],[1]!invoice[[شماره پیش فاکتور]:[میزان سفارش]],5,0)</f>
        <v>250000</v>
      </c>
      <c r="F137" s="2">
        <f>VLOOKUP(invoice[[#This Row],[شماره پیش فاکتور]],[1]!invoice[[شماره پیش فاکتور]:[فی]],6,0)</f>
        <v>135000</v>
      </c>
      <c r="G137" s="3" t="str">
        <f>CHOOSE(MID(invoice[[#This Row],[تاریخ]],6,2),"فروردین","اردیبهشت","خرداد","تیر","مرداد","شهریور","مهر","آبان","آذر","دی","بهمن","اسفند")</f>
        <v>آذر</v>
      </c>
      <c r="H137" s="3">
        <f>_xlfn.NUMBERVALUE(MID(invoice[[#This Row],[تاریخ]],1,4))</f>
        <v>1404</v>
      </c>
      <c r="I137" s="130" t="str">
        <f>VLOOKUP(invoice[[#This Row],[شماره پیش فاکتور]],[1]!invoice[[شماره پیش فاکتور]:[نوع سفارش]],9,0)</f>
        <v>عادی</v>
      </c>
      <c r="J137" s="3" t="str">
        <f>VLOOKUP(invoice[[#This Row],[شماره پیش فاکتور]],[1]!invoice[[شماره پیش فاکتور]:[نوع شرکت]],10,0)</f>
        <v>تولید کننده</v>
      </c>
      <c r="K137" s="132">
        <v>46101</v>
      </c>
      <c r="L137" s="77">
        <v>0.1</v>
      </c>
      <c r="M137" s="78">
        <v>5568750000</v>
      </c>
      <c r="N137" s="78">
        <f>invoice[[#This Row],[مبلغ پیش دریافت]]/invoice[[#This Row],[میزان سفارش]]</f>
        <v>22275</v>
      </c>
      <c r="O137" s="144">
        <f>SUMIF([1]!bargiri[شماره پیش فاکتور],[1]!invoice[[#This Row],[شماره پیش فاکتور]],[1]!bargiri[میزان بارگیری شده])/[1]!invoice[[#This Row],[میزان سفارش]]</f>
        <v>1</v>
      </c>
      <c r="P137" s="140" t="str">
        <f>VLOOKUP(invoice[[#This Row],[شماره پیش فاکتور]],[1]!invoice[[شماره پیش فاکتور]:[نوع سفارش]],9,0)</f>
        <v>عادی</v>
      </c>
      <c r="Q137" s="145">
        <f>SUMIFS('[1]جزییات بارگیری'!D:D,'[1]جزییات بارگیری'!C:C,[1]!invoice[[#This Row],[شماره پیش فاکتور]])</f>
        <v>60000</v>
      </c>
      <c r="R137" s="145">
        <f>IF([1]!invoice[[#This Row],[میزان سفارش]]-[1]!invoice[[#This Row],[میزان حمل شده ]]&lt;0,0,[1]!invoice[[#This Row],[میزان سفارش]]-[1]!invoice[[#This Row],[میزان حمل شده ]])</f>
        <v>0</v>
      </c>
      <c r="S137" s="145">
        <f>[1]!invoice[[#This Row],[میزان حمل نشده ]]*[1]!invoice[[#This Row],[فی]]</f>
        <v>0</v>
      </c>
      <c r="T137" s="140"/>
    </row>
    <row r="138" spans="1:20" ht="20.399999999999999" x14ac:dyDescent="0.25">
      <c r="A138" s="81" t="s">
        <v>748</v>
      </c>
      <c r="B138" s="81" t="s">
        <v>67</v>
      </c>
      <c r="C138" s="81" t="str">
        <f>VLOOKUP(invoice[[#This Row],[شماره پیش فاکتور]],[1]!invoice[[شماره پیش فاکتور]:[تاریخ]],3,0)</f>
        <v>1404/09/05</v>
      </c>
      <c r="D138" s="82" t="str">
        <f>VLOOKUP(invoice[[#This Row],[شماره پیش فاکتور]],'[1]لیست پیش فاکتور ها'!$A:$D,4,0)</f>
        <v>1404/09/06</v>
      </c>
      <c r="E138" s="2">
        <f>VLOOKUP(invoice[[#This Row],[شماره پیش فاکتور]],[1]!invoice[[شماره پیش فاکتور]:[میزان سفارش]],5,0)</f>
        <v>50000</v>
      </c>
      <c r="F138" s="2">
        <f>VLOOKUP(invoice[[#This Row],[شماره پیش فاکتور]],[1]!invoice[[شماره پیش فاکتور]:[فی]],6,0)</f>
        <v>167500</v>
      </c>
      <c r="G138" s="3" t="str">
        <f>CHOOSE(MID(invoice[[#This Row],[تاریخ]],6,2),"فروردین","اردیبهشت","خرداد","تیر","مرداد","شهریور","مهر","آبان","آذر","دی","بهمن","اسفند")</f>
        <v>آذر</v>
      </c>
      <c r="H138" s="3">
        <f>_xlfn.NUMBERVALUE(MID(invoice[[#This Row],[تاریخ]],1,4))</f>
        <v>1404</v>
      </c>
      <c r="I138" s="130" t="str">
        <f>VLOOKUP(invoice[[#This Row],[شماره پیش فاکتور]],[1]!invoice[[شماره پیش فاکتور]:[نوع سفارش]],9,0)</f>
        <v>بورس</v>
      </c>
      <c r="J138" s="3" t="str">
        <f>VLOOKUP(invoice[[#This Row],[شماره پیش فاکتور]],[1]!invoice[[شماره پیش فاکتور]:[نوع شرکت]],10,0)</f>
        <v>تولید کننده</v>
      </c>
      <c r="K138" s="132">
        <v>46101</v>
      </c>
      <c r="L138" s="77">
        <v>0.1</v>
      </c>
      <c r="M138" s="78">
        <v>9212500000</v>
      </c>
      <c r="N138" s="78">
        <f>invoice[[#This Row],[مبلغ پیش دریافت]]/invoice[[#This Row],[میزان سفارش]]</f>
        <v>184250</v>
      </c>
      <c r="O138" s="144">
        <f>SUMIF([1]!bargiri[شماره پیش فاکتور],[1]!invoice[[#This Row],[شماره پیش فاکتور]],[1]!bargiri[میزان بارگیری شده])/[1]!invoice[[#This Row],[میزان سفارش]]</f>
        <v>0.83699999999999997</v>
      </c>
      <c r="P138" s="140" t="str">
        <f>VLOOKUP(invoice[[#This Row],[شماره پیش فاکتور]],[1]!invoice[[شماره پیش فاکتور]:[نوع سفارش]],9,0)</f>
        <v>بورس</v>
      </c>
      <c r="Q138" s="145">
        <f>SUMIFS('[1]جزییات بارگیری'!D:D,'[1]جزییات بارگیری'!C:C,[1]!invoice[[#This Row],[شماره پیش فاکتور]])</f>
        <v>33480</v>
      </c>
      <c r="R138" s="145">
        <f>IF([1]!invoice[[#This Row],[میزان سفارش]]-[1]!invoice[[#This Row],[میزان حمل شده ]]&lt;0,0,[1]!invoice[[#This Row],[میزان سفارش]]-[1]!invoice[[#This Row],[میزان حمل شده ]])</f>
        <v>6520</v>
      </c>
      <c r="S138" s="145">
        <f>[1]!invoice[[#This Row],[میزان حمل نشده ]]*[1]!invoice[[#This Row],[فی]]</f>
        <v>759580000</v>
      </c>
      <c r="T138" s="140"/>
    </row>
    <row r="139" spans="1:20" ht="20.399999999999999" x14ac:dyDescent="0.25">
      <c r="A139" s="126" t="s">
        <v>749</v>
      </c>
      <c r="B139" s="126" t="s">
        <v>17</v>
      </c>
      <c r="C139" s="126" t="str">
        <f>VLOOKUP(invoice[[#This Row],[شماره پیش فاکتور]],[1]!invoice[[شماره پیش فاکتور]:[تاریخ]],3,0)</f>
        <v>1404/09/05</v>
      </c>
      <c r="D139" s="127" t="str">
        <f>VLOOKUP(invoice[[#This Row],[شماره پیش فاکتور]],'[1]لیست پیش فاکتور ها'!$A:$D,4,0)</f>
        <v>1404/09/06</v>
      </c>
      <c r="E139" s="2">
        <f>VLOOKUP(invoice[[#This Row],[شماره پیش فاکتور]],[1]!invoice[[شماره پیش فاکتور]:[میزان سفارش]],5,0)</f>
        <v>30000</v>
      </c>
      <c r="F139" s="128">
        <f>VLOOKUP(invoice[[#This Row],[شماره پیش فاکتور]],[1]!invoice[[شماره پیش فاکتور]:[فی]],6,0)</f>
        <v>167500</v>
      </c>
      <c r="G139" s="3" t="str">
        <f>CHOOSE(MID(invoice[[#This Row],[تاریخ]],6,2),"فروردین","اردیبهشت","خرداد","تیر","مرداد","شهریور","مهر","آبان","آذر","دی","بهمن","اسفند")</f>
        <v>آذر</v>
      </c>
      <c r="H139" s="3">
        <f>_xlfn.NUMBERVALUE(MID(invoice[[#This Row],[تاریخ]],1,4))</f>
        <v>1404</v>
      </c>
      <c r="I139" s="130" t="str">
        <f>VLOOKUP(invoice[[#This Row],[شماره پیش فاکتور]],[1]!invoice[[شماره پیش فاکتور]:[نوع سفارش]],9,0)</f>
        <v>بورس</v>
      </c>
      <c r="J139" s="3" t="str">
        <f>VLOOKUP(invoice[[#This Row],[شماره پیش فاکتور]],[1]!invoice[[شماره پیش فاکتور]:[نوع شرکت]],10,0)</f>
        <v>تولید کننده</v>
      </c>
      <c r="K139" s="132">
        <v>46101</v>
      </c>
      <c r="L139" s="77">
        <v>0.1</v>
      </c>
      <c r="M139" s="129">
        <v>5527500000</v>
      </c>
      <c r="N139" s="129">
        <f>invoice[[#This Row],[مبلغ پیش دریافت]]/invoice[[#This Row],[میزان سفارش]]</f>
        <v>184250</v>
      </c>
      <c r="O139" s="144">
        <f>SUMIF([1]!bargiri[شماره پیش فاکتور],[1]!invoice[[#This Row],[شماره پیش فاکتور]],[1]!bargiri[میزان بارگیری شده])/[1]!invoice[[#This Row],[میزان سفارش]]</f>
        <v>1</v>
      </c>
      <c r="P139" s="140" t="str">
        <f>VLOOKUP(invoice[[#This Row],[شماره پیش فاکتور]],[1]!invoice[[شماره پیش فاکتور]:[نوع سفارش]],9,0)</f>
        <v>بورس</v>
      </c>
      <c r="Q139" s="145">
        <f>SUMIFS('[1]جزییات بارگیری'!D:D,'[1]جزییات بارگیری'!C:C,[1]!invoice[[#This Row],[شماره پیش فاکتور]])</f>
        <v>60000</v>
      </c>
      <c r="R139" s="145">
        <f>IF([1]!invoice[[#This Row],[میزان سفارش]]-[1]!invoice[[#This Row],[میزان حمل شده ]]&lt;0,0,[1]!invoice[[#This Row],[میزان سفارش]]-[1]!invoice[[#This Row],[میزان حمل شده ]])</f>
        <v>0</v>
      </c>
      <c r="S139" s="145">
        <f>[1]!invoice[[#This Row],[میزان حمل نشده ]]*[1]!invoice[[#This Row],[فی]]</f>
        <v>0</v>
      </c>
      <c r="T139" s="140"/>
    </row>
    <row r="140" spans="1:20" ht="18.600000000000001" x14ac:dyDescent="0.25">
      <c r="A140" s="81" t="s">
        <v>887</v>
      </c>
      <c r="B140" s="81" t="s">
        <v>67</v>
      </c>
      <c r="C140" s="81" t="str">
        <f>VLOOKUP(invoice[[#This Row],[شماره پیش فاکتور]],[1]!invoice[[شماره پیش فاکتور]:[تاریخ]],3,0)</f>
        <v>1404/09/10</v>
      </c>
      <c r="D140" s="82" t="str">
        <f>VLOOKUP(invoice[[#This Row],[شماره پیش فاکتور]],'[1]لیست پیش فاکتور ها'!$A:$D,4,0)</f>
        <v>1404/09/15</v>
      </c>
      <c r="E140" s="2">
        <f>VLOOKUP(invoice[[#This Row],[شماره پیش فاکتور]],[1]!invoice[[شماره پیش فاکتور]:[میزان سفارش]],5,0)</f>
        <v>50000</v>
      </c>
      <c r="F140" s="2">
        <f>VLOOKUP(invoice[[#This Row],[شماره پیش فاکتور]],[1]!invoice[[شماره پیش فاکتور]:[فی]],6,0)</f>
        <v>116500</v>
      </c>
      <c r="G140" s="3" t="str">
        <f>CHOOSE(MID(invoice[[#This Row],[تاریخ]],6,2),"فروردین","اردیبهشت","خرداد","تیر","مرداد","شهریور","مهر","آبان","آذر","دی","بهمن","اسفند")</f>
        <v>آذر</v>
      </c>
      <c r="H140" s="3">
        <f>_xlfn.NUMBERVALUE(MID(invoice[[#This Row],[تاریخ]],1,4))</f>
        <v>1404</v>
      </c>
      <c r="I140" s="3" t="str">
        <f>VLOOKUP(invoice[[#This Row],[شماره پیش فاکتور]],[1]!invoice[[شماره پیش فاکتور]:[نوع سفارش]],9,0)</f>
        <v>تعادلی</v>
      </c>
      <c r="J140" s="3" t="str">
        <f>VLOOKUP(invoice[[#This Row],[شماره پیش فاکتور]],[1]!invoice[[شماره پیش فاکتور]:[نوع شرکت]],10,0)</f>
        <v>تولید کننده</v>
      </c>
      <c r="K140" s="133">
        <v>46101</v>
      </c>
      <c r="L140" s="77">
        <v>0.1</v>
      </c>
      <c r="M140" s="129">
        <v>961125000</v>
      </c>
      <c r="N140" s="129">
        <f>invoice[[#This Row],[مبلغ پیش دریافت]]/invoice[[#This Row],[میزان سفارش]]</f>
        <v>19222.5</v>
      </c>
      <c r="O140" s="144">
        <f>SUMIF([1]!bargiri[شماره پیش فاکتور],[1]!invoice[[#This Row],[شماره پیش فاکتور]],[1]!bargiri[میزان بارگیری شده])/[1]!invoice[[#This Row],[میزان سفارش]]</f>
        <v>1</v>
      </c>
      <c r="P140" s="140" t="str">
        <f>VLOOKUP(invoice[[#This Row],[شماره پیش فاکتور]],[1]!invoice[[شماره پیش فاکتور]:[نوع سفارش]],9,0)</f>
        <v>تعادلی</v>
      </c>
      <c r="Q140" s="145">
        <f>SUMIFS('[1]جزییات بارگیری'!D:D,'[1]جزییات بارگیری'!C:C,[1]!invoice[[#This Row],[شماره پیش فاکتور]])</f>
        <v>20000</v>
      </c>
      <c r="R140" s="145">
        <f>IF([1]!invoice[[#This Row],[میزان سفارش]]-[1]!invoice[[#This Row],[میزان حمل شده ]]&lt;0,0,[1]!invoice[[#This Row],[میزان سفارش]]-[1]!invoice[[#This Row],[میزان حمل شده ]])</f>
        <v>0</v>
      </c>
      <c r="S140" s="145">
        <f>[1]!invoice[[#This Row],[میزان حمل نشده ]]*[1]!invoice[[#This Row],[فی]]</f>
        <v>0</v>
      </c>
      <c r="T140" s="140"/>
    </row>
    <row r="141" spans="1:20" ht="18.600000000000001" x14ac:dyDescent="0.25">
      <c r="A141" s="81" t="s">
        <v>888</v>
      </c>
      <c r="B141" s="81" t="s">
        <v>17</v>
      </c>
      <c r="C141" s="81" t="str">
        <f>VLOOKUP(invoice[[#This Row],[شماره پیش فاکتور]],[1]!invoice[[شماره پیش فاکتور]:[تاریخ]],3,0)</f>
        <v>1404/09/10</v>
      </c>
      <c r="D141" s="82" t="str">
        <f>VLOOKUP(invoice[[#This Row],[شماره پیش فاکتور]],'[1]لیست پیش فاکتور ها'!$A:$D,4,0)</f>
        <v>1404/09/15</v>
      </c>
      <c r="E141" s="2">
        <f>VLOOKUP(invoice[[#This Row],[شماره پیش فاکتور]],[1]!invoice[[شماره پیش فاکتور]:[میزان سفارش]],5,0)</f>
        <v>30000</v>
      </c>
      <c r="F141" s="2">
        <f>VLOOKUP(invoice[[#This Row],[شماره پیش فاکتور]],[1]!invoice[[شماره پیش فاکتور]:[فی]],6,0)</f>
        <v>116500</v>
      </c>
      <c r="G141" s="3" t="str">
        <f>CHOOSE(MID(invoice[[#This Row],[تاریخ]],6,2),"فروردین","اردیبهشت","خرداد","تیر","مرداد","شهریور","مهر","آبان","آذر","دی","بهمن","اسفند")</f>
        <v>آذر</v>
      </c>
      <c r="H141" s="3">
        <f>_xlfn.NUMBERVALUE(MID(invoice[[#This Row],[تاریخ]],1,4))</f>
        <v>1404</v>
      </c>
      <c r="I141" s="3" t="str">
        <f>VLOOKUP(invoice[[#This Row],[شماره پیش فاکتور]],[1]!invoice[[شماره پیش فاکتور]:[نوع سفارش]],9,0)</f>
        <v>تعادلی</v>
      </c>
      <c r="J141" s="3" t="str">
        <f>VLOOKUP(invoice[[#This Row],[شماره پیش فاکتور]],[1]!invoice[[شماره پیش فاکتور]:[نوع شرکت]],10,0)</f>
        <v>تولید کننده</v>
      </c>
      <c r="K141" s="133">
        <v>46101</v>
      </c>
      <c r="L141" s="77">
        <v>0.1</v>
      </c>
      <c r="M141" s="129">
        <v>576675000</v>
      </c>
      <c r="N141" s="129">
        <f>invoice[[#This Row],[مبلغ پیش دریافت]]/invoice[[#This Row],[میزان سفارش]]</f>
        <v>19222.5</v>
      </c>
      <c r="O141" s="144">
        <f>SUMIF([1]!bargiri[شماره پیش فاکتور],[1]!invoice[[#This Row],[شماره پیش فاکتور]],[1]!bargiri[میزان بارگیری شده])/[1]!invoice[[#This Row],[میزان سفارش]]</f>
        <v>1</v>
      </c>
      <c r="P141" s="140" t="str">
        <f>VLOOKUP(invoice[[#This Row],[شماره پیش فاکتور]],[1]!invoice[[شماره پیش فاکتور]:[نوع سفارش]],9,0)</f>
        <v>تعادلی</v>
      </c>
      <c r="Q141" s="145">
        <f>SUMIFS('[1]جزییات بارگیری'!D:D,'[1]جزییات بارگیری'!C:C,[1]!invoice[[#This Row],[شماره پیش فاکتور]])</f>
        <v>20000</v>
      </c>
      <c r="R141" s="145">
        <f>IF([1]!invoice[[#This Row],[میزان سفارش]]-[1]!invoice[[#This Row],[میزان حمل شده ]]&lt;0,0,[1]!invoice[[#This Row],[میزان سفارش]]-[1]!invoice[[#This Row],[میزان حمل شده ]])</f>
        <v>0</v>
      </c>
      <c r="S141" s="145">
        <f>[1]!invoice[[#This Row],[میزان حمل نشده ]]*[1]!invoice[[#This Row],[فی]]</f>
        <v>0</v>
      </c>
      <c r="T141" s="140"/>
    </row>
    <row r="142" spans="1:20" ht="18.600000000000001" x14ac:dyDescent="0.25">
      <c r="A142" s="81" t="s">
        <v>889</v>
      </c>
      <c r="B142" s="81" t="s">
        <v>40</v>
      </c>
      <c r="C142" s="81" t="str">
        <f>VLOOKUP(invoice[[#This Row],[شماره پیش فاکتور]],[1]!invoice[[شماره پیش فاکتور]:[تاریخ]],3,0)</f>
        <v>1404/09/19</v>
      </c>
      <c r="D142" s="82" t="str">
        <f>VLOOKUP(invoice[[#This Row],[شماره پیش فاکتور]],'[1]لیست پیش فاکتور ها'!$A:$D,4,0)</f>
        <v>1404/09/19</v>
      </c>
      <c r="E142" s="2">
        <f>VLOOKUP(invoice[[#This Row],[شماره پیش فاکتور]],[1]!invoice[[شماره پیش فاکتور]:[میزان سفارش]],5,0)</f>
        <v>50000</v>
      </c>
      <c r="F142" s="2">
        <f>VLOOKUP(invoice[[#This Row],[شماره پیش فاکتور]],[1]!invoice[[شماره پیش فاکتور]:[فی]],6,0)</f>
        <v>167500</v>
      </c>
      <c r="G142" s="3" t="str">
        <f>CHOOSE(MID(invoice[[#This Row],[تاریخ]],6,2),"فروردین","اردیبهشت","خرداد","تیر","مرداد","شهریور","مهر","آبان","آذر","دی","بهمن","اسفند")</f>
        <v>آذر</v>
      </c>
      <c r="H142" s="3">
        <f>_xlfn.NUMBERVALUE(MID(invoice[[#This Row],[تاریخ]],1,4))</f>
        <v>1404</v>
      </c>
      <c r="I142" s="3" t="str">
        <f>VLOOKUP(invoice[[#This Row],[شماره پیش فاکتور]],[1]!invoice[[شماره پیش فاکتور]:[نوع سفارش]],9,0)</f>
        <v>بورس</v>
      </c>
      <c r="J142" s="3" t="str">
        <f>VLOOKUP(invoice[[#This Row],[شماره پیش فاکتور]],[1]!invoice[[شماره پیش فاکتور]:[نوع شرکت]],10,0)</f>
        <v>تولید کننده</v>
      </c>
      <c r="K142" s="133">
        <v>46101</v>
      </c>
      <c r="L142" s="77">
        <v>0.1</v>
      </c>
      <c r="M142" s="129">
        <v>9212500000</v>
      </c>
      <c r="N142" s="129">
        <f>invoice[[#This Row],[مبلغ پیش دریافت]]/invoice[[#This Row],[میزان سفارش]]</f>
        <v>184250</v>
      </c>
      <c r="O142" s="144">
        <f>SUMIF([1]!bargiri[شماره پیش فاکتور],[1]!invoice[[#This Row],[شماره پیش فاکتور]],[1]!bargiri[میزان بارگیری شده])/[1]!invoice[[#This Row],[میزان سفارش]]</f>
        <v>1</v>
      </c>
      <c r="P142" s="140" t="str">
        <f>VLOOKUP(invoice[[#This Row],[شماره پیش فاکتور]],[1]!invoice[[شماره پیش فاکتور]:[نوع سفارش]],9,0)</f>
        <v>بورس</v>
      </c>
      <c r="Q142" s="145">
        <f>SUMIFS('[1]جزییات بارگیری'!D:D,'[1]جزییات بارگیری'!C:C,[1]!invoice[[#This Row],[شماره پیش فاکتور]])</f>
        <v>20000</v>
      </c>
      <c r="R142" s="145">
        <f>IF([1]!invoice[[#This Row],[میزان سفارش]]-[1]!invoice[[#This Row],[میزان حمل شده ]]&lt;0,0,[1]!invoice[[#This Row],[میزان سفارش]]-[1]!invoice[[#This Row],[میزان حمل شده ]])</f>
        <v>0</v>
      </c>
      <c r="S142" s="145">
        <f>[1]!invoice[[#This Row],[میزان حمل نشده ]]*[1]!invoice[[#This Row],[فی]]</f>
        <v>0</v>
      </c>
      <c r="T142" s="140"/>
    </row>
    <row r="143" spans="1:20" ht="18.600000000000001" x14ac:dyDescent="0.25">
      <c r="A143" s="81" t="s">
        <v>890</v>
      </c>
      <c r="B143" s="81" t="s">
        <v>25</v>
      </c>
      <c r="C143" s="81" t="str">
        <f>VLOOKUP(invoice[[#This Row],[شماره پیش فاکتور]],[1]!invoice[[شماره پیش فاکتور]:[تاریخ]],3,0)</f>
        <v>1404/09/19</v>
      </c>
      <c r="D143" s="82" t="str">
        <f>VLOOKUP(invoice[[#This Row],[شماره پیش فاکتور]],'[1]لیست پیش فاکتور ها'!$A:$D,4,0)</f>
        <v>1404/09/19</v>
      </c>
      <c r="E143" s="2">
        <f>VLOOKUP(invoice[[#This Row],[شماره پیش فاکتور]],[1]!invoice[[شماره پیش فاکتور]:[میزان سفارش]],5,0)</f>
        <v>20000</v>
      </c>
      <c r="F143" s="2">
        <f>VLOOKUP(invoice[[#This Row],[شماره پیش فاکتور]],[1]!invoice[[شماره پیش فاکتور]:[فی]],6,0)</f>
        <v>167500</v>
      </c>
      <c r="G143" s="3" t="str">
        <f>CHOOSE(MID(invoice[[#This Row],[تاریخ]],6,2),"فروردین","اردیبهشت","خرداد","تیر","مرداد","شهریور","مهر","آبان","آذر","دی","بهمن","اسفند")</f>
        <v>آذر</v>
      </c>
      <c r="H143" s="3">
        <f>_xlfn.NUMBERVALUE(MID(invoice[[#This Row],[تاریخ]],1,4))</f>
        <v>1404</v>
      </c>
      <c r="I143" s="3" t="str">
        <f>VLOOKUP(invoice[[#This Row],[شماره پیش فاکتور]],[1]!invoice[[شماره پیش فاکتور]:[نوع سفارش]],9,0)</f>
        <v>بورس</v>
      </c>
      <c r="J143" s="3" t="str">
        <f>VLOOKUP(invoice[[#This Row],[شماره پیش فاکتور]],[1]!invoice[[شماره پیش فاکتور]:[نوع شرکت]],10,0)</f>
        <v>تولید کننده</v>
      </c>
      <c r="K143" s="133">
        <v>46101</v>
      </c>
      <c r="L143" s="77">
        <v>0.1</v>
      </c>
      <c r="M143" s="129">
        <v>3685000000</v>
      </c>
      <c r="N143" s="129">
        <f>invoice[[#This Row],[مبلغ پیش دریافت]]/invoice[[#This Row],[میزان سفارش]]</f>
        <v>184250</v>
      </c>
      <c r="O143" s="144">
        <f>SUMIF([1]!bargiri[شماره پیش فاکتور],[1]!invoice[[#This Row],[شماره پیش فاکتور]],[1]!bargiri[میزان بارگیری شده])/[1]!invoice[[#This Row],[میزان سفارش]]</f>
        <v>1</v>
      </c>
      <c r="P143" s="140" t="str">
        <f>VLOOKUP(invoice[[#This Row],[شماره پیش فاکتور]],[1]!invoice[[شماره پیش فاکتور]:[نوع سفارش]],9,0)</f>
        <v>بورس</v>
      </c>
      <c r="Q143" s="145">
        <f>SUMIFS('[1]جزییات بارگیری'!D:D,'[1]جزییات بارگیری'!C:C,[1]!invoice[[#This Row],[شماره پیش فاکتور]])</f>
        <v>40000</v>
      </c>
      <c r="R143" s="145">
        <f>IF([1]!invoice[[#This Row],[میزان سفارش]]-[1]!invoice[[#This Row],[میزان حمل شده ]]&lt;0,0,[1]!invoice[[#This Row],[میزان سفارش]]-[1]!invoice[[#This Row],[میزان حمل شده ]])</f>
        <v>0</v>
      </c>
      <c r="S143" s="145">
        <f>[1]!invoice[[#This Row],[میزان حمل نشده ]]*[1]!invoice[[#This Row],[فی]]</f>
        <v>0</v>
      </c>
      <c r="T143" s="140"/>
    </row>
    <row r="144" spans="1:20" ht="18.600000000000001" x14ac:dyDescent="0.25">
      <c r="A144" s="81" t="s">
        <v>891</v>
      </c>
      <c r="B144" s="81" t="s">
        <v>40</v>
      </c>
      <c r="C144" s="81" t="str">
        <f>VLOOKUP(invoice[[#This Row],[شماره پیش فاکتور]],[1]!invoice[[شماره پیش فاکتور]:[تاریخ]],3,0)</f>
        <v>1404/09/23</v>
      </c>
      <c r="D144" s="82" t="str">
        <f>VLOOKUP(invoice[[#This Row],[شماره پیش فاکتور]],'[1]لیست پیش فاکتور ها'!$A:$D,4,0)</f>
        <v>1404/09/29</v>
      </c>
      <c r="E144" s="2">
        <f>VLOOKUP(invoice[[#This Row],[شماره پیش فاکتور]],[1]!invoice[[شماره پیش فاکتور]:[میزان سفارش]],5,0)</f>
        <v>50000</v>
      </c>
      <c r="F144" s="2">
        <f>VLOOKUP(invoice[[#This Row],[شماره پیش فاکتور]],[1]!invoice[[شماره پیش فاکتور]:[فی]],6,0)</f>
        <v>116500</v>
      </c>
      <c r="G144" s="3" t="str">
        <f>CHOOSE(MID(invoice[[#This Row],[تاریخ]],6,2),"فروردین","اردیبهشت","خرداد","تیر","مرداد","شهریور","مهر","آبان","آذر","دی","بهمن","اسفند")</f>
        <v>آذر</v>
      </c>
      <c r="H144" s="3">
        <f>_xlfn.NUMBERVALUE(MID(invoice[[#This Row],[تاریخ]],1,4))</f>
        <v>1404</v>
      </c>
      <c r="I144" s="3" t="str">
        <f>VLOOKUP(invoice[[#This Row],[شماره پیش فاکتور]],[1]!invoice[[شماره پیش فاکتور]:[نوع سفارش]],9,0)</f>
        <v>تعادلی</v>
      </c>
      <c r="J144" s="3" t="str">
        <f>VLOOKUP(invoice[[#This Row],[شماره پیش فاکتور]],[1]!invoice[[شماره پیش فاکتور]:[نوع شرکت]],10,0)</f>
        <v>تولید کننده</v>
      </c>
      <c r="K144" s="133">
        <v>46101</v>
      </c>
      <c r="L144" s="77">
        <v>0.1</v>
      </c>
      <c r="M144" s="129">
        <v>961125000</v>
      </c>
      <c r="N144" s="129">
        <f>invoice[[#This Row],[مبلغ پیش دریافت]]/invoice[[#This Row],[میزان سفارش]]</f>
        <v>19222.5</v>
      </c>
      <c r="O144" s="144">
        <f>SUMIF([1]!bargiri[شماره پیش فاکتور],[1]!invoice[[#This Row],[شماره پیش فاکتور]],[1]!bargiri[میزان بارگیری شده])/[1]!invoice[[#This Row],[میزان سفارش]]</f>
        <v>0</v>
      </c>
      <c r="P144" s="140" t="str">
        <f>VLOOKUP(invoice[[#This Row],[شماره پیش فاکتور]],[1]!invoice[[شماره پیش فاکتور]:[نوع سفارش]],9,0)</f>
        <v>تعادلی</v>
      </c>
      <c r="Q144" s="145">
        <f>SUMIFS('[1]جزییات بارگیری'!D:D,'[1]جزییات بارگیری'!C:C,[1]!invoice[[#This Row],[شماره پیش فاکتور]])</f>
        <v>0</v>
      </c>
      <c r="R144" s="145">
        <f>IF([1]!invoice[[#This Row],[میزان سفارش]]-[1]!invoice[[#This Row],[میزان حمل شده ]]&lt;0,0,[1]!invoice[[#This Row],[میزان سفارش]]-[1]!invoice[[#This Row],[میزان حمل شده ]])</f>
        <v>20000</v>
      </c>
      <c r="S144" s="145">
        <f>[1]!invoice[[#This Row],[میزان حمل نشده ]]*[1]!invoice[[#This Row],[فی]]</f>
        <v>2330000000</v>
      </c>
      <c r="T144" s="140"/>
    </row>
    <row r="145" spans="1:20" ht="18.600000000000001" x14ac:dyDescent="0.25">
      <c r="A145" s="81" t="s">
        <v>892</v>
      </c>
      <c r="B145" s="81" t="s">
        <v>25</v>
      </c>
      <c r="C145" s="81" t="str">
        <f>VLOOKUP(invoice[[#This Row],[شماره پیش فاکتور]],[1]!invoice[[شماره پیش فاکتور]:[تاریخ]],3,0)</f>
        <v>1404/09/23</v>
      </c>
      <c r="D145" s="82" t="str">
        <f>VLOOKUP(invoice[[#This Row],[شماره پیش فاکتور]],'[1]لیست پیش فاکتور ها'!$A:$D,4,0)</f>
        <v>1404/09/29</v>
      </c>
      <c r="E145" s="2">
        <f>VLOOKUP(invoice[[#This Row],[شماره پیش فاکتور]],[1]!invoice[[شماره پیش فاکتور]:[میزان سفارش]],5,0)</f>
        <v>20000</v>
      </c>
      <c r="F145" s="2">
        <f>VLOOKUP(invoice[[#This Row],[شماره پیش فاکتور]],[1]!invoice[[شماره پیش فاکتور]:[فی]],6,0)</f>
        <v>116500</v>
      </c>
      <c r="G145" s="3" t="str">
        <f>CHOOSE(MID(invoice[[#This Row],[تاریخ]],6,2),"فروردین","اردیبهشت","خرداد","تیر","مرداد","شهریور","مهر","آبان","آذر","دی","بهمن","اسفند")</f>
        <v>آذر</v>
      </c>
      <c r="H145" s="3">
        <f>_xlfn.NUMBERVALUE(MID(invoice[[#This Row],[تاریخ]],1,4))</f>
        <v>1404</v>
      </c>
      <c r="I145" s="3" t="str">
        <f>VLOOKUP(invoice[[#This Row],[شماره پیش فاکتور]],[1]!invoice[[شماره پیش فاکتور]:[نوع سفارش]],9,0)</f>
        <v>تعادلی</v>
      </c>
      <c r="J145" s="3" t="str">
        <f>VLOOKUP(invoice[[#This Row],[شماره پیش فاکتور]],[1]!invoice[[شماره پیش فاکتور]:[نوع شرکت]],10,0)</f>
        <v>تولید کننده</v>
      </c>
      <c r="K145" s="133">
        <v>46101</v>
      </c>
      <c r="L145" s="77">
        <v>0.1</v>
      </c>
      <c r="M145" s="129">
        <v>384450000</v>
      </c>
      <c r="N145" s="129">
        <f>invoice[[#This Row],[مبلغ پیش دریافت]]/invoice[[#This Row],[میزان سفارش]]</f>
        <v>19222.5</v>
      </c>
      <c r="O145" s="144">
        <f>SUMIF([1]!bargiri[شماره پیش فاکتور],[1]!invoice[[#This Row],[شماره پیش فاکتور]],[1]!bargiri[میزان بارگیری شده])/[1]!invoice[[#This Row],[میزان سفارش]]</f>
        <v>1</v>
      </c>
      <c r="P145" s="140" t="str">
        <f>VLOOKUP(invoice[[#This Row],[شماره پیش فاکتور]],[1]!invoice[[شماره پیش فاکتور]:[نوع سفارش]],9,0)</f>
        <v>تعادلی</v>
      </c>
      <c r="Q145" s="145">
        <f>SUMIFS('[1]جزییات بارگیری'!D:D,'[1]جزییات بارگیری'!C:C,[1]!invoice[[#This Row],[شماره پیش فاکتور]])</f>
        <v>20000</v>
      </c>
      <c r="R145" s="145">
        <f>IF([1]!invoice[[#This Row],[میزان سفارش]]-[1]!invoice[[#This Row],[میزان حمل شده ]]&lt;0,0,[1]!invoice[[#This Row],[میزان سفارش]]-[1]!invoice[[#This Row],[میزان حمل شده ]])</f>
        <v>0</v>
      </c>
      <c r="S145" s="145">
        <f>[1]!invoice[[#This Row],[میزان حمل نشده ]]*[1]!invoice[[#This Row],[فی]]</f>
        <v>0</v>
      </c>
      <c r="T145" s="140"/>
    </row>
    <row r="146" spans="1:20" s="148" customFormat="1" ht="20.399999999999999" x14ac:dyDescent="0.25">
      <c r="A146" s="134" t="s">
        <v>896</v>
      </c>
      <c r="B146" s="134" t="s">
        <v>73</v>
      </c>
      <c r="C146" s="134" t="str">
        <f>VLOOKUP(invoice[[#This Row],[شماره پیش فاکتور]],[1]!invoice[[شماره پیش فاکتور]:[تاریخ]],3,0)</f>
        <v>1404/10/02</v>
      </c>
      <c r="D146" s="149" t="str">
        <f>VLOOKUP(invoice[[#This Row],[شماره پیش فاکتور]],'[1]لیست پیش فاکتور ها'!$A:$D,4,0)</f>
        <v>1404/10/02</v>
      </c>
      <c r="E146" s="2">
        <f>VLOOKUP(invoice[[#This Row],[شماره پیش فاکتور]],[1]!invoice[[شماره پیش فاکتور]:[میزان سفارش]],5,0)</f>
        <v>4520000</v>
      </c>
      <c r="F146" s="135">
        <v>123481</v>
      </c>
      <c r="G146" s="136" t="str">
        <f>CHOOSE(MID(invoice[[#This Row],[تاریخ]],6,2),"فروردین","اردیبهشت","خرداد","تیر","مرداد","شهریور","مهر","آبان","آذر","دی","بهمن","اسفند")</f>
        <v>دی</v>
      </c>
      <c r="H146" s="136">
        <f>_xlfn.NUMBERVALUE(MID(invoice[[#This Row],[تاریخ]],1,4))</f>
        <v>1404</v>
      </c>
      <c r="I146" s="136" t="str">
        <f>VLOOKUP(invoice[[#This Row],[شماره پیش فاکتور]],[1]!invoice[[شماره پیش فاکتور]:[نوع سفارش]],9,0)</f>
        <v>عادی</v>
      </c>
      <c r="J146" s="136" t="str">
        <f>VLOOKUP(invoice[[#This Row],[شماره پیش فاکتور]],[1]!invoice[[شماره پیش فاکتور]:[نوع شرکت]],10,0)</f>
        <v>تولید کننده</v>
      </c>
      <c r="K146" s="137">
        <v>46437</v>
      </c>
      <c r="L146" s="141">
        <v>0.1</v>
      </c>
      <c r="M146" s="136">
        <v>315758000000</v>
      </c>
      <c r="N146" s="146">
        <f>invoice[[#This Row],[مبلغ پیش دریافت]]/invoice[[#This Row],[میزان سفارش]]</f>
        <v>69857.964601769912</v>
      </c>
      <c r="O146" s="141">
        <f>SUMIF([1]!bargiri[شماره پیش فاکتور],[1]!invoice[[#This Row],[شماره پیش فاکتور]],[1]!bargiri[میزان بارگیری شده])/[1]!invoice[[#This Row],[میزان سفارش]]</f>
        <v>1</v>
      </c>
      <c r="P146" s="140" t="str">
        <f>VLOOKUP(invoice[[#This Row],[شماره پیش فاکتور]],[1]!invoice[[شماره پیش فاکتور]:[نوع سفارش]],9,0)</f>
        <v>عادی</v>
      </c>
      <c r="Q146" s="147">
        <f>SUMIFS('[1]جزییات بارگیری'!D:D,'[1]جزییات بارگیری'!C:C,[1]!invoice[[#This Row],[شماره پیش فاکتور]])</f>
        <v>40000</v>
      </c>
      <c r="R146" s="147">
        <f>IF([1]!invoice[[#This Row],[میزان سفارش]]-[1]!invoice[[#This Row],[میزان حمل شده ]]&lt;0,0,[1]!invoice[[#This Row],[میزان سفارش]]-[1]!invoice[[#This Row],[میزان حمل شده ]])</f>
        <v>0</v>
      </c>
      <c r="S146" s="147">
        <f>[1]!invoice[[#This Row],[میزان حمل نشده ]]*[1]!invoice[[#This Row],[فی]]</f>
        <v>0</v>
      </c>
      <c r="T146" s="142"/>
    </row>
    <row r="147" spans="1:20" ht="20.399999999999999" x14ac:dyDescent="0.25">
      <c r="A147" s="138" t="s">
        <v>893</v>
      </c>
      <c r="B147" s="138" t="s">
        <v>173</v>
      </c>
      <c r="C147" s="138" t="str">
        <f>VLOOKUP(invoice[[#This Row],[شماره پیش فاکتور]],[1]!invoice[[شماره پیش فاکتور]:[تاریخ]],3,0)</f>
        <v>1404/09/25</v>
      </c>
      <c r="D147" s="125" t="str">
        <f>VLOOKUP(invoice[[#This Row],[شماره پیش فاکتور]],'[1]لیست پیش فاکتور ها'!$A:$D,4,0)</f>
        <v>1404/10/09</v>
      </c>
      <c r="E147" s="2">
        <f>VLOOKUP(invoice[[#This Row],[شماره پیش فاکتور]],[1]!invoice[[شماره پیش فاکتور]:[میزان سفارش]],5,0)</f>
        <v>500000</v>
      </c>
      <c r="F147" s="139">
        <f>VLOOKUP(invoice[[#This Row],[شماره پیش فاکتور]],[1]!invoice[[شماره پیش فاکتور]:[فی]],6,0)</f>
        <v>135000</v>
      </c>
      <c r="G147" s="130" t="str">
        <f>CHOOSE(MID(invoice[[#This Row],[تاریخ]],6,2),"فروردین","اردیبهشت","خرداد","تیر","مرداد","شهریور","مهر","آبان","آذر","دی","بهمن","اسفند")</f>
        <v>آذر</v>
      </c>
      <c r="H147" s="130">
        <f>_xlfn.NUMBERVALUE(MID(invoice[[#This Row],[تاریخ]],1,4))</f>
        <v>1404</v>
      </c>
      <c r="I147" s="130" t="str">
        <f>VLOOKUP(invoice[[#This Row],[شماره پیش فاکتور]],[1]!invoice[[شماره پیش فاکتور]:[نوع سفارش]],9,0)</f>
        <v>عادی</v>
      </c>
      <c r="J147" s="130" t="str">
        <f>VLOOKUP(invoice[[#This Row],[شماره پیش فاکتور]],[1]!invoice[[شماره پیش فاکتور]:[نوع شرکت]],10,0)</f>
        <v>واسطه</v>
      </c>
      <c r="K147" s="132">
        <v>46407</v>
      </c>
      <c r="L147" s="152">
        <v>0.1</v>
      </c>
      <c r="M147" s="130">
        <v>14850000000</v>
      </c>
      <c r="N147" s="153">
        <f>invoice[[#This Row],[مبلغ پیش دریافت]]/invoice[[#This Row],[میزان سفارش]]</f>
        <v>29700</v>
      </c>
      <c r="O147" s="152">
        <f>SUMIF([1]!bargiri[شماره پیش فاکتور],[1]!invoice[[#This Row],[شماره پیش فاکتور]],[1]!bargiri[میزان بارگیری شده])/[1]!invoice[[#This Row],[میزان سفارش]]</f>
        <v>1</v>
      </c>
      <c r="P147" s="140" t="str">
        <f>VLOOKUP(invoice[[#This Row],[شماره پیش فاکتور]],[1]!invoice[[شماره پیش فاکتور]:[نوع سفارش]],9,0)</f>
        <v>عادی</v>
      </c>
      <c r="Q147" s="145">
        <f>SUMIFS('[1]جزییات بارگیری'!D:D,'[1]جزییات بارگیری'!C:C,[1]!invoice[[#This Row],[شماره پیش فاکتور]])</f>
        <v>20000</v>
      </c>
      <c r="R147" s="145">
        <f>IF([1]!invoice[[#This Row],[میزان سفارش]]-[1]!invoice[[#This Row],[میزان حمل شده ]]&lt;0,0,[1]!invoice[[#This Row],[میزان سفارش]]-[1]!invoice[[#This Row],[میزان حمل شده ]])</f>
        <v>0</v>
      </c>
      <c r="S147" s="145">
        <f>[1]!invoice[[#This Row],[میزان حمل نشده ]]*[1]!invoice[[#This Row],[فی]]</f>
        <v>0</v>
      </c>
      <c r="T147" s="3"/>
    </row>
    <row r="148" spans="1:20" ht="20.399999999999999" x14ac:dyDescent="0.25">
      <c r="A148" s="138" t="s">
        <v>895</v>
      </c>
      <c r="B148" s="138" t="s">
        <v>43</v>
      </c>
      <c r="C148" s="138" t="str">
        <f>VLOOKUP(invoice[[#This Row],[شماره پیش فاکتور]],[1]!invoice[[شماره پیش فاکتور]:[تاریخ]],3,0)</f>
        <v>1404/10/07</v>
      </c>
      <c r="D148" s="125" t="str">
        <f>VLOOKUP(invoice[[#This Row],[شماره پیش فاکتور]],'[1]لیست پیش فاکتور ها'!$A:$D,4,0)</f>
        <v>1404/10/09</v>
      </c>
      <c r="E148" s="2">
        <f>VLOOKUP(invoice[[#This Row],[شماره پیش فاکتور]],[1]!invoice[[شماره پیش فاکتور]:[میزان سفارش]],5,0)</f>
        <v>500000</v>
      </c>
      <c r="F148" s="139">
        <f>VLOOKUP(invoice[[#This Row],[شماره پیش فاکتور]],[1]!invoice[[شماره پیش فاکتور]:[فی]],6,0)</f>
        <v>125000</v>
      </c>
      <c r="G148" s="130" t="str">
        <f>CHOOSE(MID(invoice[[#This Row],[تاریخ]],6,2),"فروردین","اردیبهشت","خرداد","تیر","مرداد","شهریور","مهر","آبان","آذر","دی","بهمن","اسفند")</f>
        <v>دی</v>
      </c>
      <c r="H148" s="130">
        <f>_xlfn.NUMBERVALUE(MID(invoice[[#This Row],[تاریخ]],1,4))</f>
        <v>1404</v>
      </c>
      <c r="I148" s="130" t="str">
        <f>VLOOKUP(invoice[[#This Row],[شماره پیش فاکتور]],[1]!invoice[[شماره پیش فاکتور]:[نوع سفارش]],9,0)</f>
        <v>عادی</v>
      </c>
      <c r="J148" s="130" t="str">
        <f>VLOOKUP(invoice[[#This Row],[شماره پیش فاکتور]],[1]!invoice[[شماره پیش فاکتور]:[نوع شرکت]],10,0)</f>
        <v>تولید کننده</v>
      </c>
      <c r="K148" s="132">
        <v>46287</v>
      </c>
      <c r="L148" s="77">
        <v>0.1</v>
      </c>
      <c r="M148" s="129">
        <v>20625000000</v>
      </c>
      <c r="N148" s="129">
        <f>invoice[[#This Row],[مبلغ پیش دریافت]]/invoice[[#This Row],[میزان سفارش]]</f>
        <v>41250</v>
      </c>
      <c r="O148" s="77">
        <f>SUMIF([1]!bargiri[شماره پیش فاکتور],[1]!invoice[[#This Row],[شماره پیش فاکتور]],[1]!bargiri[میزان بارگیری شده])/[1]!invoice[[#This Row],[میزان سفارش]]</f>
        <v>1</v>
      </c>
      <c r="P148" s="140" t="str">
        <f>VLOOKUP(invoice[[#This Row],[شماره پیش فاکتور]],[1]!invoice[[شماره پیش فاکتور]:[نوع سفارش]],9,0)</f>
        <v>عادی</v>
      </c>
      <c r="Q148" s="145">
        <f>SUMIFS('[1]جزییات بارگیری'!D:D,'[1]جزییات بارگیری'!C:C,[1]!invoice[[#This Row],[شماره پیش فاکتور]])</f>
        <v>30000</v>
      </c>
      <c r="R148" s="145">
        <f>IF([1]!invoice[[#This Row],[میزان سفارش]]-[1]!invoice[[#This Row],[میزان حمل شده ]]&lt;0,0,[1]!invoice[[#This Row],[میزان سفارش]]-[1]!invoice[[#This Row],[میزان حمل شده ]])</f>
        <v>0</v>
      </c>
      <c r="S148" s="145">
        <f>[1]!invoice[[#This Row],[میزان حمل نشده ]]*[1]!invoice[[#This Row],[فی]]</f>
        <v>0</v>
      </c>
      <c r="T148" s="3"/>
    </row>
    <row r="149" spans="1:20" ht="20.399999999999999" x14ac:dyDescent="0.25">
      <c r="A149" s="138" t="s">
        <v>899</v>
      </c>
      <c r="B149" s="138" t="s">
        <v>67</v>
      </c>
      <c r="C149" s="138" t="str">
        <f>VLOOKUP(invoice[[#This Row],[شماره پیش فاکتور]],[1]!invoice[[شماره پیش فاکتور]:[تاریخ]],3,0)</f>
        <v>1404/10/10</v>
      </c>
      <c r="D149" s="125" t="str">
        <f>VLOOKUP(invoice[[#This Row],[شماره پیش فاکتور]],'[1]لیست پیش فاکتور ها'!$A:$D,4,0)</f>
        <v>1404/10/15</v>
      </c>
      <c r="E149" s="2">
        <f>VLOOKUP(invoice[[#This Row],[شماره پیش فاکتور]],[1]!invoice[[شماره پیش فاکتور]:[میزان سفارش]],5,0)</f>
        <v>100000</v>
      </c>
      <c r="F149" s="139">
        <f>VLOOKUP(invoice[[#This Row],[شماره پیش فاکتور]],[1]!invoice[[شماره پیش فاکتور]:[فی]],6,0)</f>
        <v>116500</v>
      </c>
      <c r="G149" s="130" t="str">
        <f>CHOOSE(MID(invoice[[#This Row],[تاریخ]],6,2),"فروردین","اردیبهشت","خرداد","تیر","مرداد","شهریور","مهر","آبان","آذر","دی","بهمن","اسفند")</f>
        <v>دی</v>
      </c>
      <c r="H149" s="130">
        <f>_xlfn.NUMBERVALUE(MID(invoice[[#This Row],[تاریخ]],1,4))</f>
        <v>1404</v>
      </c>
      <c r="I149" s="130" t="str">
        <f>VLOOKUP(invoice[[#This Row],[شماره پیش فاکتور]],[1]!invoice[[شماره پیش فاکتور]:[نوع سفارش]],9,0)</f>
        <v>تعادلی</v>
      </c>
      <c r="J149" s="130" t="str">
        <f>VLOOKUP(invoice[[#This Row],[شماره پیش فاکتور]],[1]!invoice[[شماره پیش فاکتور]:[نوع شرکت]],10,0)</f>
        <v>تولید کننده</v>
      </c>
      <c r="K149" s="132">
        <v>46101</v>
      </c>
      <c r="L149" s="77">
        <v>0.1</v>
      </c>
      <c r="M149" s="129">
        <v>1922250000</v>
      </c>
      <c r="N149" s="129">
        <f>invoice[[#This Row],[مبلغ پیش دریافت]]/invoice[[#This Row],[میزان سفارش]]</f>
        <v>19222.5</v>
      </c>
      <c r="O149" s="77">
        <f>SUMIF([1]!bargiri[شماره پیش فاکتور],[1]!invoice[[#This Row],[شماره پیش فاکتور]],[1]!bargiri[میزان بارگیری شده])/[1]!invoice[[#This Row],[میزان سفارش]]</f>
        <v>0.90449999999999997</v>
      </c>
      <c r="P149" s="140" t="str">
        <f>VLOOKUP(invoice[[#This Row],[شماره پیش فاکتور]],[1]!invoice[[شماره پیش فاکتور]:[نوع سفارش]],9,0)</f>
        <v>تعادلی</v>
      </c>
      <c r="Q149" s="145">
        <f>SUMIFS('[1]جزییات بارگیری'!D:D,'[1]جزییات بارگیری'!C:C,[1]!invoice[[#This Row],[شماره پیش فاکتور]])</f>
        <v>18090</v>
      </c>
      <c r="R149" s="145">
        <f>IF([1]!invoice[[#This Row],[میزان سفارش]]-[1]!invoice[[#This Row],[میزان حمل شده ]]&lt;0,0,[1]!invoice[[#This Row],[میزان سفارش]]-[1]!invoice[[#This Row],[میزان حمل شده ]])</f>
        <v>1910</v>
      </c>
      <c r="S149" s="145">
        <f>[1]!invoice[[#This Row],[میزان حمل نشده ]]*[1]!invoice[[#This Row],[فی]]</f>
        <v>319925000</v>
      </c>
      <c r="T149" s="3"/>
    </row>
    <row r="150" spans="1:20" ht="20.399999999999999" x14ac:dyDescent="0.25">
      <c r="A150" s="138" t="s">
        <v>902</v>
      </c>
      <c r="B150" s="138" t="s">
        <v>67</v>
      </c>
      <c r="C150" s="138" t="str">
        <f>VLOOKUP(invoice[[#This Row],[شماره پیش فاکتور]],[1]!invoice[[شماره پیش فاکتور]:[تاریخ]],3,0)</f>
        <v>1404/10/03</v>
      </c>
      <c r="D150" s="125" t="str">
        <f>VLOOKUP(invoice[[#This Row],[شماره پیش فاکتور]],'[1]لیست پیش فاکتور ها'!$A:$D,4,0)</f>
        <v>1404/10/03</v>
      </c>
      <c r="E150" s="2">
        <f>VLOOKUP(invoice[[#This Row],[شماره پیش فاکتور]],[1]!invoice[[شماره پیش فاکتور]:[میزان سفارش]],5,0)</f>
        <v>100000</v>
      </c>
      <c r="F150" s="139">
        <f>VLOOKUP(invoice[[#This Row],[شماره پیش فاکتور]],[1]!invoice[[شماره پیش فاکتور]:[فی]],6,0)</f>
        <v>167500</v>
      </c>
      <c r="G150" s="130" t="str">
        <f>CHOOSE(MID(invoice[[#This Row],[تاریخ]],6,2),"فروردین","اردیبهشت","خرداد","تیر","مرداد","شهریور","مهر","آبان","آذر","دی","بهمن","اسفند")</f>
        <v>دی</v>
      </c>
      <c r="H150" s="130">
        <f>_xlfn.NUMBERVALUE(MID(invoice[[#This Row],[تاریخ]],1,4))</f>
        <v>1404</v>
      </c>
      <c r="I150" s="130" t="str">
        <f>VLOOKUP(invoice[[#This Row],[شماره پیش فاکتور]],[1]!invoice[[شماره پیش فاکتور]:[نوع سفارش]],9,0)</f>
        <v>بورس</v>
      </c>
      <c r="J150" s="130" t="str">
        <f>VLOOKUP(invoice[[#This Row],[شماره پیش فاکتور]],[1]!invoice[[شماره پیش فاکتور]:[نوع شرکت]],10,0)</f>
        <v>تولید کننده</v>
      </c>
      <c r="K150" s="132">
        <v>46101</v>
      </c>
      <c r="L150" s="77">
        <v>0.1</v>
      </c>
      <c r="M150" s="129">
        <v>18425000000</v>
      </c>
      <c r="N150" s="129">
        <f>invoice[[#This Row],[مبلغ پیش دریافت]]/invoice[[#This Row],[میزان سفارش]]</f>
        <v>184250</v>
      </c>
      <c r="O150" s="77">
        <f>SUMIF([1]!bargiri[شماره پیش فاکتور],[1]!invoice[[#This Row],[شماره پیش فاکتور]],[1]!bargiri[میزان بارگیری شده])/[1]!invoice[[#This Row],[میزان سفارش]]</f>
        <v>1</v>
      </c>
      <c r="P150" s="140" t="str">
        <f>VLOOKUP(invoice[[#This Row],[شماره پیش فاکتور]],[1]!invoice[[شماره پیش فاکتور]:[نوع سفارش]],9,0)</f>
        <v>بورس</v>
      </c>
      <c r="Q150" s="145">
        <f>SUMIFS('[1]جزییات بارگیری'!D:D,'[1]جزییات بارگیری'!C:C,[1]!invoice[[#This Row],[شماره پیش فاکتور]])</f>
        <v>20000</v>
      </c>
      <c r="R150" s="145">
        <f>IF([1]!invoice[[#This Row],[میزان سفارش]]-[1]!invoice[[#This Row],[میزان حمل شده ]]&lt;0,0,[1]!invoice[[#This Row],[میزان سفارش]]-[1]!invoice[[#This Row],[میزان حمل شده ]])</f>
        <v>0</v>
      </c>
      <c r="S150" s="145">
        <f>[1]!invoice[[#This Row],[میزان حمل نشده ]]*[1]!invoice[[#This Row],[فی]]</f>
        <v>0</v>
      </c>
      <c r="T150" s="3"/>
    </row>
    <row r="151" spans="1:20" ht="20.399999999999999" x14ac:dyDescent="0.25">
      <c r="A151" s="138" t="s">
        <v>904</v>
      </c>
      <c r="B151" s="138" t="s">
        <v>17</v>
      </c>
      <c r="C151" s="138" t="str">
        <f>VLOOKUP(invoice[[#This Row],[شماره پیش فاکتور]],[1]!invoice[[شماره پیش فاکتور]:[تاریخ]],3,0)</f>
        <v>1404/10/17</v>
      </c>
      <c r="D151" s="125" t="str">
        <f>VLOOKUP(invoice[[#This Row],[شماره پیش فاکتور]],'[1]لیست پیش فاکتور ها'!$A:$D,4,0)</f>
        <v>1404/10/18</v>
      </c>
      <c r="E151" s="2">
        <f>VLOOKUP(invoice[[#This Row],[شماره پیش فاکتور]],[1]!invoice[[شماره پیش فاکتور]:[میزان سفارش]],5,0)</f>
        <v>30000</v>
      </c>
      <c r="F151" s="139">
        <f>VLOOKUP(invoice[[#This Row],[شماره پیش فاکتور]],[1]!invoice[[شماره پیش فاکتور]:[فی]],6,0)</f>
        <v>167500</v>
      </c>
      <c r="G151" s="130" t="str">
        <f>CHOOSE(MID(invoice[[#This Row],[تاریخ]],6,2),"فروردین","اردیبهشت","خرداد","تیر","مرداد","شهریور","مهر","آبان","آذر","دی","بهمن","اسفند")</f>
        <v>دی</v>
      </c>
      <c r="H151" s="130">
        <f>_xlfn.NUMBERVALUE(MID(invoice[[#This Row],[تاریخ]],1,4))</f>
        <v>1404</v>
      </c>
      <c r="I151" s="130" t="str">
        <f>VLOOKUP(invoice[[#This Row],[شماره پیش فاکتور]],[1]!invoice[[شماره پیش فاکتور]:[نوع سفارش]],9,0)</f>
        <v>بورس</v>
      </c>
      <c r="J151" s="130" t="str">
        <f>VLOOKUP(invoice[[#This Row],[شماره پیش فاکتور]],[1]!invoice[[شماره پیش فاکتور]:[نوع شرکت]],10,0)</f>
        <v>تولید کننده</v>
      </c>
      <c r="K151" s="132">
        <v>46101</v>
      </c>
      <c r="L151" s="77">
        <v>0.1</v>
      </c>
      <c r="M151" s="129">
        <v>5527500000</v>
      </c>
      <c r="N151" s="129">
        <f>invoice[[#This Row],[مبلغ پیش دریافت]]/invoice[[#This Row],[میزان سفارش]]</f>
        <v>184250</v>
      </c>
      <c r="O151" s="77">
        <f>SUMIF([1]!bargiri[شماره پیش فاکتور],[1]!invoice[[#This Row],[شماره پیش فاکتور]],[1]!bargiri[میزان بارگیری شده])/[1]!invoice[[#This Row],[میزان سفارش]]</f>
        <v>1</v>
      </c>
      <c r="P151" s="140" t="str">
        <f>VLOOKUP(invoice[[#This Row],[شماره پیش فاکتور]],[1]!invoice[[شماره پیش فاکتور]:[نوع سفارش]],9,0)</f>
        <v>بورس</v>
      </c>
      <c r="Q151" s="145">
        <f>SUMIFS('[1]جزییات بارگیری'!D:D,'[1]جزییات بارگیری'!C:C,[1]!invoice[[#This Row],[شماره پیش فاکتور]])</f>
        <v>30000</v>
      </c>
      <c r="R151" s="145">
        <f>IF([1]!invoice[[#This Row],[میزان سفارش]]-[1]!invoice[[#This Row],[میزان حمل شده ]]&lt;0,0,[1]!invoice[[#This Row],[میزان سفارش]]-[1]!invoice[[#This Row],[میزان حمل شده ]])</f>
        <v>0</v>
      </c>
      <c r="S151" s="145">
        <f>[1]!invoice[[#This Row],[میزان حمل نشده ]]*[1]!invoice[[#This Row],[فی]]</f>
        <v>0</v>
      </c>
      <c r="T151" s="3"/>
    </row>
    <row r="152" spans="1:20" ht="20.399999999999999" x14ac:dyDescent="0.25">
      <c r="A152" s="138" t="s">
        <v>907</v>
      </c>
      <c r="B152" s="138" t="s">
        <v>67</v>
      </c>
      <c r="C152" s="138" t="str">
        <f>VLOOKUP(invoice[[#This Row],[شماره پیش فاکتور]],[1]!invoice[[شماره پیش فاکتور]:[تاریخ]],3,0)</f>
        <v>1404/10/17</v>
      </c>
      <c r="D152" s="125" t="str">
        <f>VLOOKUP(invoice[[#This Row],[شماره پیش فاکتور]],'[1]لیست پیش فاکتور ها'!$A:$D,4,0)</f>
        <v>1404/10/18</v>
      </c>
      <c r="E152" s="2">
        <f>VLOOKUP(invoice[[#This Row],[شماره پیش فاکتور]],[1]!invoice[[شماره پیش فاکتور]:[میزان سفارش]],5,0)</f>
        <v>20000</v>
      </c>
      <c r="F152" s="139">
        <f>VLOOKUP(invoice[[#This Row],[شماره پیش فاکتور]],[1]!invoice[[شماره پیش فاکتور]:[فی]],6,0)</f>
        <v>167500</v>
      </c>
      <c r="G152" s="130" t="str">
        <f>CHOOSE(MID(invoice[[#This Row],[تاریخ]],6,2),"فروردین","اردیبهشت","خرداد","تیر","مرداد","شهریور","مهر","آبان","آذر","دی","بهمن","اسفند")</f>
        <v>دی</v>
      </c>
      <c r="H152" s="130">
        <f>_xlfn.NUMBERVALUE(MID(invoice[[#This Row],[تاریخ]],1,4))</f>
        <v>1404</v>
      </c>
      <c r="I152" s="130" t="str">
        <f>VLOOKUP(invoice[[#This Row],[شماره پیش فاکتور]],[1]!invoice[[شماره پیش فاکتور]:[نوع سفارش]],9,0)</f>
        <v>بورس</v>
      </c>
      <c r="J152" s="130" t="str">
        <f>VLOOKUP(invoice[[#This Row],[شماره پیش فاکتور]],[1]!invoice[[شماره پیش فاکتور]:[نوع شرکت]],10,0)</f>
        <v>تولید کننده</v>
      </c>
      <c r="K152" s="132">
        <v>46101</v>
      </c>
      <c r="L152" s="77">
        <v>0.1</v>
      </c>
      <c r="M152" s="129">
        <v>3685000000</v>
      </c>
      <c r="N152" s="129">
        <f>invoice[[#This Row],[مبلغ پیش دریافت]]/invoice[[#This Row],[میزان سفارش]]</f>
        <v>184250</v>
      </c>
      <c r="O152" s="77">
        <f>SUMIF([1]!bargiri[شماره پیش فاکتور],[1]!invoice[[#This Row],[شماره پیش فاکتور]],[1]!bargiri[میزان بارگیری شده])/[1]!invoice[[#This Row],[میزان سفارش]]</f>
        <v>1</v>
      </c>
      <c r="P152" s="140" t="str">
        <f>VLOOKUP(invoice[[#This Row],[شماره پیش فاکتور]],[1]!invoice[[شماره پیش فاکتور]:[نوع سفارش]],9,0)</f>
        <v>بورس</v>
      </c>
      <c r="Q152" s="145">
        <f>SUMIFS('[1]جزییات بارگیری'!D:D,'[1]جزییات بارگیری'!C:C,[1]!invoice[[#This Row],[شماره پیش فاکتور]])</f>
        <v>30000</v>
      </c>
      <c r="R152" s="145">
        <f>IF([1]!invoice[[#This Row],[میزان سفارش]]-[1]!invoice[[#This Row],[میزان حمل شده ]]&lt;0,0,[1]!invoice[[#This Row],[میزان سفارش]]-[1]!invoice[[#This Row],[میزان حمل شده ]])</f>
        <v>0</v>
      </c>
      <c r="S152" s="145">
        <f>[1]!invoice[[#This Row],[میزان حمل نشده ]]*[1]!invoice[[#This Row],[فی]]</f>
        <v>0</v>
      </c>
      <c r="T152" s="3"/>
    </row>
    <row r="153" spans="1:20" ht="20.399999999999999" x14ac:dyDescent="0.25">
      <c r="A153" s="138" t="s">
        <v>908</v>
      </c>
      <c r="B153" s="138" t="s">
        <v>40</v>
      </c>
      <c r="C153" s="138" t="str">
        <f>VLOOKUP(invoice[[#This Row],[شماره پیش فاکتور]],[1]!invoice[[شماره پیش فاکتور]:[تاریخ]],3,0)</f>
        <v>1404/10/17</v>
      </c>
      <c r="D153" s="125" t="str">
        <f>VLOOKUP(invoice[[#This Row],[شماره پیش فاکتور]],'[1]لیست پیش فاکتور ها'!$A:$D,4,0)</f>
        <v>1404/10/18</v>
      </c>
      <c r="E153" s="2">
        <f>VLOOKUP(invoice[[#This Row],[شماره پیش فاکتور]],[1]!invoice[[شماره پیش فاکتور]:[میزان سفارش]],5,0)</f>
        <v>30000</v>
      </c>
      <c r="F153" s="139">
        <f>VLOOKUP(invoice[[#This Row],[شماره پیش فاکتور]],[1]!invoice[[شماره پیش فاکتور]:[فی]],6,0)</f>
        <v>167500</v>
      </c>
      <c r="G153" s="130" t="str">
        <f>CHOOSE(MID(invoice[[#This Row],[تاریخ]],6,2),"فروردین","اردیبهشت","خرداد","تیر","مرداد","شهریور","مهر","آبان","آذر","دی","بهمن","اسفند")</f>
        <v>دی</v>
      </c>
      <c r="H153" s="130">
        <f>_xlfn.NUMBERVALUE(MID(invoice[[#This Row],[تاریخ]],1,4))</f>
        <v>1404</v>
      </c>
      <c r="I153" s="130" t="str">
        <f>VLOOKUP(invoice[[#This Row],[شماره پیش فاکتور]],[1]!invoice[[شماره پیش فاکتور]:[نوع سفارش]],9,0)</f>
        <v>بورس</v>
      </c>
      <c r="J153" s="130" t="str">
        <f>VLOOKUP(invoice[[#This Row],[شماره پیش فاکتور]],[1]!invoice[[شماره پیش فاکتور]:[نوع شرکت]],10,0)</f>
        <v>تولید کننده</v>
      </c>
      <c r="K153" s="132">
        <v>46101</v>
      </c>
      <c r="L153" s="77">
        <v>0.1</v>
      </c>
      <c r="M153" s="129">
        <v>5527500000</v>
      </c>
      <c r="N153" s="129">
        <f>invoice[[#This Row],[مبلغ پیش دریافت]]/invoice[[#This Row],[میزان سفارش]]</f>
        <v>184250</v>
      </c>
      <c r="O153" s="77">
        <f>SUMIF([1]!bargiri[شماره پیش فاکتور],[1]!invoice[[#This Row],[شماره پیش فاکتور]],[1]!bargiri[میزان بارگیری شده])/[1]!invoice[[#This Row],[میزان سفارش]]</f>
        <v>0</v>
      </c>
      <c r="P153" s="140" t="str">
        <f>VLOOKUP(invoice[[#This Row],[شماره پیش فاکتور]],[1]!invoice[[شماره پیش فاکتور]:[نوع سفارش]],9,0)</f>
        <v>بورس</v>
      </c>
      <c r="Q153" s="145">
        <f>SUMIFS('[1]جزییات بارگیری'!D:D,'[1]جزییات بارگیری'!C:C,[1]!invoice[[#This Row],[شماره پیش فاکتور]])</f>
        <v>0</v>
      </c>
      <c r="R153" s="145">
        <f>IF([1]!invoice[[#This Row],[میزان سفارش]]-[1]!invoice[[#This Row],[میزان حمل شده ]]&lt;0,0,[1]!invoice[[#This Row],[میزان سفارش]]-[1]!invoice[[#This Row],[میزان حمل شده ]])</f>
        <v>20000</v>
      </c>
      <c r="S153" s="145">
        <f>[1]!invoice[[#This Row],[میزان حمل نشده ]]*[1]!invoice[[#This Row],[فی]]</f>
        <v>2330000000</v>
      </c>
      <c r="T153" s="3"/>
    </row>
    <row r="154" spans="1:20" s="148" customFormat="1" ht="20.399999999999999" x14ac:dyDescent="0.25">
      <c r="A154" s="134" t="s">
        <v>909</v>
      </c>
      <c r="B154" s="134" t="s">
        <v>73</v>
      </c>
      <c r="C154" s="134" t="str">
        <f>VLOOKUP(invoice[[#This Row],[شماره پیش فاکتور]],[1]!invoice[[شماره پیش فاکتور]:[تاریخ]],3,0)</f>
        <v>1404/10/02</v>
      </c>
      <c r="D154" s="149" t="str">
        <f>VLOOKUP(invoice[[#This Row],[شماره پیش فاکتور]],'[1]لیست پیش فاکتور ها'!$A:$D,4,0)</f>
        <v>1404/10/02</v>
      </c>
      <c r="E154" s="2">
        <f>VLOOKUP(invoice[[#This Row],[شماره پیش فاکتور]],[1]!invoice[[شماره پیش فاکتور]:[میزان سفارش]],5,0)</f>
        <v>500000</v>
      </c>
      <c r="F154" s="135">
        <f>VLOOKUP(invoice[[#This Row],[شماره پیش فاکتور]],[1]!invoice[[شماره پیش فاکتور]:[فی]],6,0)</f>
        <v>115372</v>
      </c>
      <c r="G154" s="136" t="str">
        <f>CHOOSE(MID(invoice[[#This Row],[تاریخ]],6,2),"فروردین","اردیبهشت","خرداد","تیر","مرداد","شهریور","مهر","آبان","آذر","دی","بهمن","اسفند")</f>
        <v>دی</v>
      </c>
      <c r="H154" s="136">
        <f>_xlfn.NUMBERVALUE(MID(invoice[[#This Row],[تاریخ]],1,4))</f>
        <v>1404</v>
      </c>
      <c r="I154" s="136" t="str">
        <f>VLOOKUP(invoice[[#This Row],[شماره پیش فاکتور]],[1]!invoice[[شماره پیش فاکتور]:[نوع سفارش]],9,0)</f>
        <v>عادی</v>
      </c>
      <c r="J154" s="136" t="str">
        <f>VLOOKUP(invoice[[#This Row],[شماره پیش فاکتور]],[1]!invoice[[شماره پیش فاکتور]:[نوع شرکت]],10,0)</f>
        <v>تولید کننده</v>
      </c>
      <c r="K154" s="137">
        <v>46422</v>
      </c>
      <c r="L154" s="141">
        <v>0.1</v>
      </c>
      <c r="M154" s="146">
        <v>31450000000</v>
      </c>
      <c r="N154" s="146">
        <f>invoice[[#This Row],[مبلغ پیش دریافت]]/invoice[[#This Row],[میزان سفارش]]</f>
        <v>62900</v>
      </c>
      <c r="O154" s="141">
        <f>SUMIF([1]!bargiri[شماره پیش فاکتور],[1]!invoice[[#This Row],[شماره پیش فاکتور]],[1]!bargiri[میزان بارگیری شده])/[1]!invoice[[#This Row],[میزان سفارش]]</f>
        <v>0</v>
      </c>
      <c r="P154" s="140" t="str">
        <f>VLOOKUP(invoice[[#This Row],[شماره پیش فاکتور]],[1]!invoice[[شماره پیش فاکتور]:[نوع سفارش]],9,0)</f>
        <v>عادی</v>
      </c>
      <c r="Q154" s="147">
        <f>SUMIFS('[1]جزییات بارگیری'!D:D,'[1]جزییات بارگیری'!C:C,[1]!invoice[[#This Row],[شماره پیش فاکتور]])</f>
        <v>0</v>
      </c>
      <c r="R154" s="147">
        <f>IF([1]!invoice[[#This Row],[میزان سفارش]]-[1]!invoice[[#This Row],[میزان حمل شده ]]&lt;0,0,[1]!invoice[[#This Row],[میزان سفارش]]-[1]!invoice[[#This Row],[میزان حمل شده ]])</f>
        <v>20000</v>
      </c>
      <c r="S154" s="147">
        <f>[1]!invoice[[#This Row],[میزان حمل نشده ]]*[1]!invoice[[#This Row],[فی]]</f>
        <v>2330000000</v>
      </c>
      <c r="T154" s="142"/>
    </row>
    <row r="155" spans="1:20" s="148" customFormat="1" ht="20.399999999999999" x14ac:dyDescent="0.25">
      <c r="A155" s="134" t="s">
        <v>910</v>
      </c>
      <c r="B155" s="134" t="s">
        <v>73</v>
      </c>
      <c r="C155" s="134" t="str">
        <f>VLOOKUP(invoice[[#This Row],[شماره پیش فاکتور]],[1]!invoice[[شماره پیش فاکتور]:[تاریخ]],3,0)</f>
        <v>1404/10/02</v>
      </c>
      <c r="D155" s="149" t="str">
        <f>VLOOKUP(invoice[[#This Row],[شماره پیش فاکتور]],'[1]لیست پیش فاکتور ها'!$A:$D,4,0)</f>
        <v>1404/10/02</v>
      </c>
      <c r="E155" s="2">
        <f>VLOOKUP(invoice[[#This Row],[شماره پیش فاکتور]],[1]!invoice[[شماره پیش فاکتور]:[میزان سفارش]],5,0)</f>
        <v>500000</v>
      </c>
      <c r="F155" s="135">
        <f>VLOOKUP(invoice[[#This Row],[شماره پیش فاکتور]],[1]!invoice[[شماره پیش فاکتور]:[فی]],6,0)</f>
        <v>115372</v>
      </c>
      <c r="G155" s="136" t="str">
        <f>CHOOSE(MID(invoice[[#This Row],[تاریخ]],6,2),"فروردین","اردیبهشت","خرداد","تیر","مرداد","شهریور","مهر","آبان","آذر","دی","بهمن","اسفند")</f>
        <v>دی</v>
      </c>
      <c r="H155" s="136">
        <f>_xlfn.NUMBERVALUE(MID(invoice[[#This Row],[تاریخ]],1,4))</f>
        <v>1404</v>
      </c>
      <c r="I155" s="136" t="str">
        <f>VLOOKUP(invoice[[#This Row],[شماره پیش فاکتور]],[1]!invoice[[شماره پیش فاکتور]:[نوع سفارش]],9,0)</f>
        <v>عادی</v>
      </c>
      <c r="J155" s="136" t="str">
        <f>VLOOKUP(invoice[[#This Row],[شماره پیش فاکتور]],[1]!invoice[[شماره پیش فاکتور]:[نوع شرکت]],10,0)</f>
        <v>تولید کننده</v>
      </c>
      <c r="K155" s="137">
        <v>46422</v>
      </c>
      <c r="L155" s="141">
        <v>0.1</v>
      </c>
      <c r="M155" s="146">
        <v>31450000000</v>
      </c>
      <c r="N155" s="146">
        <f>invoice[[#This Row],[مبلغ پیش دریافت]]/invoice[[#This Row],[میزان سفارش]]</f>
        <v>62900</v>
      </c>
      <c r="O155" s="141">
        <f>SUMIF([1]!bargiri[شماره پیش فاکتور],[1]!invoice[[#This Row],[شماره پیش فاکتور]],[1]!bargiri[میزان بارگیری شده])/[1]!invoice[[#This Row],[میزان سفارش]]</f>
        <v>1</v>
      </c>
      <c r="P155" s="140" t="str">
        <f>VLOOKUP(invoice[[#This Row],[شماره پیش فاکتور]],[1]!invoice[[شماره پیش فاکتور]:[نوع سفارش]],9,0)</f>
        <v>عادی</v>
      </c>
      <c r="Q155" s="147">
        <f>SUMIFS('[1]جزییات بارگیری'!D:D,'[1]جزییات بارگیری'!C:C,[1]!invoice[[#This Row],[شماره پیش فاکتور]])</f>
        <v>30000</v>
      </c>
      <c r="R155" s="147">
        <f>IF([1]!invoice[[#This Row],[میزان سفارش]]-[1]!invoice[[#This Row],[میزان حمل شده ]]&lt;0,0,[1]!invoice[[#This Row],[میزان سفارش]]-[1]!invoice[[#This Row],[میزان حمل شده ]])</f>
        <v>0</v>
      </c>
      <c r="S155" s="147">
        <f>[1]!invoice[[#This Row],[میزان حمل نشده ]]*[1]!invoice[[#This Row],[فی]]</f>
        <v>0</v>
      </c>
      <c r="T155" s="142"/>
    </row>
    <row r="156" spans="1:20" ht="20.399999999999999" x14ac:dyDescent="0.25">
      <c r="A156" s="138" t="s">
        <v>911</v>
      </c>
      <c r="B156" s="138" t="s">
        <v>25</v>
      </c>
      <c r="C156" s="138" t="str">
        <f>VLOOKUP(invoice[[#This Row],[شماره پیش فاکتور]],[1]!invoice[[شماره پیش فاکتور]:[تاریخ]],3,0)</f>
        <v>1404/10/17</v>
      </c>
      <c r="D156" s="125" t="str">
        <f>VLOOKUP(invoice[[#This Row],[شماره پیش فاکتور]],'[1]لیست پیش فاکتور ها'!$A:$D,4,0)</f>
        <v>1404/10/18</v>
      </c>
      <c r="E156" s="2">
        <f>VLOOKUP(invoice[[#This Row],[شماره پیش فاکتور]],[1]!invoice[[شماره پیش فاکتور]:[میزان سفارش]],5,0)</f>
        <v>20000</v>
      </c>
      <c r="F156" s="139">
        <f>VLOOKUP(invoice[[#This Row],[شماره پیش فاکتور]],[1]!invoice[[شماره پیش فاکتور]:[فی]],6,0)</f>
        <v>167500</v>
      </c>
      <c r="G156" s="130" t="str">
        <f>CHOOSE(MID(invoice[[#This Row],[تاریخ]],6,2),"فروردین","اردیبهشت","خرداد","تیر","مرداد","شهریور","مهر","آبان","آذر","دی","بهمن","اسفند")</f>
        <v>دی</v>
      </c>
      <c r="H156" s="130">
        <f>_xlfn.NUMBERVALUE(MID(invoice[[#This Row],[تاریخ]],1,4))</f>
        <v>1404</v>
      </c>
      <c r="I156" s="130" t="str">
        <f>VLOOKUP(invoice[[#This Row],[شماره پیش فاکتور]],[1]!invoice[[شماره پیش فاکتور]:[نوع سفارش]],9,0)</f>
        <v>بورس</v>
      </c>
      <c r="J156" s="130" t="str">
        <f>VLOOKUP(invoice[[#This Row],[شماره پیش فاکتور]],[1]!invoice[[شماره پیش فاکتور]:[نوع شرکت]],10,0)</f>
        <v>تولید کننده</v>
      </c>
      <c r="K156" s="132">
        <v>46101</v>
      </c>
      <c r="L156" s="77">
        <v>0.1</v>
      </c>
      <c r="M156" s="129">
        <v>3685000000</v>
      </c>
      <c r="N156" s="129">
        <f>invoice[[#This Row],[مبلغ پیش دریافت]]/invoice[[#This Row],[میزان سفارش]]</f>
        <v>184250</v>
      </c>
      <c r="O156" s="77">
        <f>SUMIF([1]!bargiri[شماره پیش فاکتور],[1]!invoice[[#This Row],[شماره پیش فاکتور]],[1]!bargiri[میزان بارگیری شده])/[1]!invoice[[#This Row],[میزان سفارش]]</f>
        <v>0.44374999999999998</v>
      </c>
      <c r="P156" s="140" t="str">
        <f>VLOOKUP(invoice[[#This Row],[شماره پیش فاکتور]],[1]!invoice[[شماره پیش فاکتور]:[نوع سفارش]],9,0)</f>
        <v>بورس</v>
      </c>
      <c r="Q156" s="145">
        <f>SUMIFS('[1]جزییات بارگیری'!D:D,'[1]جزییات بارگیری'!C:C,[1]!invoice[[#This Row],[شماره پیش فاکتور]])</f>
        <v>8875</v>
      </c>
      <c r="R156" s="145">
        <f>IF([1]!invoice[[#This Row],[میزان سفارش]]-[1]!invoice[[#This Row],[میزان حمل شده ]]&lt;0,0,[1]!invoice[[#This Row],[میزان سفارش]]-[1]!invoice[[#This Row],[میزان حمل شده ]])</f>
        <v>11125</v>
      </c>
      <c r="S156" s="145">
        <f>[1]!invoice[[#This Row],[میزان حمل نشده ]]*[1]!invoice[[#This Row],[فی]]</f>
        <v>1780000000</v>
      </c>
      <c r="T156" s="3"/>
    </row>
    <row r="157" spans="1:20" ht="20.399999999999999" x14ac:dyDescent="0.25">
      <c r="A157" s="138" t="s">
        <v>912</v>
      </c>
      <c r="B157" s="138" t="s">
        <v>17</v>
      </c>
      <c r="C157" s="138" t="str">
        <f>VLOOKUP(invoice[[#This Row],[شماره پیش فاکتور]],[1]!invoice[[شماره پیش فاکتور]:[تاریخ]],3,0)</f>
        <v>1404/10/22</v>
      </c>
      <c r="D157" s="125" t="str">
        <f>VLOOKUP(invoice[[#This Row],[شماره پیش فاکتور]],'[1]لیست پیش فاکتور ها'!$A:$D,4,0)</f>
        <v>1404/10/25</v>
      </c>
      <c r="E157" s="2">
        <f>VLOOKUP(invoice[[#This Row],[شماره پیش فاکتور]],[1]!invoice[[شماره پیش فاکتور]:[میزان سفارش]],5,0)</f>
        <v>30000</v>
      </c>
      <c r="F157" s="139">
        <f>VLOOKUP(invoice[[#This Row],[شماره پیش فاکتور]],[1]!invoice[[شماره پیش فاکتور]:[فی]],6,0)</f>
        <v>116500</v>
      </c>
      <c r="G157" s="130" t="str">
        <f>CHOOSE(MID(invoice[[#This Row],[تاریخ]],6,2),"فروردین","اردیبهشت","خرداد","تیر","مرداد","شهریور","مهر","آبان","آذر","دی","بهمن","اسفند")</f>
        <v>دی</v>
      </c>
      <c r="H157" s="130">
        <f>_xlfn.NUMBERVALUE(MID(invoice[[#This Row],[تاریخ]],1,4))</f>
        <v>1404</v>
      </c>
      <c r="I157" s="130" t="str">
        <f>VLOOKUP(invoice[[#This Row],[شماره پیش فاکتور]],[1]!invoice[[شماره پیش فاکتور]:[نوع سفارش]],9,0)</f>
        <v>تعادلی</v>
      </c>
      <c r="J157" s="130" t="str">
        <f>VLOOKUP(invoice[[#This Row],[شماره پیش فاکتور]],[1]!invoice[[شماره پیش فاکتور]:[نوع شرکت]],10,0)</f>
        <v>تولید کننده</v>
      </c>
      <c r="K157" s="132">
        <v>46101</v>
      </c>
      <c r="L157" s="77">
        <v>0.1</v>
      </c>
      <c r="M157" s="129">
        <v>576675000</v>
      </c>
      <c r="N157" s="129">
        <f>invoice[[#This Row],[مبلغ پیش دریافت]]/invoice[[#This Row],[میزان سفارش]]</f>
        <v>19222.5</v>
      </c>
      <c r="O157" s="77">
        <f>SUMIF([1]!bargiri[شماره پیش فاکتور],[1]!invoice[[#This Row],[شماره پیش فاکتور]],[1]!bargiri[میزان بارگیری شده])/[1]!invoice[[#This Row],[میزان سفارش]]</f>
        <v>1</v>
      </c>
      <c r="P157" s="140" t="str">
        <f>VLOOKUP(invoice[[#This Row],[شماره پیش فاکتور]],[1]!invoice[[شماره پیش فاکتور]:[نوع سفارش]],9,0)</f>
        <v>تعادلی</v>
      </c>
      <c r="Q157" s="145">
        <f>SUMIFS('[1]جزییات بارگیری'!D:D,'[1]جزییات بارگیری'!C:C,[1]!invoice[[#This Row],[شماره پیش فاکتور]])</f>
        <v>50000</v>
      </c>
      <c r="R157" s="145">
        <f>IF([1]!invoice[[#This Row],[میزان سفارش]]-[1]!invoice[[#This Row],[میزان حمل شده ]]&lt;0,0,[1]!invoice[[#This Row],[میزان سفارش]]-[1]!invoice[[#This Row],[میزان حمل شده ]])</f>
        <v>0</v>
      </c>
      <c r="S157" s="145">
        <f>[1]!invoice[[#This Row],[میزان حمل نشده ]]*[1]!invoice[[#This Row],[فی]]</f>
        <v>0</v>
      </c>
      <c r="T157" s="3"/>
    </row>
    <row r="158" spans="1:20" ht="20.399999999999999" x14ac:dyDescent="0.25">
      <c r="A158" s="138" t="s">
        <v>914</v>
      </c>
      <c r="B158" s="138" t="s">
        <v>67</v>
      </c>
      <c r="C158" s="138" t="str">
        <f>VLOOKUP(invoice[[#This Row],[شماره پیش فاکتور]],[1]!invoice[[شماره پیش فاکتور]:[تاریخ]],3,0)</f>
        <v>1404/10/22</v>
      </c>
      <c r="D158" s="125" t="str">
        <f>VLOOKUP(invoice[[#This Row],[شماره پیش فاکتور]],'[1]لیست پیش فاکتور ها'!$A:$D,4,0)</f>
        <v>1404/10/25</v>
      </c>
      <c r="E158" s="2">
        <f>VLOOKUP(invoice[[#This Row],[شماره پیش فاکتور]],[1]!invoice[[شماره پیش فاکتور]:[میزان سفارش]],5,0)</f>
        <v>20000</v>
      </c>
      <c r="F158" s="139">
        <f>VLOOKUP(invoice[[#This Row],[شماره پیش فاکتور]],[1]!invoice[[شماره پیش فاکتور]:[فی]],6,0)</f>
        <v>116500</v>
      </c>
      <c r="G158" s="130" t="str">
        <f>CHOOSE(MID(invoice[[#This Row],[تاریخ]],6,2),"فروردین","اردیبهشت","خرداد","تیر","مرداد","شهریور","مهر","آبان","آذر","دی","بهمن","اسفند")</f>
        <v>دی</v>
      </c>
      <c r="H158" s="130">
        <f>_xlfn.NUMBERVALUE(MID(invoice[[#This Row],[تاریخ]],1,4))</f>
        <v>1404</v>
      </c>
      <c r="I158" s="130" t="str">
        <f>VLOOKUP(invoice[[#This Row],[شماره پیش فاکتور]],[1]!invoice[[شماره پیش فاکتور]:[نوع سفارش]],9,0)</f>
        <v>تعادلی</v>
      </c>
      <c r="J158" s="130" t="str">
        <f>VLOOKUP(invoice[[#This Row],[شماره پیش فاکتور]],[1]!invoice[[شماره پیش فاکتور]:[نوع شرکت]],10,0)</f>
        <v>تولید کننده</v>
      </c>
      <c r="K158" s="132">
        <v>46101</v>
      </c>
      <c r="L158" s="77">
        <v>0.1</v>
      </c>
      <c r="M158" s="129">
        <v>384450000</v>
      </c>
      <c r="N158" s="129">
        <f>invoice[[#This Row],[مبلغ پیش دریافت]]/invoice[[#This Row],[میزان سفارش]]</f>
        <v>19222.5</v>
      </c>
      <c r="O158" s="77">
        <f>SUMIF([1]!bargiri[شماره پیش فاکتور],[1]!invoice[[#This Row],[شماره پیش فاکتور]],[1]!bargiri[میزان بارگیری شده])/[1]!invoice[[#This Row],[میزان سفارش]]</f>
        <v>0</v>
      </c>
      <c r="P158" s="140" t="str">
        <f>VLOOKUP(invoice[[#This Row],[شماره پیش فاکتور]],[1]!invoice[[شماره پیش فاکتور]:[نوع سفارش]],9,0)</f>
        <v>تعادلی</v>
      </c>
      <c r="Q158" s="145">
        <f>SUMIFS('[1]جزییات بارگیری'!D:D,'[1]جزییات بارگیری'!C:C,[1]!invoice[[#This Row],[شماره پیش فاکتور]])</f>
        <v>0</v>
      </c>
      <c r="R158" s="145">
        <f>IF([1]!invoice[[#This Row],[میزان سفارش]]-[1]!invoice[[#This Row],[میزان حمل شده ]]&lt;0,0,[1]!invoice[[#This Row],[میزان سفارش]]-[1]!invoice[[#This Row],[میزان حمل شده ]])</f>
        <v>20000</v>
      </c>
      <c r="S158" s="145">
        <f>[1]!invoice[[#This Row],[میزان حمل نشده ]]*[1]!invoice[[#This Row],[فی]]</f>
        <v>3350000000</v>
      </c>
      <c r="T158" s="3"/>
    </row>
    <row r="159" spans="1:20" ht="20.399999999999999" x14ac:dyDescent="0.25">
      <c r="A159" s="138" t="s">
        <v>916</v>
      </c>
      <c r="B159" s="138" t="s">
        <v>40</v>
      </c>
      <c r="C159" s="138" t="str">
        <f>VLOOKUP(invoice[[#This Row],[شماره پیش فاکتور]],[1]!invoice[[شماره پیش فاکتور]:[تاریخ]],3,0)</f>
        <v>1404/10/22</v>
      </c>
      <c r="D159" s="125">
        <f>VLOOKUP(invoice[[#This Row],[شماره پیش فاکتور]],'[1]لیست پیش فاکتور ها'!$A:$D,4,0)</f>
        <v>46037</v>
      </c>
      <c r="E159" s="2">
        <f>VLOOKUP(invoice[[#This Row],[شماره پیش فاکتور]],[1]!invoice[[شماره پیش فاکتور]:[میزان سفارش]],5,0)</f>
        <v>30000</v>
      </c>
      <c r="F159" s="139">
        <f>VLOOKUP(invoice[[#This Row],[شماره پیش فاکتور]],[1]!invoice[[شماره پیش فاکتور]:[فی]],6,0)</f>
        <v>116500</v>
      </c>
      <c r="G159" s="130" t="str">
        <f>CHOOSE(MID(invoice[[#This Row],[تاریخ]],6,2),"فروردین","اردیبهشت","خرداد","تیر","مرداد","شهریور","مهر","آبان","آذر","دی","بهمن","اسفند")</f>
        <v>دی</v>
      </c>
      <c r="H159" s="130">
        <f>_xlfn.NUMBERVALUE(MID(invoice[[#This Row],[تاریخ]],1,4))</f>
        <v>1404</v>
      </c>
      <c r="I159" s="130" t="str">
        <f>VLOOKUP(invoice[[#This Row],[شماره پیش فاکتور]],[1]!invoice[[شماره پیش فاکتور]:[نوع سفارش]],9,0)</f>
        <v>تعادلی</v>
      </c>
      <c r="J159" s="130" t="str">
        <f>VLOOKUP(invoice[[#This Row],[شماره پیش فاکتور]],[1]!invoice[[شماره پیش فاکتور]:[نوع شرکت]],10,0)</f>
        <v>تولید کننده</v>
      </c>
      <c r="K159" s="132">
        <v>46101</v>
      </c>
      <c r="L159" s="77">
        <v>0.1</v>
      </c>
      <c r="M159" s="129">
        <v>576675000</v>
      </c>
      <c r="N159" s="129">
        <f>invoice[[#This Row],[مبلغ پیش دریافت]]/invoice[[#This Row],[میزان سفارش]]</f>
        <v>19222.5</v>
      </c>
      <c r="O159" s="77">
        <f>SUMIF([1]!bargiri[شماره پیش فاکتور],[1]!invoice[[#This Row],[شماره پیش فاکتور]],[1]!bargiri[میزان بارگیری شده])/[1]!invoice[[#This Row],[میزان سفارش]]</f>
        <v>1</v>
      </c>
      <c r="P159" s="140" t="str">
        <f>VLOOKUP(invoice[[#This Row],[شماره پیش فاکتور]],[1]!invoice[[شماره پیش فاکتور]:[نوع سفارش]],9,0)</f>
        <v>تعادلی</v>
      </c>
      <c r="Q159" s="145">
        <f>SUMIFS('[1]جزییات بارگیری'!D:D,'[1]جزییات بارگیری'!C:C,[1]!invoice[[#This Row],[شماره پیش فاکتور]])</f>
        <v>30000</v>
      </c>
      <c r="R159" s="145">
        <f>IF([1]!invoice[[#This Row],[میزان سفارش]]-[1]!invoice[[#This Row],[میزان حمل شده ]]&lt;0,0,[1]!invoice[[#This Row],[میزان سفارش]]-[1]!invoice[[#This Row],[میزان حمل شده ]])</f>
        <v>0</v>
      </c>
      <c r="S159" s="145">
        <f>[1]!invoice[[#This Row],[میزان حمل نشده ]]*[1]!invoice[[#This Row],[فی]]</f>
        <v>0</v>
      </c>
      <c r="T159" s="3"/>
    </row>
    <row r="160" spans="1:20" ht="20.399999999999999" x14ac:dyDescent="0.25">
      <c r="A160" s="138" t="s">
        <v>917</v>
      </c>
      <c r="B160" s="138" t="s">
        <v>25</v>
      </c>
      <c r="C160" s="138" t="str">
        <f>VLOOKUP(invoice[[#This Row],[شماره پیش فاکتور]],[1]!invoice[[شماره پیش فاکتور]:[تاریخ]],3,0)</f>
        <v>1404/10/22</v>
      </c>
      <c r="D160" s="125" t="str">
        <f>VLOOKUP(invoice[[#This Row],[شماره پیش فاکتور]],'[1]لیست پیش فاکتور ها'!$A:$D,4,0)</f>
        <v>1404/10/25</v>
      </c>
      <c r="E160" s="2">
        <f>VLOOKUP(invoice[[#This Row],[شماره پیش فاکتور]],[1]!invoice[[شماره پیش فاکتور]:[میزان سفارش]],5,0)</f>
        <v>20000</v>
      </c>
      <c r="F160" s="139">
        <f>VLOOKUP(invoice[[#This Row],[شماره پیش فاکتور]],[1]!invoice[[شماره پیش فاکتور]:[فی]],6,0)</f>
        <v>116500</v>
      </c>
      <c r="G160" s="130" t="str">
        <f>CHOOSE(MID(invoice[[#This Row],[تاریخ]],6,2),"فروردین","اردیبهشت","خرداد","تیر","مرداد","شهریور","مهر","آبان","آذر","دی","بهمن","اسفند")</f>
        <v>دی</v>
      </c>
      <c r="H160" s="130">
        <f>_xlfn.NUMBERVALUE(MID(invoice[[#This Row],[تاریخ]],1,4))</f>
        <v>1404</v>
      </c>
      <c r="I160" s="130" t="str">
        <f>VLOOKUP(invoice[[#This Row],[شماره پیش فاکتور]],[1]!invoice[[شماره پیش فاکتور]:[نوع سفارش]],9,0)</f>
        <v>تعادلی</v>
      </c>
      <c r="J160" s="130" t="str">
        <f>VLOOKUP(invoice[[#This Row],[شماره پیش فاکتور]],[1]!invoice[[شماره پیش فاکتور]:[نوع شرکت]],10,0)</f>
        <v>تولید کننده</v>
      </c>
      <c r="K160" s="132">
        <v>46101</v>
      </c>
      <c r="L160" s="77">
        <v>0.1</v>
      </c>
      <c r="M160" s="129">
        <v>384450000</v>
      </c>
      <c r="N160" s="129">
        <f>invoice[[#This Row],[مبلغ پیش دریافت]]/invoice[[#This Row],[میزان سفارش]]</f>
        <v>19222.5</v>
      </c>
      <c r="O160" s="77">
        <f>SUMIF([1]!bargiri[شماره پیش فاکتور],[1]!invoice[[#This Row],[شماره پیش فاکتور]],[1]!bargiri[میزان بارگیری شده])/[1]!invoice[[#This Row],[میزان سفارش]]</f>
        <v>0.59970000000000001</v>
      </c>
      <c r="P160" s="140" t="str">
        <f>VLOOKUP(invoice[[#This Row],[شماره پیش فاکتور]],[1]!invoice[[شماره پیش فاکتور]:[نوع سفارش]],9,0)</f>
        <v>تعادلی</v>
      </c>
      <c r="Q160" s="145">
        <f>SUMIFS('[1]جزییات بارگیری'!D:D,'[1]جزییات بارگیری'!C:C,[1]!invoice[[#This Row],[شماره پیش فاکتور]])</f>
        <v>29985</v>
      </c>
      <c r="R160" s="145">
        <f>IF([1]!invoice[[#This Row],[میزان سفارش]]-[1]!invoice[[#This Row],[میزان حمل شده ]]&lt;0,0,[1]!invoice[[#This Row],[میزان سفارش]]-[1]!invoice[[#This Row],[میزان حمل شده ]])</f>
        <v>20015</v>
      </c>
      <c r="S160" s="145">
        <f>[1]!invoice[[#This Row],[میزان حمل نشده ]]*[1]!invoice[[#This Row],[فی]]</f>
        <v>2331747500</v>
      </c>
      <c r="T160" s="3"/>
    </row>
    <row r="161" spans="1:20" ht="20.399999999999999" x14ac:dyDescent="0.25">
      <c r="A161" s="138" t="s">
        <v>918</v>
      </c>
      <c r="B161" s="138" t="s">
        <v>43</v>
      </c>
      <c r="C161" s="138" t="str">
        <f>VLOOKUP(invoice[[#This Row],[شماره پیش فاکتور]],[1]!invoice[[شماره پیش فاکتور]:[تاریخ]],3,0)</f>
        <v>1404/10/30</v>
      </c>
      <c r="D161" s="125">
        <f>VLOOKUP(invoice[[#This Row],[شماره پیش فاکتور]],'[1]لیست پیش فاکتور ها'!$A:$D,4,0)</f>
        <v>46042</v>
      </c>
      <c r="E161" s="2">
        <f>VLOOKUP(invoice[[#This Row],[شماره پیش فاکتور]],[1]!invoice[[شماره پیش فاکتور]:[میزان سفارش]],5,0)</f>
        <v>400000</v>
      </c>
      <c r="F161" s="139">
        <f>VLOOKUP(invoice[[#This Row],[شماره پیش فاکتور]],[1]!invoice[[شماره پیش فاکتور]:[فی]],6,0)</f>
        <v>125000</v>
      </c>
      <c r="G161" s="130" t="str">
        <f>CHOOSE(MID(invoice[[#This Row],[تاریخ]],6,2),"فروردین","اردیبهشت","خرداد","تیر","مرداد","شهریور","مهر","آبان","آذر","دی","بهمن","اسفند")</f>
        <v>دی</v>
      </c>
      <c r="H161" s="130">
        <f>_xlfn.NUMBERVALUE(MID(invoice[[#This Row],[تاریخ]],1,4))</f>
        <v>1404</v>
      </c>
      <c r="I161" s="130" t="str">
        <f>VLOOKUP(invoice[[#This Row],[شماره پیش فاکتور]],[1]!invoice[[شماره پیش فاکتور]:[نوع سفارش]],9,0)</f>
        <v>عادی</v>
      </c>
      <c r="J161" s="130" t="str">
        <f>VLOOKUP(invoice[[#This Row],[شماره پیش فاکتور]],[1]!invoice[[شماره پیش فاکتور]:[نوع شرکت]],10,0)</f>
        <v>تولید کننده</v>
      </c>
      <c r="K161" s="132">
        <v>46287</v>
      </c>
      <c r="L161" s="77">
        <v>0.1</v>
      </c>
      <c r="M161" s="129">
        <v>16500000000</v>
      </c>
      <c r="N161" s="78">
        <f>invoice[[#This Row],[مبلغ پیش دریافت]]/invoice[[#This Row],[میزان سفارش]]</f>
        <v>41250</v>
      </c>
      <c r="O161" s="77">
        <f>SUMIF([1]!bargiri[شماره پیش فاکتور],[1]!invoice[[#This Row],[شماره پیش فاکتور]],[1]!bargiri[میزان بارگیری شده])/[1]!invoice[[#This Row],[میزان سفارش]]</f>
        <v>0</v>
      </c>
      <c r="P161" s="140" t="str">
        <f>VLOOKUP(invoice[[#This Row],[شماره پیش فاکتور]],[1]!invoice[[شماره پیش فاکتور]:[نوع سفارش]],9,0)</f>
        <v>عادی</v>
      </c>
      <c r="Q161" s="145">
        <f>SUMIFS('[1]جزییات بارگیری'!D:D,'[1]جزییات بارگیری'!C:C,[1]!invoice[[#This Row],[شماره پیش فاکتور]])</f>
        <v>0</v>
      </c>
      <c r="R161" s="145">
        <f>IF([1]!invoice[[#This Row],[میزان سفارش]]-[1]!invoice[[#This Row],[میزان حمل شده ]]&lt;0,0,[1]!invoice[[#This Row],[میزان سفارش]]-[1]!invoice[[#This Row],[میزان حمل شده ]])</f>
        <v>20000</v>
      </c>
      <c r="S161" s="145">
        <f>[1]!invoice[[#This Row],[میزان حمل نشده ]]*[1]!invoice[[#This Row],[فی]]</f>
        <v>2330000000</v>
      </c>
      <c r="T161" s="3"/>
    </row>
    <row r="162" spans="1:20" ht="20.399999999999999" x14ac:dyDescent="0.25">
      <c r="A162" s="138" t="s">
        <v>920</v>
      </c>
      <c r="B162" s="138" t="s">
        <v>67</v>
      </c>
      <c r="C162" s="138" t="str">
        <f>VLOOKUP(invoice[[#This Row],[شماره پیش فاکتور]],[1]!invoice[[شماره پیش فاکتور]:[تاریخ]],3,0)</f>
        <v>1404/11/01</v>
      </c>
      <c r="D162" s="125" t="str">
        <f>VLOOKUP(invoice[[#This Row],[شماره پیش فاکتور]],'[1]لیست پیش فاکتور ها'!$A:$D,4,0)</f>
        <v>1404/11/01</v>
      </c>
      <c r="E162" s="2">
        <f>VLOOKUP(invoice[[#This Row],[شماره پیش فاکتور]],[1]!invoice[[شماره پیش فاکتور]:[میزان سفارش]],5,0)</f>
        <v>80000</v>
      </c>
      <c r="F162" s="139">
        <f>VLOOKUP(invoice[[#This Row],[شماره پیش فاکتور]],[1]!invoice[[شماره پیش فاکتور]:[فی]],6,0)</f>
        <v>167500</v>
      </c>
      <c r="G162" s="130" t="str">
        <f>CHOOSE(MID(invoice[[#This Row],[تاریخ]],6,2),"فروردین","اردیبهشت","خرداد","تیر","مرداد","شهریور","مهر","آبان","آذر","دی","بهمن","اسفند")</f>
        <v>بهمن</v>
      </c>
      <c r="H162" s="130">
        <f>_xlfn.NUMBERVALUE(MID(invoice[[#This Row],[تاریخ]],1,4))</f>
        <v>1404</v>
      </c>
      <c r="I162" s="130" t="str">
        <f>VLOOKUP(invoice[[#This Row],[شماره پیش فاکتور]],[1]!invoice[[شماره پیش فاکتور]:[نوع سفارش]],9,0)</f>
        <v>بورس</v>
      </c>
      <c r="J162" s="130" t="str">
        <f>VLOOKUP(invoice[[#This Row],[شماره پیش فاکتور]],[1]!invoice[[شماره پیش فاکتور]:[نوع شرکت]],10,0)</f>
        <v>تولید کننده</v>
      </c>
      <c r="K162" s="132">
        <v>46101</v>
      </c>
      <c r="L162" s="77">
        <v>0.1</v>
      </c>
      <c r="M162" s="129">
        <v>14740000000</v>
      </c>
      <c r="N162" s="78">
        <f>invoice[[#This Row],[مبلغ پیش دریافت]]/invoice[[#This Row],[میزان سفارش]]</f>
        <v>184250</v>
      </c>
      <c r="O162" s="77">
        <f>SUMIF([1]!bargiri[شماره پیش فاکتور],[1]!invoice[[#This Row],[شماره پیش فاکتور]],[1]!bargiri[میزان بارگیری شده])/[1]!invoice[[#This Row],[میزان سفارش]]</f>
        <v>0</v>
      </c>
      <c r="P162" s="140" t="str">
        <f>VLOOKUP(invoice[[#This Row],[شماره پیش فاکتور]],[1]!invoice[[شماره پیش فاکتور]:[نوع سفارش]],9,0)</f>
        <v>بورس</v>
      </c>
      <c r="Q162" s="145">
        <f>SUMIFS('[1]جزییات بارگیری'!D:D,'[1]جزییات بارگیری'!C:C,[1]!invoice[[#This Row],[شماره پیش فاکتور]])</f>
        <v>0</v>
      </c>
      <c r="R162" s="145">
        <f>IF([1]!invoice[[#This Row],[میزان سفارش]]-[1]!invoice[[#This Row],[میزان حمل شده ]]&lt;0,0,[1]!invoice[[#This Row],[میزان سفارش]]-[1]!invoice[[#This Row],[میزان حمل شده ]])</f>
        <v>30000</v>
      </c>
      <c r="S162" s="145">
        <f>[1]!invoice[[#This Row],[میزان حمل نشده ]]*[1]!invoice[[#This Row],[فی]]</f>
        <v>3495000000</v>
      </c>
      <c r="T162" s="3"/>
    </row>
    <row r="163" spans="1:20" ht="20.399999999999999" x14ac:dyDescent="0.25">
      <c r="A163" s="138" t="s">
        <v>922</v>
      </c>
      <c r="B163" s="138" t="s">
        <v>25</v>
      </c>
      <c r="C163" s="138" t="str">
        <f>VLOOKUP(invoice[[#This Row],[شماره پیش فاکتور]],[1]!invoice[[شماره پیش فاکتور]:[تاریخ]],3,0)</f>
        <v>1404/11/01</v>
      </c>
      <c r="D163" s="125" t="str">
        <f>VLOOKUP(invoice[[#This Row],[شماره پیش فاکتور]],'[1]لیست پیش فاکتور ها'!$A:$D,4,0)</f>
        <v>1404/11/01</v>
      </c>
      <c r="E163" s="2">
        <f>VLOOKUP(invoice[[#This Row],[شماره پیش فاکتور]],[1]!invoice[[شماره پیش فاکتور]:[میزان سفارش]],5,0)</f>
        <v>20000</v>
      </c>
      <c r="F163" s="139">
        <f>VLOOKUP(invoice[[#This Row],[شماره پیش فاکتور]],[1]!invoice[[شماره پیش فاکتور]:[فی]],6,0)</f>
        <v>167500</v>
      </c>
      <c r="G163" s="130" t="str">
        <f>CHOOSE(MID(invoice[[#This Row],[تاریخ]],6,2),"فروردین","اردیبهشت","خرداد","تیر","مرداد","شهریور","مهر","آبان","آذر","دی","بهمن","اسفند")</f>
        <v>بهمن</v>
      </c>
      <c r="H163" s="130">
        <f>_xlfn.NUMBERVALUE(MID(invoice[[#This Row],[تاریخ]],1,4))</f>
        <v>1404</v>
      </c>
      <c r="I163" s="130" t="str">
        <f>VLOOKUP(invoice[[#This Row],[شماره پیش فاکتور]],[1]!invoice[[شماره پیش فاکتور]:[نوع سفارش]],9,0)</f>
        <v>بورس</v>
      </c>
      <c r="J163" s="130" t="str">
        <f>VLOOKUP(invoice[[#This Row],[شماره پیش فاکتور]],[1]!invoice[[شماره پیش فاکتور]:[نوع شرکت]],10,0)</f>
        <v>تولید کننده</v>
      </c>
      <c r="K163" s="132">
        <v>46101</v>
      </c>
      <c r="L163" s="77">
        <v>0.1</v>
      </c>
      <c r="M163" s="129">
        <v>3685000000</v>
      </c>
      <c r="N163" s="78">
        <f>invoice[[#This Row],[مبلغ پیش دریافت]]/invoice[[#This Row],[میزان سفارش]]</f>
        <v>184250</v>
      </c>
      <c r="O163" s="77">
        <f>SUMIF([1]!bargiri[شماره پیش فاکتور],[1]!invoice[[#This Row],[شماره پیش فاکتور]],[1]!bargiri[میزان بارگیری شده])/[1]!invoice[[#This Row],[میزان سفارش]]</f>
        <v>1</v>
      </c>
      <c r="P163" s="140" t="str">
        <f>VLOOKUP(invoice[[#This Row],[شماره پیش فاکتور]],[1]!invoice[[شماره پیش فاکتور]:[نوع سفارش]],9,0)</f>
        <v>بورس</v>
      </c>
      <c r="Q163" s="145">
        <f>SUMIFS('[1]جزییات بارگیری'!D:D,'[1]جزییات بارگیری'!C:C,[1]!invoice[[#This Row],[شماره پیش فاکتور]])</f>
        <v>60000</v>
      </c>
      <c r="R163" s="145">
        <f>IF([1]!invoice[[#This Row],[میزان سفارش]]-[1]!invoice[[#This Row],[میزان حمل شده ]]&lt;0,0,[1]!invoice[[#This Row],[میزان سفارش]]-[1]!invoice[[#This Row],[میزان حمل شده ]])</f>
        <v>0</v>
      </c>
      <c r="S163" s="145">
        <f>[1]!invoice[[#This Row],[میزان حمل نشده ]]*[1]!invoice[[#This Row],[فی]]</f>
        <v>0</v>
      </c>
      <c r="T163" s="3"/>
    </row>
    <row r="164" spans="1:20" ht="20.399999999999999" x14ac:dyDescent="0.25">
      <c r="A164" s="138" t="s">
        <v>923</v>
      </c>
      <c r="B164" s="138" t="s">
        <v>67</v>
      </c>
      <c r="C164" s="138" t="str">
        <f>VLOOKUP(invoice[[#This Row],[شماره پیش فاکتور]],[1]!invoice[[شماره پیش فاکتور]:[تاریخ]],3,0)</f>
        <v>1404/11/06</v>
      </c>
      <c r="D164" s="125" t="str">
        <f>VLOOKUP(invoice[[#This Row],[شماره پیش فاکتور]],'[1]لیست پیش فاکتور ها'!$A:$D,4,0)</f>
        <v>1404/11/22</v>
      </c>
      <c r="E164" s="2">
        <f>VLOOKUP(invoice[[#This Row],[شماره پیش فاکتور]],[1]!invoice[[شماره پیش فاکتور]:[میزان سفارش]],5,0)</f>
        <v>80000</v>
      </c>
      <c r="F164" s="139">
        <f>VLOOKUP(invoice[[#This Row],[شماره پیش فاکتور]],[1]!invoice[[شماره پیش فاکتور]:[فی]],6,0)</f>
        <v>116500</v>
      </c>
      <c r="G164" s="130" t="str">
        <f>CHOOSE(MID(invoice[[#This Row],[تاریخ]],6,2),"فروردین","اردیبهشت","خرداد","تیر","مرداد","شهریور","مهر","آبان","آذر","دی","بهمن","اسفند")</f>
        <v>بهمن</v>
      </c>
      <c r="H164" s="130">
        <f>_xlfn.NUMBERVALUE(MID(invoice[[#This Row],[تاریخ]],1,4))</f>
        <v>1404</v>
      </c>
      <c r="I164" s="130" t="str">
        <f>VLOOKUP(invoice[[#This Row],[شماره پیش فاکتور]],[1]!invoice[[شماره پیش فاکتور]:[نوع سفارش]],9,0)</f>
        <v>تعادلی</v>
      </c>
      <c r="J164" s="130" t="str">
        <f>VLOOKUP(invoice[[#This Row],[شماره پیش فاکتور]],[1]!invoice[[شماره پیش فاکتور]:[نوع شرکت]],10,0)</f>
        <v>تولید کننده</v>
      </c>
      <c r="K164" s="132">
        <v>46101</v>
      </c>
      <c r="L164" s="77">
        <v>0.1</v>
      </c>
      <c r="M164" s="129">
        <v>1537800000</v>
      </c>
      <c r="N164" s="78">
        <f>invoice[[#This Row],[مبلغ پیش دریافت]]/invoice[[#This Row],[میزان سفارش]]</f>
        <v>19222.5</v>
      </c>
      <c r="O164" s="77">
        <f>SUMIF([1]!bargiri[شماره پیش فاکتور],[1]!invoice[[#This Row],[شماره پیش فاکتور]],[1]!bargiri[میزان بارگیری شده])/[1]!invoice[[#This Row],[میزان سفارش]]</f>
        <v>1</v>
      </c>
      <c r="P164" s="140" t="str">
        <f>VLOOKUP(invoice[[#This Row],[شماره پیش فاکتور]],[1]!invoice[[شماره پیش فاکتور]:[نوع سفارش]],9,0)</f>
        <v>تعادلی</v>
      </c>
      <c r="Q164" s="145">
        <f>SUMIFS('[1]جزییات بارگیری'!D:D,'[1]جزییات بارگیری'!C:C,[1]!invoice[[#This Row],[شماره پیش فاکتور]])</f>
        <v>20000</v>
      </c>
      <c r="R164" s="145">
        <f>IF([1]!invoice[[#This Row],[میزان سفارش]]-[1]!invoice[[#This Row],[میزان حمل شده ]]&lt;0,0,[1]!invoice[[#This Row],[میزان سفارش]]-[1]!invoice[[#This Row],[میزان حمل شده ]])</f>
        <v>0</v>
      </c>
      <c r="S164" s="145">
        <f>[1]!invoice[[#This Row],[میزان حمل نشده ]]*[1]!invoice[[#This Row],[فی]]</f>
        <v>0</v>
      </c>
      <c r="T164" s="3"/>
    </row>
    <row r="165" spans="1:20" ht="20.399999999999999" x14ac:dyDescent="0.25">
      <c r="A165" s="138" t="s">
        <v>926</v>
      </c>
      <c r="B165" s="138" t="s">
        <v>25</v>
      </c>
      <c r="C165" s="138" t="str">
        <f>VLOOKUP(invoice[[#This Row],[شماره پیش فاکتور]],[1]!invoice[[شماره پیش فاکتور]:[تاریخ]],3,0)</f>
        <v>1404/11/06</v>
      </c>
      <c r="D165" s="125" t="str">
        <f>VLOOKUP(invoice[[#This Row],[شماره پیش فاکتور]],'[1]لیست پیش فاکتور ها'!$A:$D,4,0)</f>
        <v>1404/11/11</v>
      </c>
      <c r="E165" s="2">
        <f>VLOOKUP(invoice[[#This Row],[شماره پیش فاکتور]],[1]!invoice[[شماره پیش فاکتور]:[میزان سفارش]],5,0)</f>
        <v>20000</v>
      </c>
      <c r="F165" s="139">
        <f>VLOOKUP(invoice[[#This Row],[شماره پیش فاکتور]],[1]!invoice[[شماره پیش فاکتور]:[فی]],6,0)</f>
        <v>116500</v>
      </c>
      <c r="G165" s="130" t="str">
        <f>CHOOSE(MID(invoice[[#This Row],[تاریخ]],6,2),"فروردین","اردیبهشت","خرداد","تیر","مرداد","شهریور","مهر","آبان","آذر","دی","بهمن","اسفند")</f>
        <v>بهمن</v>
      </c>
      <c r="H165" s="130">
        <f>_xlfn.NUMBERVALUE(MID(invoice[[#This Row],[تاریخ]],1,4))</f>
        <v>1404</v>
      </c>
      <c r="I165" s="130" t="str">
        <f>VLOOKUP(invoice[[#This Row],[شماره پیش فاکتور]],[1]!invoice[[شماره پیش فاکتور]:[نوع سفارش]],9,0)</f>
        <v>تعادلی</v>
      </c>
      <c r="J165" s="130" t="str">
        <f>VLOOKUP(invoice[[#This Row],[شماره پیش فاکتور]],[1]!invoice[[شماره پیش فاکتور]:[نوع شرکت]],10,0)</f>
        <v>تولید کننده</v>
      </c>
      <c r="K165" s="132">
        <v>46101</v>
      </c>
      <c r="L165" s="77">
        <v>0.1</v>
      </c>
      <c r="M165" s="129">
        <v>384450000</v>
      </c>
      <c r="N165" s="78">
        <f>invoice[[#This Row],[مبلغ پیش دریافت]]/invoice[[#This Row],[میزان سفارش]]</f>
        <v>19222.5</v>
      </c>
      <c r="O165" s="77">
        <f>SUMIF([1]!bargiri[شماره پیش فاکتور],[1]!invoice[[#This Row],[شماره پیش فاکتور]],[1]!bargiri[میزان بارگیری شده])/[1]!invoice[[#This Row],[میزان سفارش]]</f>
        <v>1</v>
      </c>
      <c r="P165" s="140" t="str">
        <f>VLOOKUP(invoice[[#This Row],[شماره پیش فاکتور]],[1]!invoice[[شماره پیش فاکتور]:[نوع سفارش]],9,0)</f>
        <v>تعادلی</v>
      </c>
      <c r="Q165" s="145">
        <f>SUMIFS('[1]جزییات بارگیری'!D:D,'[1]جزییات بارگیری'!C:C,[1]!invoice[[#This Row],[شماره پیش فاکتور]])</f>
        <v>20000</v>
      </c>
      <c r="R165" s="145">
        <f>IF([1]!invoice[[#This Row],[میزان سفارش]]-[1]!invoice[[#This Row],[میزان حمل شده ]]&lt;0,0,[1]!invoice[[#This Row],[میزان سفارش]]-[1]!invoice[[#This Row],[میزان حمل شده ]])</f>
        <v>0</v>
      </c>
      <c r="S165" s="145">
        <f>[1]!invoice[[#This Row],[میزان حمل نشده ]]*[1]!invoice[[#This Row],[فی]]</f>
        <v>0</v>
      </c>
      <c r="T165" s="3"/>
    </row>
    <row r="166" spans="1:20" ht="20.399999999999999" x14ac:dyDescent="0.25">
      <c r="A166" s="138" t="s">
        <v>928</v>
      </c>
      <c r="B166" s="138" t="s">
        <v>40</v>
      </c>
      <c r="C166" s="138" t="str">
        <f>VLOOKUP(invoice[[#This Row],[شماره پیش فاکتور]],[1]!invoice[[شماره پیش فاکتور]:[تاریخ]],3,0)</f>
        <v>1404/11/14</v>
      </c>
      <c r="D166" s="125" t="str">
        <f>VLOOKUP(invoice[[#This Row],[شماره پیش فاکتور]],'[1]لیست پیش فاکتور ها'!$A:$D,4,0)</f>
        <v>1404/11/15</v>
      </c>
      <c r="E166" s="2">
        <f>VLOOKUP(invoice[[#This Row],[شماره پیش فاکتور]],[1]!invoice[[شماره پیش فاکتور]:[میزان سفارش]],5,0)</f>
        <v>40000</v>
      </c>
      <c r="F166" s="139">
        <f>VLOOKUP(invoice[[#This Row],[شماره پیش فاکتور]],[1]!invoice[[شماره پیش فاکتور]:[فی]],6,0)</f>
        <v>167500</v>
      </c>
      <c r="G166" s="130" t="str">
        <f>CHOOSE(MID(invoice[[#This Row],[تاریخ]],6,2),"فروردین","اردیبهشت","خرداد","تیر","مرداد","شهریور","مهر","آبان","آذر","دی","بهمن","اسفند")</f>
        <v>بهمن</v>
      </c>
      <c r="H166" s="130">
        <f>_xlfn.NUMBERVALUE(MID(invoice[[#This Row],[تاریخ]],1,4))</f>
        <v>1404</v>
      </c>
      <c r="I166" s="130" t="str">
        <f>VLOOKUP(invoice[[#This Row],[شماره پیش فاکتور]],[1]!invoice[[شماره پیش فاکتور]:[نوع سفارش]],9,0)</f>
        <v>بورس</v>
      </c>
      <c r="J166" s="130" t="str">
        <f>VLOOKUP(invoice[[#This Row],[شماره پیش فاکتور]],[1]!invoice[[شماره پیش فاکتور]:[نوع شرکت]],10,0)</f>
        <v>تولید کننده</v>
      </c>
      <c r="K166" s="132">
        <v>46101</v>
      </c>
      <c r="L166" s="77">
        <v>0.1</v>
      </c>
      <c r="M166" s="129">
        <v>7370000000</v>
      </c>
      <c r="N166" s="78">
        <f>invoice[[#This Row],[مبلغ پیش دریافت]]/invoice[[#This Row],[میزان سفارش]]</f>
        <v>184250</v>
      </c>
      <c r="O166" s="77">
        <f>SUMIF([1]!bargiri[شماره پیش فاکتور],[1]!invoice[[#This Row],[شماره پیش فاکتور]],[1]!bargiri[میزان بارگیری شده])/[1]!invoice[[#This Row],[میزان سفارش]]</f>
        <v>1</v>
      </c>
      <c r="P166" s="140" t="str">
        <f>VLOOKUP(invoice[[#This Row],[شماره پیش فاکتور]],[1]!invoice[[شماره پیش فاکتور]:[نوع سفارش]],9,0)</f>
        <v>بورس</v>
      </c>
      <c r="Q166" s="145">
        <f>SUMIFS('[1]جزییات بارگیری'!D:D,'[1]جزییات بارگیری'!C:C,[1]!invoice[[#This Row],[شماره پیش فاکتور]])</f>
        <v>60000</v>
      </c>
      <c r="R166" s="145">
        <f>IF([1]!invoice[[#This Row],[میزان سفارش]]-[1]!invoice[[#This Row],[میزان حمل شده ]]&lt;0,0,[1]!invoice[[#This Row],[میزان سفارش]]-[1]!invoice[[#This Row],[میزان حمل شده ]])</f>
        <v>0</v>
      </c>
      <c r="S166" s="145">
        <f>[1]!invoice[[#This Row],[میزان حمل نشده ]]*[1]!invoice[[#This Row],[فی]]</f>
        <v>0</v>
      </c>
      <c r="T166" s="3"/>
    </row>
    <row r="167" spans="1:20" ht="20.399999999999999" x14ac:dyDescent="0.25">
      <c r="A167" s="138" t="s">
        <v>930</v>
      </c>
      <c r="B167" s="138" t="s">
        <v>70</v>
      </c>
      <c r="C167" s="138" t="str">
        <f>VLOOKUP(invoice[[#This Row],[شماره پیش فاکتور]],[1]!invoice[[شماره پیش فاکتور]:[تاریخ]],3,0)</f>
        <v>1404/11/21</v>
      </c>
      <c r="D167" s="125" t="str">
        <f>VLOOKUP(invoice[[#This Row],[شماره پیش فاکتور]],'[1]لیست پیش فاکتور ها'!$A:$D,4,0)</f>
        <v>1404/11/22</v>
      </c>
      <c r="E167" s="2">
        <f>VLOOKUP(invoice[[#This Row],[شماره پیش فاکتور]],[1]!invoice[[شماره پیش فاکتور]:[میزان سفارش]],5,0)</f>
        <v>40000</v>
      </c>
      <c r="F167" s="139">
        <f>VLOOKUP(invoice[[#This Row],[شماره پیش فاکتور]],[1]!invoice[[شماره پیش فاکتور]:[فی]],6,0)</f>
        <v>167500</v>
      </c>
      <c r="G167" s="130" t="str">
        <f>CHOOSE(MID(invoice[[#This Row],[تاریخ]],6,2),"فروردین","اردیبهشت","خرداد","تیر","مرداد","شهریور","مهر","آبان","آذر","دی","بهمن","اسفند")</f>
        <v>بهمن</v>
      </c>
      <c r="H167" s="130">
        <f>_xlfn.NUMBERVALUE(MID(invoice[[#This Row],[تاریخ]],1,4))</f>
        <v>1404</v>
      </c>
      <c r="I167" s="130" t="str">
        <f>VLOOKUP(invoice[[#This Row],[شماره پیش فاکتور]],[1]!invoice[[شماره پیش فاکتور]:[نوع سفارش]],9,0)</f>
        <v>بورس</v>
      </c>
      <c r="J167" s="130" t="str">
        <f>VLOOKUP(invoice[[#This Row],[شماره پیش فاکتور]],[1]!invoice[[شماره پیش فاکتور]:[نوع شرکت]],10,0)</f>
        <v>تولید کننده</v>
      </c>
      <c r="K167" s="132">
        <v>46101</v>
      </c>
      <c r="L167" s="77">
        <v>0.1</v>
      </c>
      <c r="M167" s="129">
        <v>7370000000</v>
      </c>
      <c r="N167" s="78">
        <f>invoice[[#This Row],[مبلغ پیش دریافت]]/invoice[[#This Row],[میزان سفارش]]</f>
        <v>184250</v>
      </c>
      <c r="O167" s="77">
        <f>SUMIF([1]!bargiri[شماره پیش فاکتور],[1]!invoice[[#This Row],[شماره پیش فاکتور]],[1]!bargiri[میزان بارگیری شده])/[1]!invoice[[#This Row],[میزان سفارش]]</f>
        <v>1</v>
      </c>
      <c r="P167" s="140" t="str">
        <f>VLOOKUP(invoice[[#This Row],[شماره پیش فاکتور]],[1]!invoice[[شماره پیش فاکتور]:[نوع سفارش]],9,0)</f>
        <v>بورس</v>
      </c>
      <c r="Q167" s="145">
        <f>SUMIFS('[1]جزییات بارگیری'!D:D,'[1]جزییات بارگیری'!C:C,[1]!invoice[[#This Row],[شماره پیش فاکتور]])</f>
        <v>20000</v>
      </c>
      <c r="R167" s="145">
        <f>IF([1]!invoice[[#This Row],[میزان سفارش]]-[1]!invoice[[#This Row],[میزان حمل شده ]]&lt;0,0,[1]!invoice[[#This Row],[میزان سفارش]]-[1]!invoice[[#This Row],[میزان حمل شده ]])</f>
        <v>0</v>
      </c>
      <c r="S167" s="145">
        <f>[1]!invoice[[#This Row],[میزان حمل نشده ]]*[1]!invoice[[#This Row],[فی]]</f>
        <v>0</v>
      </c>
      <c r="T167" s="3"/>
    </row>
    <row r="168" spans="1:20" ht="20.399999999999999" x14ac:dyDescent="0.25">
      <c r="A168" s="138" t="s">
        <v>932</v>
      </c>
      <c r="B168" s="138" t="s">
        <v>67</v>
      </c>
      <c r="C168" s="138" t="str">
        <f>VLOOKUP(invoice[[#This Row],[شماره پیش فاکتور]],[1]!invoice[[شماره پیش فاکتور]:[تاریخ]],3,0)</f>
        <v>1404/11/21</v>
      </c>
      <c r="D168" s="125" t="str">
        <f>VLOOKUP(invoice[[#This Row],[شماره پیش فاکتور]],'[1]لیست پیش فاکتور ها'!$A:$D,4,0)</f>
        <v>1404/11/22</v>
      </c>
      <c r="E168" s="2">
        <f>VLOOKUP(invoice[[#This Row],[شماره پیش فاکتور]],[1]!invoice[[شماره پیش فاکتور]:[میزان سفارش]],5,0)</f>
        <v>20000</v>
      </c>
      <c r="F168" s="139">
        <f>VLOOKUP(invoice[[#This Row],[شماره پیش فاکتور]],[1]!invoice[[شماره پیش فاکتور]:[فی]],6,0)</f>
        <v>167500</v>
      </c>
      <c r="G168" s="130" t="str">
        <f>CHOOSE(MID(invoice[[#This Row],[تاریخ]],6,2),"فروردین","اردیبهشت","خرداد","تیر","مرداد","شهریور","مهر","آبان","آذر","دی","بهمن","اسفند")</f>
        <v>بهمن</v>
      </c>
      <c r="H168" s="130">
        <f>_xlfn.NUMBERVALUE(MID(invoice[[#This Row],[تاریخ]],1,4))</f>
        <v>1404</v>
      </c>
      <c r="I168" s="130" t="str">
        <f>VLOOKUP(invoice[[#This Row],[شماره پیش فاکتور]],[1]!invoice[[شماره پیش فاکتور]:[نوع سفارش]],9,0)</f>
        <v>بورس</v>
      </c>
      <c r="J168" s="130" t="str">
        <f>VLOOKUP(invoice[[#This Row],[شماره پیش فاکتور]],[1]!invoice[[شماره پیش فاکتور]:[نوع شرکت]],10,0)</f>
        <v>تولید کننده</v>
      </c>
      <c r="K168" s="132">
        <v>46101</v>
      </c>
      <c r="L168" s="77">
        <v>0.1</v>
      </c>
      <c r="M168" s="129">
        <v>3685000000</v>
      </c>
      <c r="N168" s="78">
        <f>invoice[[#This Row],[مبلغ پیش دریافت]]/invoice[[#This Row],[میزان سفارش]]</f>
        <v>184250</v>
      </c>
      <c r="O168" s="77">
        <f>SUMIF([1]!bargiri[شماره پیش فاکتور],[1]!invoice[[#This Row],[شماره پیش فاکتور]],[1]!bargiri[میزان بارگیری شده])/[1]!invoice[[#This Row],[میزان سفارش]]</f>
        <v>1</v>
      </c>
      <c r="P168" s="140" t="str">
        <f>VLOOKUP(invoice[[#This Row],[شماره پیش فاکتور]],[1]!invoice[[شماره پیش فاکتور]:[نوع سفارش]],9,0)</f>
        <v>بورس</v>
      </c>
      <c r="Q168" s="145">
        <f>SUMIFS('[1]جزییات بارگیری'!D:D,'[1]جزییات بارگیری'!C:C,[1]!invoice[[#This Row],[شماره پیش فاکتور]])</f>
        <v>20000</v>
      </c>
      <c r="R168" s="145">
        <f>IF([1]!invoice[[#This Row],[میزان سفارش]]-[1]!invoice[[#This Row],[میزان حمل شده ]]&lt;0,0,[1]!invoice[[#This Row],[میزان سفارش]]-[1]!invoice[[#This Row],[میزان حمل شده ]])</f>
        <v>0</v>
      </c>
      <c r="S168" s="145">
        <f>[1]!invoice[[#This Row],[میزان حمل نشده ]]*[1]!invoice[[#This Row],[فی]]</f>
        <v>0</v>
      </c>
      <c r="T168" s="3"/>
    </row>
    <row r="169" spans="1:20" ht="20.399999999999999" x14ac:dyDescent="0.25">
      <c r="A169" s="138" t="s">
        <v>1024</v>
      </c>
      <c r="B169" s="138" t="s">
        <v>40</v>
      </c>
      <c r="C169" s="138" t="str">
        <f>VLOOKUP(invoice[[#This Row],[شماره پیش فاکتور]],[1]!invoice[[شماره پیش فاکتور]:[تاریخ]],3,0)</f>
        <v>1404/11/26</v>
      </c>
      <c r="D169" s="125" t="str">
        <f>VLOOKUP(invoice[[#This Row],[شماره پیش فاکتور]],'[1]لیست پیش فاکتور ها'!$A:$D,4,0)</f>
        <v>1404/12/01</v>
      </c>
      <c r="E169" s="2">
        <f>VLOOKUP(invoice[[#This Row],[شماره پیش فاکتور]],[1]!invoice[[شماره پیش فاکتور]:[میزان سفارش]],5,0)</f>
        <v>40000</v>
      </c>
      <c r="F169" s="139">
        <f>VLOOKUP(invoice[[#This Row],[شماره پیش فاکتور]],[1]!invoice[[شماره پیش فاکتور]:[فی]],6,0)</f>
        <v>116500</v>
      </c>
      <c r="G169" s="130" t="str">
        <f>CHOOSE(MID(invoice[[#This Row],[تاریخ]],6,2),"فروردین","اردیبهشت","خرداد","تیر","مرداد","شهریور","مهر","آبان","آذر","دی","بهمن","اسفند")</f>
        <v>بهمن</v>
      </c>
      <c r="H169" s="130">
        <f>_xlfn.NUMBERVALUE(MID(invoice[[#This Row],[تاریخ]],1,4))</f>
        <v>1404</v>
      </c>
      <c r="I169" s="130" t="str">
        <f>VLOOKUP(invoice[[#This Row],[شماره پیش فاکتور]],[1]!invoice[[شماره پیش فاکتور]:[نوع سفارش]],9,0)</f>
        <v>تعادلی</v>
      </c>
      <c r="J169" s="130" t="str">
        <f>VLOOKUP(invoice[[#This Row],[شماره پیش فاکتور]],[1]!invoice[[شماره پیش فاکتور]:[نوع شرکت]],10,0)</f>
        <v>تولید کننده</v>
      </c>
      <c r="K169" s="132">
        <v>46466</v>
      </c>
      <c r="L169" s="77">
        <v>0.1</v>
      </c>
      <c r="M169" s="129">
        <v>768900000</v>
      </c>
      <c r="N169" s="78">
        <f>invoice[[#This Row],[مبلغ پیش دریافت]]/invoice[[#This Row],[میزان سفارش]]</f>
        <v>19222.5</v>
      </c>
      <c r="O169" s="77">
        <f>SUMIF([1]!bargiri[شماره پیش فاکتور],[1]!invoice[[#This Row],[شماره پیش فاکتور]],[1]!bargiri[میزان بارگیری شده])/[1]!invoice[[#This Row],[میزان سفارش]]</f>
        <v>1</v>
      </c>
      <c r="P169" s="140" t="str">
        <f>VLOOKUP(invoice[[#This Row],[شماره پیش فاکتور]],[1]!invoice[[شماره پیش فاکتور]:[نوع سفارش]],9,0)</f>
        <v>تعادلی</v>
      </c>
      <c r="Q169" s="145">
        <f>SUMIFS('[1]جزییات بارگیری'!D:D,'[1]جزییات بارگیری'!C:C,[1]!invoice[[#This Row],[شماره پیش فاکتور]])</f>
        <v>500000</v>
      </c>
      <c r="R169" s="145">
        <f>IF([1]!invoice[[#This Row],[میزان سفارش]]-[1]!invoice[[#This Row],[میزان حمل شده ]]&lt;0,0,[1]!invoice[[#This Row],[میزان سفارش]]-[1]!invoice[[#This Row],[میزان حمل شده ]])</f>
        <v>0</v>
      </c>
      <c r="S169" s="145">
        <f>[1]!invoice[[#This Row],[میزان حمل نشده ]]*[1]!invoice[[#This Row],[فی]]</f>
        <v>0</v>
      </c>
      <c r="T169" s="3"/>
    </row>
    <row r="170" spans="1:20" ht="20.399999999999999" x14ac:dyDescent="0.25">
      <c r="A170" s="138" t="s">
        <v>1025</v>
      </c>
      <c r="B170" s="138" t="s">
        <v>70</v>
      </c>
      <c r="C170" s="138" t="str">
        <f>VLOOKUP(invoice[[#This Row],[شماره پیش فاکتور]],[1]!invoice[[شماره پیش فاکتور]:[تاریخ]],3,0)</f>
        <v>1404/11/26</v>
      </c>
      <c r="D170" s="125" t="str">
        <f>VLOOKUP(invoice[[#This Row],[شماره پیش فاکتور]],'[1]لیست پیش فاکتور ها'!$A:$D,4,0)</f>
        <v>1404/12/01</v>
      </c>
      <c r="E170" s="2">
        <f>VLOOKUP(invoice[[#This Row],[شماره پیش فاکتور]],[1]!invoice[[شماره پیش فاکتور]:[میزان سفارش]],5,0)</f>
        <v>40000</v>
      </c>
      <c r="F170" s="139">
        <f>VLOOKUP(invoice[[#This Row],[شماره پیش فاکتور]],[1]!invoice[[شماره پیش فاکتور]:[فی]],6,0)</f>
        <v>116500</v>
      </c>
      <c r="G170" s="130" t="str">
        <f>CHOOSE(MID(invoice[[#This Row],[تاریخ]],6,2),"فروردین","اردیبهشت","خرداد","تیر","مرداد","شهریور","مهر","آبان","آذر","دی","بهمن","اسفند")</f>
        <v>بهمن</v>
      </c>
      <c r="H170" s="130">
        <f>_xlfn.NUMBERVALUE(MID(invoice[[#This Row],[تاریخ]],1,4))</f>
        <v>1404</v>
      </c>
      <c r="I170" s="130" t="str">
        <f>VLOOKUP(invoice[[#This Row],[شماره پیش فاکتور]],[1]!invoice[[شماره پیش فاکتور]:[نوع سفارش]],9,0)</f>
        <v>تعادلی</v>
      </c>
      <c r="J170" s="130" t="str">
        <f>VLOOKUP(invoice[[#This Row],[شماره پیش فاکتور]],[1]!invoice[[شماره پیش فاکتور]:[نوع شرکت]],10,0)</f>
        <v>تولید کننده</v>
      </c>
      <c r="K170" s="132">
        <v>46466</v>
      </c>
      <c r="L170" s="77">
        <v>0.1</v>
      </c>
      <c r="M170" s="129">
        <v>768900000</v>
      </c>
      <c r="N170" s="78">
        <f>invoice[[#This Row],[مبلغ پیش دریافت]]/invoice[[#This Row],[میزان سفارش]]</f>
        <v>19222.5</v>
      </c>
      <c r="O170" s="77">
        <f>SUMIF([1]!bargiri[شماره پیش فاکتور],[1]!invoice[[#This Row],[شماره پیش فاکتور]],[1]!bargiri[میزان بارگیری شده])/[1]!invoice[[#This Row],[میزان سفارش]]</f>
        <v>1</v>
      </c>
      <c r="P170" s="140" t="str">
        <f>VLOOKUP(invoice[[#This Row],[شماره پیش فاکتور]],[1]!invoice[[شماره پیش فاکتور]:[نوع سفارش]],9,0)</f>
        <v>تعادلی</v>
      </c>
      <c r="Q170" s="145">
        <f>SUMIFS('[1]جزییات بارگیری'!D:D,'[1]جزییات بارگیری'!C:C,[1]!invoice[[#This Row],[شماره پیش فاکتور]])</f>
        <v>50000</v>
      </c>
      <c r="R170" s="145">
        <f>IF([1]!invoice[[#This Row],[میزان سفارش]]-[1]!invoice[[#This Row],[میزان حمل شده ]]&lt;0,0,[1]!invoice[[#This Row],[میزان سفارش]]-[1]!invoice[[#This Row],[میزان حمل شده ]])</f>
        <v>0</v>
      </c>
      <c r="S170" s="145">
        <f>[1]!invoice[[#This Row],[میزان حمل نشده ]]*[1]!invoice[[#This Row],[فی]]</f>
        <v>0</v>
      </c>
      <c r="T170" s="3"/>
    </row>
    <row r="171" spans="1:20" ht="20.399999999999999" x14ac:dyDescent="0.25">
      <c r="A171" s="138" t="s">
        <v>1026</v>
      </c>
      <c r="B171" s="138" t="s">
        <v>67</v>
      </c>
      <c r="C171" s="138" t="str">
        <f>VLOOKUP(invoice[[#This Row],[شماره پیش فاکتور]],[1]!invoice[[شماره پیش فاکتور]:[تاریخ]],3,0)</f>
        <v>1404/11/26</v>
      </c>
      <c r="D171" s="125" t="str">
        <f>VLOOKUP(invoice[[#This Row],[شماره پیش فاکتور]],'[1]لیست پیش فاکتور ها'!$A:$D,4,0)</f>
        <v>1404/12/01</v>
      </c>
      <c r="E171" s="2">
        <f>VLOOKUP(invoice[[#This Row],[شماره پیش فاکتور]],[1]!invoice[[شماره پیش فاکتور]:[میزان سفارش]],5,0)</f>
        <v>20000</v>
      </c>
      <c r="F171" s="139">
        <f>VLOOKUP(invoice[[#This Row],[شماره پیش فاکتور]],[1]!invoice[[شماره پیش فاکتور]:[فی]],6,0)</f>
        <v>116500</v>
      </c>
      <c r="G171" s="130" t="str">
        <f>CHOOSE(MID(invoice[[#This Row],[تاریخ]],6,2),"فروردین","اردیبهشت","خرداد","تیر","مرداد","شهریور","مهر","آبان","آذر","دی","بهمن","اسفند")</f>
        <v>بهمن</v>
      </c>
      <c r="H171" s="130">
        <f>_xlfn.NUMBERVALUE(MID(invoice[[#This Row],[تاریخ]],1,4))</f>
        <v>1404</v>
      </c>
      <c r="I171" s="130" t="str">
        <f>VLOOKUP(invoice[[#This Row],[شماره پیش فاکتور]],[1]!invoice[[شماره پیش فاکتور]:[نوع سفارش]],9,0)</f>
        <v>تعادلی</v>
      </c>
      <c r="J171" s="130" t="str">
        <f>VLOOKUP(invoice[[#This Row],[شماره پیش فاکتور]],[1]!invoice[[شماره پیش فاکتور]:[نوع شرکت]],10,0)</f>
        <v>تولید کننده</v>
      </c>
      <c r="K171" s="132">
        <v>46466</v>
      </c>
      <c r="L171" s="77">
        <v>0.1</v>
      </c>
      <c r="M171" s="129">
        <v>384450000</v>
      </c>
      <c r="N171" s="78">
        <f>invoice[[#This Row],[مبلغ پیش دریافت]]/invoice[[#This Row],[میزان سفارش]]</f>
        <v>19222.5</v>
      </c>
      <c r="O171" s="77">
        <f>SUMIF([1]!bargiri[شماره پیش فاکتور],[1]!invoice[[#This Row],[شماره پیش فاکتور]],[1]!bargiri[میزان بارگیری شده])/[1]!invoice[[#This Row],[میزان سفارش]]</f>
        <v>1</v>
      </c>
      <c r="P171" s="140" t="str">
        <f>VLOOKUP(invoice[[#This Row],[شماره پیش فاکتور]],[1]!invoice[[شماره پیش فاکتور]:[نوع سفارش]],9,0)</f>
        <v>تعادلی</v>
      </c>
      <c r="Q171" s="145">
        <f>SUMIFS('[1]جزییات بارگیری'!D:D,'[1]جزییات بارگیری'!C:C,[1]!invoice[[#This Row],[شماره پیش فاکتور]])</f>
        <v>20000</v>
      </c>
      <c r="R171" s="145">
        <f>IF([1]!invoice[[#This Row],[میزان سفارش]]-[1]!invoice[[#This Row],[میزان حمل شده ]]&lt;0,0,[1]!invoice[[#This Row],[میزان سفارش]]-[1]!invoice[[#This Row],[میزان حمل شده ]])</f>
        <v>0</v>
      </c>
      <c r="S171" s="145">
        <f>[1]!invoice[[#This Row],[میزان حمل نشده ]]*[1]!invoice[[#This Row],[فی]]</f>
        <v>0</v>
      </c>
      <c r="T171" s="3"/>
    </row>
    <row r="172" spans="1:20" ht="20.399999999999999" x14ac:dyDescent="0.25">
      <c r="A172" s="138" t="s">
        <v>1027</v>
      </c>
      <c r="B172" s="138" t="s">
        <v>221</v>
      </c>
      <c r="C172" s="138" t="str">
        <f>VLOOKUP(invoice[[#This Row],[شماره پیش فاکتور]],[1]!invoice[[شماره پیش فاکتور]:[تاریخ]],3,0)</f>
        <v>1404/12/25</v>
      </c>
      <c r="D172" s="125" t="str">
        <f>VLOOKUP(invoice[[#This Row],[شماره پیش فاکتور]],'[1]لیست پیش فاکتور ها'!$A:$D,4,0)</f>
        <v>1404/12/27</v>
      </c>
      <c r="E172" s="2">
        <f>VLOOKUP(invoice[[#This Row],[شماره پیش فاکتور]],[1]!invoice[[شماره پیش فاکتور]:[میزان سفارش]],5,0)</f>
        <v>200000</v>
      </c>
      <c r="F172" s="139">
        <f>VLOOKUP(invoice[[#This Row],[شماره پیش فاکتور]],[1]!invoice[[شماره پیش فاکتور]:[فی]],6,0)</f>
        <v>120000</v>
      </c>
      <c r="G172" s="130" t="str">
        <f>CHOOSE(MID(invoice[[#This Row],[تاریخ]],6,2),"فروردین","اردیبهشت","خرداد","تیر","مرداد","شهریور","مهر","آبان","آذر","دی","بهمن","اسفند")</f>
        <v>اسفند</v>
      </c>
      <c r="H172" s="130">
        <f>_xlfn.NUMBERVALUE(MID(invoice[[#This Row],[تاریخ]],1,4))</f>
        <v>1404</v>
      </c>
      <c r="I172" s="130" t="str">
        <f>VLOOKUP(invoice[[#This Row],[شماره پیش فاکتور]],[1]!invoice[[شماره پیش فاکتور]:[نوع سفارش]],9,0)</f>
        <v>عادی</v>
      </c>
      <c r="J172" s="130" t="str">
        <f>VLOOKUP(invoice[[#This Row],[شماره پیش فاکتور]],[1]!invoice[[شماره پیش فاکتور]:[نوع شرکت]],10,0)</f>
        <v>تولید کننده</v>
      </c>
      <c r="K172" s="132">
        <v>46466</v>
      </c>
      <c r="L172" s="77">
        <v>0.1</v>
      </c>
      <c r="M172" s="129">
        <v>24000000000</v>
      </c>
      <c r="N172" s="78">
        <f>invoice[[#This Row],[مبلغ پیش دریافت]]/invoice[[#This Row],[میزان سفارش]]</f>
        <v>120000</v>
      </c>
      <c r="O172" s="77">
        <f>SUMIF([1]!bargiri[شماره پیش فاکتور],[1]!invoice[[#This Row],[شماره پیش فاکتور]],[1]!bargiri[میزان بارگیری شده])/[1]!invoice[[#This Row],[میزان سفارش]]</f>
        <v>1</v>
      </c>
      <c r="P172" s="140" t="str">
        <f>VLOOKUP(invoice[[#This Row],[شماره پیش فاکتور]],[1]!invoice[[شماره پیش فاکتور]:[نوع سفارش]],9,0)</f>
        <v>عادی</v>
      </c>
      <c r="Q172" s="145">
        <f>SUMIFS('[1]جزییات بارگیری'!D:D,'[1]جزییات بارگیری'!C:C,[1]!invoice[[#This Row],[شماره پیش فاکتور]])</f>
        <v>30000</v>
      </c>
      <c r="R172" s="145">
        <f>IF([1]!invoice[[#This Row],[میزان سفارش]]-[1]!invoice[[#This Row],[میزان حمل شده ]]&lt;0,0,[1]!invoice[[#This Row],[میزان سفارش]]-[1]!invoice[[#This Row],[میزان حمل شده ]])</f>
        <v>0</v>
      </c>
      <c r="S172" s="145">
        <f>[1]!invoice[[#This Row],[میزان حمل نشده ]]*[1]!invoice[[#This Row],[فی]]</f>
        <v>0</v>
      </c>
      <c r="T172" s="3"/>
    </row>
    <row r="173" spans="1:20" ht="20.399999999999999" x14ac:dyDescent="0.25">
      <c r="A173" s="138" t="s">
        <v>1028</v>
      </c>
      <c r="B173" s="138" t="s">
        <v>173</v>
      </c>
      <c r="C173" s="138" t="str">
        <f>VLOOKUP(invoice[[#This Row],[شماره پیش فاکتور]],[1]!invoice[[شماره پیش فاکتور]:[تاریخ]],3,0)</f>
        <v>1404/12/25</v>
      </c>
      <c r="D173" s="125" t="str">
        <f>VLOOKUP(invoice[[#This Row],[شماره پیش فاکتور]],'[1]لیست پیش فاکتور ها'!$A:$D,4,0)</f>
        <v>1404/12/27</v>
      </c>
      <c r="E173" s="2">
        <f>VLOOKUP(invoice[[#This Row],[شماره پیش فاکتور]],[1]!invoice[[شماره پیش فاکتور]:[میزان سفارش]],5,0)</f>
        <v>300000</v>
      </c>
      <c r="F173" s="139">
        <f>VLOOKUP(invoice[[#This Row],[شماره پیش فاکتور]],[1]!invoice[[شماره پیش فاکتور]:[فی]],6,0)</f>
        <v>130000</v>
      </c>
      <c r="G173" s="130" t="str">
        <f>CHOOSE(MID(invoice[[#This Row],[تاریخ]],6,2),"فروردین","اردیبهشت","خرداد","تیر","مرداد","شهریور","مهر","آبان","آذر","دی","بهمن","اسفند")</f>
        <v>اسفند</v>
      </c>
      <c r="H173" s="130">
        <f>_xlfn.NUMBERVALUE(MID(invoice[[#This Row],[تاریخ]],1,4))</f>
        <v>1404</v>
      </c>
      <c r="I173" s="130" t="str">
        <f>VLOOKUP(invoice[[#This Row],[شماره پیش فاکتور]],[1]!invoice[[شماره پیش فاکتور]:[نوع سفارش]],9,0)</f>
        <v>عادی</v>
      </c>
      <c r="J173" s="130" t="str">
        <f>VLOOKUP(invoice[[#This Row],[شماره پیش فاکتور]],[1]!invoice[[شماره پیش فاکتور]:[نوع شرکت]],10,0)</f>
        <v>واسطه</v>
      </c>
      <c r="K173" s="132">
        <v>46407</v>
      </c>
      <c r="L173" s="77">
        <v>0.1</v>
      </c>
      <c r="M173" s="129">
        <v>21450000000</v>
      </c>
      <c r="N173" s="78">
        <f>invoice[[#This Row],[مبلغ پیش دریافت]]/invoice[[#This Row],[میزان سفارش]]</f>
        <v>71500</v>
      </c>
      <c r="O173" s="77">
        <f>SUMIF([1]!bargiri[شماره پیش فاکتور],[1]!invoice[[#This Row],[شماره پیش فاکتور]],[1]!bargiri[میزان بارگیری شده])/[1]!invoice[[#This Row],[میزان سفارش]]</f>
        <v>1</v>
      </c>
      <c r="P173" s="140" t="str">
        <f>VLOOKUP(invoice[[#This Row],[شماره پیش فاکتور]],[1]!invoice[[شماره پیش فاکتور]:[نوع سفارش]],9,0)</f>
        <v>عادی</v>
      </c>
      <c r="Q173" s="145">
        <f>SUMIFS('[1]جزییات بارگیری'!D:D,'[1]جزییات بارگیری'!C:C,[1]!invoice[[#This Row],[شماره پیش فاکتور]])</f>
        <v>100000</v>
      </c>
      <c r="R173" s="145">
        <f>IF([1]!invoice[[#This Row],[میزان سفارش]]-[1]!invoice[[#This Row],[میزان حمل شده ]]&lt;0,0,[1]!invoice[[#This Row],[میزان سفارش]]-[1]!invoice[[#This Row],[میزان حمل شده ]])</f>
        <v>0</v>
      </c>
      <c r="S173" s="145">
        <f>[1]!invoice[[#This Row],[میزان حمل نشده ]]*[1]!invoice[[#This Row],[فی]]</f>
        <v>0</v>
      </c>
      <c r="T173" s="3"/>
    </row>
    <row r="174" spans="1:20" ht="20.399999999999999" x14ac:dyDescent="0.25">
      <c r="A174" s="138" t="s">
        <v>988</v>
      </c>
      <c r="B174" s="138" t="s">
        <v>30</v>
      </c>
      <c r="C174" s="138" t="str">
        <f>VLOOKUP(invoice[[#This Row],[شماره پیش فاکتور]],[1]!invoice[[شماره پیش فاکتور]:[تاریخ]],3,0)</f>
        <v>1404/12/26</v>
      </c>
      <c r="D174" s="125" t="str">
        <f>VLOOKUP(invoice[[#This Row],[شماره پیش فاکتور]],'[1]لیست پیش فاکتور ها'!$A:$D,4,0)</f>
        <v>1404/12/27</v>
      </c>
      <c r="E174" s="2">
        <f>VLOOKUP(invoice[[#This Row],[شماره پیش فاکتور]],[1]!invoice[[شماره پیش فاکتور]:[میزان سفارش]],5,0)</f>
        <v>250000</v>
      </c>
      <c r="F174" s="139">
        <f>VLOOKUP(invoice[[#This Row],[شماره پیش فاکتور]],[1]!invoice[[شماره پیش فاکتور]:[فی]],6,0)</f>
        <v>120000</v>
      </c>
      <c r="G174" s="130" t="str">
        <f>CHOOSE(MID(invoice[[#This Row],[تاریخ]],6,2),"فروردین","اردیبهشت","خرداد","تیر","مرداد","شهریور","مهر","آبان","آذر","دی","بهمن","اسفند")</f>
        <v>اسفند</v>
      </c>
      <c r="H174" s="130">
        <f>_xlfn.NUMBERVALUE(MID(invoice[[#This Row],[تاریخ]],1,4))</f>
        <v>1404</v>
      </c>
      <c r="I174" s="130" t="str">
        <f>VLOOKUP(invoice[[#This Row],[شماره پیش فاکتور]],[1]!invoice[[شماره پیش فاکتور]:[نوع سفارش]],9,0)</f>
        <v>عادی</v>
      </c>
      <c r="J174" s="130" t="str">
        <f>VLOOKUP(invoice[[#This Row],[شماره پیش فاکتور]],[1]!invoice[[شماره پیش فاکتور]:[نوع شرکت]],10,0)</f>
        <v>تولید کننده</v>
      </c>
      <c r="K174" s="132">
        <v>46466</v>
      </c>
      <c r="L174" s="77">
        <v>0.1</v>
      </c>
      <c r="M174" s="129">
        <v>16500000000</v>
      </c>
      <c r="N174" s="78">
        <f>invoice[[#This Row],[مبلغ پیش دریافت]]/invoice[[#This Row],[میزان سفارش]]</f>
        <v>66000</v>
      </c>
      <c r="O174" s="77">
        <f>SUMIF([1]!bargiri[شماره پیش فاکتور],[1]!invoice[[#This Row],[شماره پیش فاکتور]],[1]!bargiri[میزان بارگیری شده])/[1]!invoice[[#This Row],[میزان سفارش]]</f>
        <v>0</v>
      </c>
      <c r="P174" s="140" t="str">
        <f>VLOOKUP(invoice[[#This Row],[شماره پیش فاکتور]],[1]!invoice[[شماره پیش فاکتور]:[نوع سفارش]],9,0)</f>
        <v>عادی</v>
      </c>
      <c r="Q174" s="145">
        <f>SUMIFS('[1]جزییات بارگیری'!D:D,'[1]جزییات بارگیری'!C:C,[1]!invoice[[#This Row],[شماره پیش فاکتور]])</f>
        <v>0</v>
      </c>
      <c r="R174" s="145">
        <f>IF([1]!invoice[[#This Row],[میزان سفارش]]-[1]!invoice[[#This Row],[میزان حمل شده ]]&lt;0,0,[1]!invoice[[#This Row],[میزان سفارش]]-[1]!invoice[[#This Row],[میزان حمل شده ]])</f>
        <v>20000</v>
      </c>
      <c r="S174" s="145">
        <f>[1]!invoice[[#This Row],[میزان حمل نشده ]]*[1]!invoice[[#This Row],[فی]]</f>
        <v>2330000000</v>
      </c>
      <c r="T174" s="3"/>
    </row>
    <row r="175" spans="1:20" ht="20.399999999999999" x14ac:dyDescent="0.25">
      <c r="A175" s="138" t="s">
        <v>933</v>
      </c>
      <c r="B175" s="138" t="s">
        <v>78</v>
      </c>
      <c r="C175" s="138" t="str">
        <f>VLOOKUP(invoice[[#This Row],[شماره پیش فاکتور]],[1]!invoice[[شماره پیش فاکتور]:[تاریخ]],3,0)</f>
        <v>1404/09/05</v>
      </c>
      <c r="D175" s="125" t="str">
        <f>VLOOKUP(invoice[[#This Row],[شماره پیش فاکتور]],'[1]لیست پیش فاکتور ها'!$A:$D,4,0)</f>
        <v>1404/10/22</v>
      </c>
      <c r="E175" s="2">
        <f>VLOOKUP(invoice[[#This Row],[شماره پیش فاکتور]],[1]!invoice[[شماره پیش فاکتور]:[میزان سفارش]],5,0)</f>
        <v>126480</v>
      </c>
      <c r="F175" s="139">
        <f>VLOOKUP(invoice[[#This Row],[شماره پیش فاکتور]],[1]!invoice[[شماره پیش فاکتور]:[فی]],6,0)</f>
        <v>110000</v>
      </c>
      <c r="G175" s="130" t="str">
        <f>CHOOSE(MID(invoice[[#This Row],[تاریخ]],6,2),"فروردین","اردیبهشت","خرداد","تیر","مرداد","شهریور","مهر","آبان","آذر","دی","بهمن","اسفند")</f>
        <v>آذر</v>
      </c>
      <c r="H175" s="130">
        <f>_xlfn.NUMBERVALUE(MID(invoice[[#This Row],[تاریخ]],1,4))</f>
        <v>1404</v>
      </c>
      <c r="I175" s="130" t="str">
        <f>VLOOKUP(invoice[[#This Row],[شماره پیش فاکتور]],[1]!invoice[[شماره پیش فاکتور]:[نوع سفارش]],9,0)</f>
        <v>عادی</v>
      </c>
      <c r="J175" s="130" t="str">
        <f>VLOOKUP(invoice[[#This Row],[شماره پیش فاکتور]],[1]!invoice[[شماره پیش فاکتور]:[نوع شرکت]],10,0)</f>
        <v>تولید کننده</v>
      </c>
      <c r="K175" s="132">
        <v>46101</v>
      </c>
      <c r="L175" s="77">
        <v>0.1</v>
      </c>
      <c r="M175" s="129">
        <v>1985736000</v>
      </c>
      <c r="N175" s="78">
        <f>invoice[[#This Row],[مبلغ پیش دریافت]]/invoice[[#This Row],[میزان سفارش]]</f>
        <v>15700</v>
      </c>
      <c r="O175" s="77">
        <f>SUMIF([1]!bargiri[شماره پیش فاکتور],[1]!invoice[[#This Row],[شماره پیش فاکتور]],[1]!bargiri[میزان بارگیری شده])/[1]!invoice[[#This Row],[میزان سفارش]]</f>
        <v>0</v>
      </c>
      <c r="P175" s="140" t="str">
        <f>VLOOKUP(invoice[[#This Row],[شماره پیش فاکتور]],[1]!invoice[[شماره پیش فاکتور]:[نوع سفارش]],9,0)</f>
        <v>عادی</v>
      </c>
      <c r="Q175" s="145">
        <f>SUMIFS('[1]جزییات بارگیری'!D:D,'[1]جزییات بارگیری'!C:C,[1]!invoice[[#This Row],[شماره پیش فاکتور]])</f>
        <v>0</v>
      </c>
      <c r="R175" s="145">
        <f>IF([1]!invoice[[#This Row],[میزان سفارش]]-[1]!invoice[[#This Row],[میزان حمل شده ]]&lt;0,0,[1]!invoice[[#This Row],[میزان سفارش]]-[1]!invoice[[#This Row],[میزان حمل شده ]])</f>
        <v>30000</v>
      </c>
      <c r="S175" s="145">
        <f>[1]!invoice[[#This Row],[میزان حمل نشده ]]*[1]!invoice[[#This Row],[فی]]</f>
        <v>3495000000</v>
      </c>
      <c r="T175" s="3"/>
    </row>
    <row r="176" spans="1:20" s="148" customFormat="1" ht="20.399999999999999" x14ac:dyDescent="0.25">
      <c r="A176" s="134" t="s">
        <v>934</v>
      </c>
      <c r="B176" s="134" t="s">
        <v>73</v>
      </c>
      <c r="C176" s="134" t="str">
        <f>VLOOKUP(invoice[[#This Row],[شماره پیش فاکتور]],[1]!invoice[[شماره پیش فاکتور]:[تاریخ]],3,0)</f>
        <v>1404/10/02</v>
      </c>
      <c r="D176" s="149" t="str">
        <f>VLOOKUP(invoice[[#This Row],[شماره پیش فاکتور]],'[1]لیست پیش فاکتور ها'!$A:$D,4,0)</f>
        <v>1404/10/02</v>
      </c>
      <c r="E176" s="154">
        <f>VLOOKUP(invoice[[#This Row],[شماره پیش فاکتور]],[1]!invoice[[شماره پیش فاکتور]:[میزان سفارش]],5,0)</f>
        <v>500000</v>
      </c>
      <c r="F176" s="135">
        <f>VLOOKUP(invoice[[#This Row],[شماره پیش فاکتور]],[1]!invoice[[شماره پیش فاکتور]:[فی]],6,0)</f>
        <v>130266</v>
      </c>
      <c r="G176" s="136" t="str">
        <f>CHOOSE(MID(invoice[[#This Row],[تاریخ]],6,2),"فروردین","اردیبهشت","خرداد","تیر","مرداد","شهریور","مهر","آبان","آذر","دی","بهمن","اسفند")</f>
        <v>دی</v>
      </c>
      <c r="H176" s="136">
        <f>_xlfn.NUMBERVALUE(MID(invoice[[#This Row],[تاریخ]],1,4))</f>
        <v>1404</v>
      </c>
      <c r="I176" s="136" t="str">
        <f>VLOOKUP(invoice[[#This Row],[شماره پیش فاکتور]],[1]!invoice[[شماره پیش فاکتور]:[نوع سفارش]],9,0)</f>
        <v>عادی</v>
      </c>
      <c r="J176" s="136" t="str">
        <f>VLOOKUP(invoice[[#This Row],[شماره پیش فاکتور]],[1]!invoice[[شماره پیش فاکتور]:[نوع شرکت]],10,0)</f>
        <v>تولید کننده</v>
      </c>
      <c r="K176" s="137">
        <v>46101</v>
      </c>
      <c r="L176" s="141">
        <v>0.1</v>
      </c>
      <c r="M176" s="146">
        <v>31450000000</v>
      </c>
      <c r="N176" s="150">
        <f>invoice[[#This Row],[مبلغ پیش دریافت]]/invoice[[#This Row],[میزان سفارش]]</f>
        <v>62900</v>
      </c>
      <c r="O176" s="141">
        <f>SUMIF([1]!bargiri[شماره پیش فاکتور],[1]!invoice[[#This Row],[شماره پیش فاکتور]],[1]!bargiri[میزان بارگیری شده])/[1]!invoice[[#This Row],[میزان سفارش]]</f>
        <v>0.26565</v>
      </c>
      <c r="P176" s="151" t="str">
        <f>VLOOKUP(invoice[[#This Row],[شماره پیش فاکتور]],[1]!invoice[[شماره پیش فاکتور]:[نوع سفارش]],9,0)</f>
        <v>عادی</v>
      </c>
      <c r="Q176" s="147">
        <f>SUMIFS('[1]جزییات بارگیری'!D:D,'[1]جزییات بارگیری'!C:C,[1]!invoice[[#This Row],[شماره پیش فاکتور]])</f>
        <v>265650</v>
      </c>
      <c r="R176" s="147">
        <f>IF([1]!invoice[[#This Row],[میزان سفارش]]-[1]!invoice[[#This Row],[میزان حمل شده ]]&lt;0,0,[1]!invoice[[#This Row],[میزان سفارش]]-[1]!invoice[[#This Row],[میزان حمل شده ]])</f>
        <v>734350</v>
      </c>
      <c r="S176" s="147">
        <f>[1]!invoice[[#This Row],[میزان حمل نشده ]]*[1]!invoice[[#This Row],[فی]]</f>
        <v>77106750000</v>
      </c>
      <c r="T176" s="142"/>
    </row>
    <row r="177" spans="1:20" s="148" customFormat="1" ht="20.399999999999999" x14ac:dyDescent="0.25">
      <c r="A177" s="134" t="s">
        <v>998</v>
      </c>
      <c r="B177" s="134" t="s">
        <v>73</v>
      </c>
      <c r="C177" s="134" t="str">
        <f>VLOOKUP(invoice[[#This Row],[شماره پیش فاکتور]],[1]!invoice[[شماره پیش فاکتور]:[تاریخ]],3,0)</f>
        <v>1404/10/02</v>
      </c>
      <c r="D177" s="149" t="str">
        <f>VLOOKUP(invoice[[#This Row],[شماره پیش فاکتور]],'[1]لیست پیش فاکتور ها'!$A:$D,4,0)</f>
        <v>1404/10/02</v>
      </c>
      <c r="E177" s="154">
        <f>VLOOKUP(invoice[[#This Row],[شماره پیش فاکتور]],[1]!invoice[[شماره پیش فاکتور]:[میزان سفارش]],5,0)</f>
        <v>500000</v>
      </c>
      <c r="F177" s="135">
        <f>VLOOKUP(invoice[[#This Row],[شماره پیش فاکتور]],[1]!invoice[[شماره پیش فاکتور]:[فی]],6,0)</f>
        <v>127675</v>
      </c>
      <c r="G177" s="136" t="str">
        <f>CHOOSE(MID(invoice[[#This Row],[تاریخ]],6,2),"فروردین","اردیبهشت","خرداد","تیر","مرداد","شهریور","مهر","آبان","آذر","دی","بهمن","اسفند")</f>
        <v>دی</v>
      </c>
      <c r="H177" s="142">
        <f>_xlfn.NUMBERVALUE(MID(invoice[[#This Row],[تاریخ]],1,4))</f>
        <v>1404</v>
      </c>
      <c r="I177" s="136" t="str">
        <f>VLOOKUP(invoice[[#This Row],[شماره پیش فاکتور]],[1]!invoice[[شماره پیش فاکتور]:[نوع سفارش]],9,0)</f>
        <v>عادی</v>
      </c>
      <c r="J177" s="136" t="str">
        <f>VLOOKUP(invoice[[#This Row],[شماره پیش فاکتور]],[1]!invoice[[شماره پیش فاکتور]:[نوع شرکت]],10,0)</f>
        <v>تولید کننده</v>
      </c>
      <c r="K177" s="137">
        <v>46422</v>
      </c>
      <c r="L177" s="141">
        <v>0.1</v>
      </c>
      <c r="M177" s="150">
        <v>31450000000</v>
      </c>
      <c r="N177" s="150">
        <f>invoice[[#This Row],[مبلغ پیش دریافت]]/invoice[[#This Row],[میزان سفارش]]</f>
        <v>62900</v>
      </c>
      <c r="O177" s="141">
        <f>SUMIF([1]!bargiri[شماره پیش فاکتور],[1]!invoice[[#This Row],[شماره پیش فاکتور]],[1]!bargiri[میزان بارگیری شده])/[1]!invoice[[#This Row],[میزان سفارش]]</f>
        <v>0.27786</v>
      </c>
      <c r="P177" s="151" t="str">
        <f>VLOOKUP(invoice[[#This Row],[شماره پیش فاکتور]],[1]!invoice[[شماره پیش فاکتور]:[نوع سفارش]],9,0)</f>
        <v>عادی</v>
      </c>
      <c r="Q177" s="151">
        <f>SUMIFS('[1]جزییات بارگیری'!D:D,'[1]جزییات بارگیری'!C:C,[1]!invoice[[#This Row],[شماره پیش فاکتور]])</f>
        <v>277860</v>
      </c>
      <c r="R177" s="151">
        <f>IF([1]!invoice[[#This Row],[میزان سفارش]]-[1]!invoice[[#This Row],[میزان حمل شده ]]&lt;0,0,[1]!invoice[[#This Row],[میزان سفارش]]-[1]!invoice[[#This Row],[میزان حمل شده ]])</f>
        <v>722140</v>
      </c>
      <c r="S177" s="151">
        <f>[1]!invoice[[#This Row],[میزان حمل نشده ]]*[1]!invoice[[#This Row],[فی]]</f>
        <v>75824700000</v>
      </c>
      <c r="T177" s="151"/>
    </row>
    <row r="178" spans="1:20" ht="18.600000000000001" x14ac:dyDescent="0.25">
      <c r="A178" s="81" t="s">
        <v>1015</v>
      </c>
      <c r="B178" s="81" t="s">
        <v>70</v>
      </c>
      <c r="C178" s="81" t="str">
        <f>VLOOKUP(invoice[[#This Row],[شماره پیش فاکتور]],[1]!invoice[[شماره پیش فاکتور]:[تاریخ]],3,0)</f>
        <v>1404/11/16</v>
      </c>
      <c r="D178" s="82" t="str">
        <f>VLOOKUP(invoice[[#This Row],[شماره پیش فاکتور]],'[1]لیست پیش فاکتور ها'!$A:$D,4,0)</f>
        <v>1404/11/16</v>
      </c>
      <c r="E178" s="2">
        <f>VLOOKUP(invoice[[#This Row],[شماره پیش فاکتور]],[1]!invoice[[شماره پیش فاکتور]:[میزان سفارش]],5,0)</f>
        <v>278200</v>
      </c>
      <c r="F178" s="2">
        <f>VLOOKUP(invoice[[#This Row],[شماره پیش فاکتور]],[1]!invoice[[شماره پیش فاکتور]:[فی]],6,0)</f>
        <v>120000</v>
      </c>
      <c r="G178" s="3" t="str">
        <f>CHOOSE(MID(invoice[[#This Row],[تاریخ]],6,2),"فروردین","اردیبهشت","خرداد","تیر","مرداد","شهریور","مهر","آبان","آذر","دی","بهمن","اسفند")</f>
        <v>بهمن</v>
      </c>
      <c r="H178" s="3">
        <f>_xlfn.NUMBERVALUE(MID(invoice[[#This Row],[تاریخ]],1,4))</f>
        <v>1404</v>
      </c>
      <c r="I178" s="3" t="str">
        <f>VLOOKUP(invoice[[#This Row],[شماره پیش فاکتور]],[1]!invoice[[شماره پیش فاکتور]:[نوع سفارش]],9,0)</f>
        <v>عادی</v>
      </c>
      <c r="J178" s="3" t="str">
        <f>VLOOKUP(invoice[[#This Row],[شماره پیش فاکتور]],[1]!invoice[[شماره پیش فاکتور]:[نوع شرکت]],10,0)</f>
        <v>تولید کننده</v>
      </c>
      <c r="K178" s="133">
        <v>46287</v>
      </c>
      <c r="L178" s="77">
        <v>0.1</v>
      </c>
      <c r="M178" s="78">
        <v>9180600000</v>
      </c>
      <c r="N178" s="78">
        <f>invoice[[#This Row],[مبلغ پیش دریافت]]/invoice[[#This Row],[میزان سفارش]]</f>
        <v>33000</v>
      </c>
      <c r="O178" s="144">
        <f>SUMIF([1]!bargiri[شماره پیش فاکتور],[1]!invoice[[#This Row],[شماره پیش فاکتور]],[1]!bargiri[میزان بارگیری شده])/[1]!invoice[[#This Row],[میزان سفارش]]</f>
        <v>2.298E-2</v>
      </c>
      <c r="P178" s="140" t="str">
        <f>VLOOKUP(invoice[[#This Row],[شماره پیش فاکتور]],[1]!invoice[[شماره پیش فاکتور]:[نوع سفارش]],9,0)</f>
        <v>عادی</v>
      </c>
      <c r="Q178" s="140">
        <f>SUMIFS('[1]جزییات بارگیری'!D:D,'[1]جزییات بارگیری'!C:C,[1]!invoice[[#This Row],[شماره پیش فاکتور]])</f>
        <v>11490</v>
      </c>
      <c r="R178" s="140">
        <f>IF([1]!invoice[[#This Row],[میزان سفارش]]-[1]!invoice[[#This Row],[میزان حمل شده ]]&lt;0,0,[1]!invoice[[#This Row],[میزان سفارش]]-[1]!invoice[[#This Row],[میزان حمل شده ]])</f>
        <v>488510</v>
      </c>
      <c r="S178" s="140">
        <f>[1]!invoice[[#This Row],[میزان حمل نشده ]]*[1]!invoice[[#This Row],[فی]]</f>
        <v>52759080000</v>
      </c>
      <c r="T178" s="140"/>
    </row>
    <row r="179" spans="1:20" ht="18.600000000000001" x14ac:dyDescent="0.25">
      <c r="A179" s="81" t="s">
        <v>1033</v>
      </c>
      <c r="B179" s="81" t="s">
        <v>180</v>
      </c>
      <c r="C179" s="81" t="str">
        <f>VLOOKUP(invoice[[#This Row],[شماره پیش فاکتور]],[1]!invoice[[شماره پیش فاکتور]:[تاریخ]],3,0)</f>
        <v>1405/02/13</v>
      </c>
      <c r="D179" s="82" t="str">
        <f>VLOOKUP(invoice[[#This Row],[شماره پیش فاکتور]],'[1]لیست پیش فاکتور ها'!$A:$D,4,0)</f>
        <v>1405/02/14</v>
      </c>
      <c r="E179" s="2">
        <f>VLOOKUP(invoice[[#This Row],[شماره پیش فاکتور]],[1]!invoice[[شماره پیش فاکتور]:[میزان سفارش]],5,0)</f>
        <v>308755</v>
      </c>
      <c r="F179" s="2">
        <f>VLOOKUP(invoice[[#This Row],[شماره پیش فاکتور]],[1]!invoice[[شماره پیش فاکتور]:[فی]],6,0)</f>
        <v>240000</v>
      </c>
      <c r="G179" s="3" t="str">
        <f>CHOOSE(MID(invoice[[#This Row],[تاریخ]],6,2),"فروردین","اردیبهشت","خرداد","تیر","مرداد","شهریور","مهر","آبان","آذر","دی","بهمن","اسفند")</f>
        <v>اردیبهشت</v>
      </c>
      <c r="H179" s="3">
        <f>_xlfn.NUMBERVALUE(MID(invoice[[#This Row],[تاریخ]],1,4))</f>
        <v>1405</v>
      </c>
      <c r="I179" s="3" t="str">
        <f>VLOOKUP(invoice[[#This Row],[شماره پیش فاکتور]],[1]!invoice[[شماره پیش فاکتور]:[نوع سفارش]],9,0)</f>
        <v>انجمن</v>
      </c>
      <c r="J179" s="3" t="str">
        <f>VLOOKUP(invoice[[#This Row],[شماره پیش فاکتور]],[1]!invoice[[شماره پیش فاکتور]:[نوع شرکت]],10,0)</f>
        <v>تولید کننده</v>
      </c>
      <c r="K179" s="133">
        <v>46466</v>
      </c>
      <c r="L179" s="77">
        <v>0.1</v>
      </c>
      <c r="M179" s="78">
        <v>12226698000</v>
      </c>
      <c r="N179" s="78">
        <f>invoice[[#This Row],[مبلغ پیش دریافت]]/invoice[[#This Row],[میزان سفارش]]</f>
        <v>39600</v>
      </c>
      <c r="O179" s="144">
        <f>SUMIF([1]!bargiri[شماره پیش فاکتور],[1]!invoice[[#This Row],[شماره پیش فاکتور]],[1]!bargiri[میزان بارگیری شده])/[1]!invoice[[#This Row],[میزان سفارش]]</f>
        <v>1</v>
      </c>
      <c r="P179" s="140" t="str">
        <f>VLOOKUP(invoice[[#This Row],[شماره پیش فاکتور]],[1]!invoice[[شماره پیش فاکتور]:[نوع سفارش]],9,0)</f>
        <v>انجمن</v>
      </c>
      <c r="Q179" s="140">
        <f>SUMIFS('[1]جزییات بارگیری'!D:D,'[1]جزییات بارگیری'!C:C,[1]!invoice[[#This Row],[شماره پیش فاکتور]])</f>
        <v>20000</v>
      </c>
      <c r="R179" s="140">
        <f>IF([1]!invoice[[#This Row],[میزان سفارش]]-[1]!invoice[[#This Row],[میزان حمل شده ]]&lt;0,0,[1]!invoice[[#This Row],[میزان سفارش]]-[1]!invoice[[#This Row],[میزان حمل شده ]])</f>
        <v>0</v>
      </c>
      <c r="S179" s="140">
        <f>[1]!invoice[[#This Row],[میزان حمل نشده ]]*[1]!invoice[[#This Row],[فی]]</f>
        <v>0</v>
      </c>
      <c r="T179" s="140"/>
    </row>
    <row r="180" spans="1:20" ht="18.600000000000001" x14ac:dyDescent="0.25">
      <c r="A180" s="81" t="s">
        <v>1044</v>
      </c>
      <c r="B180" s="81" t="s">
        <v>213</v>
      </c>
      <c r="C180" s="81" t="str">
        <f>VLOOKUP(invoice[[#This Row],[شماره پیش فاکتور]],[1]!invoice[[شماره پیش فاکتور]:[تاریخ]],3,0)</f>
        <v>1405/02/13</v>
      </c>
      <c r="D180" s="82" t="str">
        <f>VLOOKUP(invoice[[#This Row],[شماره پیش فاکتور]],'[1]لیست پیش فاکتور ها'!$A:$D,4,0)</f>
        <v>1405/02/14</v>
      </c>
      <c r="E180" s="2">
        <f>VLOOKUP(invoice[[#This Row],[شماره پیش فاکتور]],[1]!invoice[[شماره پیش فاکتور]:[میزان سفارش]],5,0)</f>
        <v>1982500</v>
      </c>
      <c r="F180" s="2">
        <f>VLOOKUP(invoice[[#This Row],[شماره پیش فاکتور]],[1]!invoice[[شماره پیش فاکتور]:[فی]],6,0)</f>
        <v>240000</v>
      </c>
      <c r="G180" s="3" t="str">
        <f>CHOOSE(MID(invoice[[#This Row],[تاریخ]],6,2),"فروردین","اردیبهشت","خرداد","تیر","مرداد","شهریور","مهر","آبان","آذر","دی","بهمن","اسفند")</f>
        <v>اردیبهشت</v>
      </c>
      <c r="H180" s="3">
        <f>_xlfn.NUMBERVALUE(MID(invoice[[#This Row],[تاریخ]],1,4))</f>
        <v>1405</v>
      </c>
      <c r="I180" s="3" t="str">
        <f>VLOOKUP(invoice[[#This Row],[شماره پیش فاکتور]],[1]!invoice[[شماره پیش فاکتور]:[نوع سفارش]],9,0)</f>
        <v>انجمن</v>
      </c>
      <c r="J180" s="3" t="str">
        <f>VLOOKUP(invoice[[#This Row],[شماره پیش فاکتور]],[1]!invoice[[شماره پیش فاکتور]:[نوع شرکت]],10,0)</f>
        <v>تولید کننده</v>
      </c>
      <c r="K180" s="133">
        <v>46466</v>
      </c>
      <c r="L180" s="77">
        <v>0.1</v>
      </c>
      <c r="M180" s="78">
        <v>78507000000</v>
      </c>
      <c r="N180" s="78">
        <f>invoice[[#This Row],[مبلغ پیش دریافت]]/invoice[[#This Row],[میزان سفارش]]</f>
        <v>39600</v>
      </c>
      <c r="O180" s="144">
        <f>SUMIF([1]!bargiri[شماره پیش فاکتور],[1]!invoice[[#This Row],[شماره پیش فاکتور]],[1]!bargiri[میزان بارگیری شده])/[1]!invoice[[#This Row],[میزان سفارش]]</f>
        <v>1</v>
      </c>
      <c r="P180" s="140" t="str">
        <f>VLOOKUP(invoice[[#This Row],[شماره پیش فاکتور]],[1]!invoice[[شماره پیش فاکتور]:[نوع سفارش]],9,0)</f>
        <v>انجمن</v>
      </c>
      <c r="Q180" s="140">
        <f>SUMIFS('[1]جزییات بارگیری'!D:D,'[1]جزییات بارگیری'!C:C,[1]!invoice[[#This Row],[شماره پیش فاکتور]])</f>
        <v>30000</v>
      </c>
      <c r="R180" s="140">
        <f>IF([1]!invoice[[#This Row],[میزان سفارش]]-[1]!invoice[[#This Row],[میزان حمل شده ]]&lt;0,0,[1]!invoice[[#This Row],[میزان سفارش]]-[1]!invoice[[#This Row],[میزان حمل شده ]])</f>
        <v>0</v>
      </c>
      <c r="S180" s="140">
        <f>[1]!invoice[[#This Row],[میزان حمل نشده ]]*[1]!invoice[[#This Row],[فی]]</f>
        <v>0</v>
      </c>
      <c r="T180" s="140"/>
    </row>
    <row r="181" spans="1:20" ht="18.600000000000001" x14ac:dyDescent="0.25">
      <c r="A181" s="81" t="s">
        <v>1046</v>
      </c>
      <c r="B181" s="81" t="s">
        <v>1053</v>
      </c>
      <c r="C181" s="81" t="str">
        <f>VLOOKUP(invoice[[#This Row],[شماره پیش فاکتور]],[1]!invoice[[شماره پیش فاکتور]:[تاریخ]],3,0)</f>
        <v>1405/02/13</v>
      </c>
      <c r="D181" s="82" t="str">
        <f>VLOOKUP(invoice[[#This Row],[شماره پیش فاکتور]],'[1]لیست پیش فاکتور ها'!$A:$D,4,0)</f>
        <v>1405/02/14</v>
      </c>
      <c r="E181" s="2">
        <f>VLOOKUP(invoice[[#This Row],[شماره پیش فاکتور]],[1]!invoice[[شماره پیش فاکتور]:[میزان سفارش]],5,0)</f>
        <v>150000</v>
      </c>
      <c r="F181" s="2">
        <f>VLOOKUP(invoice[[#This Row],[شماره پیش فاکتور]],[1]!invoice[[شماره پیش فاکتور]:[فی]],6,0)</f>
        <v>240000</v>
      </c>
      <c r="G181" s="3" t="str">
        <f>CHOOSE(MID(invoice[[#This Row],[تاریخ]],6,2),"فروردین","اردیبهشت","خرداد","تیر","مرداد","شهریور","مهر","آبان","آذر","دی","بهمن","اسفند")</f>
        <v>اردیبهشت</v>
      </c>
      <c r="H181" s="3">
        <f>_xlfn.NUMBERVALUE(MID(invoice[[#This Row],[تاریخ]],1,4))</f>
        <v>1405</v>
      </c>
      <c r="I181" s="3" t="str">
        <f>VLOOKUP(invoice[[#This Row],[شماره پیش فاکتور]],[1]!invoice[[شماره پیش فاکتور]:[نوع سفارش]],9,0)</f>
        <v>انجمن</v>
      </c>
      <c r="J181" s="3" t="str">
        <f>VLOOKUP(invoice[[#This Row],[شماره پیش فاکتور]],[1]!invoice[[شماره پیش فاکتور]:[نوع شرکت]],10,0)</f>
        <v>تولید کننده</v>
      </c>
      <c r="K181" s="133">
        <v>46466</v>
      </c>
      <c r="L181" s="77">
        <v>0.1</v>
      </c>
      <c r="M181" s="78">
        <v>5940000000</v>
      </c>
      <c r="N181" s="78">
        <f>invoice[[#This Row],[مبلغ پیش دریافت]]/invoice[[#This Row],[میزان سفارش]]</f>
        <v>39600</v>
      </c>
      <c r="O181" s="144">
        <f>SUMIF([1]!bargiri[شماره پیش فاکتور],[1]!invoice[[#This Row],[شماره پیش فاکتور]],[1]!bargiri[میزان بارگیری شده])/[1]!invoice[[#This Row],[میزان سفارش]]</f>
        <v>1</v>
      </c>
      <c r="P181" s="140" t="str">
        <f>VLOOKUP(invoice[[#This Row],[شماره پیش فاکتور]],[1]!invoice[[شماره پیش فاکتور]:[نوع سفارش]],9,0)</f>
        <v>انجمن</v>
      </c>
      <c r="Q181" s="140">
        <f>SUMIFS('[1]جزییات بارگیری'!D:D,'[1]جزییات بارگیری'!C:C,[1]!invoice[[#This Row],[شماره پیش فاکتور]])</f>
        <v>30000</v>
      </c>
      <c r="R181" s="140">
        <f>IF([1]!invoice[[#This Row],[میزان سفارش]]-[1]!invoice[[#This Row],[میزان حمل شده ]]&lt;0,0,[1]!invoice[[#This Row],[میزان سفارش]]-[1]!invoice[[#This Row],[میزان حمل شده ]])</f>
        <v>0</v>
      </c>
      <c r="S181" s="140">
        <f>[1]!invoice[[#This Row],[میزان حمل نشده ]]*[1]!invoice[[#This Row],[فی]]</f>
        <v>0</v>
      </c>
      <c r="T181" s="140"/>
    </row>
    <row r="182" spans="1:20" ht="18.600000000000001" x14ac:dyDescent="0.25">
      <c r="A182" s="81" t="s">
        <v>1047</v>
      </c>
      <c r="B182" s="81" t="s">
        <v>1054</v>
      </c>
      <c r="C182" s="81" t="str">
        <f>VLOOKUP(invoice[[#This Row],[شماره پیش فاکتور]],[1]!invoice[[شماره پیش فاکتور]:[تاریخ]],3,0)</f>
        <v>1405/02/13</v>
      </c>
      <c r="D182" s="82" t="str">
        <f>VLOOKUP(invoice[[#This Row],[شماره پیش فاکتور]],'[1]لیست پیش فاکتور ها'!$A:$D,4,0)</f>
        <v>1405/02/14</v>
      </c>
      <c r="E182" s="2">
        <f>VLOOKUP(invoice[[#This Row],[شماره پیش فاکتور]],[1]!invoice[[شماره پیش فاکتور]:[میزان سفارش]],5,0)</f>
        <v>150000</v>
      </c>
      <c r="F182" s="2">
        <f>VLOOKUP(invoice[[#This Row],[شماره پیش فاکتور]],[1]!invoice[[شماره پیش فاکتور]:[فی]],6,0)</f>
        <v>240000</v>
      </c>
      <c r="G182" s="3" t="str">
        <f>CHOOSE(MID(invoice[[#This Row],[تاریخ]],6,2),"فروردین","اردیبهشت","خرداد","تیر","مرداد","شهریور","مهر","آبان","آذر","دی","بهمن","اسفند")</f>
        <v>اردیبهشت</v>
      </c>
      <c r="H182" s="3">
        <f>_xlfn.NUMBERVALUE(MID(invoice[[#This Row],[تاریخ]],1,4))</f>
        <v>1405</v>
      </c>
      <c r="I182" s="3" t="str">
        <f>VLOOKUP(invoice[[#This Row],[شماره پیش فاکتور]],[1]!invoice[[شماره پیش فاکتور]:[نوع سفارش]],9,0)</f>
        <v>انجمن</v>
      </c>
      <c r="J182" s="3" t="str">
        <f>VLOOKUP(invoice[[#This Row],[شماره پیش فاکتور]],[1]!invoice[[شماره پیش فاکتور]:[نوع شرکت]],10,0)</f>
        <v>تولید کننده</v>
      </c>
      <c r="K182" s="133">
        <v>46466</v>
      </c>
      <c r="L182" s="77">
        <v>0.1</v>
      </c>
      <c r="M182" s="78">
        <v>5940000000</v>
      </c>
      <c r="N182" s="78">
        <f>invoice[[#This Row],[مبلغ پیش دریافت]]/invoice[[#This Row],[میزان سفارش]]</f>
        <v>39600</v>
      </c>
      <c r="O182" s="144">
        <f>SUMIF([1]!bargiri[شماره پیش فاکتور],[1]!invoice[[#This Row],[شماره پیش فاکتور]],[1]!bargiri[میزان بارگیری شده])/[1]!invoice[[#This Row],[میزان سفارش]]</f>
        <v>0</v>
      </c>
      <c r="P182" s="140" t="str">
        <f>VLOOKUP(invoice[[#This Row],[شماره پیش فاکتور]],[1]!invoice[[شماره پیش فاکتور]:[نوع سفارش]],9,0)</f>
        <v>انجمن</v>
      </c>
      <c r="Q182" s="140">
        <f>SUMIFS('[1]جزییات بارگیری'!D:D,'[1]جزییات بارگیری'!C:C,[1]!invoice[[#This Row],[شماره پیش فاکتور]])</f>
        <v>0</v>
      </c>
      <c r="R182" s="140">
        <f>IF([1]!invoice[[#This Row],[میزان سفارش]]-[1]!invoice[[#This Row],[میزان حمل شده ]]&lt;0,0,[1]!invoice[[#This Row],[میزان سفارش]]-[1]!invoice[[#This Row],[میزان حمل شده ]])</f>
        <v>20000</v>
      </c>
      <c r="S182" s="140">
        <f>[1]!invoice[[#This Row],[میزان حمل نشده ]]*[1]!invoice[[#This Row],[فی]]</f>
        <v>2330000000</v>
      </c>
      <c r="T182" s="140"/>
    </row>
    <row r="183" spans="1:20" ht="18.600000000000001" x14ac:dyDescent="0.25">
      <c r="A183" s="81" t="s">
        <v>1048</v>
      </c>
      <c r="B183" s="81" t="s">
        <v>1055</v>
      </c>
      <c r="C183" s="81" t="str">
        <f>VLOOKUP(invoice[[#This Row],[شماره پیش فاکتور]],[1]!invoice[[شماره پیش فاکتور]:[تاریخ]],3,0)</f>
        <v>1405/02/21</v>
      </c>
      <c r="D183" s="82" t="str">
        <f>VLOOKUP(invoice[[#This Row],[شماره پیش فاکتور]],'[1]لیست پیش فاکتور ها'!$A:$D,4,0)</f>
        <v>1405/02/22</v>
      </c>
      <c r="E183" s="2">
        <f>VLOOKUP(invoice[[#This Row],[شماره پیش فاکتور]],[1]!invoice[[شماره پیش فاکتور]:[میزان سفارش]],5,0)</f>
        <v>20000</v>
      </c>
      <c r="F183" s="2">
        <f>VLOOKUP(invoice[[#This Row],[شماره پیش فاکتور]],[1]!invoice[[شماره پیش فاکتور]:[فی]],6,0)</f>
        <v>245000</v>
      </c>
      <c r="G183" s="3" t="str">
        <f>CHOOSE(MID(invoice[[#This Row],[تاریخ]],6,2),"فروردین","اردیبهشت","خرداد","تیر","مرداد","شهریور","مهر","آبان","آذر","دی","بهمن","اسفند")</f>
        <v>اردیبهشت</v>
      </c>
      <c r="H183" s="3">
        <f>_xlfn.NUMBERVALUE(MID(invoice[[#This Row],[تاریخ]],1,4))</f>
        <v>1405</v>
      </c>
      <c r="I183" s="3" t="str">
        <f>VLOOKUP(invoice[[#This Row],[شماره پیش فاکتور]],[1]!invoice[[شماره پیش فاکتور]:[نوع سفارش]],9,0)</f>
        <v>عادی</v>
      </c>
      <c r="J183" s="3" t="str">
        <f>VLOOKUP(invoice[[#This Row],[شماره پیش فاکتور]],[1]!invoice[[شماره پیش فاکتور]:[نوع شرکت]],10,0)</f>
        <v>تولید کننده</v>
      </c>
      <c r="K183" s="133">
        <v>46466</v>
      </c>
      <c r="L183" s="77">
        <v>0.1</v>
      </c>
      <c r="M183" s="78">
        <v>5390000000</v>
      </c>
      <c r="N183" s="78">
        <f>invoice[[#This Row],[مبلغ پیش دریافت]]/invoice[[#This Row],[میزان سفارش]]</f>
        <v>269500</v>
      </c>
      <c r="O183" s="144">
        <f>SUMIF([1]!bargiri[شماره پیش فاکتور],[1]!invoice[[#This Row],[شماره پیش فاکتور]],[1]!bargiri[میزان بارگیری شده])/[1]!invoice[[#This Row],[میزان سفارش]]</f>
        <v>0</v>
      </c>
      <c r="P183" s="140" t="str">
        <f>VLOOKUP(invoice[[#This Row],[شماره پیش فاکتور]],[1]!invoice[[شماره پیش فاکتور]:[نوع سفارش]],9,0)</f>
        <v>عادی</v>
      </c>
      <c r="Q183" s="140">
        <f>SUMIFS('[1]جزییات بارگیری'!D:D,'[1]جزییات بارگیری'!C:C,[1]!invoice[[#This Row],[شماره پیش فاکتور]])</f>
        <v>0</v>
      </c>
      <c r="R183" s="140">
        <f>IF([1]!invoice[[#This Row],[میزان سفارش]]-[1]!invoice[[#This Row],[میزان حمل شده ]]&lt;0,0,[1]!invoice[[#This Row],[میزان سفارش]]-[1]!invoice[[#This Row],[میزان حمل شده ]])</f>
        <v>30000</v>
      </c>
      <c r="S183" s="140">
        <f>[1]!invoice[[#This Row],[میزان حمل نشده ]]*[1]!invoice[[#This Row],[فی]]</f>
        <v>3495000000</v>
      </c>
      <c r="T183" s="140"/>
    </row>
    <row r="184" spans="1:20" ht="18.600000000000001" x14ac:dyDescent="0.25">
      <c r="A184" s="81" t="s">
        <v>1043</v>
      </c>
      <c r="B184" s="81" t="s">
        <v>207</v>
      </c>
      <c r="C184" s="81" t="str">
        <f>VLOOKUP(invoice[[#This Row],[شماره پیش فاکتور]],[1]!invoice[[شماره پیش فاکتور]:[تاریخ]],3,0)</f>
        <v>1405/02/13</v>
      </c>
      <c r="D184" s="82" t="str">
        <f>VLOOKUP(invoice[[#This Row],[شماره پیش فاکتور]],'[1]لیست پیش فاکتور ها'!$A:$D,4,0)</f>
        <v>1405/02/14</v>
      </c>
      <c r="E184" s="2">
        <f>VLOOKUP(invoice[[#This Row],[شماره پیش فاکتور]],[1]!invoice[[شماره پیش فاکتور]:[میزان سفارش]],5,0)</f>
        <v>62100</v>
      </c>
      <c r="F184" s="2">
        <f>VLOOKUP(invoice[[#This Row],[شماره پیش فاکتور]],[1]!invoice[[شماره پیش فاکتور]:[فی]],6,0)</f>
        <v>240000</v>
      </c>
      <c r="G184" s="3" t="str">
        <f>CHOOSE(MID(invoice[[#This Row],[تاریخ]],6,2),"فروردین","اردیبهشت","خرداد","تیر","مرداد","شهریور","مهر","آبان","آذر","دی","بهمن","اسفند")</f>
        <v>اردیبهشت</v>
      </c>
      <c r="H184" s="3">
        <f>_xlfn.NUMBERVALUE(MID(invoice[[#This Row],[تاریخ]],1,4))</f>
        <v>1405</v>
      </c>
      <c r="I184" s="3" t="str">
        <f>VLOOKUP(invoice[[#This Row],[شماره پیش فاکتور]],[1]!invoice[[شماره پیش فاکتور]:[نوع سفارش]],9,0)</f>
        <v>انجمن</v>
      </c>
      <c r="J184" s="3" t="str">
        <f>VLOOKUP(invoice[[#This Row],[شماره پیش فاکتور]],[1]!invoice[[شماره پیش فاکتور]:[نوع شرکت]],10,0)</f>
        <v>تولید کننده</v>
      </c>
      <c r="K184" s="133">
        <v>46466</v>
      </c>
      <c r="L184" s="77">
        <v>0.1</v>
      </c>
      <c r="M184" s="78">
        <v>2459160000</v>
      </c>
      <c r="N184" s="78">
        <f>invoice[[#This Row],[مبلغ پیش دریافت]]/invoice[[#This Row],[میزان سفارش]]</f>
        <v>39600</v>
      </c>
      <c r="O184" s="144">
        <f>SUMIF([1]!bargiri[شماره پیش فاکتور],[1]!invoice[[#This Row],[شماره پیش فاکتور]],[1]!bargiri[میزان بارگیری شده])/[1]!invoice[[#This Row],[میزان سفارش]]</f>
        <v>1</v>
      </c>
      <c r="P184" s="140" t="str">
        <f>VLOOKUP(invoice[[#This Row],[شماره پیش فاکتور]],[1]!invoice[[شماره پیش فاکتور]:[نوع سفارش]],9,0)</f>
        <v>انجمن</v>
      </c>
      <c r="Q184" s="140">
        <f>SUMIFS('[1]جزییات بارگیری'!D:D,'[1]جزییات بارگیری'!C:C,[1]!invoice[[#This Row],[شماره پیش فاکتور]])</f>
        <v>30000</v>
      </c>
      <c r="R184" s="140">
        <f>IF([1]!invoice[[#This Row],[میزان سفارش]]-[1]!invoice[[#This Row],[میزان حمل شده ]]&lt;0,0,[1]!invoice[[#This Row],[میزان سفارش]]-[1]!invoice[[#This Row],[میزان حمل شده ]])</f>
        <v>0</v>
      </c>
      <c r="S184" s="140">
        <f>[1]!invoice[[#This Row],[میزان حمل نشده ]]*[1]!invoice[[#This Row],[فی]]</f>
        <v>0</v>
      </c>
      <c r="T184" s="140"/>
    </row>
    <row r="185" spans="1:20" ht="18.600000000000001" x14ac:dyDescent="0.25">
      <c r="A185" s="81" t="s">
        <v>1049</v>
      </c>
      <c r="B185" s="81" t="s">
        <v>30</v>
      </c>
      <c r="C185" s="81" t="str">
        <f>VLOOKUP(invoice[[#This Row],[شماره پیش فاکتور]],[1]!invoice[[شماره پیش فاکتور]:[تاریخ]],3,0)</f>
        <v>1405/02/13</v>
      </c>
      <c r="D185" s="82" t="str">
        <f>VLOOKUP(invoice[[#This Row],[شماره پیش فاکتور]],'[1]لیست پیش فاکتور ها'!$A:$D,4,0)</f>
        <v>1405/02/14</v>
      </c>
      <c r="E185" s="2">
        <f>VLOOKUP(invoice[[#This Row],[شماره پیش فاکتور]],[1]!invoice[[شماره پیش فاکتور]:[میزان سفارش]],5,0)</f>
        <v>555055</v>
      </c>
      <c r="F185" s="2">
        <f>VLOOKUP(invoice[[#This Row],[شماره پیش فاکتور]],[1]!invoice[[شماره پیش فاکتور]:[فی]],6,0)</f>
        <v>240000</v>
      </c>
      <c r="G185" s="3" t="str">
        <f>CHOOSE(MID(invoice[[#This Row],[تاریخ]],6,2),"فروردین","اردیبهشت","خرداد","تیر","مرداد","شهریور","مهر","آبان","آذر","دی","بهمن","اسفند")</f>
        <v>اردیبهشت</v>
      </c>
      <c r="H185" s="3">
        <f>_xlfn.NUMBERVALUE(MID(invoice[[#This Row],[تاریخ]],1,4))</f>
        <v>1405</v>
      </c>
      <c r="I185" s="3" t="str">
        <f>VLOOKUP(invoice[[#This Row],[شماره پیش فاکتور]],[1]!invoice[[شماره پیش فاکتور]:[نوع سفارش]],9,0)</f>
        <v>انجمن</v>
      </c>
      <c r="J185" s="3" t="str">
        <f>VLOOKUP(invoice[[#This Row],[شماره پیش فاکتور]],[1]!invoice[[شماره پیش فاکتور]:[نوع شرکت]],10,0)</f>
        <v>تولید کننده</v>
      </c>
      <c r="K185" s="133">
        <v>46466</v>
      </c>
      <c r="L185" s="77">
        <v>0.1</v>
      </c>
      <c r="M185" s="78">
        <v>21980178000</v>
      </c>
      <c r="N185" s="78">
        <f>invoice[[#This Row],[مبلغ پیش دریافت]]/invoice[[#This Row],[میزان سفارش]]</f>
        <v>39600</v>
      </c>
      <c r="O185" s="144">
        <f>SUMIF([1]!bargiri[شماره پیش فاکتور],[1]!invoice[[#This Row],[شماره پیش فاکتور]],[1]!bargiri[میزان بارگیری شده])/[1]!invoice[[#This Row],[میزان سفارش]]</f>
        <v>0</v>
      </c>
      <c r="P185" s="140" t="str">
        <f>VLOOKUP(invoice[[#This Row],[شماره پیش فاکتور]],[1]!invoice[[شماره پیش فاکتور]:[نوع سفارش]],9,0)</f>
        <v>انجمن</v>
      </c>
      <c r="Q185" s="140">
        <f>SUMIFS('[1]جزییات بارگیری'!D:D,'[1]جزییات بارگیری'!C:C,[1]!invoice[[#This Row],[شماره پیش فاکتور]])</f>
        <v>0</v>
      </c>
      <c r="R185" s="140">
        <f>IF([1]!invoice[[#This Row],[میزان سفارش]]-[1]!invoice[[#This Row],[میزان حمل شده ]]&lt;0,0,[1]!invoice[[#This Row],[میزان سفارش]]-[1]!invoice[[#This Row],[میزان حمل شده ]])</f>
        <v>1000000</v>
      </c>
      <c r="S185" s="140">
        <f>[1]!invoice[[#This Row],[میزان حمل نشده ]]*[1]!invoice[[#This Row],[فی]]</f>
        <v>100000000000</v>
      </c>
      <c r="T185" s="140"/>
    </row>
    <row r="186" spans="1:20" ht="18.600000000000001" x14ac:dyDescent="0.25">
      <c r="A186" s="81" t="s">
        <v>1035</v>
      </c>
      <c r="B186" s="81" t="s">
        <v>35</v>
      </c>
      <c r="C186" s="81" t="str">
        <f>VLOOKUP(invoice[[#This Row],[شماره پیش فاکتور]],[1]!invoice[[شماره پیش فاکتور]:[تاریخ]],3,0)</f>
        <v>1405/02/13</v>
      </c>
      <c r="D186" s="82" t="str">
        <f>VLOOKUP(invoice[[#This Row],[شماره پیش فاکتور]],'[1]لیست پیش فاکتور ها'!$A:$D,4,0)</f>
        <v>1405/02/14</v>
      </c>
      <c r="E186" s="2">
        <f>VLOOKUP(invoice[[#This Row],[شماره پیش فاکتور]],[1]!invoice[[شماره پیش فاکتور]:[میزان سفارش]],5,0)</f>
        <v>286068</v>
      </c>
      <c r="F186" s="2">
        <f>VLOOKUP(invoice[[#This Row],[شماره پیش فاکتور]],[1]!invoice[[شماره پیش فاکتور]:[فی]],6,0)</f>
        <v>240000</v>
      </c>
      <c r="G186" s="3" t="str">
        <f>CHOOSE(MID(invoice[[#This Row],[تاریخ]],6,2),"فروردین","اردیبهشت","خرداد","تیر","مرداد","شهریور","مهر","آبان","آذر","دی","بهمن","اسفند")</f>
        <v>اردیبهشت</v>
      </c>
      <c r="H186" s="3">
        <f>_xlfn.NUMBERVALUE(MID(invoice[[#This Row],[تاریخ]],1,4))</f>
        <v>1405</v>
      </c>
      <c r="I186" s="3" t="str">
        <f>VLOOKUP(invoice[[#This Row],[شماره پیش فاکتور]],[1]!invoice[[شماره پیش فاکتور]:[نوع سفارش]],9,0)</f>
        <v>انجمن</v>
      </c>
      <c r="J186" s="3" t="str">
        <f>VLOOKUP(invoice[[#This Row],[شماره پیش فاکتور]],[1]!invoice[[شماره پیش فاکتور]:[نوع شرکت]],10,0)</f>
        <v>تولید کننده</v>
      </c>
      <c r="K186" s="133">
        <v>46466</v>
      </c>
      <c r="L186" s="77">
        <v>0.1</v>
      </c>
      <c r="M186" s="78">
        <v>11328292800</v>
      </c>
      <c r="N186" s="78">
        <f>invoice[[#This Row],[مبلغ پیش دریافت]]/invoice[[#This Row],[میزان سفارش]]</f>
        <v>39600</v>
      </c>
      <c r="O186" s="144">
        <f>SUMIF([1]!bargiri[شماره پیش فاکتور],[1]!invoice[[#This Row],[شماره پیش فاکتور]],[1]!bargiri[میزان بارگیری شده])/[1]!invoice[[#This Row],[میزان سفارش]]</f>
        <v>0</v>
      </c>
      <c r="P186" s="140" t="str">
        <f>VLOOKUP(invoice[[#This Row],[شماره پیش فاکتور]],[1]!invoice[[شماره پیش فاکتور]:[نوع سفارش]],9,0)</f>
        <v>انجمن</v>
      </c>
      <c r="Q186" s="140">
        <f>SUMIFS('[1]جزییات بارگیری'!D:D,'[1]جزییات بارگیری'!C:C,[1]!invoice[[#This Row],[شماره پیش فاکتور]])</f>
        <v>0</v>
      </c>
      <c r="R186" s="140">
        <f>IF([1]!invoice[[#This Row],[میزان سفارش]]-[1]!invoice[[#This Row],[میزان حمل شده ]]&lt;0,0,[1]!invoice[[#This Row],[میزان سفارش]]-[1]!invoice[[#This Row],[میزان حمل شده ]])</f>
        <v>1000000</v>
      </c>
      <c r="S186" s="140">
        <f>[1]!invoice[[#This Row],[میزان حمل نشده ]]*[1]!invoice[[#This Row],[فی]]</f>
        <v>100000000000</v>
      </c>
      <c r="T186" s="140"/>
    </row>
    <row r="187" spans="1:20" ht="18.600000000000001" x14ac:dyDescent="0.25">
      <c r="A187" s="81" t="s">
        <v>1050</v>
      </c>
      <c r="B187" s="81" t="s">
        <v>40</v>
      </c>
      <c r="C187" s="81" t="str">
        <f>VLOOKUP(invoice[[#This Row],[شماره پیش فاکتور]],[1]!invoice[[شماره پیش فاکتور]:[تاریخ]],3,0)</f>
        <v>1405/02/13</v>
      </c>
      <c r="D187" s="82" t="str">
        <f>VLOOKUP(invoice[[#This Row],[شماره پیش فاکتور]],'[1]لیست پیش فاکتور ها'!$A:$D,4,0)</f>
        <v>1405/02/14</v>
      </c>
      <c r="E187" s="2">
        <f>VLOOKUP(invoice[[#This Row],[شماره پیش فاکتور]],[1]!invoice[[شماره پیش فاکتور]:[میزان سفارش]],5,0)</f>
        <v>121230</v>
      </c>
      <c r="F187" s="2">
        <f>VLOOKUP(invoice[[#This Row],[شماره پیش فاکتور]],[1]!invoice[[شماره پیش فاکتور]:[فی]],6,0)</f>
        <v>240000</v>
      </c>
      <c r="G187" s="3" t="str">
        <f>CHOOSE(MID(invoice[[#This Row],[تاریخ]],6,2),"فروردین","اردیبهشت","خرداد","تیر","مرداد","شهریور","مهر","آبان","آذر","دی","بهمن","اسفند")</f>
        <v>اردیبهشت</v>
      </c>
      <c r="H187" s="3">
        <f>_xlfn.NUMBERVALUE(MID(invoice[[#This Row],[تاریخ]],1,4))</f>
        <v>1405</v>
      </c>
      <c r="I187" s="3" t="str">
        <f>VLOOKUP(invoice[[#This Row],[شماره پیش فاکتور]],[1]!invoice[[شماره پیش فاکتور]:[نوع سفارش]],9,0)</f>
        <v>انجمن</v>
      </c>
      <c r="J187" s="3" t="str">
        <f>VLOOKUP(invoice[[#This Row],[شماره پیش فاکتور]],[1]!invoice[[شماره پیش فاکتور]:[نوع شرکت]],10,0)</f>
        <v>تولید کننده</v>
      </c>
      <c r="K187" s="133">
        <v>46466</v>
      </c>
      <c r="L187" s="77">
        <v>0.1</v>
      </c>
      <c r="M187" s="78">
        <v>4800708000</v>
      </c>
      <c r="N187" s="78">
        <f>invoice[[#This Row],[مبلغ پیش دریافت]]/invoice[[#This Row],[میزان سفارش]]</f>
        <v>39600</v>
      </c>
      <c r="O187" s="144">
        <f>SUMIF([1]!bargiri[شماره پیش فاکتور],[1]!invoice[[#This Row],[شماره پیش فاکتور]],[1]!bargiri[میزان بارگیری شده])/[1]!invoice[[#This Row],[میزان سفارش]]</f>
        <v>1</v>
      </c>
      <c r="P187" s="140" t="str">
        <f>VLOOKUP(invoice[[#This Row],[شماره پیش فاکتور]],[1]!invoice[[شماره پیش فاکتور]:[نوع سفارش]],9,0)</f>
        <v>انجمن</v>
      </c>
      <c r="Q187" s="140">
        <f>SUMIFS('[1]جزییات بارگیری'!D:D,'[1]جزییات بارگیری'!C:C,[1]!invoice[[#This Row],[شماره پیش فاکتور]])</f>
        <v>4710</v>
      </c>
      <c r="R187" s="140">
        <f>IF([1]!invoice[[#This Row],[میزان سفارش]]-[1]!invoice[[#This Row],[میزان حمل شده ]]&lt;0,0,[1]!invoice[[#This Row],[میزان سفارش]]-[1]!invoice[[#This Row],[میزان حمل شده ]])</f>
        <v>0</v>
      </c>
      <c r="S187" s="140">
        <f>[1]!invoice[[#This Row],[میزان حمل نشده ]]*[1]!invoice[[#This Row],[فی]]</f>
        <v>0</v>
      </c>
      <c r="T187" s="140"/>
    </row>
    <row r="188" spans="1:20" ht="18.600000000000001" x14ac:dyDescent="0.25">
      <c r="A188" s="81" t="s">
        <v>1051</v>
      </c>
      <c r="B188" s="81" t="s">
        <v>219</v>
      </c>
      <c r="C188" s="81" t="str">
        <f>VLOOKUP(invoice[[#This Row],[شماره پیش فاکتور]],[1]!invoice[[شماره پیش فاکتور]:[تاریخ]],3,0)</f>
        <v>1405/02/13</v>
      </c>
      <c r="D188" s="82" t="str">
        <f>VLOOKUP(invoice[[#This Row],[شماره پیش فاکتور]],'[1]لیست پیش فاکتور ها'!$A:$D,4,0)</f>
        <v>1405/02/14</v>
      </c>
      <c r="E188" s="2">
        <f>VLOOKUP(invoice[[#This Row],[شماره پیش فاکتور]],[1]!invoice[[شماره پیش فاکتور]:[میزان سفارش]],5,0)</f>
        <v>83865</v>
      </c>
      <c r="F188" s="2">
        <f>VLOOKUP(invoice[[#This Row],[شماره پیش فاکتور]],[1]!invoice[[شماره پیش فاکتور]:[فی]],6,0)</f>
        <v>240000</v>
      </c>
      <c r="G188" s="3" t="str">
        <f>CHOOSE(MID(invoice[[#This Row],[تاریخ]],6,2),"فروردین","اردیبهشت","خرداد","تیر","مرداد","شهریور","مهر","آبان","آذر","دی","بهمن","اسفند")</f>
        <v>اردیبهشت</v>
      </c>
      <c r="H188" s="3">
        <f>_xlfn.NUMBERVALUE(MID(invoice[[#This Row],[تاریخ]],1,4))</f>
        <v>1405</v>
      </c>
      <c r="I188" s="3" t="str">
        <f>VLOOKUP(invoice[[#This Row],[شماره پیش فاکتور]],[1]!invoice[[شماره پیش فاکتور]:[نوع سفارش]],9,0)</f>
        <v>انجمن</v>
      </c>
      <c r="J188" s="3" t="str">
        <f>VLOOKUP(invoice[[#This Row],[شماره پیش فاکتور]],[1]!invoice[[شماره پیش فاکتور]:[نوع شرکت]],10,0)</f>
        <v>تولید کننده</v>
      </c>
      <c r="K188" s="133">
        <v>46466</v>
      </c>
      <c r="L188" s="77">
        <v>0.1</v>
      </c>
      <c r="M188" s="78">
        <v>3321054000</v>
      </c>
      <c r="N188" s="78">
        <f>invoice[[#This Row],[مبلغ پیش دریافت]]/invoice[[#This Row],[میزان سفارش]]</f>
        <v>39600</v>
      </c>
      <c r="O188" s="144">
        <f>SUMIF([1]!bargiri[شماره پیش فاکتور],[1]!invoice[[#This Row],[شماره پیش فاکتور]],[1]!bargiri[میزان بارگیری شده])/[1]!invoice[[#This Row],[میزان سفارش]]</f>
        <v>1</v>
      </c>
      <c r="P188" s="140" t="str">
        <f>VLOOKUP(invoice[[#This Row],[شماره پیش فاکتور]],[1]!invoice[[شماره پیش فاکتور]:[نوع سفارش]],9,0)</f>
        <v>انجمن</v>
      </c>
      <c r="Q188" s="140">
        <f>SUMIFS('[1]جزییات بارگیری'!D:D,'[1]جزییات بارگیری'!C:C,[1]!invoice[[#This Row],[شماره پیش فاکتور]])</f>
        <v>40000</v>
      </c>
      <c r="R188" s="140">
        <f>IF([1]!invoice[[#This Row],[میزان سفارش]]-[1]!invoice[[#This Row],[میزان حمل شده ]]&lt;0,0,[1]!invoice[[#This Row],[میزان سفارش]]-[1]!invoice[[#This Row],[میزان حمل شده ]])</f>
        <v>0</v>
      </c>
      <c r="S188" s="140">
        <f>[1]!invoice[[#This Row],[میزان حمل نشده ]]*[1]!invoice[[#This Row],[فی]]</f>
        <v>0</v>
      </c>
      <c r="T188" s="140"/>
    </row>
    <row r="189" spans="1:20" ht="18.600000000000001" x14ac:dyDescent="0.25">
      <c r="A189" s="81" t="s">
        <v>1032</v>
      </c>
      <c r="B189" s="81" t="s">
        <v>156</v>
      </c>
      <c r="C189" s="81" t="str">
        <f>VLOOKUP(invoice[[#This Row],[شماره پیش فاکتور]],[1]!invoice[[شماره پیش فاکتور]:[تاریخ]],3,0)</f>
        <v>1405/02/13</v>
      </c>
      <c r="D189" s="82" t="str">
        <f>VLOOKUP(invoice[[#This Row],[شماره پیش فاکتور]],'[1]لیست پیش فاکتور ها'!$A:$D,4,0)</f>
        <v>1405/02/14</v>
      </c>
      <c r="E189" s="2">
        <f>VLOOKUP(invoice[[#This Row],[شماره پیش فاکتور]],[1]!invoice[[شماره پیش فاکتور]:[میزان سفارش]],5,0)</f>
        <v>102310</v>
      </c>
      <c r="F189" s="2">
        <f>VLOOKUP(invoice[[#This Row],[شماره پیش فاکتور]],[1]!invoice[[شماره پیش فاکتور]:[فی]],6,0)</f>
        <v>240000</v>
      </c>
      <c r="G189" s="3" t="str">
        <f>CHOOSE(MID(invoice[[#This Row],[تاریخ]],6,2),"فروردین","اردیبهشت","خرداد","تیر","مرداد","شهریور","مهر","آبان","آذر","دی","بهمن","اسفند")</f>
        <v>اردیبهشت</v>
      </c>
      <c r="H189" s="3">
        <f>_xlfn.NUMBERVALUE(MID(invoice[[#This Row],[تاریخ]],1,4))</f>
        <v>1405</v>
      </c>
      <c r="I189" s="3" t="str">
        <f>VLOOKUP(invoice[[#This Row],[شماره پیش فاکتور]],[1]!invoice[[شماره پیش فاکتور]:[نوع سفارش]],9,0)</f>
        <v>انجمن</v>
      </c>
      <c r="J189" s="3" t="str">
        <f>VLOOKUP(invoice[[#This Row],[شماره پیش فاکتور]],[1]!invoice[[شماره پیش فاکتور]:[نوع شرکت]],10,0)</f>
        <v>تولید کننده</v>
      </c>
      <c r="K189" s="133">
        <v>46466</v>
      </c>
      <c r="L189" s="77">
        <v>0.1</v>
      </c>
      <c r="M189" s="78">
        <v>4051476000</v>
      </c>
      <c r="N189" s="78">
        <f>invoice[[#This Row],[مبلغ پیش دریافت]]/invoice[[#This Row],[میزان سفارش]]</f>
        <v>39600</v>
      </c>
      <c r="O189" s="144">
        <f>SUMIF([1]!bargiri[شماره پیش فاکتور],[1]!invoice[[#This Row],[شماره پیش فاکتور]],[1]!bargiri[میزان بارگیری شده])/[1]!invoice[[#This Row],[میزان سفارش]]</f>
        <v>1</v>
      </c>
      <c r="P189" s="140" t="str">
        <f>VLOOKUP(invoice[[#This Row],[شماره پیش فاکتور]],[1]!invoice[[شماره پیش فاکتور]:[نوع سفارش]],9,0)</f>
        <v>انجمن</v>
      </c>
      <c r="Q189" s="140">
        <f>SUMIFS('[1]جزییات بارگیری'!D:D,'[1]جزییات بارگیری'!C:C,[1]!invoice[[#This Row],[شماره پیش فاکتور]])</f>
        <v>40000</v>
      </c>
      <c r="R189" s="140">
        <f>IF([1]!invoice[[#This Row],[میزان سفارش]]-[1]!invoice[[#This Row],[میزان حمل شده ]]&lt;0,0,[1]!invoice[[#This Row],[میزان سفارش]]-[1]!invoice[[#This Row],[میزان حمل شده ]])</f>
        <v>0</v>
      </c>
      <c r="S189" s="140">
        <f>[1]!invoice[[#This Row],[میزان حمل نشده ]]*[1]!invoice[[#This Row],[فی]]</f>
        <v>0</v>
      </c>
      <c r="T189" s="140"/>
    </row>
    <row r="190" spans="1:20" ht="18.600000000000001" x14ac:dyDescent="0.25">
      <c r="A190" s="81" t="s">
        <v>1052</v>
      </c>
      <c r="B190" s="81" t="s">
        <v>211</v>
      </c>
      <c r="C190" s="81" t="str">
        <f>VLOOKUP(invoice[[#This Row],[شماره پیش فاکتور]],[1]!invoice[[شماره پیش فاکتور]:[تاریخ]],3,0)</f>
        <v>1405/02/13</v>
      </c>
      <c r="D190" s="82" t="str">
        <f>VLOOKUP(invoice[[#This Row],[شماره پیش فاکتور]],'[1]لیست پیش فاکتور ها'!$A:$D,4,0)</f>
        <v>1405/02/14</v>
      </c>
      <c r="E190" s="2">
        <f>VLOOKUP(invoice[[#This Row],[شماره پیش فاکتور]],[1]!invoice[[شماره پیش فاکتور]:[میزان سفارش]],5,0)</f>
        <v>287210</v>
      </c>
      <c r="F190" s="2">
        <f>VLOOKUP(invoice[[#This Row],[شماره پیش فاکتور]],[1]!invoice[[شماره پیش فاکتور]:[فی]],6,0)</f>
        <v>240000</v>
      </c>
      <c r="G190" s="3" t="str">
        <f>CHOOSE(MID(invoice[[#This Row],[تاریخ]],6,2),"فروردین","اردیبهشت","خرداد","تیر","مرداد","شهریور","مهر","آبان","آذر","دی","بهمن","اسفند")</f>
        <v>اردیبهشت</v>
      </c>
      <c r="H190" s="3">
        <f>_xlfn.NUMBERVALUE(MID(invoice[[#This Row],[تاریخ]],1,4))</f>
        <v>1405</v>
      </c>
      <c r="I190" s="3" t="str">
        <f>VLOOKUP(invoice[[#This Row],[شماره پیش فاکتور]],[1]!invoice[[شماره پیش فاکتور]:[نوع سفارش]],9,0)</f>
        <v>انجمن</v>
      </c>
      <c r="J190" s="3" t="str">
        <f>VLOOKUP(invoice[[#This Row],[شماره پیش فاکتور]],[1]!invoice[[شماره پیش فاکتور]:[نوع شرکت]],10,0)</f>
        <v>تولید کننده</v>
      </c>
      <c r="K190" s="133">
        <v>46466</v>
      </c>
      <c r="L190" s="77">
        <v>0.1</v>
      </c>
      <c r="M190" s="78">
        <v>11373516000</v>
      </c>
      <c r="N190" s="78">
        <f>invoice[[#This Row],[مبلغ پیش دریافت]]/invoice[[#This Row],[میزان سفارش]]</f>
        <v>39600</v>
      </c>
      <c r="O190" s="144">
        <f>SUMIF([1]!bargiri[شماره پیش فاکتور],[1]!invoice[[#This Row],[شماره پیش فاکتور]],[1]!bargiri[میزان بارگیری شده])/[1]!invoice[[#This Row],[میزان سفارش]]</f>
        <v>1</v>
      </c>
      <c r="P190" s="140" t="str">
        <f>VLOOKUP(invoice[[#This Row],[شماره پیش فاکتور]],[1]!invoice[[شماره پیش فاکتور]:[نوع سفارش]],9,0)</f>
        <v>انجمن</v>
      </c>
      <c r="Q190" s="140">
        <f>SUMIFS('[1]جزییات بارگیری'!D:D,'[1]جزییات بارگیری'!C:C,[1]!invoice[[#This Row],[شماره پیش فاکتور]])</f>
        <v>40000</v>
      </c>
      <c r="R190" s="140">
        <f>IF([1]!invoice[[#This Row],[میزان سفارش]]-[1]!invoice[[#This Row],[میزان حمل شده ]]&lt;0,0,[1]!invoice[[#This Row],[میزان سفارش]]-[1]!invoice[[#This Row],[میزان حمل شده ]])</f>
        <v>0</v>
      </c>
      <c r="S190" s="140">
        <f>[1]!invoice[[#This Row],[میزان حمل نشده ]]*[1]!invoice[[#This Row],[فی]]</f>
        <v>0</v>
      </c>
      <c r="T190" s="140"/>
    </row>
    <row r="191" spans="1:20" ht="18.600000000000001" x14ac:dyDescent="0.25">
      <c r="A191" s="126" t="s">
        <v>1038</v>
      </c>
      <c r="B191" s="126" t="s">
        <v>73</v>
      </c>
      <c r="C191" s="126" t="str">
        <f>VLOOKUP(invoice[[#This Row],[شماره پیش فاکتور]],[1]!invoice[[شماره پیش فاکتور]:[تاریخ]],3,0)</f>
        <v>1404/10/02</v>
      </c>
      <c r="D191" s="127" t="str">
        <f>VLOOKUP(invoice[[#This Row],[شماره پیش فاکتور]],'[1]لیست پیش فاکتور ها'!$A:$D,4,0)</f>
        <v>1404/10/03</v>
      </c>
      <c r="E191" s="128">
        <f>VLOOKUP(invoice[[#This Row],[شماره پیش فاکتور]],[1]!invoice[[شماره پیش فاکتور]:[میزان سفارش]],5,0)</f>
        <v>500000</v>
      </c>
      <c r="F191" s="128">
        <f>VLOOKUP(invoice[[#This Row],[شماره پیش فاکتور]],[1]!invoice[[شماره پیش فاکتور]:[فی]],6,0)</f>
        <v>123481</v>
      </c>
      <c r="G191" s="3" t="str">
        <f>CHOOSE(MID(invoice[[#This Row],[تاریخ]],6,2),"فروردین","اردیبهشت","خرداد","تیر","مرداد","شهریور","مهر","آبان","آذر","دی","بهمن","اسفند")</f>
        <v>دی</v>
      </c>
      <c r="H191" s="3">
        <f>_xlfn.NUMBERVALUE(MID(invoice[[#This Row],[تاریخ]],1,4))</f>
        <v>1404</v>
      </c>
      <c r="I191" s="3" t="str">
        <f>VLOOKUP(invoice[[#This Row],[شماره پیش فاکتور]],[1]!invoice[[شماره پیش فاکتور]:[نوع سفارش]],9,0)</f>
        <v>عادی</v>
      </c>
      <c r="J191" s="3" t="str">
        <f>VLOOKUP(invoice[[#This Row],[شماره پیش فاکتور]],[1]!invoice[[شماره پیش فاکتور]:[نوع شرکت]],10,0)</f>
        <v>تولید کننده</v>
      </c>
      <c r="K191" s="162">
        <v>46422</v>
      </c>
      <c r="L191" s="163">
        <v>0.1</v>
      </c>
      <c r="M191" s="129">
        <v>31450000000</v>
      </c>
      <c r="N191" s="129">
        <f>invoice[[#This Row],[مبلغ پیش دریافت]]/invoice[[#This Row],[میزان سفارش]]</f>
        <v>62900</v>
      </c>
      <c r="O191" s="144">
        <f>SUMIF([1]!bargiri[شماره پیش فاکتور],[1]!invoice[[#This Row],[شماره پیش فاکتور]],[1]!bargiri[میزان بارگیری شده])/[1]!invoice[[#This Row],[میزان سفارش]]</f>
        <v>0</v>
      </c>
      <c r="P191" s="140" t="str">
        <f>VLOOKUP(invoice[[#This Row],[شماره پیش فاکتور]],[1]!invoice[[شماره پیش فاکتور]:[نوع سفارش]],9,0)</f>
        <v>عادی</v>
      </c>
      <c r="Q191" s="140">
        <f>SUMIFS('[1]جزییات بارگیری'!D:D,'[1]جزییات بارگیری'!C:C,[1]!invoice[[#This Row],[شماره پیش فاکتور]])</f>
        <v>0</v>
      </c>
      <c r="R191" s="140">
        <f>IF([1]!invoice[[#This Row],[میزان سفارش]]-[1]!invoice[[#This Row],[میزان حمل شده ]]&lt;0,0,[1]!invoice[[#This Row],[میزان سفارش]]-[1]!invoice[[#This Row],[میزان حمل شده ]])</f>
        <v>40000</v>
      </c>
      <c r="S191" s="140">
        <f>[1]!invoice[[#This Row],[میزان حمل نشده ]]*[1]!invoice[[#This Row],[فی]]</f>
        <v>4660000000</v>
      </c>
      <c r="T191" s="140"/>
    </row>
  </sheetData>
  <phoneticPr fontId="17"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D4432-52F0-4FD4-83F4-E4E29EAFD8B6}">
  <dimension ref="A1:Y2641"/>
  <sheetViews>
    <sheetView rightToLeft="1" workbookViewId="0">
      <selection activeCell="J16" sqref="J16"/>
    </sheetView>
  </sheetViews>
  <sheetFormatPr defaultRowHeight="19.8" customHeight="1" x14ac:dyDescent="0.25"/>
  <cols>
    <col min="1" max="1" width="12.19921875" bestFit="1" customWidth="1"/>
    <col min="2" max="2" width="11.796875" bestFit="1" customWidth="1"/>
    <col min="3" max="3" width="14.69921875" bestFit="1" customWidth="1"/>
    <col min="4" max="4" width="28.296875" bestFit="1" customWidth="1"/>
    <col min="5" max="5" width="8" bestFit="1" customWidth="1"/>
    <col min="6" max="6" width="8.69921875" bestFit="1" customWidth="1"/>
    <col min="7" max="7" width="13.796875" bestFit="1" customWidth="1"/>
    <col min="8" max="8" width="12.19921875" bestFit="1" customWidth="1"/>
    <col min="9" max="9" width="13.796875" bestFit="1" customWidth="1"/>
    <col min="10" max="10" width="21.296875" bestFit="1" customWidth="1"/>
    <col min="11" max="11" width="14.3984375" bestFit="1" customWidth="1"/>
    <col min="12" max="12" width="12.69921875" bestFit="1" customWidth="1"/>
    <col min="13" max="13" width="13.796875" bestFit="1" customWidth="1"/>
    <col min="14" max="14" width="16.5" bestFit="1" customWidth="1"/>
    <col min="15" max="15" width="24.19921875" bestFit="1" customWidth="1"/>
    <col min="16" max="16" width="12.5" bestFit="1" customWidth="1"/>
    <col min="17" max="17" width="13.796875" bestFit="1" customWidth="1"/>
    <col min="23" max="23" width="41.09765625" bestFit="1" customWidth="1"/>
  </cols>
  <sheetData>
    <row r="1" spans="1:25" s="22" customFormat="1" ht="13.8" x14ac:dyDescent="0.25">
      <c r="A1" s="22" t="s">
        <v>587</v>
      </c>
      <c r="B1" s="22" t="s">
        <v>448</v>
      </c>
      <c r="C1" s="22" t="s">
        <v>449</v>
      </c>
      <c r="D1" s="22" t="s">
        <v>13</v>
      </c>
      <c r="E1" s="22" t="s">
        <v>450</v>
      </c>
      <c r="F1" s="22" t="s">
        <v>227</v>
      </c>
      <c r="G1" s="22" t="s">
        <v>451</v>
      </c>
      <c r="H1" s="22" t="s">
        <v>452</v>
      </c>
      <c r="I1" s="22" t="s">
        <v>453</v>
      </c>
      <c r="J1" s="155" t="s">
        <v>599</v>
      </c>
      <c r="K1" s="155" t="s">
        <v>619</v>
      </c>
      <c r="L1" s="156" t="s">
        <v>9</v>
      </c>
      <c r="M1" s="156" t="s">
        <v>10</v>
      </c>
      <c r="N1" s="156" t="s">
        <v>11</v>
      </c>
      <c r="O1" s="156" t="s">
        <v>12</v>
      </c>
      <c r="P1" s="156" t="s">
        <v>1029</v>
      </c>
      <c r="Q1" s="156" t="s">
        <v>1030</v>
      </c>
      <c r="Y1" s="157" t="s">
        <v>634</v>
      </c>
    </row>
    <row r="2" spans="1:25" s="22" customFormat="1" ht="13.8" x14ac:dyDescent="0.25">
      <c r="A2" s="22">
        <v>89</v>
      </c>
      <c r="B2" s="22" t="s">
        <v>1031</v>
      </c>
      <c r="C2" s="22" t="s">
        <v>328</v>
      </c>
      <c r="D2" s="22" t="s">
        <v>67</v>
      </c>
      <c r="E2" s="158">
        <v>955</v>
      </c>
      <c r="F2" s="159">
        <v>116500</v>
      </c>
      <c r="G2" s="159">
        <v>111257500</v>
      </c>
      <c r="H2" s="159">
        <v>11125750</v>
      </c>
      <c r="I2" s="159">
        <v>122383250</v>
      </c>
      <c r="J2" s="159">
        <f>bargiri[[#This Row],[مقدار]]*INDEX(invoice[پیش دریافت به ازای هر کیلوگرم],MATCH(bargiri[[#This Row],[شماره سند مبنا]],invoice[شماره پیش فاکتور],0))</f>
        <v>18357487.5</v>
      </c>
      <c r="K2" s="159">
        <f>bargiri[[#This Row],[مبلغ خالص]]-bargiri[[#This Row],[میزان استهلاک پیش دریافتی]]</f>
        <v>104025762.5</v>
      </c>
      <c r="L2" s="160" t="s">
        <v>593</v>
      </c>
      <c r="M2" s="159" t="s">
        <v>593</v>
      </c>
      <c r="N2" s="159">
        <f>IF(bargiri[[#This Row],[مبلغ واریزی]]&lt;&gt;"",bargiri[[#This Row],[مانده مبلغ]]-bargiri[[#This Row],[مبلغ واریزی]],bargiri[[#This Row],[مانده مبلغ]])</f>
        <v>104025762.5</v>
      </c>
      <c r="O2" s="159" t="s">
        <v>593</v>
      </c>
      <c r="P2" s="159">
        <f>VLOOKUP(bargiri[[#This Row],[شماره سند مبنا]],invoice[[شماره پیش فاکتور]:[پیش دریافت به ازای هر کیلوگرم]],14,0)</f>
        <v>19222.5</v>
      </c>
      <c r="Q2" s="159">
        <f>IF(bargiri[[#This Row],[مبلغ ناخالص]]-(bargiri[[#This Row],[نرخ استهلاک]]*bargiri[[#This Row],[مقدار]])&lt;0,0,bargiri[[#This Row],[مبلغ ناخالص]]-(bargiri[[#This Row],[نرخ استهلاک]]*bargiri[[#This Row],[مقدار]]))</f>
        <v>92900012.5</v>
      </c>
      <c r="Y2" s="161" t="s">
        <v>750</v>
      </c>
    </row>
    <row r="3" spans="1:25" s="22" customFormat="1" ht="13.8" x14ac:dyDescent="0.25">
      <c r="A3" s="22">
        <v>89</v>
      </c>
      <c r="B3" s="22" t="s">
        <v>1031</v>
      </c>
      <c r="C3" s="22" t="s">
        <v>679</v>
      </c>
      <c r="D3" s="22" t="s">
        <v>67</v>
      </c>
      <c r="E3" s="158">
        <v>18975</v>
      </c>
      <c r="F3" s="159">
        <v>116500</v>
      </c>
      <c r="G3" s="159">
        <v>2210587500</v>
      </c>
      <c r="H3" s="159">
        <v>221058750</v>
      </c>
      <c r="I3" s="159">
        <v>2431646250</v>
      </c>
      <c r="J3" s="159">
        <f>bargiri[[#This Row],[مقدار]]*INDEX(invoice[پیش دریافت به ازای هر کیلوگرم],MATCH(bargiri[[#This Row],[شماره سند مبنا]],invoice[شماره پیش فاکتور],0))</f>
        <v>364746937.5</v>
      </c>
      <c r="K3" s="159">
        <f>bargiri[[#This Row],[مبلغ خالص]]-bargiri[[#This Row],[میزان استهلاک پیش دریافتی]]</f>
        <v>2066899312.5</v>
      </c>
      <c r="L3" s="160" t="s">
        <v>593</v>
      </c>
      <c r="M3" s="159" t="s">
        <v>593</v>
      </c>
      <c r="N3" s="159">
        <f>IF(bargiri[[#This Row],[مبلغ واریزی]]&lt;&gt;"",bargiri[[#This Row],[مانده مبلغ]]-bargiri[[#This Row],[مبلغ واریزی]],bargiri[[#This Row],[مانده مبلغ]])</f>
        <v>2066899312.5</v>
      </c>
      <c r="O3" s="159" t="s">
        <v>593</v>
      </c>
      <c r="P3" s="159">
        <f>VLOOKUP(bargiri[[#This Row],[شماره سند مبنا]],invoice[[شماره پیش فاکتور]:[پیش دریافت به ازای هر کیلوگرم]],14,0)</f>
        <v>19222.5</v>
      </c>
      <c r="Q3" s="159">
        <f>IF(bargiri[[#This Row],[مبلغ ناخالص]]-(bargiri[[#This Row],[نرخ استهلاک]]*bargiri[[#This Row],[مقدار]])&lt;0,0,bargiri[[#This Row],[مبلغ ناخالص]]-(bargiri[[#This Row],[نرخ استهلاک]]*bargiri[[#This Row],[مقدار]]))</f>
        <v>1845840562.5</v>
      </c>
    </row>
    <row r="4" spans="1:25" s="22" customFormat="1" ht="13.8" x14ac:dyDescent="0.25">
      <c r="A4" s="22">
        <v>88</v>
      </c>
      <c r="B4" s="22" t="s">
        <v>1031</v>
      </c>
      <c r="C4" s="22" t="s">
        <v>724</v>
      </c>
      <c r="D4" s="22" t="s">
        <v>30</v>
      </c>
      <c r="E4" s="158">
        <v>11490</v>
      </c>
      <c r="F4" s="159">
        <v>108000</v>
      </c>
      <c r="G4" s="159">
        <v>1240920000</v>
      </c>
      <c r="H4" s="159">
        <v>124092000</v>
      </c>
      <c r="I4" s="159">
        <v>1365012000</v>
      </c>
      <c r="J4" s="159">
        <f>bargiri[[#This Row],[مقدار]]*INDEX(invoice[پیش دریافت به ازای هر کیلوگرم],MATCH(bargiri[[#This Row],[شماره سند مبنا]],invoice[شماره پیش فاکتور],0))</f>
        <v>682506000</v>
      </c>
      <c r="K4" s="159">
        <f>bargiri[[#This Row],[مبلغ خالص]]-bargiri[[#This Row],[میزان استهلاک پیش دریافتی]]</f>
        <v>682506000</v>
      </c>
      <c r="L4" s="160" t="s">
        <v>593</v>
      </c>
      <c r="M4" s="159" t="s">
        <v>593</v>
      </c>
      <c r="N4" s="159">
        <f>IF(bargiri[[#This Row],[مبلغ واریزی]]&lt;&gt;"",bargiri[[#This Row],[مانده مبلغ]]-bargiri[[#This Row],[مبلغ واریزی]],bargiri[[#This Row],[مانده مبلغ]])</f>
        <v>682506000</v>
      </c>
      <c r="O4" s="159" t="s">
        <v>593</v>
      </c>
      <c r="P4" s="159">
        <f>VLOOKUP(bargiri[[#This Row],[شماره سند مبنا]],invoice[[شماره پیش فاکتور]:[پیش دریافت به ازای هر کیلوگرم]],14,0)</f>
        <v>59400</v>
      </c>
      <c r="Q4" s="159">
        <f>IF(bargiri[[#This Row],[مبلغ ناخالص]]-(bargiri[[#This Row],[نرخ استهلاک]]*bargiri[[#This Row],[مقدار]])&lt;0,0,bargiri[[#This Row],[مبلغ ناخالص]]-(bargiri[[#This Row],[نرخ استهلاک]]*bargiri[[#This Row],[مقدار]]))</f>
        <v>558414000</v>
      </c>
    </row>
    <row r="5" spans="1:25" s="22" customFormat="1" ht="13.8" x14ac:dyDescent="0.25">
      <c r="A5" s="22">
        <v>87</v>
      </c>
      <c r="B5" s="22" t="s">
        <v>1031</v>
      </c>
      <c r="C5" s="22" t="s">
        <v>1032</v>
      </c>
      <c r="D5" s="22" t="s">
        <v>156</v>
      </c>
      <c r="E5" s="158">
        <v>23000</v>
      </c>
      <c r="F5" s="159">
        <v>240000</v>
      </c>
      <c r="G5" s="159">
        <v>5520000000</v>
      </c>
      <c r="H5" s="159">
        <v>552000000</v>
      </c>
      <c r="I5" s="159">
        <v>6072000000</v>
      </c>
      <c r="J5" s="159">
        <f>bargiri[[#This Row],[مقدار]]*INDEX(invoice[پیش دریافت به ازای هر کیلوگرم],MATCH(bargiri[[#This Row],[شماره سند مبنا]],invoice[شماره پیش فاکتور],0))</f>
        <v>910800000</v>
      </c>
      <c r="K5" s="159">
        <f>bargiri[[#This Row],[مبلغ خالص]]-bargiri[[#This Row],[میزان استهلاک پیش دریافتی]]</f>
        <v>5161200000</v>
      </c>
      <c r="L5" s="160" t="s">
        <v>593</v>
      </c>
      <c r="M5" s="159" t="s">
        <v>593</v>
      </c>
      <c r="N5" s="159">
        <f>IF(bargiri[[#This Row],[مبلغ واریزی]]&lt;&gt;"",bargiri[[#This Row],[مانده مبلغ]]-bargiri[[#This Row],[مبلغ واریزی]],bargiri[[#This Row],[مانده مبلغ]])</f>
        <v>5161200000</v>
      </c>
      <c r="O5" s="159" t="s">
        <v>593</v>
      </c>
      <c r="P5" s="159">
        <f>VLOOKUP(bargiri[[#This Row],[شماره سند مبنا]],invoice[[شماره پیش فاکتور]:[پیش دریافت به ازای هر کیلوگرم]],14,0)</f>
        <v>39600</v>
      </c>
      <c r="Q5" s="159">
        <f>IF(bargiri[[#This Row],[مبلغ ناخالص]]-(bargiri[[#This Row],[نرخ استهلاک]]*bargiri[[#This Row],[مقدار]])&lt;0,0,bargiri[[#This Row],[مبلغ ناخالص]]-(bargiri[[#This Row],[نرخ استهلاک]]*bargiri[[#This Row],[مقدار]]))</f>
        <v>4609200000</v>
      </c>
    </row>
    <row r="6" spans="1:25" s="22" customFormat="1" ht="13.8" x14ac:dyDescent="0.25">
      <c r="A6" s="22">
        <v>86</v>
      </c>
      <c r="B6" s="22" t="s">
        <v>1031</v>
      </c>
      <c r="C6" s="22" t="s">
        <v>1033</v>
      </c>
      <c r="D6" s="22" t="s">
        <v>180</v>
      </c>
      <c r="E6" s="158">
        <v>7370</v>
      </c>
      <c r="F6" s="159">
        <v>240000</v>
      </c>
      <c r="G6" s="159">
        <v>1768800000</v>
      </c>
      <c r="H6" s="159">
        <v>176880000</v>
      </c>
      <c r="I6" s="159">
        <v>1945680000</v>
      </c>
      <c r="J6" s="159">
        <f>bargiri[[#This Row],[مقدار]]*INDEX(invoice[پیش دریافت به ازای هر کیلوگرم],MATCH(bargiri[[#This Row],[شماره سند مبنا]],invoice[شماره پیش فاکتور],0))</f>
        <v>291852000</v>
      </c>
      <c r="K6" s="159">
        <f>bargiri[[#This Row],[مبلغ خالص]]-bargiri[[#This Row],[میزان استهلاک پیش دریافتی]]</f>
        <v>1653828000</v>
      </c>
      <c r="L6" s="160" t="s">
        <v>593</v>
      </c>
      <c r="M6" s="159" t="s">
        <v>593</v>
      </c>
      <c r="N6" s="159">
        <f>IF(bargiri[[#This Row],[مبلغ واریزی]]&lt;&gt;"",bargiri[[#This Row],[مانده مبلغ]]-bargiri[[#This Row],[مبلغ واریزی]],bargiri[[#This Row],[مانده مبلغ]])</f>
        <v>1653828000</v>
      </c>
      <c r="O6" s="159" t="s">
        <v>593</v>
      </c>
      <c r="P6" s="159">
        <f>VLOOKUP(bargiri[[#This Row],[شماره سند مبنا]],invoice[[شماره پیش فاکتور]:[پیش دریافت به ازای هر کیلوگرم]],14,0)</f>
        <v>39600</v>
      </c>
      <c r="Q6" s="159">
        <f>IF(bargiri[[#This Row],[مبلغ ناخالص]]-(bargiri[[#This Row],[نرخ استهلاک]]*bargiri[[#This Row],[مقدار]])&lt;0,0,bargiri[[#This Row],[مبلغ ناخالص]]-(bargiri[[#This Row],[نرخ استهلاک]]*bargiri[[#This Row],[مقدار]]))</f>
        <v>1476948000</v>
      </c>
    </row>
    <row r="7" spans="1:25" s="22" customFormat="1" ht="13.8" x14ac:dyDescent="0.25">
      <c r="A7" s="22">
        <v>85</v>
      </c>
      <c r="B7" s="22" t="s">
        <v>1034</v>
      </c>
      <c r="C7" s="22" t="s">
        <v>1035</v>
      </c>
      <c r="D7" s="22" t="s">
        <v>35</v>
      </c>
      <c r="E7" s="158">
        <v>19870</v>
      </c>
      <c r="F7" s="159">
        <v>240000</v>
      </c>
      <c r="G7" s="159">
        <v>4768800000</v>
      </c>
      <c r="H7" s="159">
        <v>476880000</v>
      </c>
      <c r="I7" s="159">
        <v>5245680000</v>
      </c>
      <c r="J7" s="159">
        <f>bargiri[[#This Row],[مقدار]]*INDEX(invoice[پیش دریافت به ازای هر کیلوگرم],MATCH(bargiri[[#This Row],[شماره سند مبنا]],invoice[شماره پیش فاکتور],0))</f>
        <v>786852000</v>
      </c>
      <c r="K7" s="159">
        <f>bargiri[[#This Row],[مبلغ خالص]]-bargiri[[#This Row],[میزان استهلاک پیش دریافتی]]</f>
        <v>4458828000</v>
      </c>
      <c r="L7" s="160" t="s">
        <v>593</v>
      </c>
      <c r="M7" s="159" t="s">
        <v>593</v>
      </c>
      <c r="N7" s="159">
        <f>IF(bargiri[[#This Row],[مبلغ واریزی]]&lt;&gt;"",bargiri[[#This Row],[مانده مبلغ]]-bargiri[[#This Row],[مبلغ واریزی]],bargiri[[#This Row],[مانده مبلغ]])</f>
        <v>4458828000</v>
      </c>
      <c r="O7" s="159" t="s">
        <v>593</v>
      </c>
      <c r="P7" s="159">
        <f>VLOOKUP(bargiri[[#This Row],[شماره سند مبنا]],invoice[[شماره پیش فاکتور]:[پیش دریافت به ازای هر کیلوگرم]],14,0)</f>
        <v>39600</v>
      </c>
      <c r="Q7" s="159">
        <f>IF(bargiri[[#This Row],[مبلغ ناخالص]]-(bargiri[[#This Row],[نرخ استهلاک]]*bargiri[[#This Row],[مقدار]])&lt;0,0,bargiri[[#This Row],[مبلغ ناخالص]]-(bargiri[[#This Row],[نرخ استهلاک]]*bargiri[[#This Row],[مقدار]]))</f>
        <v>3981948000</v>
      </c>
    </row>
    <row r="8" spans="1:25" s="22" customFormat="1" ht="13.8" x14ac:dyDescent="0.25">
      <c r="A8" s="22">
        <v>84</v>
      </c>
      <c r="B8" s="22" t="s">
        <v>1036</v>
      </c>
      <c r="C8" s="22" t="s">
        <v>328</v>
      </c>
      <c r="D8" s="22" t="s">
        <v>67</v>
      </c>
      <c r="E8" s="158">
        <v>20120</v>
      </c>
      <c r="F8" s="159">
        <v>116500</v>
      </c>
      <c r="G8" s="159">
        <v>2343980000</v>
      </c>
      <c r="H8" s="159">
        <v>234398000</v>
      </c>
      <c r="I8" s="159">
        <v>2578378000</v>
      </c>
      <c r="J8" s="159">
        <f>bargiri[[#This Row],[مقدار]]*INDEX(invoice[پیش دریافت به ازای هر کیلوگرم],MATCH(bargiri[[#This Row],[شماره سند مبنا]],invoice[شماره پیش فاکتور],0))</f>
        <v>386756700</v>
      </c>
      <c r="K8" s="159">
        <f>bargiri[[#This Row],[مبلغ خالص]]-bargiri[[#This Row],[میزان استهلاک پیش دریافتی]]</f>
        <v>2191621300</v>
      </c>
      <c r="L8" s="160" t="s">
        <v>593</v>
      </c>
      <c r="M8" s="159" t="s">
        <v>593</v>
      </c>
      <c r="N8" s="159">
        <f>IF(bargiri[[#This Row],[مبلغ واریزی]]&lt;&gt;"",bargiri[[#This Row],[مانده مبلغ]]-bargiri[[#This Row],[مبلغ واریزی]],bargiri[[#This Row],[مانده مبلغ]])</f>
        <v>2191621300</v>
      </c>
      <c r="O8" s="159" t="s">
        <v>593</v>
      </c>
      <c r="P8" s="159">
        <f>VLOOKUP(bargiri[[#This Row],[شماره سند مبنا]],invoice[[شماره پیش فاکتور]:[پیش دریافت به ازای هر کیلوگرم]],14,0)</f>
        <v>19222.5</v>
      </c>
      <c r="Q8" s="159">
        <f>IF(bargiri[[#This Row],[مبلغ ناخالص]]-(bargiri[[#This Row],[نرخ استهلاک]]*bargiri[[#This Row],[مقدار]])&lt;0,0,bargiri[[#This Row],[مبلغ ناخالص]]-(bargiri[[#This Row],[نرخ استهلاک]]*bargiri[[#This Row],[مقدار]]))</f>
        <v>1957223300</v>
      </c>
    </row>
    <row r="9" spans="1:25" s="22" customFormat="1" ht="13.8" x14ac:dyDescent="0.25">
      <c r="A9" s="22">
        <v>83</v>
      </c>
      <c r="B9" s="22" t="s">
        <v>1037</v>
      </c>
      <c r="C9" s="22" t="s">
        <v>1038</v>
      </c>
      <c r="D9" s="22" t="s">
        <v>73</v>
      </c>
      <c r="E9" s="158">
        <v>20910</v>
      </c>
      <c r="F9" s="159">
        <v>123481</v>
      </c>
      <c r="G9" s="159">
        <v>2581987710</v>
      </c>
      <c r="H9" s="159">
        <v>258198771</v>
      </c>
      <c r="I9" s="159">
        <v>2840186481</v>
      </c>
      <c r="J9" s="159">
        <f>bargiri[[#This Row],[مقدار]]*INDEX(invoice[پیش دریافت به ازای هر کیلوگرم],MATCH(bargiri[[#This Row],[شماره سند مبنا]],invoice[شماره پیش فاکتور],0))</f>
        <v>1315239000</v>
      </c>
      <c r="K9" s="159">
        <f>bargiri[[#This Row],[مبلغ خالص]]-bargiri[[#This Row],[میزان استهلاک پیش دریافتی]]</f>
        <v>1524947481</v>
      </c>
      <c r="L9" s="160" t="s">
        <v>593</v>
      </c>
      <c r="M9" s="159" t="s">
        <v>593</v>
      </c>
      <c r="N9" s="159">
        <f>IF(bargiri[[#This Row],[مبلغ واریزی]]&lt;&gt;"",bargiri[[#This Row],[مانده مبلغ]]-bargiri[[#This Row],[مبلغ واریزی]],bargiri[[#This Row],[مانده مبلغ]])</f>
        <v>1524947481</v>
      </c>
      <c r="O9" s="159" t="s">
        <v>593</v>
      </c>
      <c r="P9" s="159">
        <f>VLOOKUP(bargiri[[#This Row],[شماره سند مبنا]],invoice[[شماره پیش فاکتور]:[پیش دریافت به ازای هر کیلوگرم]],14,0)</f>
        <v>62900</v>
      </c>
      <c r="Q9" s="159">
        <f>IF(bargiri[[#This Row],[مبلغ ناخالص]]-(bargiri[[#This Row],[نرخ استهلاک]]*bargiri[[#This Row],[مقدار]])&lt;0,0,bargiri[[#This Row],[مبلغ ناخالص]]-(bargiri[[#This Row],[نرخ استهلاک]]*bargiri[[#This Row],[مقدار]]))</f>
        <v>1266748710</v>
      </c>
    </row>
    <row r="10" spans="1:25" s="22" customFormat="1" ht="13.8" x14ac:dyDescent="0.25">
      <c r="A10" s="22">
        <v>82</v>
      </c>
      <c r="B10" s="22" t="s">
        <v>1037</v>
      </c>
      <c r="C10" s="22" t="s">
        <v>1038</v>
      </c>
      <c r="D10" s="22" t="s">
        <v>73</v>
      </c>
      <c r="E10" s="158">
        <v>20890</v>
      </c>
      <c r="F10" s="159">
        <v>123481</v>
      </c>
      <c r="G10" s="159">
        <v>2579518090</v>
      </c>
      <c r="H10" s="159">
        <v>257951809</v>
      </c>
      <c r="I10" s="159">
        <v>2837469899</v>
      </c>
      <c r="J10" s="159">
        <f>bargiri[[#This Row],[مقدار]]*INDEX(invoice[پیش دریافت به ازای هر کیلوگرم],MATCH(bargiri[[#This Row],[شماره سند مبنا]],invoice[شماره پیش فاکتور],0))</f>
        <v>1313981000</v>
      </c>
      <c r="K10" s="159">
        <f>bargiri[[#This Row],[مبلغ خالص]]-bargiri[[#This Row],[میزان استهلاک پیش دریافتی]]</f>
        <v>1523488899</v>
      </c>
      <c r="L10" s="160" t="s">
        <v>593</v>
      </c>
      <c r="M10" s="159" t="s">
        <v>593</v>
      </c>
      <c r="N10" s="159">
        <f>IF(bargiri[[#This Row],[مبلغ واریزی]]&lt;&gt;"",bargiri[[#This Row],[مانده مبلغ]]-bargiri[[#This Row],[مبلغ واریزی]],bargiri[[#This Row],[مانده مبلغ]])</f>
        <v>1523488899</v>
      </c>
      <c r="O10" s="159" t="s">
        <v>593</v>
      </c>
      <c r="P10" s="159">
        <f>VLOOKUP(bargiri[[#This Row],[شماره سند مبنا]],invoice[[شماره پیش فاکتور]:[پیش دریافت به ازای هر کیلوگرم]],14,0)</f>
        <v>62900</v>
      </c>
      <c r="Q10" s="159">
        <f>IF(bargiri[[#This Row],[مبلغ ناخالص]]-(bargiri[[#This Row],[نرخ استهلاک]]*bargiri[[#This Row],[مقدار]])&lt;0,0,bargiri[[#This Row],[مبلغ ناخالص]]-(bargiri[[#This Row],[نرخ استهلاک]]*bargiri[[#This Row],[مقدار]]))</f>
        <v>1265537090</v>
      </c>
    </row>
    <row r="11" spans="1:25" s="22" customFormat="1" ht="13.8" x14ac:dyDescent="0.25">
      <c r="A11" s="22">
        <v>81</v>
      </c>
      <c r="B11" s="22" t="s">
        <v>1039</v>
      </c>
      <c r="C11" s="22" t="s">
        <v>1038</v>
      </c>
      <c r="D11" s="22" t="s">
        <v>73</v>
      </c>
      <c r="E11" s="158">
        <v>20370</v>
      </c>
      <c r="F11" s="159">
        <v>123481</v>
      </c>
      <c r="G11" s="159">
        <v>2515307970</v>
      </c>
      <c r="H11" s="159">
        <v>251530797</v>
      </c>
      <c r="I11" s="159">
        <v>2766838767</v>
      </c>
      <c r="J11" s="159">
        <f>bargiri[[#This Row],[مقدار]]*INDEX(invoice[پیش دریافت به ازای هر کیلوگرم],MATCH(bargiri[[#This Row],[شماره سند مبنا]],invoice[شماره پیش فاکتور],0))</f>
        <v>1281273000</v>
      </c>
      <c r="K11" s="159">
        <f>bargiri[[#This Row],[مبلغ خالص]]-bargiri[[#This Row],[میزان استهلاک پیش دریافتی]]</f>
        <v>1485565767</v>
      </c>
      <c r="L11" s="160" t="s">
        <v>593</v>
      </c>
      <c r="M11" s="159" t="s">
        <v>593</v>
      </c>
      <c r="N11" s="159">
        <f>IF(bargiri[[#This Row],[مبلغ واریزی]]&lt;&gt;"",bargiri[[#This Row],[مانده مبلغ]]-bargiri[[#This Row],[مبلغ واریزی]],bargiri[[#This Row],[مانده مبلغ]])</f>
        <v>1485565767</v>
      </c>
      <c r="O11" s="159" t="s">
        <v>593</v>
      </c>
      <c r="P11" s="159">
        <f>VLOOKUP(bargiri[[#This Row],[شماره سند مبنا]],invoice[[شماره پیش فاکتور]:[پیش دریافت به ازای هر کیلوگرم]],14,0)</f>
        <v>62900</v>
      </c>
      <c r="Q11" s="159">
        <f>IF(bargiri[[#This Row],[مبلغ ناخالص]]-(bargiri[[#This Row],[نرخ استهلاک]]*bargiri[[#This Row],[مقدار]])&lt;0,0,bargiri[[#This Row],[مبلغ ناخالص]]-(bargiri[[#This Row],[نرخ استهلاک]]*bargiri[[#This Row],[مقدار]]))</f>
        <v>1234034970</v>
      </c>
    </row>
    <row r="12" spans="1:25" s="22" customFormat="1" ht="13.8" x14ac:dyDescent="0.25">
      <c r="A12" s="22">
        <v>80</v>
      </c>
      <c r="B12" s="22" t="s">
        <v>1039</v>
      </c>
      <c r="C12" s="22" t="s">
        <v>1038</v>
      </c>
      <c r="D12" s="22" t="s">
        <v>73</v>
      </c>
      <c r="E12" s="158">
        <v>20530</v>
      </c>
      <c r="F12" s="159">
        <v>123481</v>
      </c>
      <c r="G12" s="159">
        <v>2535064930</v>
      </c>
      <c r="H12" s="159">
        <v>253506493</v>
      </c>
      <c r="I12" s="159">
        <v>2788571423</v>
      </c>
      <c r="J12" s="159">
        <f>bargiri[[#This Row],[مقدار]]*INDEX(invoice[پیش دریافت به ازای هر کیلوگرم],MATCH(bargiri[[#This Row],[شماره سند مبنا]],invoice[شماره پیش فاکتور],0))</f>
        <v>1291337000</v>
      </c>
      <c r="K12" s="159">
        <f>bargiri[[#This Row],[مبلغ خالص]]-bargiri[[#This Row],[میزان استهلاک پیش دریافتی]]</f>
        <v>1497234423</v>
      </c>
      <c r="L12" s="160" t="s">
        <v>593</v>
      </c>
      <c r="M12" s="159" t="s">
        <v>593</v>
      </c>
      <c r="N12" s="159">
        <f>IF(bargiri[[#This Row],[مبلغ واریزی]]&lt;&gt;"",bargiri[[#This Row],[مانده مبلغ]]-bargiri[[#This Row],[مبلغ واریزی]],bargiri[[#This Row],[مانده مبلغ]])</f>
        <v>1497234423</v>
      </c>
      <c r="O12" s="159" t="s">
        <v>593</v>
      </c>
      <c r="P12" s="159">
        <f>VLOOKUP(bargiri[[#This Row],[شماره سند مبنا]],invoice[[شماره پیش فاکتور]:[پیش دریافت به ازای هر کیلوگرم]],14,0)</f>
        <v>62900</v>
      </c>
      <c r="Q12" s="159">
        <f>IF(bargiri[[#This Row],[مبلغ ناخالص]]-(bargiri[[#This Row],[نرخ استهلاک]]*bargiri[[#This Row],[مقدار]])&lt;0,0,bargiri[[#This Row],[مبلغ ناخالص]]-(bargiri[[#This Row],[نرخ استهلاک]]*bargiri[[#This Row],[مقدار]]))</f>
        <v>1243727930</v>
      </c>
    </row>
    <row r="13" spans="1:25" s="22" customFormat="1" ht="13.8" x14ac:dyDescent="0.25">
      <c r="A13" s="22">
        <v>79</v>
      </c>
      <c r="B13" s="22" t="s">
        <v>1039</v>
      </c>
      <c r="C13" s="22" t="s">
        <v>1038</v>
      </c>
      <c r="D13" s="22" t="s">
        <v>73</v>
      </c>
      <c r="E13" s="158">
        <v>20600</v>
      </c>
      <c r="F13" s="159">
        <v>123481</v>
      </c>
      <c r="G13" s="159">
        <v>2543708600</v>
      </c>
      <c r="H13" s="159">
        <v>254370860</v>
      </c>
      <c r="I13" s="159">
        <v>2798079460</v>
      </c>
      <c r="J13" s="159">
        <f>bargiri[[#This Row],[مقدار]]*INDEX(invoice[پیش دریافت به ازای هر کیلوگرم],MATCH(bargiri[[#This Row],[شماره سند مبنا]],invoice[شماره پیش فاکتور],0))</f>
        <v>1295740000</v>
      </c>
      <c r="K13" s="159">
        <f>bargiri[[#This Row],[مبلغ خالص]]-bargiri[[#This Row],[میزان استهلاک پیش دریافتی]]</f>
        <v>1502339460</v>
      </c>
      <c r="L13" s="160" t="s">
        <v>593</v>
      </c>
      <c r="M13" s="159" t="s">
        <v>593</v>
      </c>
      <c r="N13" s="159">
        <f>IF(bargiri[[#This Row],[مبلغ واریزی]]&lt;&gt;"",bargiri[[#This Row],[مانده مبلغ]]-bargiri[[#This Row],[مبلغ واریزی]],bargiri[[#This Row],[مانده مبلغ]])</f>
        <v>1502339460</v>
      </c>
      <c r="O13" s="159" t="s">
        <v>593</v>
      </c>
      <c r="P13" s="159">
        <f>VLOOKUP(bargiri[[#This Row],[شماره سند مبنا]],invoice[[شماره پیش فاکتور]:[پیش دریافت به ازای هر کیلوگرم]],14,0)</f>
        <v>62900</v>
      </c>
      <c r="Q13" s="159">
        <f>IF(bargiri[[#This Row],[مبلغ ناخالص]]-(bargiri[[#This Row],[نرخ استهلاک]]*bargiri[[#This Row],[مقدار]])&lt;0,0,bargiri[[#This Row],[مبلغ ناخالص]]-(bargiri[[#This Row],[نرخ استهلاک]]*bargiri[[#This Row],[مقدار]]))</f>
        <v>1247968600</v>
      </c>
    </row>
    <row r="14" spans="1:25" s="22" customFormat="1" ht="13.8" x14ac:dyDescent="0.25">
      <c r="A14" s="22">
        <v>78</v>
      </c>
      <c r="B14" s="22" t="s">
        <v>1039</v>
      </c>
      <c r="C14" s="22" t="s">
        <v>1038</v>
      </c>
      <c r="D14" s="22" t="s">
        <v>73</v>
      </c>
      <c r="E14" s="158">
        <v>20230</v>
      </c>
      <c r="F14" s="159">
        <v>123481</v>
      </c>
      <c r="G14" s="159">
        <v>2498020630</v>
      </c>
      <c r="H14" s="159">
        <v>249802063</v>
      </c>
      <c r="I14" s="159">
        <v>2747822693</v>
      </c>
      <c r="J14" s="159">
        <f>bargiri[[#This Row],[مقدار]]*INDEX(invoice[پیش دریافت به ازای هر کیلوگرم],MATCH(bargiri[[#This Row],[شماره سند مبنا]],invoice[شماره پیش فاکتور],0))</f>
        <v>1272467000</v>
      </c>
      <c r="K14" s="159">
        <f>bargiri[[#This Row],[مبلغ خالص]]-bargiri[[#This Row],[میزان استهلاک پیش دریافتی]]</f>
        <v>1475355693</v>
      </c>
      <c r="L14" s="160" t="s">
        <v>593</v>
      </c>
      <c r="M14" s="159" t="s">
        <v>593</v>
      </c>
      <c r="N14" s="159">
        <f>IF(bargiri[[#This Row],[مبلغ واریزی]]&lt;&gt;"",bargiri[[#This Row],[مانده مبلغ]]-bargiri[[#This Row],[مبلغ واریزی]],bargiri[[#This Row],[مانده مبلغ]])</f>
        <v>1475355693</v>
      </c>
      <c r="O14" s="159" t="s">
        <v>593</v>
      </c>
      <c r="P14" s="159">
        <f>VLOOKUP(bargiri[[#This Row],[شماره سند مبنا]],invoice[[شماره پیش فاکتور]:[پیش دریافت به ازای هر کیلوگرم]],14,0)</f>
        <v>62900</v>
      </c>
      <c r="Q14" s="159">
        <f>IF(bargiri[[#This Row],[مبلغ ناخالص]]-(bargiri[[#This Row],[نرخ استهلاک]]*bargiri[[#This Row],[مقدار]])&lt;0,0,bargiri[[#This Row],[مبلغ ناخالص]]-(bargiri[[#This Row],[نرخ استهلاک]]*bargiri[[#This Row],[مقدار]]))</f>
        <v>1225553630</v>
      </c>
    </row>
    <row r="15" spans="1:25" s="22" customFormat="1" ht="13.8" x14ac:dyDescent="0.25">
      <c r="A15" s="22">
        <v>977</v>
      </c>
      <c r="B15" s="22" t="s">
        <v>999</v>
      </c>
      <c r="C15" s="22" t="s">
        <v>896</v>
      </c>
      <c r="D15" s="22" t="s">
        <v>73</v>
      </c>
      <c r="E15" s="158">
        <v>122750</v>
      </c>
      <c r="F15" s="159">
        <v>128980</v>
      </c>
      <c r="G15" s="159"/>
      <c r="H15" s="159"/>
      <c r="I15" s="159"/>
      <c r="J15" s="159">
        <f>bargiri[[#This Row],[مقدار]]*INDEX(invoice[پیش دریافت به ازای هر کیلوگرم],MATCH(bargiri[[#This Row],[شماره سند مبنا]],invoice[شماره پیش فاکتور],0))</f>
        <v>8575065154.8672571</v>
      </c>
      <c r="K15" s="159">
        <f>bargiri[[#This Row],[مبلغ خالص]]-bargiri[[#This Row],[میزان استهلاک پیش دریافتی]]</f>
        <v>-8575065154.8672571</v>
      </c>
      <c r="L15" s="160" t="s">
        <v>593</v>
      </c>
      <c r="M15" s="159" t="s">
        <v>593</v>
      </c>
      <c r="N15" s="159">
        <f>IF(bargiri[[#This Row],[مبلغ واریزی]]&lt;&gt;"",bargiri[[#This Row],[مانده مبلغ]]-bargiri[[#This Row],[مبلغ واریزی]],bargiri[[#This Row],[مانده مبلغ]])</f>
        <v>-8575065154.8672571</v>
      </c>
      <c r="O15" s="159" t="s">
        <v>593</v>
      </c>
      <c r="P15" s="159">
        <f>VLOOKUP(bargiri[[#This Row],[شماره سند مبنا]],invoice[[شماره پیش فاکتور]:[پیش دریافت به ازای هر کیلوگرم]],14,0)</f>
        <v>69857.964601769912</v>
      </c>
      <c r="Q15" s="159">
        <f>IF(bargiri[[#This Row],[مبلغ ناخالص]]-(bargiri[[#This Row],[نرخ استهلاک]]*bargiri[[#This Row],[مقدار]])&lt;0,0,bargiri[[#This Row],[مبلغ ناخالص]]-(bargiri[[#This Row],[نرخ استهلاک]]*bargiri[[#This Row],[مقدار]]))</f>
        <v>0</v>
      </c>
    </row>
    <row r="16" spans="1:25" s="22" customFormat="1" ht="13.8" x14ac:dyDescent="0.25">
      <c r="A16" s="22">
        <v>77</v>
      </c>
      <c r="B16" s="22" t="s">
        <v>1040</v>
      </c>
      <c r="C16" s="22" t="s">
        <v>1038</v>
      </c>
      <c r="D16" s="22" t="s">
        <v>73</v>
      </c>
      <c r="E16" s="158">
        <v>21110</v>
      </c>
      <c r="F16" s="159">
        <v>123481</v>
      </c>
      <c r="G16" s="159">
        <v>2606683910</v>
      </c>
      <c r="H16" s="159">
        <v>260668391</v>
      </c>
      <c r="I16" s="159">
        <v>2867352301</v>
      </c>
      <c r="J16" s="159">
        <f>bargiri[[#This Row],[مقدار]]*INDEX(invoice[پیش دریافت به ازای هر کیلوگرم],MATCH(bargiri[[#This Row],[شماره سند مبنا]],invoice[شماره پیش فاکتور],0))</f>
        <v>1327819000</v>
      </c>
      <c r="K16" s="159">
        <f>bargiri[[#This Row],[مبلغ خالص]]-bargiri[[#This Row],[میزان استهلاک پیش دریافتی]]</f>
        <v>1539533301</v>
      </c>
      <c r="L16" s="160" t="s">
        <v>593</v>
      </c>
      <c r="M16" s="159" t="s">
        <v>593</v>
      </c>
      <c r="N16" s="159">
        <f>IF(bargiri[[#This Row],[مبلغ واریزی]]&lt;&gt;"",bargiri[[#This Row],[مانده مبلغ]]-bargiri[[#This Row],[مبلغ واریزی]],bargiri[[#This Row],[مانده مبلغ]])</f>
        <v>1539533301</v>
      </c>
      <c r="O16" s="159" t="s">
        <v>593</v>
      </c>
      <c r="P16" s="159">
        <f>VLOOKUP(bargiri[[#This Row],[شماره سند مبنا]],invoice[[شماره پیش فاکتور]:[پیش دریافت به ازای هر کیلوگرم]],14,0)</f>
        <v>62900</v>
      </c>
      <c r="Q16" s="159">
        <f>IF(bargiri[[#This Row],[مبلغ ناخالص]]-(bargiri[[#This Row],[نرخ استهلاک]]*bargiri[[#This Row],[مقدار]])&lt;0,0,bargiri[[#This Row],[مبلغ ناخالص]]-(bargiri[[#This Row],[نرخ استهلاک]]*bargiri[[#This Row],[مقدار]]))</f>
        <v>1278864910</v>
      </c>
    </row>
    <row r="17" spans="1:17" s="22" customFormat="1" ht="13.8" x14ac:dyDescent="0.25">
      <c r="A17" s="22">
        <v>76</v>
      </c>
      <c r="B17" s="22" t="s">
        <v>1040</v>
      </c>
      <c r="C17" s="22" t="s">
        <v>1038</v>
      </c>
      <c r="D17" s="22" t="s">
        <v>73</v>
      </c>
      <c r="E17" s="158">
        <v>21030</v>
      </c>
      <c r="F17" s="159">
        <v>123481</v>
      </c>
      <c r="G17" s="159">
        <v>2596805430</v>
      </c>
      <c r="H17" s="159">
        <v>259680543</v>
      </c>
      <c r="I17" s="159">
        <v>2856485973</v>
      </c>
      <c r="J17" s="159">
        <f>bargiri[[#This Row],[مقدار]]*INDEX(invoice[پیش دریافت به ازای هر کیلوگرم],MATCH(bargiri[[#This Row],[شماره سند مبنا]],invoice[شماره پیش فاکتور],0))</f>
        <v>1322787000</v>
      </c>
      <c r="K17" s="159">
        <f>bargiri[[#This Row],[مبلغ خالص]]-bargiri[[#This Row],[میزان استهلاک پیش دریافتی]]</f>
        <v>1533698973</v>
      </c>
      <c r="L17" s="160" t="s">
        <v>593</v>
      </c>
      <c r="M17" s="159" t="s">
        <v>593</v>
      </c>
      <c r="N17" s="159">
        <f>IF(bargiri[[#This Row],[مبلغ واریزی]]&lt;&gt;"",bargiri[[#This Row],[مانده مبلغ]]-bargiri[[#This Row],[مبلغ واریزی]],bargiri[[#This Row],[مانده مبلغ]])</f>
        <v>1533698973</v>
      </c>
      <c r="O17" s="159" t="s">
        <v>593</v>
      </c>
      <c r="P17" s="159">
        <f>VLOOKUP(bargiri[[#This Row],[شماره سند مبنا]],invoice[[شماره پیش فاکتور]:[پیش دریافت به ازای هر کیلوگرم]],14,0)</f>
        <v>62900</v>
      </c>
      <c r="Q17" s="159">
        <f>IF(bargiri[[#This Row],[مبلغ ناخالص]]-(bargiri[[#This Row],[نرخ استهلاک]]*bargiri[[#This Row],[مقدار]])&lt;0,0,bargiri[[#This Row],[مبلغ ناخالص]]-(bargiri[[#This Row],[نرخ استهلاک]]*bargiri[[#This Row],[مقدار]]))</f>
        <v>1274018430</v>
      </c>
    </row>
    <row r="18" spans="1:17" s="22" customFormat="1" ht="13.8" x14ac:dyDescent="0.25">
      <c r="A18" s="22">
        <v>75</v>
      </c>
      <c r="B18" s="22" t="s">
        <v>1041</v>
      </c>
      <c r="C18" s="22" t="s">
        <v>1038</v>
      </c>
      <c r="D18" s="22" t="s">
        <v>73</v>
      </c>
      <c r="E18" s="158">
        <v>20960</v>
      </c>
      <c r="F18" s="159">
        <v>123481</v>
      </c>
      <c r="G18" s="159">
        <v>2588161760</v>
      </c>
      <c r="H18" s="159">
        <v>258816176</v>
      </c>
      <c r="I18" s="159">
        <v>2846977936</v>
      </c>
      <c r="J18" s="159">
        <f>bargiri[[#This Row],[مقدار]]*INDEX(invoice[پیش دریافت به ازای هر کیلوگرم],MATCH(bargiri[[#This Row],[شماره سند مبنا]],invoice[شماره پیش فاکتور],0))</f>
        <v>1318384000</v>
      </c>
      <c r="K18" s="159">
        <f>bargiri[[#This Row],[مبلغ خالص]]-bargiri[[#This Row],[میزان استهلاک پیش دریافتی]]</f>
        <v>1528593936</v>
      </c>
      <c r="L18" s="160" t="s">
        <v>593</v>
      </c>
      <c r="M18" s="159" t="s">
        <v>593</v>
      </c>
      <c r="N18" s="159">
        <f>IF(bargiri[[#This Row],[مبلغ واریزی]]&lt;&gt;"",bargiri[[#This Row],[مانده مبلغ]]-bargiri[[#This Row],[مبلغ واریزی]],bargiri[[#This Row],[مانده مبلغ]])</f>
        <v>1528593936</v>
      </c>
      <c r="O18" s="159" t="s">
        <v>593</v>
      </c>
      <c r="P18" s="159">
        <f>VLOOKUP(bargiri[[#This Row],[شماره سند مبنا]],invoice[[شماره پیش فاکتور]:[پیش دریافت به ازای هر کیلوگرم]],14,0)</f>
        <v>62900</v>
      </c>
      <c r="Q18" s="159">
        <f>IF(bargiri[[#This Row],[مبلغ ناخالص]]-(bargiri[[#This Row],[نرخ استهلاک]]*bargiri[[#This Row],[مقدار]])&lt;0,0,bargiri[[#This Row],[مبلغ ناخالص]]-(bargiri[[#This Row],[نرخ استهلاک]]*bargiri[[#This Row],[مقدار]]))</f>
        <v>1269777760</v>
      </c>
    </row>
    <row r="19" spans="1:17" s="22" customFormat="1" ht="13.8" x14ac:dyDescent="0.25">
      <c r="A19" s="22">
        <v>74</v>
      </c>
      <c r="B19" s="22" t="s">
        <v>1041</v>
      </c>
      <c r="C19" s="22" t="s">
        <v>1038</v>
      </c>
      <c r="D19" s="22" t="s">
        <v>73</v>
      </c>
      <c r="E19" s="158">
        <v>21080</v>
      </c>
      <c r="F19" s="159">
        <v>123481</v>
      </c>
      <c r="G19" s="159">
        <v>2602979480</v>
      </c>
      <c r="H19" s="159">
        <v>260297948</v>
      </c>
      <c r="I19" s="159">
        <v>2863277428</v>
      </c>
      <c r="J19" s="159">
        <f>bargiri[[#This Row],[مقدار]]*INDEX(invoice[پیش دریافت به ازای هر کیلوگرم],MATCH(bargiri[[#This Row],[شماره سند مبنا]],invoice[شماره پیش فاکتور],0))</f>
        <v>1325932000</v>
      </c>
      <c r="K19" s="159">
        <f>bargiri[[#This Row],[مبلغ خالص]]-bargiri[[#This Row],[میزان استهلاک پیش دریافتی]]</f>
        <v>1537345428</v>
      </c>
      <c r="L19" s="160" t="s">
        <v>593</v>
      </c>
      <c r="M19" s="159" t="s">
        <v>593</v>
      </c>
      <c r="N19" s="159">
        <f>IF(bargiri[[#This Row],[مبلغ واریزی]]&lt;&gt;"",bargiri[[#This Row],[مانده مبلغ]]-bargiri[[#This Row],[مبلغ واریزی]],bargiri[[#This Row],[مانده مبلغ]])</f>
        <v>1537345428</v>
      </c>
      <c r="O19" s="159" t="s">
        <v>593</v>
      </c>
      <c r="P19" s="159">
        <f>VLOOKUP(bargiri[[#This Row],[شماره سند مبنا]],invoice[[شماره پیش فاکتور]:[پیش دریافت به ازای هر کیلوگرم]],14,0)</f>
        <v>62900</v>
      </c>
      <c r="Q19" s="159">
        <f>IF(bargiri[[#This Row],[مبلغ ناخالص]]-(bargiri[[#This Row],[نرخ استهلاک]]*bargiri[[#This Row],[مقدار]])&lt;0,0,bargiri[[#This Row],[مبلغ ناخالص]]-(bargiri[[#This Row],[نرخ استهلاک]]*bargiri[[#This Row],[مقدار]]))</f>
        <v>1277047480</v>
      </c>
    </row>
    <row r="20" spans="1:17" s="22" customFormat="1" ht="13.8" x14ac:dyDescent="0.25">
      <c r="A20" s="22">
        <v>73</v>
      </c>
      <c r="B20" s="22" t="s">
        <v>1041</v>
      </c>
      <c r="C20" s="22" t="s">
        <v>1038</v>
      </c>
      <c r="D20" s="22" t="s">
        <v>73</v>
      </c>
      <c r="E20" s="158">
        <v>20940</v>
      </c>
      <c r="F20" s="159">
        <v>123481</v>
      </c>
      <c r="G20" s="159">
        <v>2585692140</v>
      </c>
      <c r="H20" s="159">
        <v>258569214</v>
      </c>
      <c r="I20" s="159">
        <v>2844261354</v>
      </c>
      <c r="J20" s="159">
        <f>bargiri[[#This Row],[مقدار]]*INDEX(invoice[پیش دریافت به ازای هر کیلوگرم],MATCH(bargiri[[#This Row],[شماره سند مبنا]],invoice[شماره پیش فاکتور],0))</f>
        <v>1317126000</v>
      </c>
      <c r="K20" s="159">
        <f>bargiri[[#This Row],[مبلغ خالص]]-bargiri[[#This Row],[میزان استهلاک پیش دریافتی]]</f>
        <v>1527135354</v>
      </c>
      <c r="L20" s="160" t="s">
        <v>593</v>
      </c>
      <c r="M20" s="159" t="s">
        <v>593</v>
      </c>
      <c r="N20" s="159">
        <f>IF(bargiri[[#This Row],[مبلغ واریزی]]&lt;&gt;"",bargiri[[#This Row],[مانده مبلغ]]-bargiri[[#This Row],[مبلغ واریزی]],bargiri[[#This Row],[مانده مبلغ]])</f>
        <v>1527135354</v>
      </c>
      <c r="O20" s="159" t="s">
        <v>593</v>
      </c>
      <c r="P20" s="159">
        <f>VLOOKUP(bargiri[[#This Row],[شماره سند مبنا]],invoice[[شماره پیش فاکتور]:[پیش دریافت به ازای هر کیلوگرم]],14,0)</f>
        <v>62900</v>
      </c>
      <c r="Q20" s="159">
        <f>IF(bargiri[[#This Row],[مبلغ ناخالص]]-(bargiri[[#This Row],[نرخ استهلاک]]*bargiri[[#This Row],[مقدار]])&lt;0,0,bargiri[[#This Row],[مبلغ ناخالص]]-(bargiri[[#This Row],[نرخ استهلاک]]*bargiri[[#This Row],[مقدار]]))</f>
        <v>1268566140</v>
      </c>
    </row>
    <row r="21" spans="1:17" s="22" customFormat="1" ht="13.8" x14ac:dyDescent="0.25">
      <c r="A21" s="22">
        <v>72</v>
      </c>
      <c r="B21" s="22" t="s">
        <v>1041</v>
      </c>
      <c r="C21" s="22" t="s">
        <v>1038</v>
      </c>
      <c r="D21" s="22" t="s">
        <v>73</v>
      </c>
      <c r="E21" s="158">
        <v>21100</v>
      </c>
      <c r="F21" s="159">
        <v>123481</v>
      </c>
      <c r="G21" s="159">
        <v>2605449100</v>
      </c>
      <c r="H21" s="159">
        <v>260544910</v>
      </c>
      <c r="I21" s="159">
        <v>2865994010</v>
      </c>
      <c r="J21" s="159">
        <f>bargiri[[#This Row],[مقدار]]*INDEX(invoice[پیش دریافت به ازای هر کیلوگرم],MATCH(bargiri[[#This Row],[شماره سند مبنا]],invoice[شماره پیش فاکتور],0))</f>
        <v>1327190000</v>
      </c>
      <c r="K21" s="159">
        <f>bargiri[[#This Row],[مبلغ خالص]]-bargiri[[#This Row],[میزان استهلاک پیش دریافتی]]</f>
        <v>1538804010</v>
      </c>
      <c r="L21" s="160" t="s">
        <v>593</v>
      </c>
      <c r="M21" s="159" t="s">
        <v>593</v>
      </c>
      <c r="N21" s="159">
        <f>IF(bargiri[[#This Row],[مبلغ واریزی]]&lt;&gt;"",bargiri[[#This Row],[مانده مبلغ]]-bargiri[[#This Row],[مبلغ واریزی]],bargiri[[#This Row],[مانده مبلغ]])</f>
        <v>1538804010</v>
      </c>
      <c r="O21" s="159" t="s">
        <v>593</v>
      </c>
      <c r="P21" s="159">
        <f>VLOOKUP(bargiri[[#This Row],[شماره سند مبنا]],invoice[[شماره پیش فاکتور]:[پیش دریافت به ازای هر کیلوگرم]],14,0)</f>
        <v>62900</v>
      </c>
      <c r="Q21" s="159">
        <f>IF(bargiri[[#This Row],[مبلغ ناخالص]]-(bargiri[[#This Row],[نرخ استهلاک]]*bargiri[[#This Row],[مقدار]])&lt;0,0,bargiri[[#This Row],[مبلغ ناخالص]]-(bargiri[[#This Row],[نرخ استهلاک]]*bargiri[[#This Row],[مقدار]]))</f>
        <v>1278259100</v>
      </c>
    </row>
    <row r="22" spans="1:17" s="22" customFormat="1" ht="13.8" x14ac:dyDescent="0.25">
      <c r="A22" s="22">
        <v>71</v>
      </c>
      <c r="B22" s="22" t="s">
        <v>1041</v>
      </c>
      <c r="C22" s="22" t="s">
        <v>1038</v>
      </c>
      <c r="D22" s="22" t="s">
        <v>73</v>
      </c>
      <c r="E22" s="158">
        <v>21210</v>
      </c>
      <c r="F22" s="159">
        <v>123481</v>
      </c>
      <c r="G22" s="159">
        <v>2619032010</v>
      </c>
      <c r="H22" s="159">
        <v>261903201</v>
      </c>
      <c r="I22" s="159">
        <v>2880935211</v>
      </c>
      <c r="J22" s="159">
        <f>bargiri[[#This Row],[مقدار]]*INDEX(invoice[پیش دریافت به ازای هر کیلوگرم],MATCH(bargiri[[#This Row],[شماره سند مبنا]],invoice[شماره پیش فاکتور],0))</f>
        <v>1334109000</v>
      </c>
      <c r="K22" s="159">
        <f>bargiri[[#This Row],[مبلغ خالص]]-bargiri[[#This Row],[میزان استهلاک پیش دریافتی]]</f>
        <v>1546826211</v>
      </c>
      <c r="L22" s="160" t="s">
        <v>593</v>
      </c>
      <c r="M22" s="159" t="s">
        <v>593</v>
      </c>
      <c r="N22" s="159">
        <f>IF(bargiri[[#This Row],[مبلغ واریزی]]&lt;&gt;"",bargiri[[#This Row],[مانده مبلغ]]-bargiri[[#This Row],[مبلغ واریزی]],bargiri[[#This Row],[مانده مبلغ]])</f>
        <v>1546826211</v>
      </c>
      <c r="O22" s="159" t="s">
        <v>593</v>
      </c>
      <c r="P22" s="159">
        <f>VLOOKUP(bargiri[[#This Row],[شماره سند مبنا]],invoice[[شماره پیش فاکتور]:[پیش دریافت به ازای هر کیلوگرم]],14,0)</f>
        <v>62900</v>
      </c>
      <c r="Q22" s="159">
        <f>IF(bargiri[[#This Row],[مبلغ ناخالص]]-(bargiri[[#This Row],[نرخ استهلاک]]*bargiri[[#This Row],[مقدار]])&lt;0,0,bargiri[[#This Row],[مبلغ ناخالص]]-(bargiri[[#This Row],[نرخ استهلاک]]*bargiri[[#This Row],[مقدار]]))</f>
        <v>1284923010</v>
      </c>
    </row>
    <row r="23" spans="1:17" s="22" customFormat="1" ht="13.8" x14ac:dyDescent="0.25">
      <c r="A23" s="22">
        <v>70</v>
      </c>
      <c r="B23" s="22" t="s">
        <v>989</v>
      </c>
      <c r="C23" s="22" t="s">
        <v>1038</v>
      </c>
      <c r="D23" s="22" t="s">
        <v>73</v>
      </c>
      <c r="E23" s="158">
        <v>21010</v>
      </c>
      <c r="F23" s="159">
        <v>123481</v>
      </c>
      <c r="G23" s="159">
        <v>2594335810</v>
      </c>
      <c r="H23" s="159">
        <v>259433581</v>
      </c>
      <c r="I23" s="159">
        <v>2853769391</v>
      </c>
      <c r="J23" s="159">
        <f>bargiri[[#This Row],[مقدار]]*INDEX(invoice[پیش دریافت به ازای هر کیلوگرم],MATCH(bargiri[[#This Row],[شماره سند مبنا]],invoice[شماره پیش فاکتور],0))</f>
        <v>1321529000</v>
      </c>
      <c r="K23" s="159">
        <f>bargiri[[#This Row],[مبلغ خالص]]-bargiri[[#This Row],[میزان استهلاک پیش دریافتی]]</f>
        <v>1532240391</v>
      </c>
      <c r="L23" s="160" t="s">
        <v>593</v>
      </c>
      <c r="M23" s="159" t="s">
        <v>593</v>
      </c>
      <c r="N23" s="159">
        <f>IF(bargiri[[#This Row],[مبلغ واریزی]]&lt;&gt;"",bargiri[[#This Row],[مانده مبلغ]]-bargiri[[#This Row],[مبلغ واریزی]],bargiri[[#This Row],[مانده مبلغ]])</f>
        <v>1532240391</v>
      </c>
      <c r="O23" s="159" t="s">
        <v>593</v>
      </c>
      <c r="P23" s="159">
        <f>VLOOKUP(bargiri[[#This Row],[شماره سند مبنا]],invoice[[شماره پیش فاکتور]:[پیش دریافت به ازای هر کیلوگرم]],14,0)</f>
        <v>62900</v>
      </c>
      <c r="Q23" s="159">
        <f>IF(bargiri[[#This Row],[مبلغ ناخالص]]-(bargiri[[#This Row],[نرخ استهلاک]]*bargiri[[#This Row],[مقدار]])&lt;0,0,bargiri[[#This Row],[مبلغ ناخالص]]-(bargiri[[#This Row],[نرخ استهلاک]]*bargiri[[#This Row],[مقدار]]))</f>
        <v>1272806810</v>
      </c>
    </row>
    <row r="24" spans="1:17" s="22" customFormat="1" ht="13.8" x14ac:dyDescent="0.25">
      <c r="A24" s="22">
        <v>69</v>
      </c>
      <c r="B24" s="22" t="s">
        <v>989</v>
      </c>
      <c r="C24" s="22" t="s">
        <v>1038</v>
      </c>
      <c r="D24" s="22" t="s">
        <v>73</v>
      </c>
      <c r="E24" s="158">
        <v>20680</v>
      </c>
      <c r="F24" s="159">
        <v>123481</v>
      </c>
      <c r="G24" s="159">
        <v>2553587080</v>
      </c>
      <c r="H24" s="159">
        <v>255358708</v>
      </c>
      <c r="I24" s="159">
        <v>2808945788</v>
      </c>
      <c r="J24" s="159">
        <f>bargiri[[#This Row],[مقدار]]*INDEX(invoice[پیش دریافت به ازای هر کیلوگرم],MATCH(bargiri[[#This Row],[شماره سند مبنا]],invoice[شماره پیش فاکتور],0))</f>
        <v>1300772000</v>
      </c>
      <c r="K24" s="159">
        <f>bargiri[[#This Row],[مبلغ خالص]]-bargiri[[#This Row],[میزان استهلاک پیش دریافتی]]</f>
        <v>1508173788</v>
      </c>
      <c r="L24" s="160" t="s">
        <v>593</v>
      </c>
      <c r="M24" s="159" t="s">
        <v>593</v>
      </c>
      <c r="N24" s="159">
        <f>IF(bargiri[[#This Row],[مبلغ واریزی]]&lt;&gt;"",bargiri[[#This Row],[مانده مبلغ]]-bargiri[[#This Row],[مبلغ واریزی]],bargiri[[#This Row],[مانده مبلغ]])</f>
        <v>1508173788</v>
      </c>
      <c r="O24" s="159" t="s">
        <v>593</v>
      </c>
      <c r="P24" s="159">
        <f>VLOOKUP(bargiri[[#This Row],[شماره سند مبنا]],invoice[[شماره پیش فاکتور]:[پیش دریافت به ازای هر کیلوگرم]],14,0)</f>
        <v>62900</v>
      </c>
      <c r="Q24" s="159">
        <f>IF(bargiri[[#This Row],[مبلغ ناخالص]]-(bargiri[[#This Row],[نرخ استهلاک]]*bargiri[[#This Row],[مقدار]])&lt;0,0,bargiri[[#This Row],[مبلغ ناخالص]]-(bargiri[[#This Row],[نرخ استهلاک]]*bargiri[[#This Row],[مقدار]]))</f>
        <v>1252815080</v>
      </c>
    </row>
    <row r="25" spans="1:17" s="22" customFormat="1" ht="13.8" x14ac:dyDescent="0.25">
      <c r="A25" s="22">
        <v>68</v>
      </c>
      <c r="B25" s="22" t="s">
        <v>989</v>
      </c>
      <c r="C25" s="22" t="s">
        <v>1038</v>
      </c>
      <c r="D25" s="22" t="s">
        <v>73</v>
      </c>
      <c r="E25" s="158">
        <v>21040</v>
      </c>
      <c r="F25" s="159">
        <v>123481</v>
      </c>
      <c r="G25" s="159">
        <v>2598040240</v>
      </c>
      <c r="H25" s="159">
        <v>259804024</v>
      </c>
      <c r="I25" s="159">
        <v>2857844264</v>
      </c>
      <c r="J25" s="159">
        <f>bargiri[[#This Row],[مقدار]]*INDEX(invoice[پیش دریافت به ازای هر کیلوگرم],MATCH(bargiri[[#This Row],[شماره سند مبنا]],invoice[شماره پیش فاکتور],0))</f>
        <v>1323416000</v>
      </c>
      <c r="K25" s="159">
        <f>bargiri[[#This Row],[مبلغ خالص]]-bargiri[[#This Row],[میزان استهلاک پیش دریافتی]]</f>
        <v>1534428264</v>
      </c>
      <c r="L25" s="160" t="s">
        <v>593</v>
      </c>
      <c r="M25" s="159" t="s">
        <v>593</v>
      </c>
      <c r="N25" s="159">
        <f>IF(bargiri[[#This Row],[مبلغ واریزی]]&lt;&gt;"",bargiri[[#This Row],[مانده مبلغ]]-bargiri[[#This Row],[مبلغ واریزی]],bargiri[[#This Row],[مانده مبلغ]])</f>
        <v>1534428264</v>
      </c>
      <c r="O25" s="159" t="s">
        <v>593</v>
      </c>
      <c r="P25" s="159">
        <f>VLOOKUP(bargiri[[#This Row],[شماره سند مبنا]],invoice[[شماره پیش فاکتور]:[پیش دریافت به ازای هر کیلوگرم]],14,0)</f>
        <v>62900</v>
      </c>
      <c r="Q25" s="159">
        <f>IF(bargiri[[#This Row],[مبلغ ناخالص]]-(bargiri[[#This Row],[نرخ استهلاک]]*bargiri[[#This Row],[مقدار]])&lt;0,0,bargiri[[#This Row],[مبلغ ناخالص]]-(bargiri[[#This Row],[نرخ استهلاک]]*bargiri[[#This Row],[مقدار]]))</f>
        <v>1274624240</v>
      </c>
    </row>
    <row r="26" spans="1:17" s="22" customFormat="1" ht="13.8" x14ac:dyDescent="0.25">
      <c r="A26" s="22">
        <v>67</v>
      </c>
      <c r="B26" s="22" t="s">
        <v>990</v>
      </c>
      <c r="C26" s="22" t="s">
        <v>1038</v>
      </c>
      <c r="D26" s="22" t="s">
        <v>73</v>
      </c>
      <c r="E26" s="158">
        <v>21000</v>
      </c>
      <c r="F26" s="159">
        <v>123481</v>
      </c>
      <c r="G26" s="159">
        <v>2593101000</v>
      </c>
      <c r="H26" s="159">
        <v>259310100</v>
      </c>
      <c r="I26" s="159">
        <v>2852411100</v>
      </c>
      <c r="J26" s="159">
        <f>bargiri[[#This Row],[مقدار]]*INDEX(invoice[پیش دریافت به ازای هر کیلوگرم],MATCH(bargiri[[#This Row],[شماره سند مبنا]],invoice[شماره پیش فاکتور],0))</f>
        <v>1320900000</v>
      </c>
      <c r="K26" s="159">
        <f>bargiri[[#This Row],[مبلغ خالص]]-bargiri[[#This Row],[میزان استهلاک پیش دریافتی]]</f>
        <v>1531511100</v>
      </c>
      <c r="L26" s="160" t="s">
        <v>593</v>
      </c>
      <c r="M26" s="159" t="s">
        <v>593</v>
      </c>
      <c r="N26" s="159">
        <f>IF(bargiri[[#This Row],[مبلغ واریزی]]&lt;&gt;"",bargiri[[#This Row],[مانده مبلغ]]-bargiri[[#This Row],[مبلغ واریزی]],bargiri[[#This Row],[مانده مبلغ]])</f>
        <v>1531511100</v>
      </c>
      <c r="O26" s="159" t="s">
        <v>593</v>
      </c>
      <c r="P26" s="159">
        <f>VLOOKUP(bargiri[[#This Row],[شماره سند مبنا]],invoice[[شماره پیش فاکتور]:[پیش دریافت به ازای هر کیلوگرم]],14,0)</f>
        <v>62900</v>
      </c>
      <c r="Q26" s="159">
        <f>IF(bargiri[[#This Row],[مبلغ ناخالص]]-(bargiri[[#This Row],[نرخ استهلاک]]*bargiri[[#This Row],[مقدار]])&lt;0,0,bargiri[[#This Row],[مبلغ ناخالص]]-(bargiri[[#This Row],[نرخ استهلاک]]*bargiri[[#This Row],[مقدار]]))</f>
        <v>1272201000</v>
      </c>
    </row>
    <row r="27" spans="1:17" s="22" customFormat="1" ht="13.8" x14ac:dyDescent="0.25">
      <c r="A27" s="22">
        <v>66</v>
      </c>
      <c r="B27" s="22" t="s">
        <v>994</v>
      </c>
      <c r="C27" s="22" t="s">
        <v>1038</v>
      </c>
      <c r="D27" s="22" t="s">
        <v>73</v>
      </c>
      <c r="E27" s="158">
        <v>20660</v>
      </c>
      <c r="F27" s="159">
        <v>123481</v>
      </c>
      <c r="G27" s="159">
        <v>2551117460</v>
      </c>
      <c r="H27" s="159">
        <v>255111746</v>
      </c>
      <c r="I27" s="159">
        <v>2806229206</v>
      </c>
      <c r="J27" s="159">
        <f>bargiri[[#This Row],[مقدار]]*INDEX(invoice[پیش دریافت به ازای هر کیلوگرم],MATCH(bargiri[[#This Row],[شماره سند مبنا]],invoice[شماره پیش فاکتور],0))</f>
        <v>1299514000</v>
      </c>
      <c r="K27" s="159">
        <f>bargiri[[#This Row],[مبلغ خالص]]-bargiri[[#This Row],[میزان استهلاک پیش دریافتی]]</f>
        <v>1506715206</v>
      </c>
      <c r="L27" s="160" t="s">
        <v>593</v>
      </c>
      <c r="M27" s="159" t="s">
        <v>593</v>
      </c>
      <c r="N27" s="159">
        <f>IF(bargiri[[#This Row],[مبلغ واریزی]]&lt;&gt;"",bargiri[[#This Row],[مانده مبلغ]]-bargiri[[#This Row],[مبلغ واریزی]],bargiri[[#This Row],[مانده مبلغ]])</f>
        <v>1506715206</v>
      </c>
      <c r="O27" s="159" t="s">
        <v>593</v>
      </c>
      <c r="P27" s="159">
        <f>VLOOKUP(bargiri[[#This Row],[شماره سند مبنا]],invoice[[شماره پیش فاکتور]:[پیش دریافت به ازای هر کیلوگرم]],14,0)</f>
        <v>62900</v>
      </c>
      <c r="Q27" s="159">
        <f>IF(bargiri[[#This Row],[مبلغ ناخالص]]-(bargiri[[#This Row],[نرخ استهلاک]]*bargiri[[#This Row],[مقدار]])&lt;0,0,bargiri[[#This Row],[مبلغ ناخالص]]-(bargiri[[#This Row],[نرخ استهلاک]]*bargiri[[#This Row],[مقدار]]))</f>
        <v>1251603460</v>
      </c>
    </row>
    <row r="28" spans="1:17" s="22" customFormat="1" ht="13.8" x14ac:dyDescent="0.25">
      <c r="A28" s="22">
        <v>65</v>
      </c>
      <c r="B28" s="22" t="s">
        <v>994</v>
      </c>
      <c r="C28" s="22" t="s">
        <v>1038</v>
      </c>
      <c r="D28" s="22" t="s">
        <v>73</v>
      </c>
      <c r="E28" s="158">
        <v>20600</v>
      </c>
      <c r="F28" s="159">
        <v>123481</v>
      </c>
      <c r="G28" s="159">
        <v>2543708600</v>
      </c>
      <c r="H28" s="159">
        <v>254370860</v>
      </c>
      <c r="I28" s="159">
        <v>2798079460</v>
      </c>
      <c r="J28" s="159">
        <f>bargiri[[#This Row],[مقدار]]*INDEX(invoice[پیش دریافت به ازای هر کیلوگرم],MATCH(bargiri[[#This Row],[شماره سند مبنا]],invoice[شماره پیش فاکتور],0))</f>
        <v>1295740000</v>
      </c>
      <c r="K28" s="159">
        <f>bargiri[[#This Row],[مبلغ خالص]]-bargiri[[#This Row],[میزان استهلاک پیش دریافتی]]</f>
        <v>1502339460</v>
      </c>
      <c r="L28" s="160" t="s">
        <v>593</v>
      </c>
      <c r="M28" s="159" t="s">
        <v>593</v>
      </c>
      <c r="N28" s="159">
        <f>IF(bargiri[[#This Row],[مبلغ واریزی]]&lt;&gt;"",bargiri[[#This Row],[مانده مبلغ]]-bargiri[[#This Row],[مبلغ واریزی]],bargiri[[#This Row],[مانده مبلغ]])</f>
        <v>1502339460</v>
      </c>
      <c r="O28" s="159" t="s">
        <v>593</v>
      </c>
      <c r="P28" s="159">
        <f>VLOOKUP(bargiri[[#This Row],[شماره سند مبنا]],invoice[[شماره پیش فاکتور]:[پیش دریافت به ازای هر کیلوگرم]],14,0)</f>
        <v>62900</v>
      </c>
      <c r="Q28" s="159">
        <f>IF(bargiri[[#This Row],[مبلغ ناخالص]]-(bargiri[[#This Row],[نرخ استهلاک]]*bargiri[[#This Row],[مقدار]])&lt;0,0,bargiri[[#This Row],[مبلغ ناخالص]]-(bargiri[[#This Row],[نرخ استهلاک]]*bargiri[[#This Row],[مقدار]]))</f>
        <v>1247968600</v>
      </c>
    </row>
    <row r="29" spans="1:17" s="22" customFormat="1" ht="13.8" x14ac:dyDescent="0.25">
      <c r="A29" s="22">
        <v>64</v>
      </c>
      <c r="B29" s="22" t="s">
        <v>994</v>
      </c>
      <c r="C29" s="22" t="s">
        <v>1038</v>
      </c>
      <c r="D29" s="22" t="s">
        <v>73</v>
      </c>
      <c r="E29" s="158">
        <v>20160</v>
      </c>
      <c r="F29" s="159">
        <v>123481</v>
      </c>
      <c r="G29" s="159">
        <v>2489376960</v>
      </c>
      <c r="H29" s="159">
        <v>248937696</v>
      </c>
      <c r="I29" s="159">
        <v>2738314656</v>
      </c>
      <c r="J29" s="159">
        <f>bargiri[[#This Row],[مقدار]]*INDEX(invoice[پیش دریافت به ازای هر کیلوگرم],MATCH(bargiri[[#This Row],[شماره سند مبنا]],invoice[شماره پیش فاکتور],0))</f>
        <v>1268064000</v>
      </c>
      <c r="K29" s="159">
        <f>bargiri[[#This Row],[مبلغ خالص]]-bargiri[[#This Row],[میزان استهلاک پیش دریافتی]]</f>
        <v>1470250656</v>
      </c>
      <c r="L29" s="160" t="s">
        <v>593</v>
      </c>
      <c r="M29" s="159" t="s">
        <v>593</v>
      </c>
      <c r="N29" s="159">
        <f>IF(bargiri[[#This Row],[مبلغ واریزی]]&lt;&gt;"",bargiri[[#This Row],[مانده مبلغ]]-bargiri[[#This Row],[مبلغ واریزی]],bargiri[[#This Row],[مانده مبلغ]])</f>
        <v>1470250656</v>
      </c>
      <c r="O29" s="159" t="s">
        <v>593</v>
      </c>
      <c r="P29" s="159">
        <f>VLOOKUP(bargiri[[#This Row],[شماره سند مبنا]],invoice[[شماره پیش فاکتور]:[پیش دریافت به ازای هر کیلوگرم]],14,0)</f>
        <v>62900</v>
      </c>
      <c r="Q29" s="159">
        <f>IF(bargiri[[#This Row],[مبلغ ناخالص]]-(bargiri[[#This Row],[نرخ استهلاک]]*bargiri[[#This Row],[مقدار]])&lt;0,0,bargiri[[#This Row],[مبلغ ناخالص]]-(bargiri[[#This Row],[نرخ استهلاک]]*bargiri[[#This Row],[مقدار]]))</f>
        <v>1221312960</v>
      </c>
    </row>
    <row r="30" spans="1:17" s="22" customFormat="1" ht="13.8" x14ac:dyDescent="0.25">
      <c r="A30" s="22">
        <v>63</v>
      </c>
      <c r="B30" s="22" t="s">
        <v>994</v>
      </c>
      <c r="C30" s="22" t="s">
        <v>1038</v>
      </c>
      <c r="D30" s="22" t="s">
        <v>73</v>
      </c>
      <c r="E30" s="158">
        <v>20550</v>
      </c>
      <c r="F30" s="159">
        <v>123481</v>
      </c>
      <c r="G30" s="159">
        <v>2537534550</v>
      </c>
      <c r="H30" s="159">
        <v>253753455</v>
      </c>
      <c r="I30" s="159">
        <v>2791288005</v>
      </c>
      <c r="J30" s="159">
        <f>bargiri[[#This Row],[مقدار]]*INDEX(invoice[پیش دریافت به ازای هر کیلوگرم],MATCH(bargiri[[#This Row],[شماره سند مبنا]],invoice[شماره پیش فاکتور],0))</f>
        <v>1292595000</v>
      </c>
      <c r="K30" s="159">
        <f>bargiri[[#This Row],[مبلغ خالص]]-bargiri[[#This Row],[میزان استهلاک پیش دریافتی]]</f>
        <v>1498693005</v>
      </c>
      <c r="L30" s="160" t="s">
        <v>593</v>
      </c>
      <c r="M30" s="159" t="s">
        <v>593</v>
      </c>
      <c r="N30" s="159">
        <f>IF(bargiri[[#This Row],[مبلغ واریزی]]&lt;&gt;"",bargiri[[#This Row],[مانده مبلغ]]-bargiri[[#This Row],[مبلغ واریزی]],bargiri[[#This Row],[مانده مبلغ]])</f>
        <v>1498693005</v>
      </c>
      <c r="O30" s="159" t="s">
        <v>593</v>
      </c>
      <c r="P30" s="159">
        <f>VLOOKUP(bargiri[[#This Row],[شماره سند مبنا]],invoice[[شماره پیش فاکتور]:[پیش دریافت به ازای هر کیلوگرم]],14,0)</f>
        <v>62900</v>
      </c>
      <c r="Q30" s="159">
        <f>IF(bargiri[[#This Row],[مبلغ ناخالص]]-(bargiri[[#This Row],[نرخ استهلاک]]*bargiri[[#This Row],[مقدار]])&lt;0,0,bargiri[[#This Row],[مبلغ ناخالص]]-(bargiri[[#This Row],[نرخ استهلاک]]*bargiri[[#This Row],[مقدار]]))</f>
        <v>1244939550</v>
      </c>
    </row>
    <row r="31" spans="1:17" s="22" customFormat="1" ht="13.8" x14ac:dyDescent="0.25">
      <c r="A31" s="22">
        <v>62</v>
      </c>
      <c r="B31" s="22" t="s">
        <v>996</v>
      </c>
      <c r="C31" s="22" t="s">
        <v>1038</v>
      </c>
      <c r="D31" s="22" t="s">
        <v>73</v>
      </c>
      <c r="E31" s="158">
        <v>21050</v>
      </c>
      <c r="F31" s="159">
        <v>123481</v>
      </c>
      <c r="G31" s="159">
        <v>2599275050</v>
      </c>
      <c r="H31" s="159">
        <v>259927505</v>
      </c>
      <c r="I31" s="159">
        <v>2859202555</v>
      </c>
      <c r="J31" s="159">
        <f>bargiri[[#This Row],[مقدار]]*INDEX(invoice[پیش دریافت به ازای هر کیلوگرم],MATCH(bargiri[[#This Row],[شماره سند مبنا]],invoice[شماره پیش فاکتور],0))</f>
        <v>1324045000</v>
      </c>
      <c r="K31" s="159">
        <f>bargiri[[#This Row],[مبلغ خالص]]-bargiri[[#This Row],[میزان استهلاک پیش دریافتی]]</f>
        <v>1535157555</v>
      </c>
      <c r="L31" s="160" t="s">
        <v>593</v>
      </c>
      <c r="M31" s="159" t="s">
        <v>593</v>
      </c>
      <c r="N31" s="159">
        <f>IF(bargiri[[#This Row],[مبلغ واریزی]]&lt;&gt;"",bargiri[[#This Row],[مانده مبلغ]]-bargiri[[#This Row],[مبلغ واریزی]],bargiri[[#This Row],[مانده مبلغ]])</f>
        <v>1535157555</v>
      </c>
      <c r="O31" s="159" t="s">
        <v>593</v>
      </c>
      <c r="P31" s="159">
        <f>VLOOKUP(bargiri[[#This Row],[شماره سند مبنا]],invoice[[شماره پیش فاکتور]:[پیش دریافت به ازای هر کیلوگرم]],14,0)</f>
        <v>62900</v>
      </c>
      <c r="Q31" s="159">
        <f>IF(bargiri[[#This Row],[مبلغ ناخالص]]-(bargiri[[#This Row],[نرخ استهلاک]]*bargiri[[#This Row],[مقدار]])&lt;0,0,bargiri[[#This Row],[مبلغ ناخالص]]-(bargiri[[#This Row],[نرخ استهلاک]]*bargiri[[#This Row],[مقدار]]))</f>
        <v>1275230050</v>
      </c>
    </row>
    <row r="32" spans="1:17" s="22" customFormat="1" ht="13.8" x14ac:dyDescent="0.25">
      <c r="A32" s="22">
        <v>61</v>
      </c>
      <c r="B32" s="22" t="s">
        <v>996</v>
      </c>
      <c r="C32" s="22" t="s">
        <v>1038</v>
      </c>
      <c r="D32" s="22" t="s">
        <v>73</v>
      </c>
      <c r="E32" s="158">
        <v>21110</v>
      </c>
      <c r="F32" s="159">
        <v>123481</v>
      </c>
      <c r="G32" s="159">
        <v>2606683910</v>
      </c>
      <c r="H32" s="159">
        <v>260668391</v>
      </c>
      <c r="I32" s="159">
        <v>2867352301</v>
      </c>
      <c r="J32" s="159">
        <f>bargiri[[#This Row],[مقدار]]*INDEX(invoice[پیش دریافت به ازای هر کیلوگرم],MATCH(bargiri[[#This Row],[شماره سند مبنا]],invoice[شماره پیش فاکتور],0))</f>
        <v>1327819000</v>
      </c>
      <c r="K32" s="159">
        <f>bargiri[[#This Row],[مبلغ خالص]]-bargiri[[#This Row],[میزان استهلاک پیش دریافتی]]</f>
        <v>1539533301</v>
      </c>
      <c r="L32" s="160" t="s">
        <v>593</v>
      </c>
      <c r="M32" s="159" t="s">
        <v>593</v>
      </c>
      <c r="N32" s="159">
        <f>IF(bargiri[[#This Row],[مبلغ واریزی]]&lt;&gt;"",bargiri[[#This Row],[مانده مبلغ]]-bargiri[[#This Row],[مبلغ واریزی]],bargiri[[#This Row],[مانده مبلغ]])</f>
        <v>1539533301</v>
      </c>
      <c r="O32" s="159" t="s">
        <v>593</v>
      </c>
      <c r="P32" s="159">
        <f>VLOOKUP(bargiri[[#This Row],[شماره سند مبنا]],invoice[[شماره پیش فاکتور]:[پیش دریافت به ازای هر کیلوگرم]],14,0)</f>
        <v>62900</v>
      </c>
      <c r="Q32" s="159">
        <f>IF(bargiri[[#This Row],[مبلغ ناخالص]]-(bargiri[[#This Row],[نرخ استهلاک]]*bargiri[[#This Row],[مقدار]])&lt;0,0,bargiri[[#This Row],[مبلغ ناخالص]]-(bargiri[[#This Row],[نرخ استهلاک]]*bargiri[[#This Row],[مقدار]]))</f>
        <v>1278864910</v>
      </c>
    </row>
    <row r="33" spans="1:17" s="22" customFormat="1" ht="13.8" x14ac:dyDescent="0.25">
      <c r="A33" s="22">
        <v>60</v>
      </c>
      <c r="B33" s="22" t="s">
        <v>996</v>
      </c>
      <c r="C33" s="22" t="s">
        <v>998</v>
      </c>
      <c r="D33" s="22" t="s">
        <v>73</v>
      </c>
      <c r="E33" s="158">
        <v>2850</v>
      </c>
      <c r="F33" s="159">
        <v>128971</v>
      </c>
      <c r="G33" s="159">
        <v>367567350</v>
      </c>
      <c r="H33" s="159">
        <v>36756735</v>
      </c>
      <c r="I33" s="159">
        <v>404324085</v>
      </c>
      <c r="J33" s="159">
        <f>bargiri[[#This Row],[مقدار]]*INDEX(invoice[پیش دریافت به ازای هر کیلوگرم],MATCH(bargiri[[#This Row],[شماره سند مبنا]],invoice[شماره پیش فاکتور],0))</f>
        <v>179265000</v>
      </c>
      <c r="K33" s="159">
        <f>bargiri[[#This Row],[مبلغ خالص]]-bargiri[[#This Row],[میزان استهلاک پیش دریافتی]]</f>
        <v>225059085</v>
      </c>
      <c r="L33" s="160" t="s">
        <v>593</v>
      </c>
      <c r="M33" s="159" t="s">
        <v>593</v>
      </c>
      <c r="N33" s="159">
        <f>IF(bargiri[[#This Row],[مبلغ واریزی]]&lt;&gt;"",bargiri[[#This Row],[مانده مبلغ]]-bargiri[[#This Row],[مبلغ واریزی]],bargiri[[#This Row],[مانده مبلغ]])</f>
        <v>225059085</v>
      </c>
      <c r="O33" s="159" t="s">
        <v>593</v>
      </c>
      <c r="P33" s="159">
        <f>VLOOKUP(bargiri[[#This Row],[شماره سند مبنا]],invoice[[شماره پیش فاکتور]:[پیش دریافت به ازای هر کیلوگرم]],14,0)</f>
        <v>62900</v>
      </c>
      <c r="Q33" s="159">
        <f>IF(bargiri[[#This Row],[مبلغ ناخالص]]-(bargiri[[#This Row],[نرخ استهلاک]]*bargiri[[#This Row],[مقدار]])&lt;0,0,bargiri[[#This Row],[مبلغ ناخالص]]-(bargiri[[#This Row],[نرخ استهلاک]]*bargiri[[#This Row],[مقدار]]))</f>
        <v>188302350</v>
      </c>
    </row>
    <row r="34" spans="1:17" s="22" customFormat="1" ht="13.8" x14ac:dyDescent="0.25">
      <c r="A34" s="22">
        <v>60</v>
      </c>
      <c r="B34" s="22" t="s">
        <v>996</v>
      </c>
      <c r="C34" s="22" t="s">
        <v>1038</v>
      </c>
      <c r="D34" s="22" t="s">
        <v>73</v>
      </c>
      <c r="E34" s="158">
        <v>18260</v>
      </c>
      <c r="F34" s="159">
        <v>123481</v>
      </c>
      <c r="G34" s="159">
        <v>2254763060</v>
      </c>
      <c r="H34" s="159">
        <v>225476306</v>
      </c>
      <c r="I34" s="159">
        <v>2480239366</v>
      </c>
      <c r="J34" s="159">
        <f>bargiri[[#This Row],[مقدار]]*INDEX(invoice[پیش دریافت به ازای هر کیلوگرم],MATCH(bargiri[[#This Row],[شماره سند مبنا]],invoice[شماره پیش فاکتور],0))</f>
        <v>1148554000</v>
      </c>
      <c r="K34" s="159">
        <f>bargiri[[#This Row],[مبلغ خالص]]-bargiri[[#This Row],[میزان استهلاک پیش دریافتی]]</f>
        <v>1331685366</v>
      </c>
      <c r="L34" s="160" t="s">
        <v>593</v>
      </c>
      <c r="M34" s="159" t="s">
        <v>593</v>
      </c>
      <c r="N34" s="159">
        <f>IF(bargiri[[#This Row],[مبلغ واریزی]]&lt;&gt;"",bargiri[[#This Row],[مانده مبلغ]]-bargiri[[#This Row],[مبلغ واریزی]],bargiri[[#This Row],[مانده مبلغ]])</f>
        <v>1331685366</v>
      </c>
      <c r="O34" s="159" t="s">
        <v>593</v>
      </c>
      <c r="P34" s="159">
        <f>VLOOKUP(bargiri[[#This Row],[شماره سند مبنا]],invoice[[شماره پیش فاکتور]:[پیش دریافت به ازای هر کیلوگرم]],14,0)</f>
        <v>62900</v>
      </c>
      <c r="Q34" s="159">
        <f>IF(bargiri[[#This Row],[مبلغ ناخالص]]-(bargiri[[#This Row],[نرخ استهلاک]]*bargiri[[#This Row],[مقدار]])&lt;0,0,bargiri[[#This Row],[مبلغ ناخالص]]-(bargiri[[#This Row],[نرخ استهلاک]]*bargiri[[#This Row],[مقدار]]))</f>
        <v>1106209060</v>
      </c>
    </row>
    <row r="35" spans="1:17" s="22" customFormat="1" ht="13.8" x14ac:dyDescent="0.25">
      <c r="A35" s="22">
        <v>59</v>
      </c>
      <c r="B35" s="22" t="s">
        <v>1042</v>
      </c>
      <c r="C35" s="22" t="s">
        <v>895</v>
      </c>
      <c r="D35" s="22" t="s">
        <v>43</v>
      </c>
      <c r="E35" s="158">
        <v>17960</v>
      </c>
      <c r="F35" s="159">
        <v>125000</v>
      </c>
      <c r="G35" s="159">
        <v>2245000000</v>
      </c>
      <c r="H35" s="159">
        <v>224500000</v>
      </c>
      <c r="I35" s="159">
        <v>2469500000</v>
      </c>
      <c r="J35" s="159">
        <f>bargiri[[#This Row],[مقدار]]*INDEX(invoice[پیش دریافت به ازای هر کیلوگرم],MATCH(bargiri[[#This Row],[شماره سند مبنا]],invoice[شماره پیش فاکتور],0))</f>
        <v>740850000</v>
      </c>
      <c r="K35" s="159">
        <f>bargiri[[#This Row],[مبلغ خالص]]-bargiri[[#This Row],[میزان استهلاک پیش دریافتی]]</f>
        <v>1728650000</v>
      </c>
      <c r="L35" s="160" t="s">
        <v>593</v>
      </c>
      <c r="M35" s="159" t="s">
        <v>593</v>
      </c>
      <c r="N35" s="159">
        <f>IF(bargiri[[#This Row],[مبلغ واریزی]]&lt;&gt;"",bargiri[[#This Row],[مانده مبلغ]]-bargiri[[#This Row],[مبلغ واریزی]],bargiri[[#This Row],[مانده مبلغ]])</f>
        <v>1728650000</v>
      </c>
      <c r="O35" s="159" t="s">
        <v>593</v>
      </c>
      <c r="P35" s="159">
        <f>VLOOKUP(bargiri[[#This Row],[شماره سند مبنا]],invoice[[شماره پیش فاکتور]:[پیش دریافت به ازای هر کیلوگرم]],14,0)</f>
        <v>41250</v>
      </c>
      <c r="Q35" s="159">
        <f>IF(bargiri[[#This Row],[مبلغ ناخالص]]-(bargiri[[#This Row],[نرخ استهلاک]]*bargiri[[#This Row],[مقدار]])&lt;0,0,bargiri[[#This Row],[مبلغ ناخالص]]-(bargiri[[#This Row],[نرخ استهلاک]]*bargiri[[#This Row],[مقدار]]))</f>
        <v>1504150000</v>
      </c>
    </row>
    <row r="36" spans="1:17" s="22" customFormat="1" ht="13.8" x14ac:dyDescent="0.25">
      <c r="A36" s="22">
        <v>58</v>
      </c>
      <c r="B36" s="22" t="s">
        <v>1042</v>
      </c>
      <c r="C36" s="22" t="s">
        <v>723</v>
      </c>
      <c r="D36" s="22" t="s">
        <v>116</v>
      </c>
      <c r="E36" s="158">
        <v>22000</v>
      </c>
      <c r="F36" s="159">
        <v>105000</v>
      </c>
      <c r="G36" s="159">
        <v>2310000000</v>
      </c>
      <c r="H36" s="159">
        <v>231000000</v>
      </c>
      <c r="I36" s="159">
        <v>2541000000</v>
      </c>
      <c r="J36" s="159">
        <f>bargiri[[#This Row],[مقدار]]*INDEX(invoice[پیش دریافت به ازای هر کیلوگرم],MATCH(bargiri[[#This Row],[شماره سند مبنا]],invoice[شماره پیش فاکتور],0))</f>
        <v>1155000000</v>
      </c>
      <c r="K36" s="159">
        <f>bargiri[[#This Row],[مبلغ خالص]]-bargiri[[#This Row],[میزان استهلاک پیش دریافتی]]</f>
        <v>1386000000</v>
      </c>
      <c r="L36" s="160" t="s">
        <v>593</v>
      </c>
      <c r="M36" s="159" t="s">
        <v>593</v>
      </c>
      <c r="N36" s="159">
        <f>IF(bargiri[[#This Row],[مبلغ واریزی]]&lt;&gt;"",bargiri[[#This Row],[مانده مبلغ]]-bargiri[[#This Row],[مبلغ واریزی]],bargiri[[#This Row],[مانده مبلغ]])</f>
        <v>1386000000</v>
      </c>
      <c r="O36" s="159" t="s">
        <v>593</v>
      </c>
      <c r="P36" s="159">
        <f>VLOOKUP(bargiri[[#This Row],[شماره سند مبنا]],invoice[[شماره پیش فاکتور]:[پیش دریافت به ازای هر کیلوگرم]],14,0)</f>
        <v>52500</v>
      </c>
      <c r="Q36" s="159">
        <f>IF(bargiri[[#This Row],[مبلغ ناخالص]]-(bargiri[[#This Row],[نرخ استهلاک]]*bargiri[[#This Row],[مقدار]])&lt;0,0,bargiri[[#This Row],[مبلغ ناخالص]]-(bargiri[[#This Row],[نرخ استهلاک]]*bargiri[[#This Row],[مقدار]]))</f>
        <v>1155000000</v>
      </c>
    </row>
    <row r="37" spans="1:17" s="22" customFormat="1" ht="13.8" x14ac:dyDescent="0.25">
      <c r="A37" s="22">
        <v>57</v>
      </c>
      <c r="B37" s="22" t="s">
        <v>1042</v>
      </c>
      <c r="C37" s="22" t="s">
        <v>1043</v>
      </c>
      <c r="D37" s="22" t="s">
        <v>207</v>
      </c>
      <c r="E37" s="158">
        <v>6540</v>
      </c>
      <c r="F37" s="159">
        <v>240000</v>
      </c>
      <c r="G37" s="159">
        <v>1569600000</v>
      </c>
      <c r="H37" s="159">
        <v>156960000</v>
      </c>
      <c r="I37" s="159">
        <v>1726560000</v>
      </c>
      <c r="J37" s="159">
        <f>bargiri[[#This Row],[مقدار]]*INDEX(invoice[پیش دریافت به ازای هر کیلوگرم],MATCH(bargiri[[#This Row],[شماره سند مبنا]],invoice[شماره پیش فاکتور],0))</f>
        <v>258984000</v>
      </c>
      <c r="K37" s="159">
        <f>bargiri[[#This Row],[مبلغ خالص]]-bargiri[[#This Row],[میزان استهلاک پیش دریافتی]]</f>
        <v>1467576000</v>
      </c>
      <c r="L37" s="160" t="s">
        <v>593</v>
      </c>
      <c r="M37" s="159" t="s">
        <v>593</v>
      </c>
      <c r="N37" s="159">
        <f>IF(bargiri[[#This Row],[مبلغ واریزی]]&lt;&gt;"",bargiri[[#This Row],[مانده مبلغ]]-bargiri[[#This Row],[مبلغ واریزی]],bargiri[[#This Row],[مانده مبلغ]])</f>
        <v>1467576000</v>
      </c>
      <c r="O37" s="159" t="s">
        <v>593</v>
      </c>
      <c r="P37" s="159">
        <f>VLOOKUP(bargiri[[#This Row],[شماره سند مبنا]],invoice[[شماره پیش فاکتور]:[پیش دریافت به ازای هر کیلوگرم]],14,0)</f>
        <v>39600</v>
      </c>
      <c r="Q37" s="159">
        <f>IF(bargiri[[#This Row],[مبلغ ناخالص]]-(bargiri[[#This Row],[نرخ استهلاک]]*bargiri[[#This Row],[مقدار]])&lt;0,0,bargiri[[#This Row],[مبلغ ناخالص]]-(bargiri[[#This Row],[نرخ استهلاک]]*bargiri[[#This Row],[مقدار]]))</f>
        <v>1310616000</v>
      </c>
    </row>
    <row r="38" spans="1:17" s="22" customFormat="1" ht="13.8" x14ac:dyDescent="0.25">
      <c r="A38" s="22">
        <v>56</v>
      </c>
      <c r="B38" s="22" t="s">
        <v>1039</v>
      </c>
      <c r="C38" s="22" t="s">
        <v>1044</v>
      </c>
      <c r="D38" s="22" t="s">
        <v>213</v>
      </c>
      <c r="E38" s="158">
        <v>19880</v>
      </c>
      <c r="F38" s="159">
        <v>240000</v>
      </c>
      <c r="G38" s="159">
        <v>4771200000</v>
      </c>
      <c r="H38" s="159">
        <v>477120000</v>
      </c>
      <c r="I38" s="159">
        <v>5248320000</v>
      </c>
      <c r="J38" s="159">
        <f>bargiri[[#This Row],[مقدار]]*INDEX(invoice[پیش دریافت به ازای هر کیلوگرم],MATCH(bargiri[[#This Row],[شماره سند مبنا]],invoice[شماره پیش فاکتور],0))</f>
        <v>787248000</v>
      </c>
      <c r="K38" s="159">
        <f>bargiri[[#This Row],[مبلغ خالص]]-bargiri[[#This Row],[میزان استهلاک پیش دریافتی]]</f>
        <v>4461072000</v>
      </c>
      <c r="L38" s="160" t="s">
        <v>593</v>
      </c>
      <c r="M38" s="159" t="s">
        <v>593</v>
      </c>
      <c r="N38" s="159">
        <f>IF(bargiri[[#This Row],[مبلغ واریزی]]&lt;&gt;"",bargiri[[#This Row],[مانده مبلغ]]-bargiri[[#This Row],[مبلغ واریزی]],bargiri[[#This Row],[مانده مبلغ]])</f>
        <v>4461072000</v>
      </c>
      <c r="O38" s="159" t="s">
        <v>593</v>
      </c>
      <c r="P38" s="159">
        <f>VLOOKUP(bargiri[[#This Row],[شماره سند مبنا]],invoice[[شماره پیش فاکتور]:[پیش دریافت به ازای هر کیلوگرم]],14,0)</f>
        <v>39600</v>
      </c>
      <c r="Q38" s="159">
        <f>IF(bargiri[[#This Row],[مبلغ ناخالص]]-(bargiri[[#This Row],[نرخ استهلاک]]*bargiri[[#This Row],[مقدار]])&lt;0,0,bargiri[[#This Row],[مبلغ ناخالص]]-(bargiri[[#This Row],[نرخ استهلاک]]*bargiri[[#This Row],[مقدار]]))</f>
        <v>3983952000</v>
      </c>
    </row>
    <row r="39" spans="1:17" s="22" customFormat="1" ht="13.8" x14ac:dyDescent="0.25">
      <c r="A39" s="22">
        <v>55</v>
      </c>
      <c r="B39" s="22" t="s">
        <v>1040</v>
      </c>
      <c r="C39" s="22" t="s">
        <v>1033</v>
      </c>
      <c r="D39" s="22" t="s">
        <v>180</v>
      </c>
      <c r="E39" s="158">
        <v>7260</v>
      </c>
      <c r="F39" s="159">
        <v>240000</v>
      </c>
      <c r="G39" s="159">
        <v>1742400000</v>
      </c>
      <c r="H39" s="159">
        <v>174240000</v>
      </c>
      <c r="I39" s="159">
        <v>1916640000</v>
      </c>
      <c r="J39" s="159">
        <f>bargiri[[#This Row],[مقدار]]*INDEX(invoice[پیش دریافت به ازای هر کیلوگرم],MATCH(bargiri[[#This Row],[شماره سند مبنا]],invoice[شماره پیش فاکتور],0))</f>
        <v>287496000</v>
      </c>
      <c r="K39" s="159">
        <f>bargiri[[#This Row],[مبلغ خالص]]-bargiri[[#This Row],[میزان استهلاک پیش دریافتی]]</f>
        <v>1629144000</v>
      </c>
      <c r="L39" s="160" t="s">
        <v>593</v>
      </c>
      <c r="M39" s="159" t="s">
        <v>593</v>
      </c>
      <c r="N39" s="159">
        <f>IF(bargiri[[#This Row],[مبلغ واریزی]]&lt;&gt;"",bargiri[[#This Row],[مانده مبلغ]]-bargiri[[#This Row],[مبلغ واریزی]],bargiri[[#This Row],[مانده مبلغ]])</f>
        <v>1629144000</v>
      </c>
      <c r="O39" s="159" t="s">
        <v>593</v>
      </c>
      <c r="P39" s="159">
        <f>VLOOKUP(bargiri[[#This Row],[شماره سند مبنا]],invoice[[شماره پیش فاکتور]:[پیش دریافت به ازای هر کیلوگرم]],14,0)</f>
        <v>39600</v>
      </c>
      <c r="Q39" s="159">
        <f>IF(bargiri[[#This Row],[مبلغ ناخالص]]-(bargiri[[#This Row],[نرخ استهلاک]]*bargiri[[#This Row],[مقدار]])&lt;0,0,bargiri[[#This Row],[مبلغ ناخالص]]-(bargiri[[#This Row],[نرخ استهلاک]]*bargiri[[#This Row],[مقدار]]))</f>
        <v>1454904000</v>
      </c>
    </row>
    <row r="40" spans="1:17" s="22" customFormat="1" ht="13.8" x14ac:dyDescent="0.25">
      <c r="A40" s="22">
        <v>54</v>
      </c>
      <c r="B40" s="22" t="s">
        <v>1045</v>
      </c>
      <c r="C40" s="22" t="s">
        <v>1044</v>
      </c>
      <c r="D40" s="22" t="s">
        <v>213</v>
      </c>
      <c r="E40" s="158">
        <v>19890</v>
      </c>
      <c r="F40" s="159">
        <v>240000</v>
      </c>
      <c r="G40" s="159">
        <v>4773600000</v>
      </c>
      <c r="H40" s="159">
        <v>477360000</v>
      </c>
      <c r="I40" s="159">
        <v>5250960000</v>
      </c>
      <c r="J40" s="159">
        <f>bargiri[[#This Row],[مقدار]]*INDEX(invoice[پیش دریافت به ازای هر کیلوگرم],MATCH(bargiri[[#This Row],[شماره سند مبنا]],invoice[شماره پیش فاکتور],0))</f>
        <v>787644000</v>
      </c>
      <c r="K40" s="159">
        <f>bargiri[[#This Row],[مبلغ خالص]]-bargiri[[#This Row],[میزان استهلاک پیش دریافتی]]</f>
        <v>4463316000</v>
      </c>
      <c r="L40" s="160" t="s">
        <v>593</v>
      </c>
      <c r="M40" s="159" t="s">
        <v>593</v>
      </c>
      <c r="N40" s="159">
        <f>IF(bargiri[[#This Row],[مبلغ واریزی]]&lt;&gt;"",bargiri[[#This Row],[مانده مبلغ]]-bargiri[[#This Row],[مبلغ واریزی]],bargiri[[#This Row],[مانده مبلغ]])</f>
        <v>4463316000</v>
      </c>
      <c r="O40" s="159" t="s">
        <v>593</v>
      </c>
      <c r="P40" s="159">
        <f>VLOOKUP(bargiri[[#This Row],[شماره سند مبنا]],invoice[[شماره پیش فاکتور]:[پیش دریافت به ازای هر کیلوگرم]],14,0)</f>
        <v>39600</v>
      </c>
      <c r="Q40" s="159">
        <f>IF(bargiri[[#This Row],[مبلغ ناخالص]]-(bargiri[[#This Row],[نرخ استهلاک]]*bargiri[[#This Row],[مقدار]])&lt;0,0,bargiri[[#This Row],[مبلغ ناخالص]]-(bargiri[[#This Row],[نرخ استهلاک]]*bargiri[[#This Row],[مقدار]]))</f>
        <v>3985956000</v>
      </c>
    </row>
    <row r="41" spans="1:17" s="22" customFormat="1" ht="13.8" x14ac:dyDescent="0.25">
      <c r="A41" s="22">
        <v>53</v>
      </c>
      <c r="B41" s="22" t="s">
        <v>1037</v>
      </c>
      <c r="C41" s="22" t="s">
        <v>720</v>
      </c>
      <c r="D41" s="22" t="s">
        <v>20</v>
      </c>
      <c r="E41" s="158">
        <v>21770</v>
      </c>
      <c r="F41" s="159">
        <v>105000</v>
      </c>
      <c r="G41" s="159">
        <v>2285850000</v>
      </c>
      <c r="H41" s="159">
        <v>228585000</v>
      </c>
      <c r="I41" s="159">
        <v>2514435000</v>
      </c>
      <c r="J41" s="159">
        <f>bargiri[[#This Row],[مقدار]]*INDEX(invoice[پیش دریافت به ازای هر کیلوگرم],MATCH(bargiri[[#This Row],[شماره سند مبنا]],invoice[شماره پیش فاکتور],0))</f>
        <v>1142925000</v>
      </c>
      <c r="K41" s="159">
        <f>bargiri[[#This Row],[مبلغ خالص]]-bargiri[[#This Row],[میزان استهلاک پیش دریافتی]]</f>
        <v>1371510000</v>
      </c>
      <c r="L41" s="160" t="s">
        <v>593</v>
      </c>
      <c r="M41" s="159" t="s">
        <v>593</v>
      </c>
      <c r="N41" s="159">
        <f>IF(bargiri[[#This Row],[مبلغ واریزی]]&lt;&gt;"",bargiri[[#This Row],[مانده مبلغ]]-bargiri[[#This Row],[مبلغ واریزی]],bargiri[[#This Row],[مانده مبلغ]])</f>
        <v>1371510000</v>
      </c>
      <c r="O41" s="159" t="s">
        <v>593</v>
      </c>
      <c r="P41" s="159">
        <f>VLOOKUP(bargiri[[#This Row],[شماره سند مبنا]],invoice[[شماره پیش فاکتور]:[پیش دریافت به ازای هر کیلوگرم]],14,0)</f>
        <v>52500</v>
      </c>
      <c r="Q41" s="159">
        <f>IF(bargiri[[#This Row],[مبلغ ناخالص]]-(bargiri[[#This Row],[نرخ استهلاک]]*bargiri[[#This Row],[مقدار]])&lt;0,0,bargiri[[#This Row],[مبلغ ناخالص]]-(bargiri[[#This Row],[نرخ استهلاک]]*bargiri[[#This Row],[مقدار]]))</f>
        <v>1142925000</v>
      </c>
    </row>
    <row r="42" spans="1:17" s="22" customFormat="1" ht="13.8" x14ac:dyDescent="0.25">
      <c r="A42" s="22">
        <v>51</v>
      </c>
      <c r="B42" s="22" t="s">
        <v>1039</v>
      </c>
      <c r="C42" s="22" t="s">
        <v>743</v>
      </c>
      <c r="D42" s="22" t="s">
        <v>25</v>
      </c>
      <c r="E42" s="158">
        <v>12135</v>
      </c>
      <c r="F42" s="159">
        <v>116500</v>
      </c>
      <c r="G42" s="159">
        <v>1413727500</v>
      </c>
      <c r="H42" s="159">
        <v>141372750</v>
      </c>
      <c r="I42" s="159">
        <v>1555100250</v>
      </c>
      <c r="J42" s="159">
        <f>bargiri[[#This Row],[مقدار]]*INDEX(invoice[پیش دریافت به ازای هر کیلوگرم],MATCH(bargiri[[#This Row],[شماره سند مبنا]],invoice[شماره پیش فاکتور],0))</f>
        <v>233265037.5</v>
      </c>
      <c r="K42" s="159">
        <f>bargiri[[#This Row],[مبلغ خالص]]-bargiri[[#This Row],[میزان استهلاک پیش دریافتی]]</f>
        <v>1321835212.5</v>
      </c>
      <c r="L42" s="160" t="s">
        <v>593</v>
      </c>
      <c r="M42" s="159" t="s">
        <v>593</v>
      </c>
      <c r="N42" s="159">
        <f>IF(bargiri[[#This Row],[مبلغ واریزی]]&lt;&gt;"",bargiri[[#This Row],[مانده مبلغ]]-bargiri[[#This Row],[مبلغ واریزی]],bargiri[[#This Row],[مانده مبلغ]])</f>
        <v>1321835212.5</v>
      </c>
      <c r="O42" s="159" t="s">
        <v>593</v>
      </c>
      <c r="P42" s="159">
        <f>VLOOKUP(bargiri[[#This Row],[شماره سند مبنا]],invoice[[شماره پیش فاکتور]:[پیش دریافت به ازای هر کیلوگرم]],14,0)</f>
        <v>19222.5</v>
      </c>
      <c r="Q42" s="159">
        <f>IF(bargiri[[#This Row],[مبلغ ناخالص]]-(bargiri[[#This Row],[نرخ استهلاک]]*bargiri[[#This Row],[مقدار]])&lt;0,0,bargiri[[#This Row],[مبلغ ناخالص]]-(bargiri[[#This Row],[نرخ استهلاک]]*bargiri[[#This Row],[مقدار]]))</f>
        <v>1180462462.5</v>
      </c>
    </row>
    <row r="43" spans="1:17" s="22" customFormat="1" ht="13.8" x14ac:dyDescent="0.25">
      <c r="A43" s="22">
        <v>51</v>
      </c>
      <c r="B43" s="22" t="s">
        <v>1039</v>
      </c>
      <c r="C43" s="22" t="s">
        <v>892</v>
      </c>
      <c r="D43" s="22" t="s">
        <v>25</v>
      </c>
      <c r="E43" s="158">
        <v>7995</v>
      </c>
      <c r="F43" s="159">
        <v>116500</v>
      </c>
      <c r="G43" s="159">
        <v>931417500</v>
      </c>
      <c r="H43" s="159">
        <v>93141750</v>
      </c>
      <c r="I43" s="159">
        <v>1024559250</v>
      </c>
      <c r="J43" s="159">
        <f>bargiri[[#This Row],[مقدار]]*INDEX(invoice[پیش دریافت به ازای هر کیلوگرم],MATCH(bargiri[[#This Row],[شماره سند مبنا]],invoice[شماره پیش فاکتور],0))</f>
        <v>153683887.5</v>
      </c>
      <c r="K43" s="159">
        <f>bargiri[[#This Row],[مبلغ خالص]]-bargiri[[#This Row],[میزان استهلاک پیش دریافتی]]</f>
        <v>870875362.5</v>
      </c>
      <c r="L43" s="160" t="s">
        <v>593</v>
      </c>
      <c r="M43" s="159" t="s">
        <v>593</v>
      </c>
      <c r="N43" s="159">
        <f>IF(bargiri[[#This Row],[مبلغ واریزی]]&lt;&gt;"",bargiri[[#This Row],[مانده مبلغ]]-bargiri[[#This Row],[مبلغ واریزی]],bargiri[[#This Row],[مانده مبلغ]])</f>
        <v>870875362.5</v>
      </c>
      <c r="O43" s="159" t="s">
        <v>593</v>
      </c>
      <c r="P43" s="159">
        <f>VLOOKUP(bargiri[[#This Row],[شماره سند مبنا]],invoice[[شماره پیش فاکتور]:[پیش دریافت به ازای هر کیلوگرم]],14,0)</f>
        <v>19222.5</v>
      </c>
      <c r="Q43" s="159">
        <f>IF(bargiri[[#This Row],[مبلغ ناخالص]]-(bargiri[[#This Row],[نرخ استهلاک]]*bargiri[[#This Row],[مقدار]])&lt;0,0,bargiri[[#This Row],[مبلغ ناخالص]]-(bargiri[[#This Row],[نرخ استهلاک]]*bargiri[[#This Row],[مقدار]]))</f>
        <v>777733612.5</v>
      </c>
    </row>
    <row r="44" spans="1:17" s="22" customFormat="1" ht="13.8" x14ac:dyDescent="0.25">
      <c r="A44" s="22">
        <v>50</v>
      </c>
      <c r="B44" s="22" t="s">
        <v>1039</v>
      </c>
      <c r="C44" s="22" t="s">
        <v>723</v>
      </c>
      <c r="D44" s="22" t="s">
        <v>116</v>
      </c>
      <c r="E44" s="158">
        <v>20010</v>
      </c>
      <c r="F44" s="159">
        <v>105000</v>
      </c>
      <c r="G44" s="159">
        <v>2101050000</v>
      </c>
      <c r="H44" s="159">
        <v>210105000</v>
      </c>
      <c r="I44" s="159">
        <v>2311155000</v>
      </c>
      <c r="J44" s="159">
        <f>bargiri[[#This Row],[مقدار]]*INDEX(invoice[پیش دریافت به ازای هر کیلوگرم],MATCH(bargiri[[#This Row],[شماره سند مبنا]],invoice[شماره پیش فاکتور],0))</f>
        <v>1050525000</v>
      </c>
      <c r="K44" s="159">
        <f>bargiri[[#This Row],[مبلغ خالص]]-bargiri[[#This Row],[میزان استهلاک پیش دریافتی]]</f>
        <v>1260630000</v>
      </c>
      <c r="L44" s="160" t="s">
        <v>593</v>
      </c>
      <c r="M44" s="159" t="s">
        <v>593</v>
      </c>
      <c r="N44" s="159">
        <f>IF(bargiri[[#This Row],[مبلغ واریزی]]&lt;&gt;"",bargiri[[#This Row],[مانده مبلغ]]-bargiri[[#This Row],[مبلغ واریزی]],bargiri[[#This Row],[مانده مبلغ]])</f>
        <v>1260630000</v>
      </c>
      <c r="O44" s="159" t="s">
        <v>593</v>
      </c>
      <c r="P44" s="159">
        <f>VLOOKUP(bargiri[[#This Row],[شماره سند مبنا]],invoice[[شماره پیش فاکتور]:[پیش دریافت به ازای هر کیلوگرم]],14,0)</f>
        <v>52500</v>
      </c>
      <c r="Q44" s="159">
        <f>IF(bargiri[[#This Row],[مبلغ ناخالص]]-(bargiri[[#This Row],[نرخ استهلاک]]*bargiri[[#This Row],[مقدار]])&lt;0,0,bargiri[[#This Row],[مبلغ ناخالص]]-(bargiri[[#This Row],[نرخ استهلاک]]*bargiri[[#This Row],[مقدار]]))</f>
        <v>1050525000</v>
      </c>
    </row>
    <row r="45" spans="1:17" s="22" customFormat="1" ht="13.8" x14ac:dyDescent="0.25">
      <c r="A45" s="22">
        <v>49</v>
      </c>
      <c r="B45" s="22" t="s">
        <v>1040</v>
      </c>
      <c r="C45" s="22" t="s">
        <v>895</v>
      </c>
      <c r="D45" s="22" t="s">
        <v>43</v>
      </c>
      <c r="E45" s="158">
        <v>22080</v>
      </c>
      <c r="F45" s="159">
        <v>125000</v>
      </c>
      <c r="G45" s="159">
        <v>2760000000</v>
      </c>
      <c r="H45" s="159">
        <v>276000000</v>
      </c>
      <c r="I45" s="159">
        <v>3036000000</v>
      </c>
      <c r="J45" s="159">
        <f>bargiri[[#This Row],[مقدار]]*INDEX(invoice[پیش دریافت به ازای هر کیلوگرم],MATCH(bargiri[[#This Row],[شماره سند مبنا]],invoice[شماره پیش فاکتور],0))</f>
        <v>910800000</v>
      </c>
      <c r="K45" s="159">
        <f>bargiri[[#This Row],[مبلغ خالص]]-bargiri[[#This Row],[میزان استهلاک پیش دریافتی]]</f>
        <v>2125200000</v>
      </c>
      <c r="L45" s="160" t="s">
        <v>593</v>
      </c>
      <c r="M45" s="159" t="s">
        <v>593</v>
      </c>
      <c r="N45" s="159">
        <f>IF(bargiri[[#This Row],[مبلغ واریزی]]&lt;&gt;"",bargiri[[#This Row],[مانده مبلغ]]-bargiri[[#This Row],[مبلغ واریزی]],bargiri[[#This Row],[مانده مبلغ]])</f>
        <v>2125200000</v>
      </c>
      <c r="O45" s="159" t="s">
        <v>593</v>
      </c>
      <c r="P45" s="159">
        <f>VLOOKUP(bargiri[[#This Row],[شماره سند مبنا]],invoice[[شماره پیش فاکتور]:[پیش دریافت به ازای هر کیلوگرم]],14,0)</f>
        <v>41250</v>
      </c>
      <c r="Q45" s="159">
        <f>IF(bargiri[[#This Row],[مبلغ ناخالص]]-(bargiri[[#This Row],[نرخ استهلاک]]*bargiri[[#This Row],[مقدار]])&lt;0,0,bargiri[[#This Row],[مبلغ ناخالص]]-(bargiri[[#This Row],[نرخ استهلاک]]*bargiri[[#This Row],[مقدار]]))</f>
        <v>1849200000</v>
      </c>
    </row>
    <row r="46" spans="1:17" s="22" customFormat="1" ht="13.8" x14ac:dyDescent="0.25">
      <c r="A46" s="22">
        <v>46</v>
      </c>
      <c r="B46" s="22" t="s">
        <v>985</v>
      </c>
      <c r="C46" s="22" t="s">
        <v>893</v>
      </c>
      <c r="D46" s="22" t="s">
        <v>173</v>
      </c>
      <c r="E46" s="158">
        <v>22680</v>
      </c>
      <c r="F46" s="159">
        <v>135000</v>
      </c>
      <c r="G46" s="159">
        <v>3061800000</v>
      </c>
      <c r="H46" s="159">
        <v>306180000</v>
      </c>
      <c r="I46" s="159">
        <v>3367980000</v>
      </c>
      <c r="J46" s="159">
        <f>bargiri[[#This Row],[مقدار]]*INDEX(invoice[پیش دریافت به ازای هر کیلوگرم],MATCH(bargiri[[#This Row],[شماره سند مبنا]],invoice[شماره پیش فاکتور],0))</f>
        <v>673596000</v>
      </c>
      <c r="K46" s="159">
        <f>bargiri[[#This Row],[مبلغ خالص]]-bargiri[[#This Row],[میزان استهلاک پیش دریافتی]]</f>
        <v>2694384000</v>
      </c>
      <c r="L46" s="160" t="s">
        <v>593</v>
      </c>
      <c r="M46" s="159" t="s">
        <v>593</v>
      </c>
      <c r="N46" s="159">
        <f>IF(bargiri[[#This Row],[مبلغ واریزی]]&lt;&gt;"",bargiri[[#This Row],[مانده مبلغ]]-bargiri[[#This Row],[مبلغ واریزی]],bargiri[[#This Row],[مانده مبلغ]])</f>
        <v>2694384000</v>
      </c>
      <c r="O46" s="159" t="s">
        <v>593</v>
      </c>
      <c r="P46" s="159">
        <f>VLOOKUP(bargiri[[#This Row],[شماره سند مبنا]],invoice[[شماره پیش فاکتور]:[پیش دریافت به ازای هر کیلوگرم]],14,0)</f>
        <v>29700</v>
      </c>
      <c r="Q46" s="159">
        <f>IF(bargiri[[#This Row],[مبلغ ناخالص]]-(bargiri[[#This Row],[نرخ استهلاک]]*bargiri[[#This Row],[مقدار]])&lt;0,0,bargiri[[#This Row],[مبلغ ناخالص]]-(bargiri[[#This Row],[نرخ استهلاک]]*bargiri[[#This Row],[مقدار]]))</f>
        <v>2388204000</v>
      </c>
    </row>
    <row r="47" spans="1:17" s="22" customFormat="1" ht="13.8" x14ac:dyDescent="0.25">
      <c r="A47" s="22">
        <v>45</v>
      </c>
      <c r="B47" s="22" t="s">
        <v>985</v>
      </c>
      <c r="C47" s="22" t="s">
        <v>893</v>
      </c>
      <c r="D47" s="22" t="s">
        <v>173</v>
      </c>
      <c r="E47" s="158">
        <v>24890</v>
      </c>
      <c r="F47" s="159">
        <v>135000</v>
      </c>
      <c r="G47" s="159">
        <v>3360150000</v>
      </c>
      <c r="H47" s="159">
        <v>336015000</v>
      </c>
      <c r="I47" s="159">
        <v>3345705000</v>
      </c>
      <c r="J47" s="159">
        <f>bargiri[[#This Row],[مقدار]]*INDEX(invoice[پیش دریافت به ازای هر کیلوگرم],MATCH(bargiri[[#This Row],[شماره سند مبنا]],invoice[شماره پیش فاکتور],0))</f>
        <v>739233000</v>
      </c>
      <c r="K47" s="159">
        <f>bargiri[[#This Row],[مبلغ خالص]]-bargiri[[#This Row],[میزان استهلاک پیش دریافتی]]</f>
        <v>2606472000</v>
      </c>
      <c r="L47" s="160" t="s">
        <v>593</v>
      </c>
      <c r="M47" s="159" t="s">
        <v>593</v>
      </c>
      <c r="N47" s="159">
        <f>IF(bargiri[[#This Row],[مبلغ واریزی]]&lt;&gt;"",bargiri[[#This Row],[مانده مبلغ]]-bargiri[[#This Row],[مبلغ واریزی]],bargiri[[#This Row],[مانده مبلغ]])</f>
        <v>2606472000</v>
      </c>
      <c r="O47" s="159" t="s">
        <v>593</v>
      </c>
      <c r="P47" s="159">
        <f>VLOOKUP(bargiri[[#This Row],[شماره سند مبنا]],invoice[[شماره پیش فاکتور]:[پیش دریافت به ازای هر کیلوگرم]],14,0)</f>
        <v>29700</v>
      </c>
      <c r="Q47" s="159">
        <f>IF(bargiri[[#This Row],[مبلغ ناخالص]]-(bargiri[[#This Row],[نرخ استهلاک]]*bargiri[[#This Row],[مقدار]])&lt;0,0,bargiri[[#This Row],[مبلغ ناخالص]]-(bargiri[[#This Row],[نرخ استهلاک]]*bargiri[[#This Row],[مقدار]]))</f>
        <v>2620917000</v>
      </c>
    </row>
    <row r="48" spans="1:17" s="22" customFormat="1" ht="13.8" x14ac:dyDescent="0.25">
      <c r="A48" s="22">
        <v>44</v>
      </c>
      <c r="B48" s="22" t="s">
        <v>986</v>
      </c>
      <c r="C48" s="22" t="s">
        <v>987</v>
      </c>
      <c r="D48" s="22" t="s">
        <v>219</v>
      </c>
      <c r="E48" s="158">
        <v>20850</v>
      </c>
      <c r="F48" s="159">
        <v>120000</v>
      </c>
      <c r="G48" s="159">
        <v>2502000000</v>
      </c>
      <c r="H48" s="159">
        <v>250200000</v>
      </c>
      <c r="I48" s="159">
        <v>2752200000</v>
      </c>
      <c r="J48" s="159">
        <f>bargiri[[#This Row],[مقدار]]*INDEX(invoice[پیش دریافت به ازای هر کیلوگرم],MATCH(bargiri[[#This Row],[شماره سند مبنا]],invoice[شماره پیش فاکتور],0))</f>
        <v>412830000</v>
      </c>
      <c r="K48" s="159">
        <f>bargiri[[#This Row],[مبلغ خالص]]-bargiri[[#This Row],[میزان استهلاک پیش دریافتی]]</f>
        <v>2339370000</v>
      </c>
      <c r="L48" s="160" t="s">
        <v>593</v>
      </c>
      <c r="M48" s="159" t="s">
        <v>593</v>
      </c>
      <c r="N48" s="159">
        <f>IF(bargiri[[#This Row],[مبلغ واریزی]]&lt;&gt;"",bargiri[[#This Row],[مانده مبلغ]]-bargiri[[#This Row],[مبلغ واریزی]],bargiri[[#This Row],[مانده مبلغ]])</f>
        <v>2339370000</v>
      </c>
      <c r="O48" s="159" t="s">
        <v>593</v>
      </c>
      <c r="P48" s="159">
        <f>VLOOKUP(bargiri[[#This Row],[شماره سند مبنا]],invoice[[شماره پیش فاکتور]:[پیش دریافت به ازای هر کیلوگرم]],14,0)</f>
        <v>19800</v>
      </c>
      <c r="Q48" s="159">
        <f>IF(bargiri[[#This Row],[مبلغ ناخالص]]-(bargiri[[#This Row],[نرخ استهلاک]]*bargiri[[#This Row],[مقدار]])&lt;0,0,bargiri[[#This Row],[مبلغ ناخالص]]-(bargiri[[#This Row],[نرخ استهلاک]]*bargiri[[#This Row],[مقدار]]))</f>
        <v>2089170000</v>
      </c>
    </row>
    <row r="49" spans="1:17" s="22" customFormat="1" ht="13.8" x14ac:dyDescent="0.25">
      <c r="A49" s="22">
        <v>43</v>
      </c>
      <c r="B49" s="22" t="s">
        <v>986</v>
      </c>
      <c r="C49" s="22" t="s">
        <v>720</v>
      </c>
      <c r="D49" s="22" t="s">
        <v>20</v>
      </c>
      <c r="E49" s="158">
        <v>20400</v>
      </c>
      <c r="F49" s="159">
        <v>105000</v>
      </c>
      <c r="G49" s="159">
        <v>2142000000</v>
      </c>
      <c r="H49" s="159">
        <v>214200000</v>
      </c>
      <c r="I49" s="159">
        <v>2356200000</v>
      </c>
      <c r="J49" s="159">
        <f>bargiri[[#This Row],[مقدار]]*INDEX(invoice[پیش دریافت به ازای هر کیلوگرم],MATCH(bargiri[[#This Row],[شماره سند مبنا]],invoice[شماره پیش فاکتور],0))</f>
        <v>1071000000</v>
      </c>
      <c r="K49" s="159">
        <f>bargiri[[#This Row],[مبلغ خالص]]-bargiri[[#This Row],[میزان استهلاک پیش دریافتی]]</f>
        <v>1285200000</v>
      </c>
      <c r="L49" s="160" t="s">
        <v>593</v>
      </c>
      <c r="M49" s="159" t="s">
        <v>593</v>
      </c>
      <c r="N49" s="159">
        <f>IF(bargiri[[#This Row],[مبلغ واریزی]]&lt;&gt;"",bargiri[[#This Row],[مانده مبلغ]]-bargiri[[#This Row],[مبلغ واریزی]],bargiri[[#This Row],[مانده مبلغ]])</f>
        <v>1285200000</v>
      </c>
      <c r="O49" s="159" t="s">
        <v>593</v>
      </c>
      <c r="P49" s="159">
        <f>VLOOKUP(bargiri[[#This Row],[شماره سند مبنا]],invoice[[شماره پیش فاکتور]:[پیش دریافت به ازای هر کیلوگرم]],14,0)</f>
        <v>52500</v>
      </c>
      <c r="Q49" s="159">
        <f>IF(bargiri[[#This Row],[مبلغ ناخالص]]-(bargiri[[#This Row],[نرخ استهلاک]]*bargiri[[#This Row],[مقدار]])&lt;0,0,bargiri[[#This Row],[مبلغ ناخالص]]-(bargiri[[#This Row],[نرخ استهلاک]]*bargiri[[#This Row],[مقدار]]))</f>
        <v>1071000000</v>
      </c>
    </row>
    <row r="50" spans="1:17" s="22" customFormat="1" ht="13.8" x14ac:dyDescent="0.25">
      <c r="A50" s="22">
        <v>42</v>
      </c>
      <c r="B50" s="22" t="s">
        <v>986</v>
      </c>
      <c r="C50" s="22" t="s">
        <v>208</v>
      </c>
      <c r="D50" s="22" t="s">
        <v>30</v>
      </c>
      <c r="E50" s="158">
        <v>1440</v>
      </c>
      <c r="F50" s="159">
        <v>89000</v>
      </c>
      <c r="G50" s="159">
        <v>128160000</v>
      </c>
      <c r="H50" s="159">
        <v>12816000</v>
      </c>
      <c r="I50" s="159">
        <v>140976000</v>
      </c>
      <c r="J50" s="159">
        <f>bargiri[[#This Row],[مقدار]]*INDEX(invoice[پیش دریافت به ازای هر کیلوگرم],MATCH(bargiri[[#This Row],[شماره سند مبنا]],invoice[شماره پیش فاکتور],0))</f>
        <v>140976000</v>
      </c>
      <c r="K50" s="159">
        <f>bargiri[[#This Row],[مبلغ خالص]]-bargiri[[#This Row],[میزان استهلاک پیش دریافتی]]</f>
        <v>0</v>
      </c>
      <c r="L50" s="160">
        <v>0</v>
      </c>
      <c r="M50" s="159">
        <v>0</v>
      </c>
      <c r="N50" s="159">
        <f>IF(bargiri[[#This Row],[مبلغ واریزی]]&lt;&gt;"",bargiri[[#This Row],[مانده مبلغ]]-bargiri[[#This Row],[مبلغ واریزی]],bargiri[[#This Row],[مانده مبلغ]])</f>
        <v>0</v>
      </c>
      <c r="O50" s="159">
        <v>0</v>
      </c>
      <c r="P50" s="159">
        <f>VLOOKUP(bargiri[[#This Row],[شماره سند مبنا]],invoice[[شماره پیش فاکتور]:[پیش دریافت به ازای هر کیلوگرم]],14,0)</f>
        <v>97900</v>
      </c>
      <c r="Q50" s="159">
        <f>IF(bargiri[[#This Row],[مبلغ ناخالص]]-(bargiri[[#This Row],[نرخ استهلاک]]*bargiri[[#This Row],[مقدار]])&lt;0,0,bargiri[[#This Row],[مبلغ ناخالص]]-(bargiri[[#This Row],[نرخ استهلاک]]*bargiri[[#This Row],[مقدار]]))</f>
        <v>0</v>
      </c>
    </row>
    <row r="51" spans="1:17" s="22" customFormat="1" ht="13.8" x14ac:dyDescent="0.25">
      <c r="A51" s="22">
        <v>42</v>
      </c>
      <c r="B51" s="22" t="s">
        <v>986</v>
      </c>
      <c r="C51" s="22" t="s">
        <v>988</v>
      </c>
      <c r="D51" s="22" t="s">
        <v>30</v>
      </c>
      <c r="E51" s="158">
        <v>10350</v>
      </c>
      <c r="F51" s="159">
        <v>120000</v>
      </c>
      <c r="G51" s="159">
        <v>1242000000</v>
      </c>
      <c r="H51" s="159">
        <v>124200000</v>
      </c>
      <c r="I51" s="159">
        <v>1366200000</v>
      </c>
      <c r="J51" s="159">
        <f>bargiri[[#This Row],[مقدار]]*INDEX(invoice[پیش دریافت به ازای هر کیلوگرم],MATCH(bargiri[[#This Row],[شماره سند مبنا]],invoice[شماره پیش فاکتور],0))</f>
        <v>683100000</v>
      </c>
      <c r="K51" s="159">
        <f>bargiri[[#This Row],[مبلغ خالص]]-bargiri[[#This Row],[میزان استهلاک پیش دریافتی]]</f>
        <v>683100000</v>
      </c>
      <c r="L51" s="160">
        <v>0</v>
      </c>
      <c r="M51" s="159">
        <v>0</v>
      </c>
      <c r="N51" s="159">
        <f>IF(bargiri[[#This Row],[مبلغ واریزی]]&lt;&gt;"",bargiri[[#This Row],[مانده مبلغ]]-bargiri[[#This Row],[مبلغ واریزی]],bargiri[[#This Row],[مانده مبلغ]])</f>
        <v>683100000</v>
      </c>
      <c r="O51" s="159">
        <v>0</v>
      </c>
      <c r="P51" s="159">
        <f>VLOOKUP(bargiri[[#This Row],[شماره سند مبنا]],invoice[[شماره پیش فاکتور]:[پیش دریافت به ازای هر کیلوگرم]],14,0)</f>
        <v>66000</v>
      </c>
      <c r="Q51" s="159">
        <f>IF(bargiri[[#This Row],[مبلغ ناخالص]]-(bargiri[[#This Row],[نرخ استهلاک]]*bargiri[[#This Row],[مقدار]])&lt;0,0,bargiri[[#This Row],[مبلغ ناخالص]]-(bargiri[[#This Row],[نرخ استهلاک]]*bargiri[[#This Row],[مقدار]]))</f>
        <v>558900000</v>
      </c>
    </row>
    <row r="52" spans="1:17" s="22" customFormat="1" ht="13.8" x14ac:dyDescent="0.25">
      <c r="A52" s="22">
        <v>41</v>
      </c>
      <c r="B52" s="22" t="s">
        <v>989</v>
      </c>
      <c r="C52" s="22" t="s">
        <v>616</v>
      </c>
      <c r="D52" s="22" t="s">
        <v>67</v>
      </c>
      <c r="E52" s="158">
        <v>11055</v>
      </c>
      <c r="F52" s="159">
        <v>142000</v>
      </c>
      <c r="G52" s="159">
        <v>1569810000</v>
      </c>
      <c r="H52" s="159">
        <v>156981000</v>
      </c>
      <c r="I52" s="159">
        <v>1726791000</v>
      </c>
      <c r="J52" s="159">
        <f>bargiri[[#This Row],[مقدار]]*INDEX(invoice[پیش دریافت به ازای هر کیلوگرم],MATCH(bargiri[[#This Row],[شماره سند مبنا]],invoice[شماره پیش فاکتور],0))</f>
        <v>259018650</v>
      </c>
      <c r="K52" s="159">
        <f>bargiri[[#This Row],[مبلغ خالص]]-bargiri[[#This Row],[میزان استهلاک پیش دریافتی]]</f>
        <v>1467772350</v>
      </c>
      <c r="L52" s="160" t="s">
        <v>593</v>
      </c>
      <c r="M52" s="159" t="s">
        <v>593</v>
      </c>
      <c r="N52" s="159">
        <f>IF(bargiri[[#This Row],[مبلغ واریزی]]&lt;&gt;"",bargiri[[#This Row],[مانده مبلغ]]-bargiri[[#This Row],[مبلغ واریزی]],bargiri[[#This Row],[مانده مبلغ]])</f>
        <v>1467772350</v>
      </c>
      <c r="O52" s="159" t="s">
        <v>593</v>
      </c>
      <c r="P52" s="159">
        <f>VLOOKUP(bargiri[[#This Row],[شماره سند مبنا]],invoice[[شماره پیش فاکتور]:[پیش دریافت به ازای هر کیلوگرم]],14,0)</f>
        <v>23430</v>
      </c>
      <c r="Q52" s="159">
        <f>IF(bargiri[[#This Row],[مبلغ ناخالص]]-(bargiri[[#This Row],[نرخ استهلاک]]*bargiri[[#This Row],[مقدار]])&lt;0,0,bargiri[[#This Row],[مبلغ ناخالص]]-(bargiri[[#This Row],[نرخ استهلاک]]*bargiri[[#This Row],[مقدار]]))</f>
        <v>1310791350</v>
      </c>
    </row>
    <row r="53" spans="1:17" s="22" customFormat="1" ht="13.8" x14ac:dyDescent="0.25">
      <c r="A53" s="22">
        <v>41</v>
      </c>
      <c r="B53" s="22" t="s">
        <v>989</v>
      </c>
      <c r="C53" s="22" t="s">
        <v>328</v>
      </c>
      <c r="D53" s="22" t="s">
        <v>67</v>
      </c>
      <c r="E53" s="158">
        <v>8785</v>
      </c>
      <c r="F53" s="159">
        <v>116500</v>
      </c>
      <c r="G53" s="159">
        <v>1023452500</v>
      </c>
      <c r="H53" s="159">
        <v>102345250</v>
      </c>
      <c r="I53" s="159">
        <v>1125797750</v>
      </c>
      <c r="J53" s="159">
        <f>bargiri[[#This Row],[مقدار]]*INDEX(invoice[پیش دریافت به ازای هر کیلوگرم],MATCH(bargiri[[#This Row],[شماره سند مبنا]],invoice[شماره پیش فاکتور],0))</f>
        <v>168869662.5</v>
      </c>
      <c r="K53" s="159">
        <f>bargiri[[#This Row],[مبلغ خالص]]-bargiri[[#This Row],[میزان استهلاک پیش دریافتی]]</f>
        <v>956928087.5</v>
      </c>
      <c r="L53" s="160">
        <v>0</v>
      </c>
      <c r="M53" s="159">
        <v>0</v>
      </c>
      <c r="N53" s="159">
        <f>IF(bargiri[[#This Row],[مبلغ واریزی]]&lt;&gt;"",bargiri[[#This Row],[مانده مبلغ]]-bargiri[[#This Row],[مبلغ واریزی]],bargiri[[#This Row],[مانده مبلغ]])</f>
        <v>956928087.5</v>
      </c>
      <c r="O53" s="159">
        <v>0</v>
      </c>
      <c r="P53" s="159">
        <f>VLOOKUP(bargiri[[#This Row],[شماره سند مبنا]],invoice[[شماره پیش فاکتور]:[پیش دریافت به ازای هر کیلوگرم]],14,0)</f>
        <v>19222.5</v>
      </c>
      <c r="Q53" s="159">
        <f>IF(bargiri[[#This Row],[مبلغ ناخالص]]-(bargiri[[#This Row],[نرخ استهلاک]]*bargiri[[#This Row],[مقدار]])&lt;0,0,bargiri[[#This Row],[مبلغ ناخالص]]-(bargiri[[#This Row],[نرخ استهلاک]]*bargiri[[#This Row],[مقدار]]))</f>
        <v>854582837.5</v>
      </c>
    </row>
    <row r="54" spans="1:17" s="22" customFormat="1" ht="13.8" x14ac:dyDescent="0.25">
      <c r="A54" s="22">
        <v>40</v>
      </c>
      <c r="B54" s="22" t="s">
        <v>990</v>
      </c>
      <c r="C54" s="22" t="s">
        <v>461</v>
      </c>
      <c r="D54" s="22" t="s">
        <v>35</v>
      </c>
      <c r="E54" s="158">
        <v>6940</v>
      </c>
      <c r="F54" s="159">
        <v>142000</v>
      </c>
      <c r="G54" s="159">
        <v>985480000</v>
      </c>
      <c r="H54" s="159">
        <v>98548000</v>
      </c>
      <c r="I54" s="159">
        <v>1084028000</v>
      </c>
      <c r="J54" s="159">
        <f>bargiri[[#This Row],[مقدار]]*INDEX(invoice[پیش دریافت به ازای هر کیلوگرم],MATCH(bargiri[[#This Row],[شماره سند مبنا]],invoice[شماره پیش فاکتور],0))</f>
        <v>227758666.09144849</v>
      </c>
      <c r="K54" s="159">
        <f>bargiri[[#This Row],[مبلغ خالص]]-bargiri[[#This Row],[میزان استهلاک پیش دریافتی]]</f>
        <v>856269333.90855145</v>
      </c>
      <c r="L54" s="160" t="s">
        <v>593</v>
      </c>
      <c r="M54" s="159" t="s">
        <v>593</v>
      </c>
      <c r="N54" s="159">
        <f>IF(bargiri[[#This Row],[مبلغ واریزی]]&lt;&gt;"",bargiri[[#This Row],[مانده مبلغ]]-bargiri[[#This Row],[مبلغ واریزی]],bargiri[[#This Row],[مانده مبلغ]])</f>
        <v>856269333.90855145</v>
      </c>
      <c r="O54" s="159" t="s">
        <v>593</v>
      </c>
      <c r="P54" s="159">
        <f>VLOOKUP(bargiri[[#This Row],[شماره سند مبنا]],invoice[[شماره پیش فاکتور]:[پیش دریافت به ازای هر کیلوگرم]],14,0)</f>
        <v>32818.251598191426</v>
      </c>
      <c r="Q54" s="159">
        <f>IF(bargiri[[#This Row],[مبلغ ناخالص]]-(bargiri[[#This Row],[نرخ استهلاک]]*bargiri[[#This Row],[مقدار]])&lt;0,0,bargiri[[#This Row],[مبلغ ناخالص]]-(bargiri[[#This Row],[نرخ استهلاک]]*bargiri[[#This Row],[مقدار]]))</f>
        <v>757721333.90855145</v>
      </c>
    </row>
    <row r="55" spans="1:17" s="22" customFormat="1" ht="13.8" x14ac:dyDescent="0.25">
      <c r="A55" s="22">
        <v>39</v>
      </c>
      <c r="B55" s="22" t="s">
        <v>990</v>
      </c>
      <c r="C55" s="22" t="s">
        <v>616</v>
      </c>
      <c r="D55" s="22" t="s">
        <v>67</v>
      </c>
      <c r="E55" s="158">
        <v>17740</v>
      </c>
      <c r="F55" s="159">
        <v>142000</v>
      </c>
      <c r="G55" s="159">
        <v>2519080000</v>
      </c>
      <c r="H55" s="159">
        <v>251908000</v>
      </c>
      <c r="I55" s="159">
        <v>2770988000</v>
      </c>
      <c r="J55" s="159">
        <f>bargiri[[#This Row],[مقدار]]*INDEX(invoice[پیش دریافت به ازای هر کیلوگرم],MATCH(bargiri[[#This Row],[شماره سند مبنا]],invoice[شماره پیش فاکتور],0))</f>
        <v>415648200</v>
      </c>
      <c r="K55" s="159">
        <f>bargiri[[#This Row],[مبلغ خالص]]-bargiri[[#This Row],[میزان استهلاک پیش دریافتی]]</f>
        <v>2355339800</v>
      </c>
      <c r="L55" s="160" t="s">
        <v>593</v>
      </c>
      <c r="M55" s="159" t="s">
        <v>593</v>
      </c>
      <c r="N55" s="159">
        <f>IF(bargiri[[#This Row],[مبلغ واریزی]]&lt;&gt;"",bargiri[[#This Row],[مانده مبلغ]]-bargiri[[#This Row],[مبلغ واریزی]],bargiri[[#This Row],[مانده مبلغ]])</f>
        <v>2355339800</v>
      </c>
      <c r="O55" s="159" t="s">
        <v>593</v>
      </c>
      <c r="P55" s="159">
        <f>VLOOKUP(bargiri[[#This Row],[شماره سند مبنا]],invoice[[شماره پیش فاکتور]:[پیش دریافت به ازای هر کیلوگرم]],14,0)</f>
        <v>23430</v>
      </c>
      <c r="Q55" s="159">
        <f>IF(bargiri[[#This Row],[مبلغ ناخالص]]-(bargiri[[#This Row],[نرخ استهلاک]]*bargiri[[#This Row],[مقدار]])&lt;0,0,bargiri[[#This Row],[مبلغ ناخالص]]-(bargiri[[#This Row],[نرخ استهلاک]]*bargiri[[#This Row],[مقدار]]))</f>
        <v>2103431800</v>
      </c>
    </row>
    <row r="56" spans="1:17" s="22" customFormat="1" ht="13.8" x14ac:dyDescent="0.25">
      <c r="A56" s="22">
        <v>38</v>
      </c>
      <c r="B56" s="22" t="s">
        <v>990</v>
      </c>
      <c r="C56" s="22" t="s">
        <v>904</v>
      </c>
      <c r="D56" s="22" t="s">
        <v>17</v>
      </c>
      <c r="E56" s="158">
        <v>22100</v>
      </c>
      <c r="F56" s="159">
        <v>167500</v>
      </c>
      <c r="G56" s="159">
        <v>3701750000</v>
      </c>
      <c r="H56" s="159">
        <v>370175000</v>
      </c>
      <c r="I56" s="159">
        <v>4071925000</v>
      </c>
      <c r="J56" s="159">
        <f>bargiri[[#This Row],[مقدار]]*INDEX(invoice[پیش دریافت به ازای هر کیلوگرم],MATCH(bargiri[[#This Row],[شماره سند مبنا]],invoice[شماره پیش فاکتور],0))</f>
        <v>4071925000</v>
      </c>
      <c r="K56" s="159">
        <f>bargiri[[#This Row],[مبلغ خالص]]-bargiri[[#This Row],[میزان استهلاک پیش دریافتی]]</f>
        <v>0</v>
      </c>
      <c r="L56" s="160" t="s">
        <v>593</v>
      </c>
      <c r="M56" s="159" t="s">
        <v>593</v>
      </c>
      <c r="N56" s="159">
        <f>IF(bargiri[[#This Row],[مبلغ واریزی]]&lt;&gt;"",bargiri[[#This Row],[مانده مبلغ]]-bargiri[[#This Row],[مبلغ واریزی]],bargiri[[#This Row],[مانده مبلغ]])</f>
        <v>0</v>
      </c>
      <c r="O56" s="159" t="s">
        <v>593</v>
      </c>
      <c r="P56" s="159">
        <f>VLOOKUP(bargiri[[#This Row],[شماره سند مبنا]],invoice[[شماره پیش فاکتور]:[پیش دریافت به ازای هر کیلوگرم]],14,0)</f>
        <v>184250</v>
      </c>
      <c r="Q56" s="159">
        <f>IF(bargiri[[#This Row],[مبلغ ناخالص]]-(bargiri[[#This Row],[نرخ استهلاک]]*bargiri[[#This Row],[مقدار]])&lt;0,0,bargiri[[#This Row],[مبلغ ناخالص]]-(bargiri[[#This Row],[نرخ استهلاک]]*bargiri[[#This Row],[مقدار]]))</f>
        <v>0</v>
      </c>
    </row>
    <row r="57" spans="1:17" s="22" customFormat="1" ht="13.8" x14ac:dyDescent="0.25">
      <c r="A57" s="22">
        <v>37</v>
      </c>
      <c r="B57" s="22" t="s">
        <v>990</v>
      </c>
      <c r="C57" s="22" t="s">
        <v>723</v>
      </c>
      <c r="D57" s="22" t="s">
        <v>116</v>
      </c>
      <c r="E57" s="158">
        <v>19940</v>
      </c>
      <c r="F57" s="159">
        <v>105000</v>
      </c>
      <c r="G57" s="159">
        <v>2093700000</v>
      </c>
      <c r="H57" s="159">
        <v>209370000</v>
      </c>
      <c r="I57" s="159">
        <v>2303070000</v>
      </c>
      <c r="J57" s="159">
        <f>bargiri[[#This Row],[مقدار]]*INDEX(invoice[پیش دریافت به ازای هر کیلوگرم],MATCH(bargiri[[#This Row],[شماره سند مبنا]],invoice[شماره پیش فاکتور],0))</f>
        <v>1046850000</v>
      </c>
      <c r="K57" s="159">
        <f>bargiri[[#This Row],[مبلغ خالص]]-bargiri[[#This Row],[میزان استهلاک پیش دریافتی]]</f>
        <v>1256220000</v>
      </c>
      <c r="L57" s="160" t="s">
        <v>593</v>
      </c>
      <c r="M57" s="159" t="s">
        <v>593</v>
      </c>
      <c r="N57" s="159">
        <f>IF(bargiri[[#This Row],[مبلغ واریزی]]&lt;&gt;"",bargiri[[#This Row],[مانده مبلغ]]-bargiri[[#This Row],[مبلغ واریزی]],bargiri[[#This Row],[مانده مبلغ]])</f>
        <v>1256220000</v>
      </c>
      <c r="O57" s="159" t="s">
        <v>593</v>
      </c>
      <c r="P57" s="159">
        <f>VLOOKUP(bargiri[[#This Row],[شماره سند مبنا]],invoice[[شماره پیش فاکتور]:[پیش دریافت به ازای هر کیلوگرم]],14,0)</f>
        <v>52500</v>
      </c>
      <c r="Q57" s="159">
        <f>IF(bargiri[[#This Row],[مبلغ ناخالص]]-(bargiri[[#This Row],[نرخ استهلاک]]*bargiri[[#This Row],[مقدار]])&lt;0,0,bargiri[[#This Row],[مبلغ ناخالص]]-(bargiri[[#This Row],[نرخ استهلاک]]*bargiri[[#This Row],[مقدار]]))</f>
        <v>1046850000</v>
      </c>
    </row>
    <row r="58" spans="1:17" s="22" customFormat="1" ht="13.8" x14ac:dyDescent="0.25">
      <c r="A58" s="22">
        <v>36</v>
      </c>
      <c r="B58" s="22" t="s">
        <v>991</v>
      </c>
      <c r="C58" s="22" t="s">
        <v>616</v>
      </c>
      <c r="D58" s="22" t="s">
        <v>67</v>
      </c>
      <c r="E58" s="158">
        <v>19820</v>
      </c>
      <c r="F58" s="159">
        <v>142000</v>
      </c>
      <c r="G58" s="159">
        <v>2814440000</v>
      </c>
      <c r="H58" s="159">
        <v>281444000</v>
      </c>
      <c r="I58" s="159">
        <v>3095884000</v>
      </c>
      <c r="J58" s="159">
        <f>bargiri[[#This Row],[مقدار]]*INDEX(invoice[پیش دریافت به ازای هر کیلوگرم],MATCH(bargiri[[#This Row],[شماره سند مبنا]],invoice[شماره پیش فاکتور],0))</f>
        <v>464382600</v>
      </c>
      <c r="K58" s="159">
        <f>bargiri[[#This Row],[مبلغ خالص]]-bargiri[[#This Row],[میزان استهلاک پیش دریافتی]]</f>
        <v>2631501400</v>
      </c>
      <c r="L58" s="160" t="s">
        <v>593</v>
      </c>
      <c r="M58" s="159" t="s">
        <v>593</v>
      </c>
      <c r="N58" s="159">
        <f>IF(bargiri[[#This Row],[مبلغ واریزی]]&lt;&gt;"",bargiri[[#This Row],[مانده مبلغ]]-bargiri[[#This Row],[مبلغ واریزی]],bargiri[[#This Row],[مانده مبلغ]])</f>
        <v>2631501400</v>
      </c>
      <c r="O58" s="159" t="s">
        <v>593</v>
      </c>
      <c r="P58" s="159">
        <f>VLOOKUP(bargiri[[#This Row],[شماره سند مبنا]],invoice[[شماره پیش فاکتور]:[پیش دریافت به ازای هر کیلوگرم]],14,0)</f>
        <v>23430</v>
      </c>
      <c r="Q58" s="159">
        <f>IF(bargiri[[#This Row],[مبلغ ناخالص]]-(bargiri[[#This Row],[نرخ استهلاک]]*bargiri[[#This Row],[مقدار]])&lt;0,0,bargiri[[#This Row],[مبلغ ناخالص]]-(bargiri[[#This Row],[نرخ استهلاک]]*bargiri[[#This Row],[مقدار]]))</f>
        <v>2350057400</v>
      </c>
    </row>
    <row r="59" spans="1:17" s="22" customFormat="1" ht="13.8" x14ac:dyDescent="0.25">
      <c r="A59" s="22">
        <v>35</v>
      </c>
      <c r="B59" s="22" t="s">
        <v>991</v>
      </c>
      <c r="C59" s="22" t="s">
        <v>895</v>
      </c>
      <c r="D59" s="22" t="s">
        <v>43</v>
      </c>
      <c r="E59" s="158">
        <v>20140</v>
      </c>
      <c r="F59" s="159">
        <v>125000</v>
      </c>
      <c r="G59" s="159">
        <v>2517500000</v>
      </c>
      <c r="H59" s="159">
        <v>251750000</v>
      </c>
      <c r="I59" s="159">
        <v>2769250000</v>
      </c>
      <c r="J59" s="159">
        <f>bargiri[[#This Row],[مقدار]]*INDEX(invoice[پیش دریافت به ازای هر کیلوگرم],MATCH(bargiri[[#This Row],[شماره سند مبنا]],invoice[شماره پیش فاکتور],0))</f>
        <v>830775000</v>
      </c>
      <c r="K59" s="159">
        <f>bargiri[[#This Row],[مبلغ خالص]]-bargiri[[#This Row],[میزان استهلاک پیش دریافتی]]</f>
        <v>1938475000</v>
      </c>
      <c r="L59" s="160" t="s">
        <v>593</v>
      </c>
      <c r="M59" s="159" t="s">
        <v>593</v>
      </c>
      <c r="N59" s="159">
        <f>IF(bargiri[[#This Row],[مبلغ واریزی]]&lt;&gt;"",bargiri[[#This Row],[مانده مبلغ]]-bargiri[[#This Row],[مبلغ واریزی]],bargiri[[#This Row],[مانده مبلغ]])</f>
        <v>1938475000</v>
      </c>
      <c r="O59" s="159" t="s">
        <v>593</v>
      </c>
      <c r="P59" s="159">
        <f>VLOOKUP(bargiri[[#This Row],[شماره سند مبنا]],invoice[[شماره پیش فاکتور]:[پیش دریافت به ازای هر کیلوگرم]],14,0)</f>
        <v>41250</v>
      </c>
      <c r="Q59" s="159">
        <f>IF(bargiri[[#This Row],[مبلغ ناخالص]]-(bargiri[[#This Row],[نرخ استهلاک]]*bargiri[[#This Row],[مقدار]])&lt;0,0,bargiri[[#This Row],[مبلغ ناخالص]]-(bargiri[[#This Row],[نرخ استهلاک]]*bargiri[[#This Row],[مقدار]]))</f>
        <v>1686725000</v>
      </c>
    </row>
    <row r="60" spans="1:17" s="22" customFormat="1" ht="13.8" x14ac:dyDescent="0.25">
      <c r="A60" s="22">
        <v>34</v>
      </c>
      <c r="B60" s="22" t="s">
        <v>991</v>
      </c>
      <c r="C60" s="22" t="s">
        <v>665</v>
      </c>
      <c r="D60" s="22" t="s">
        <v>40</v>
      </c>
      <c r="E60" s="158">
        <v>17530</v>
      </c>
      <c r="F60" s="159">
        <v>116500</v>
      </c>
      <c r="G60" s="159">
        <v>2042245000</v>
      </c>
      <c r="H60" s="159">
        <v>204224500</v>
      </c>
      <c r="I60" s="159">
        <v>2246469500</v>
      </c>
      <c r="J60" s="159">
        <f>bargiri[[#This Row],[مقدار]]*INDEX(invoice[پیش دریافت به ازای هر کیلوگرم],MATCH(bargiri[[#This Row],[شماره سند مبنا]],invoice[شماره پیش فاکتور],0))</f>
        <v>2246469500</v>
      </c>
      <c r="K60" s="159">
        <f>bargiri[[#This Row],[مبلغ خالص]]-bargiri[[#This Row],[میزان استهلاک پیش دریافتی]]</f>
        <v>0</v>
      </c>
      <c r="L60" s="160" t="s">
        <v>593</v>
      </c>
      <c r="M60" s="159" t="s">
        <v>593</v>
      </c>
      <c r="N60" s="159">
        <f>IF(bargiri[[#This Row],[مبلغ واریزی]]&lt;&gt;"",bargiri[[#This Row],[مانده مبلغ]]-bargiri[[#This Row],[مبلغ واریزی]],bargiri[[#This Row],[مانده مبلغ]])</f>
        <v>0</v>
      </c>
      <c r="O60" s="159" t="s">
        <v>593</v>
      </c>
      <c r="P60" s="159">
        <f>VLOOKUP(bargiri[[#This Row],[شماره سند مبنا]],invoice[[شماره پیش فاکتور]:[پیش دریافت به ازای هر کیلوگرم]],14,0)</f>
        <v>128150</v>
      </c>
      <c r="Q60" s="159">
        <f>IF(bargiri[[#This Row],[مبلغ ناخالص]]-(bargiri[[#This Row],[نرخ استهلاک]]*bargiri[[#This Row],[مقدار]])&lt;0,0,bargiri[[#This Row],[مبلغ ناخالص]]-(bargiri[[#This Row],[نرخ استهلاک]]*bargiri[[#This Row],[مقدار]]))</f>
        <v>0</v>
      </c>
    </row>
    <row r="61" spans="1:17" s="22" customFormat="1" ht="13.8" x14ac:dyDescent="0.25">
      <c r="A61" s="22">
        <v>33</v>
      </c>
      <c r="B61" s="22" t="s">
        <v>991</v>
      </c>
      <c r="C61" s="22" t="s">
        <v>607</v>
      </c>
      <c r="D61" s="22" t="s">
        <v>180</v>
      </c>
      <c r="E61" s="158">
        <v>7090</v>
      </c>
      <c r="F61" s="159">
        <v>142000</v>
      </c>
      <c r="G61" s="159">
        <v>1006780000</v>
      </c>
      <c r="H61" s="159">
        <v>100678000</v>
      </c>
      <c r="I61" s="159">
        <v>1107458000</v>
      </c>
      <c r="J61" s="159">
        <f>bargiri[[#This Row],[مقدار]]*INDEX(invoice[پیش دریافت به ازای هر کیلوگرم],MATCH(bargiri[[#This Row],[شماره سند مبنا]],invoice[شماره پیش فاکتور],0))</f>
        <v>529246451.20181245</v>
      </c>
      <c r="K61" s="159">
        <f>bargiri[[#This Row],[مبلغ خالص]]-bargiri[[#This Row],[میزان استهلاک پیش دریافتی]]</f>
        <v>578211548.79818749</v>
      </c>
      <c r="L61" s="160" t="s">
        <v>593</v>
      </c>
      <c r="M61" s="159" t="s">
        <v>593</v>
      </c>
      <c r="N61" s="159">
        <f>IF(bargiri[[#This Row],[مبلغ واریزی]]&lt;&gt;"",bargiri[[#This Row],[مانده مبلغ]]-bargiri[[#This Row],[مبلغ واریزی]],bargiri[[#This Row],[مانده مبلغ]])</f>
        <v>578211548.79818749</v>
      </c>
      <c r="O61" s="159" t="s">
        <v>593</v>
      </c>
      <c r="P61" s="159">
        <f>VLOOKUP(bargiri[[#This Row],[شماره سند مبنا]],invoice[[شماره پیش فاکتور]:[پیش دریافت به ازای هر کیلوگرم]],14,0)</f>
        <v>74646.890155403729</v>
      </c>
      <c r="Q61" s="159">
        <f>IF(bargiri[[#This Row],[مبلغ ناخالص]]-(bargiri[[#This Row],[نرخ استهلاک]]*bargiri[[#This Row],[مقدار]])&lt;0,0,bargiri[[#This Row],[مبلغ ناخالص]]-(bargiri[[#This Row],[نرخ استهلاک]]*bargiri[[#This Row],[مقدار]]))</f>
        <v>477533548.79818755</v>
      </c>
    </row>
    <row r="62" spans="1:17" s="22" customFormat="1" ht="13.8" x14ac:dyDescent="0.25">
      <c r="A62" s="22">
        <v>32</v>
      </c>
      <c r="B62" s="22" t="s">
        <v>992</v>
      </c>
      <c r="C62" s="22" t="s">
        <v>720</v>
      </c>
      <c r="D62" s="22" t="s">
        <v>20</v>
      </c>
      <c r="E62" s="158">
        <v>20080</v>
      </c>
      <c r="F62" s="159">
        <v>105000</v>
      </c>
      <c r="G62" s="159">
        <v>2108400000</v>
      </c>
      <c r="H62" s="159">
        <v>210840000</v>
      </c>
      <c r="I62" s="159">
        <v>2319240000</v>
      </c>
      <c r="J62" s="159">
        <f>bargiri[[#This Row],[مقدار]]*INDEX(invoice[پیش دریافت به ازای هر کیلوگرم],MATCH(bargiri[[#This Row],[شماره سند مبنا]],invoice[شماره پیش فاکتور],0))</f>
        <v>1054200000</v>
      </c>
      <c r="K62" s="159">
        <f>bargiri[[#This Row],[مبلغ خالص]]-bargiri[[#This Row],[میزان استهلاک پیش دریافتی]]</f>
        <v>1265040000</v>
      </c>
      <c r="L62" s="160" t="s">
        <v>593</v>
      </c>
      <c r="M62" s="159" t="s">
        <v>593</v>
      </c>
      <c r="N62" s="159">
        <f>IF(bargiri[[#This Row],[مبلغ واریزی]]&lt;&gt;"",bargiri[[#This Row],[مانده مبلغ]]-bargiri[[#This Row],[مبلغ واریزی]],bargiri[[#This Row],[مانده مبلغ]])</f>
        <v>1265040000</v>
      </c>
      <c r="O62" s="159" t="s">
        <v>593</v>
      </c>
      <c r="P62" s="159">
        <f>VLOOKUP(bargiri[[#This Row],[شماره سند مبنا]],invoice[[شماره پیش فاکتور]:[پیش دریافت به ازای هر کیلوگرم]],14,0)</f>
        <v>52500</v>
      </c>
      <c r="Q62" s="159">
        <f>IF(bargiri[[#This Row],[مبلغ ناخالص]]-(bargiri[[#This Row],[نرخ استهلاک]]*bargiri[[#This Row],[مقدار]])&lt;0,0,bargiri[[#This Row],[مبلغ ناخالص]]-(bargiri[[#This Row],[نرخ استهلاک]]*bargiri[[#This Row],[مقدار]]))</f>
        <v>1054200000</v>
      </c>
    </row>
    <row r="63" spans="1:17" s="22" customFormat="1" ht="13.8" x14ac:dyDescent="0.25">
      <c r="A63" s="22">
        <v>31</v>
      </c>
      <c r="B63" s="22" t="s">
        <v>993</v>
      </c>
      <c r="C63" s="22" t="s">
        <v>616</v>
      </c>
      <c r="D63" s="22" t="s">
        <v>67</v>
      </c>
      <c r="E63" s="158">
        <v>20020</v>
      </c>
      <c r="F63" s="159">
        <v>142000</v>
      </c>
      <c r="G63" s="159">
        <v>2842840000</v>
      </c>
      <c r="H63" s="159">
        <v>284284000</v>
      </c>
      <c r="I63" s="159">
        <v>3127124000</v>
      </c>
      <c r="J63" s="159">
        <f>bargiri[[#This Row],[مقدار]]*INDEX(invoice[پیش دریافت به ازای هر کیلوگرم],MATCH(bargiri[[#This Row],[شماره سند مبنا]],invoice[شماره پیش فاکتور],0))</f>
        <v>469068600</v>
      </c>
      <c r="K63" s="159">
        <f>bargiri[[#This Row],[مبلغ خالص]]-bargiri[[#This Row],[میزان استهلاک پیش دریافتی]]</f>
        <v>2658055400</v>
      </c>
      <c r="L63" s="160" t="s">
        <v>593</v>
      </c>
      <c r="M63" s="159" t="s">
        <v>593</v>
      </c>
      <c r="N63" s="159">
        <f>IF(bargiri[[#This Row],[مبلغ واریزی]]&lt;&gt;"",bargiri[[#This Row],[مانده مبلغ]]-bargiri[[#This Row],[مبلغ واریزی]],bargiri[[#This Row],[مانده مبلغ]])</f>
        <v>2658055400</v>
      </c>
      <c r="O63" s="159" t="s">
        <v>593</v>
      </c>
      <c r="P63" s="159">
        <f>VLOOKUP(bargiri[[#This Row],[شماره سند مبنا]],invoice[[شماره پیش فاکتور]:[پیش دریافت به ازای هر کیلوگرم]],14,0)</f>
        <v>23430</v>
      </c>
      <c r="Q63" s="159">
        <f>IF(bargiri[[#This Row],[مبلغ ناخالص]]-(bargiri[[#This Row],[نرخ استهلاک]]*bargiri[[#This Row],[مقدار]])&lt;0,0,bargiri[[#This Row],[مبلغ ناخالص]]-(bargiri[[#This Row],[نرخ استهلاک]]*bargiri[[#This Row],[مقدار]]))</f>
        <v>2373771400</v>
      </c>
    </row>
    <row r="64" spans="1:17" s="22" customFormat="1" ht="13.8" x14ac:dyDescent="0.25">
      <c r="A64" s="22">
        <v>30</v>
      </c>
      <c r="B64" s="22" t="s">
        <v>994</v>
      </c>
      <c r="C64" s="22" t="s">
        <v>665</v>
      </c>
      <c r="D64" s="22" t="s">
        <v>40</v>
      </c>
      <c r="E64" s="158">
        <v>15950</v>
      </c>
      <c r="F64" s="159">
        <v>116500</v>
      </c>
      <c r="G64" s="159">
        <v>1858175000</v>
      </c>
      <c r="H64" s="159">
        <v>185817500</v>
      </c>
      <c r="I64" s="159">
        <v>2043992500</v>
      </c>
      <c r="J64" s="159">
        <f>bargiri[[#This Row],[مقدار]]*INDEX(invoice[پیش دریافت به ازای هر کیلوگرم],MATCH(bargiri[[#This Row],[شماره سند مبنا]],invoice[شماره پیش فاکتور],0))</f>
        <v>2043992500</v>
      </c>
      <c r="K64" s="159">
        <f>bargiri[[#This Row],[مبلغ خالص]]-bargiri[[#This Row],[میزان استهلاک پیش دریافتی]]</f>
        <v>0</v>
      </c>
      <c r="L64" s="160" t="s">
        <v>200</v>
      </c>
      <c r="M64" s="159">
        <v>584960000</v>
      </c>
      <c r="N64" s="159">
        <f>IF(bargiri[[#This Row],[مبلغ واریزی]]&lt;&gt;"",bargiri[[#This Row],[مانده مبلغ]]-bargiri[[#This Row],[مبلغ واریزی]],bargiri[[#This Row],[مانده مبلغ]])</f>
        <v>-584960000</v>
      </c>
      <c r="O64" s="159">
        <v>0</v>
      </c>
      <c r="P64" s="159">
        <f>VLOOKUP(bargiri[[#This Row],[شماره سند مبنا]],invoice[[شماره پیش فاکتور]:[پیش دریافت به ازای هر کیلوگرم]],14,0)</f>
        <v>128150</v>
      </c>
      <c r="Q64" s="159">
        <f>IF(bargiri[[#This Row],[مبلغ ناخالص]]-(bargiri[[#This Row],[نرخ استهلاک]]*bargiri[[#This Row],[مقدار]])&lt;0,0,bargiri[[#This Row],[مبلغ ناخالص]]-(bargiri[[#This Row],[نرخ استهلاک]]*bargiri[[#This Row],[مقدار]]))</f>
        <v>0</v>
      </c>
    </row>
    <row r="65" spans="1:17" s="22" customFormat="1" ht="13.8" x14ac:dyDescent="0.25">
      <c r="A65" s="22">
        <v>29</v>
      </c>
      <c r="B65" s="22" t="s">
        <v>994</v>
      </c>
      <c r="C65" s="22" t="s">
        <v>603</v>
      </c>
      <c r="D65" s="22" t="s">
        <v>40</v>
      </c>
      <c r="E65" s="158">
        <v>18170</v>
      </c>
      <c r="F65" s="159">
        <v>142000</v>
      </c>
      <c r="G65" s="159">
        <v>2580140000</v>
      </c>
      <c r="H65" s="159">
        <v>258014000</v>
      </c>
      <c r="I65" s="159">
        <v>2838154000</v>
      </c>
      <c r="J65" s="159">
        <f>bargiri[[#This Row],[مقدار]]*INDEX(invoice[پیش دریافت به ازای هر کیلوگرم],MATCH(bargiri[[#This Row],[شماره سند مبنا]],invoice[شماره پیش فاکتور],0))</f>
        <v>1303899234.303216</v>
      </c>
      <c r="K65" s="159">
        <f>bargiri[[#This Row],[مبلغ خالص]]-bargiri[[#This Row],[میزان استهلاک پیش دریافتی]]</f>
        <v>1534254765.696784</v>
      </c>
      <c r="L65" s="160" t="s">
        <v>593</v>
      </c>
      <c r="M65" s="159" t="s">
        <v>593</v>
      </c>
      <c r="N65" s="159">
        <f>IF(bargiri[[#This Row],[مبلغ واریزی]]&lt;&gt;"",bargiri[[#This Row],[مانده مبلغ]]-bargiri[[#This Row],[مبلغ واریزی]],bargiri[[#This Row],[مانده مبلغ]])</f>
        <v>1534254765.696784</v>
      </c>
      <c r="O65" s="159" t="s">
        <v>593</v>
      </c>
      <c r="P65" s="159">
        <f>VLOOKUP(bargiri[[#This Row],[شماره سند مبنا]],invoice[[شماره پیش فاکتور]:[پیش دریافت به ازای هر کیلوگرم]],14,0)</f>
        <v>71761.102603369072</v>
      </c>
      <c r="Q65" s="159">
        <f>IF(bargiri[[#This Row],[مبلغ ناخالص]]-(bargiri[[#This Row],[نرخ استهلاک]]*bargiri[[#This Row],[مقدار]])&lt;0,0,bargiri[[#This Row],[مبلغ ناخالص]]-(bargiri[[#This Row],[نرخ استهلاک]]*bargiri[[#This Row],[مقدار]]))</f>
        <v>1276240765.696784</v>
      </c>
    </row>
    <row r="66" spans="1:17" s="22" customFormat="1" ht="13.8" x14ac:dyDescent="0.25">
      <c r="A66" s="22">
        <v>28</v>
      </c>
      <c r="B66" s="22" t="s">
        <v>995</v>
      </c>
      <c r="C66" s="22" t="s">
        <v>616</v>
      </c>
      <c r="D66" s="22" t="s">
        <v>67</v>
      </c>
      <c r="E66" s="158">
        <v>17620</v>
      </c>
      <c r="F66" s="159">
        <v>142000</v>
      </c>
      <c r="G66" s="159">
        <v>2502040000</v>
      </c>
      <c r="H66" s="159">
        <v>250204000</v>
      </c>
      <c r="I66" s="159">
        <v>2752244000</v>
      </c>
      <c r="J66" s="159">
        <f>bargiri[[#This Row],[مقدار]]*INDEX(invoice[پیش دریافت به ازای هر کیلوگرم],MATCH(bargiri[[#This Row],[شماره سند مبنا]],invoice[شماره پیش فاکتور],0))</f>
        <v>412836600</v>
      </c>
      <c r="K66" s="159">
        <f>bargiri[[#This Row],[مبلغ خالص]]-bargiri[[#This Row],[میزان استهلاک پیش دریافتی]]</f>
        <v>2339407400</v>
      </c>
      <c r="L66" s="160" t="s">
        <v>593</v>
      </c>
      <c r="M66" s="159" t="s">
        <v>593</v>
      </c>
      <c r="N66" s="159">
        <f>IF(bargiri[[#This Row],[مبلغ واریزی]]&lt;&gt;"",bargiri[[#This Row],[مانده مبلغ]]-bargiri[[#This Row],[مبلغ واریزی]],bargiri[[#This Row],[مانده مبلغ]])</f>
        <v>2339407400</v>
      </c>
      <c r="O66" s="159" t="s">
        <v>593</v>
      </c>
      <c r="P66" s="159">
        <f>VLOOKUP(bargiri[[#This Row],[شماره سند مبنا]],invoice[[شماره پیش فاکتور]:[پیش دریافت به ازای هر کیلوگرم]],14,0)</f>
        <v>23430</v>
      </c>
      <c r="Q66" s="159">
        <f>IF(bargiri[[#This Row],[مبلغ ناخالص]]-(bargiri[[#This Row],[نرخ استهلاک]]*bargiri[[#This Row],[مقدار]])&lt;0,0,bargiri[[#This Row],[مبلغ ناخالص]]-(bargiri[[#This Row],[نرخ استهلاک]]*bargiri[[#This Row],[مقدار]]))</f>
        <v>2089203400</v>
      </c>
    </row>
    <row r="67" spans="1:17" s="22" customFormat="1" ht="13.8" x14ac:dyDescent="0.25">
      <c r="A67" s="22">
        <v>27</v>
      </c>
      <c r="B67" s="22" t="s">
        <v>996</v>
      </c>
      <c r="C67" s="22" t="s">
        <v>723</v>
      </c>
      <c r="D67" s="22" t="s">
        <v>116</v>
      </c>
      <c r="E67" s="158">
        <v>20890</v>
      </c>
      <c r="F67" s="159">
        <v>105000</v>
      </c>
      <c r="G67" s="159">
        <v>2193450000</v>
      </c>
      <c r="H67" s="159">
        <v>219345000</v>
      </c>
      <c r="I67" s="159">
        <v>2412795000</v>
      </c>
      <c r="J67" s="159">
        <f>bargiri[[#This Row],[مقدار]]*INDEX(invoice[پیش دریافت به ازای هر کیلوگرم],MATCH(bargiri[[#This Row],[شماره سند مبنا]],invoice[شماره پیش فاکتور],0))</f>
        <v>1096725000</v>
      </c>
      <c r="K67" s="159">
        <f>bargiri[[#This Row],[مبلغ خالص]]-bargiri[[#This Row],[میزان استهلاک پیش دریافتی]]</f>
        <v>1316070000</v>
      </c>
      <c r="L67" s="160">
        <v>0</v>
      </c>
      <c r="M67" s="159">
        <v>0</v>
      </c>
      <c r="N67" s="159">
        <f>IF(bargiri[[#This Row],[مبلغ واریزی]]&lt;&gt;"",bargiri[[#This Row],[مانده مبلغ]]-bargiri[[#This Row],[مبلغ واریزی]],bargiri[[#This Row],[مانده مبلغ]])</f>
        <v>1316070000</v>
      </c>
      <c r="O67" s="159" t="s">
        <v>374</v>
      </c>
      <c r="P67" s="159">
        <f>VLOOKUP(bargiri[[#This Row],[شماره سند مبنا]],invoice[[شماره پیش فاکتور]:[پیش دریافت به ازای هر کیلوگرم]],14,0)</f>
        <v>52500</v>
      </c>
      <c r="Q67" s="159">
        <f>IF(bargiri[[#This Row],[مبلغ ناخالص]]-(bargiri[[#This Row],[نرخ استهلاک]]*bargiri[[#This Row],[مقدار]])&lt;0,0,bargiri[[#This Row],[مبلغ ناخالص]]-(bargiri[[#This Row],[نرخ استهلاک]]*bargiri[[#This Row],[مقدار]]))</f>
        <v>1096725000</v>
      </c>
    </row>
    <row r="68" spans="1:17" s="22" customFormat="1" ht="13.8" x14ac:dyDescent="0.25">
      <c r="A68" s="22">
        <v>26</v>
      </c>
      <c r="B68" s="22" t="s">
        <v>996</v>
      </c>
      <c r="C68" s="22" t="s">
        <v>616</v>
      </c>
      <c r="D68" s="22" t="s">
        <v>67</v>
      </c>
      <c r="E68" s="158">
        <v>19970</v>
      </c>
      <c r="F68" s="159">
        <v>142000</v>
      </c>
      <c r="G68" s="159">
        <v>2835740000</v>
      </c>
      <c r="H68" s="159">
        <v>283574000</v>
      </c>
      <c r="I68" s="159">
        <v>3119314000</v>
      </c>
      <c r="J68" s="159">
        <f>bargiri[[#This Row],[مقدار]]*INDEX(invoice[پیش دریافت به ازای هر کیلوگرم],MATCH(bargiri[[#This Row],[شماره سند مبنا]],invoice[شماره پیش فاکتور],0))</f>
        <v>467897100</v>
      </c>
      <c r="K68" s="159">
        <f>bargiri[[#This Row],[مبلغ خالص]]-bargiri[[#This Row],[میزان استهلاک پیش دریافتی]]</f>
        <v>2651416900</v>
      </c>
      <c r="L68" s="160" t="s">
        <v>593</v>
      </c>
      <c r="M68" s="159" t="s">
        <v>593</v>
      </c>
      <c r="N68" s="159">
        <f>IF(bargiri[[#This Row],[مبلغ واریزی]]&lt;&gt;"",bargiri[[#This Row],[مانده مبلغ]]-bargiri[[#This Row],[مبلغ واریزی]],bargiri[[#This Row],[مانده مبلغ]])</f>
        <v>2651416900</v>
      </c>
      <c r="O68" s="159" t="s">
        <v>593</v>
      </c>
      <c r="P68" s="159">
        <f>VLOOKUP(bargiri[[#This Row],[شماره سند مبنا]],invoice[[شماره پیش فاکتور]:[پیش دریافت به ازای هر کیلوگرم]],14,0)</f>
        <v>23430</v>
      </c>
      <c r="Q68" s="159">
        <f>IF(bargiri[[#This Row],[مبلغ ناخالص]]-(bargiri[[#This Row],[نرخ استهلاک]]*bargiri[[#This Row],[مقدار]])&lt;0,0,bargiri[[#This Row],[مبلغ ناخالص]]-(bargiri[[#This Row],[نرخ استهلاک]]*bargiri[[#This Row],[مقدار]]))</f>
        <v>2367842900</v>
      </c>
    </row>
    <row r="69" spans="1:17" s="22" customFormat="1" ht="13.8" x14ac:dyDescent="0.25">
      <c r="A69" s="22">
        <v>25</v>
      </c>
      <c r="B69" s="22" t="s">
        <v>996</v>
      </c>
      <c r="C69" s="22" t="s">
        <v>745</v>
      </c>
      <c r="D69" s="22" t="s">
        <v>221</v>
      </c>
      <c r="E69" s="158">
        <v>10100</v>
      </c>
      <c r="F69" s="159">
        <v>135000</v>
      </c>
      <c r="G69" s="159">
        <v>1363500000</v>
      </c>
      <c r="H69" s="159">
        <v>136350000</v>
      </c>
      <c r="I69" s="159">
        <v>1499850000</v>
      </c>
      <c r="J69" s="159">
        <f>bargiri[[#This Row],[مقدار]]*INDEX(invoice[پیش دریافت به ازای هر کیلوگرم],MATCH(bargiri[[#This Row],[شماره سند مبنا]],invoice[شماره پیش فاکتور],0))</f>
        <v>224977500</v>
      </c>
      <c r="K69" s="159">
        <f>bargiri[[#This Row],[مبلغ خالص]]-bargiri[[#This Row],[میزان استهلاک پیش دریافتی]]</f>
        <v>1274872500</v>
      </c>
      <c r="L69" s="160" t="s">
        <v>378</v>
      </c>
      <c r="M69" s="159">
        <v>579520000</v>
      </c>
      <c r="N69" s="159">
        <f>IF(bargiri[[#This Row],[مبلغ واریزی]]&lt;&gt;"",bargiri[[#This Row],[مانده مبلغ]]-bargiri[[#This Row],[مبلغ واریزی]],bargiri[[#This Row],[مانده مبلغ]])</f>
        <v>695352500</v>
      </c>
      <c r="O69" s="159">
        <v>0</v>
      </c>
      <c r="P69" s="159">
        <f>VLOOKUP(bargiri[[#This Row],[شماره سند مبنا]],invoice[[شماره پیش فاکتور]:[پیش دریافت به ازای هر کیلوگرم]],14,0)</f>
        <v>22275</v>
      </c>
      <c r="Q69" s="159">
        <f>IF(bargiri[[#This Row],[مبلغ ناخالص]]-(bargiri[[#This Row],[نرخ استهلاک]]*bargiri[[#This Row],[مقدار]])&lt;0,0,bargiri[[#This Row],[مبلغ ناخالص]]-(bargiri[[#This Row],[نرخ استهلاک]]*bargiri[[#This Row],[مقدار]]))</f>
        <v>1138522500</v>
      </c>
    </row>
    <row r="70" spans="1:17" s="22" customFormat="1" ht="13.8" x14ac:dyDescent="0.25">
      <c r="A70" s="22">
        <v>24</v>
      </c>
      <c r="B70" s="22" t="s">
        <v>997</v>
      </c>
      <c r="C70" s="22" t="s">
        <v>998</v>
      </c>
      <c r="D70" s="22" t="s">
        <v>73</v>
      </c>
      <c r="E70" s="158">
        <v>21000</v>
      </c>
      <c r="F70" s="159">
        <v>128971</v>
      </c>
      <c r="G70" s="159">
        <v>2708391000</v>
      </c>
      <c r="H70" s="159">
        <v>270839100</v>
      </c>
      <c r="I70" s="159">
        <v>2979230100</v>
      </c>
      <c r="J70" s="159">
        <f>bargiri[[#This Row],[مقدار]]*INDEX(invoice[پیش دریافت به ازای هر کیلوگرم],MATCH(bargiri[[#This Row],[شماره سند مبنا]],invoice[شماره پیش فاکتور],0))</f>
        <v>1320900000</v>
      </c>
      <c r="K70" s="159">
        <f>bargiri[[#This Row],[مبلغ خالص]]-bargiri[[#This Row],[میزان استهلاک پیش دریافتی]]</f>
        <v>1658330100</v>
      </c>
      <c r="L70" s="160" t="s">
        <v>593</v>
      </c>
      <c r="M70" s="159" t="s">
        <v>593</v>
      </c>
      <c r="N70" s="159">
        <f>IF(bargiri[[#This Row],[مبلغ واریزی]]&lt;&gt;"",bargiri[[#This Row],[مانده مبلغ]]-bargiri[[#This Row],[مبلغ واریزی]],bargiri[[#This Row],[مانده مبلغ]])</f>
        <v>1658330100</v>
      </c>
      <c r="O70" s="159" t="s">
        <v>593</v>
      </c>
      <c r="P70" s="159">
        <f>VLOOKUP(bargiri[[#This Row],[شماره سند مبنا]],invoice[[شماره پیش فاکتور]:[پیش دریافت به ازای هر کیلوگرم]],14,0)</f>
        <v>62900</v>
      </c>
      <c r="Q70" s="159">
        <f>IF(bargiri[[#This Row],[مبلغ ناخالص]]-(bargiri[[#This Row],[نرخ استهلاک]]*bargiri[[#This Row],[مقدار]])&lt;0,0,bargiri[[#This Row],[مبلغ ناخالص]]-(bargiri[[#This Row],[نرخ استهلاک]]*bargiri[[#This Row],[مقدار]]))</f>
        <v>1387491000</v>
      </c>
    </row>
    <row r="71" spans="1:17" s="22" customFormat="1" ht="13.8" x14ac:dyDescent="0.25">
      <c r="A71" s="22">
        <v>23</v>
      </c>
      <c r="B71" s="22" t="s">
        <v>997</v>
      </c>
      <c r="C71" s="22" t="s">
        <v>998</v>
      </c>
      <c r="D71" s="22" t="s">
        <v>73</v>
      </c>
      <c r="E71" s="158">
        <v>21090</v>
      </c>
      <c r="F71" s="159">
        <v>128971</v>
      </c>
      <c r="G71" s="159">
        <v>2719998390</v>
      </c>
      <c r="H71" s="159">
        <v>271999839</v>
      </c>
      <c r="I71" s="159">
        <v>2991998229</v>
      </c>
      <c r="J71" s="159">
        <f>bargiri[[#This Row],[مقدار]]*INDEX(invoice[پیش دریافت به ازای هر کیلوگرم],MATCH(bargiri[[#This Row],[شماره سند مبنا]],invoice[شماره پیش فاکتور],0))</f>
        <v>1326561000</v>
      </c>
      <c r="K71" s="159">
        <f>bargiri[[#This Row],[مبلغ خالص]]-bargiri[[#This Row],[میزان استهلاک پیش دریافتی]]</f>
        <v>1665437229</v>
      </c>
      <c r="L71" s="160" t="s">
        <v>593</v>
      </c>
      <c r="M71" s="159" t="s">
        <v>593</v>
      </c>
      <c r="N71" s="159">
        <f>IF(bargiri[[#This Row],[مبلغ واریزی]]&lt;&gt;"",bargiri[[#This Row],[مانده مبلغ]]-bargiri[[#This Row],[مبلغ واریزی]],bargiri[[#This Row],[مانده مبلغ]])</f>
        <v>1665437229</v>
      </c>
      <c r="O71" s="159" t="s">
        <v>593</v>
      </c>
      <c r="P71" s="159">
        <f>VLOOKUP(bargiri[[#This Row],[شماره سند مبنا]],invoice[[شماره پیش فاکتور]:[پیش دریافت به ازای هر کیلوگرم]],14,0)</f>
        <v>62900</v>
      </c>
      <c r="Q71" s="159">
        <f>IF(bargiri[[#This Row],[مبلغ ناخالص]]-(bargiri[[#This Row],[نرخ استهلاک]]*bargiri[[#This Row],[مقدار]])&lt;0,0,bargiri[[#This Row],[مبلغ ناخالص]]-(bargiri[[#This Row],[نرخ استهلاک]]*bargiri[[#This Row],[مقدار]]))</f>
        <v>1393437390</v>
      </c>
    </row>
    <row r="72" spans="1:17" s="22" customFormat="1" ht="13.8" x14ac:dyDescent="0.25">
      <c r="A72" s="22">
        <v>22</v>
      </c>
      <c r="B72" s="22" t="s">
        <v>999</v>
      </c>
      <c r="C72" s="22" t="s">
        <v>998</v>
      </c>
      <c r="D72" s="22" t="s">
        <v>73</v>
      </c>
      <c r="E72" s="158">
        <v>21170</v>
      </c>
      <c r="F72" s="159">
        <v>128971</v>
      </c>
      <c r="G72" s="159">
        <v>2730316070</v>
      </c>
      <c r="H72" s="159">
        <v>273031607</v>
      </c>
      <c r="I72" s="159">
        <v>3003347677</v>
      </c>
      <c r="J72" s="159">
        <f>bargiri[[#This Row],[مقدار]]*INDEX(invoice[پیش دریافت به ازای هر کیلوگرم],MATCH(bargiri[[#This Row],[شماره سند مبنا]],invoice[شماره پیش فاکتور],0))</f>
        <v>1331593000</v>
      </c>
      <c r="K72" s="159">
        <f>bargiri[[#This Row],[مبلغ خالص]]-bargiri[[#This Row],[میزان استهلاک پیش دریافتی]]</f>
        <v>1671754677</v>
      </c>
      <c r="L72" s="160" t="s">
        <v>314</v>
      </c>
      <c r="M72" s="159">
        <v>1130500000</v>
      </c>
      <c r="N72" s="159">
        <f>IF(bargiri[[#This Row],[مبلغ واریزی]]&lt;&gt;"",bargiri[[#This Row],[مانده مبلغ]]-bargiri[[#This Row],[مبلغ واریزی]],bargiri[[#This Row],[مانده مبلغ]])</f>
        <v>541254677</v>
      </c>
      <c r="O72" s="159">
        <v>0</v>
      </c>
      <c r="P72" s="159">
        <f>VLOOKUP(bargiri[[#This Row],[شماره سند مبنا]],invoice[[شماره پیش فاکتور]:[پیش دریافت به ازای هر کیلوگرم]],14,0)</f>
        <v>62900</v>
      </c>
      <c r="Q72" s="159">
        <f>IF(bargiri[[#This Row],[مبلغ ناخالص]]-(bargiri[[#This Row],[نرخ استهلاک]]*bargiri[[#This Row],[مقدار]])&lt;0,0,bargiri[[#This Row],[مبلغ ناخالص]]-(bargiri[[#This Row],[نرخ استهلاک]]*bargiri[[#This Row],[مقدار]]))</f>
        <v>1398723070</v>
      </c>
    </row>
    <row r="73" spans="1:17" s="22" customFormat="1" ht="13.8" x14ac:dyDescent="0.25">
      <c r="A73" s="22">
        <v>21</v>
      </c>
      <c r="B73" s="22" t="s">
        <v>999</v>
      </c>
      <c r="C73" s="22" t="s">
        <v>998</v>
      </c>
      <c r="D73" s="22" t="s">
        <v>73</v>
      </c>
      <c r="E73" s="158">
        <v>20300</v>
      </c>
      <c r="F73" s="159">
        <v>128971</v>
      </c>
      <c r="G73" s="159">
        <v>2618111300</v>
      </c>
      <c r="H73" s="159">
        <v>261811130</v>
      </c>
      <c r="I73" s="159">
        <v>2879922430</v>
      </c>
      <c r="J73" s="159">
        <f>bargiri[[#This Row],[مقدار]]*INDEX(invoice[پیش دریافت به ازای هر کیلوگرم],MATCH(bargiri[[#This Row],[شماره سند مبنا]],invoice[شماره پیش فاکتور],0))</f>
        <v>1276870000</v>
      </c>
      <c r="K73" s="159">
        <f>bargiri[[#This Row],[مبلغ خالص]]-bargiri[[#This Row],[میزان استهلاک پیش دریافتی]]</f>
        <v>1603052430</v>
      </c>
      <c r="L73" s="160" t="s">
        <v>302</v>
      </c>
      <c r="M73" s="159">
        <v>1402850625</v>
      </c>
      <c r="N73" s="159">
        <f>IF(bargiri[[#This Row],[مبلغ واریزی]]&lt;&gt;"",bargiri[[#This Row],[مانده مبلغ]]-bargiri[[#This Row],[مبلغ واریزی]],bargiri[[#This Row],[مانده مبلغ]])</f>
        <v>200201805</v>
      </c>
      <c r="O73" s="159">
        <v>0</v>
      </c>
      <c r="P73" s="159">
        <f>VLOOKUP(bargiri[[#This Row],[شماره سند مبنا]],invoice[[شماره پیش فاکتور]:[پیش دریافت به ازای هر کیلوگرم]],14,0)</f>
        <v>62900</v>
      </c>
      <c r="Q73" s="159">
        <f>IF(bargiri[[#This Row],[مبلغ ناخالص]]-(bargiri[[#This Row],[نرخ استهلاک]]*bargiri[[#This Row],[مقدار]])&lt;0,0,bargiri[[#This Row],[مبلغ ناخالص]]-(bargiri[[#This Row],[نرخ استهلاک]]*bargiri[[#This Row],[مقدار]]))</f>
        <v>1341241300</v>
      </c>
    </row>
    <row r="74" spans="1:17" s="22" customFormat="1" ht="13.8" x14ac:dyDescent="0.25">
      <c r="A74" s="22">
        <v>20</v>
      </c>
      <c r="B74" s="22" t="s">
        <v>999</v>
      </c>
      <c r="C74" s="22" t="s">
        <v>998</v>
      </c>
      <c r="D74" s="22" t="s">
        <v>73</v>
      </c>
      <c r="E74" s="158">
        <v>21010</v>
      </c>
      <c r="F74" s="159">
        <v>128971</v>
      </c>
      <c r="G74" s="159">
        <v>2709680710</v>
      </c>
      <c r="H74" s="159">
        <v>270968071</v>
      </c>
      <c r="I74" s="159">
        <v>2980648781</v>
      </c>
      <c r="J74" s="159">
        <f>bargiri[[#This Row],[مقدار]]*INDEX(invoice[پیش دریافت به ازای هر کیلوگرم],MATCH(bargiri[[#This Row],[شماره سند مبنا]],invoice[شماره پیش فاکتور],0))</f>
        <v>1321529000</v>
      </c>
      <c r="K74" s="159">
        <f>bargiri[[#This Row],[مبلغ خالص]]-bargiri[[#This Row],[میزان استهلاک پیش دریافتی]]</f>
        <v>1659119781</v>
      </c>
      <c r="L74" s="160" t="s">
        <v>593</v>
      </c>
      <c r="M74" s="159" t="s">
        <v>593</v>
      </c>
      <c r="N74" s="159">
        <f>IF(bargiri[[#This Row],[مبلغ واریزی]]&lt;&gt;"",bargiri[[#This Row],[مانده مبلغ]]-bargiri[[#This Row],[مبلغ واریزی]],bargiri[[#This Row],[مانده مبلغ]])</f>
        <v>1659119781</v>
      </c>
      <c r="O74" s="159" t="s">
        <v>593</v>
      </c>
      <c r="P74" s="159">
        <f>VLOOKUP(bargiri[[#This Row],[شماره سند مبنا]],invoice[[شماره پیش فاکتور]:[پیش دریافت به ازای هر کیلوگرم]],14,0)</f>
        <v>62900</v>
      </c>
      <c r="Q74" s="159">
        <f>IF(bargiri[[#This Row],[مبلغ ناخالص]]-(bargiri[[#This Row],[نرخ استهلاک]]*bargiri[[#This Row],[مقدار]])&lt;0,0,bargiri[[#This Row],[مبلغ ناخالص]]-(bargiri[[#This Row],[نرخ استهلاک]]*bargiri[[#This Row],[مقدار]]))</f>
        <v>1388151710</v>
      </c>
    </row>
    <row r="75" spans="1:17" s="22" customFormat="1" ht="13.8" x14ac:dyDescent="0.25">
      <c r="A75" s="22">
        <v>19</v>
      </c>
      <c r="B75" s="22" t="s">
        <v>999</v>
      </c>
      <c r="C75" s="22" t="s">
        <v>998</v>
      </c>
      <c r="D75" s="22" t="s">
        <v>73</v>
      </c>
      <c r="E75" s="158">
        <v>21100</v>
      </c>
      <c r="F75" s="159">
        <v>128971</v>
      </c>
      <c r="G75" s="159">
        <v>2721288100</v>
      </c>
      <c r="H75" s="159">
        <v>272128810</v>
      </c>
      <c r="I75" s="159">
        <v>2993416910</v>
      </c>
      <c r="J75" s="159">
        <f>bargiri[[#This Row],[مقدار]]*INDEX(invoice[پیش دریافت به ازای هر کیلوگرم],MATCH(bargiri[[#This Row],[شماره سند مبنا]],invoice[شماره پیش فاکتور],0))</f>
        <v>1327190000</v>
      </c>
      <c r="K75" s="159">
        <f>bargiri[[#This Row],[مبلغ خالص]]-bargiri[[#This Row],[میزان استهلاک پیش دریافتی]]</f>
        <v>1666226910</v>
      </c>
      <c r="L75" s="160">
        <v>0</v>
      </c>
      <c r="M75" s="159">
        <v>0</v>
      </c>
      <c r="N75" s="159">
        <f>IF(bargiri[[#This Row],[مبلغ واریزی]]&lt;&gt;"",bargiri[[#This Row],[مانده مبلغ]]-bargiri[[#This Row],[مبلغ واریزی]],bargiri[[#This Row],[مانده مبلغ]])</f>
        <v>1666226910</v>
      </c>
      <c r="O75" s="159">
        <v>0</v>
      </c>
      <c r="P75" s="159">
        <f>VLOOKUP(bargiri[[#This Row],[شماره سند مبنا]],invoice[[شماره پیش فاکتور]:[پیش دریافت به ازای هر کیلوگرم]],14,0)</f>
        <v>62900</v>
      </c>
      <c r="Q75" s="159">
        <f>IF(bargiri[[#This Row],[مبلغ ناخالص]]-(bargiri[[#This Row],[نرخ استهلاک]]*bargiri[[#This Row],[مقدار]])&lt;0,0,bargiri[[#This Row],[مبلغ ناخالص]]-(bargiri[[#This Row],[نرخ استهلاک]]*bargiri[[#This Row],[مقدار]]))</f>
        <v>1394098100</v>
      </c>
    </row>
    <row r="76" spans="1:17" s="22" customFormat="1" ht="13.8" x14ac:dyDescent="0.25">
      <c r="A76" s="22">
        <v>18</v>
      </c>
      <c r="B76" s="22" t="s">
        <v>999</v>
      </c>
      <c r="C76" s="22" t="s">
        <v>998</v>
      </c>
      <c r="D76" s="22" t="s">
        <v>73</v>
      </c>
      <c r="E76" s="158">
        <v>20990</v>
      </c>
      <c r="F76" s="159">
        <v>128971</v>
      </c>
      <c r="G76" s="159">
        <v>2707101290</v>
      </c>
      <c r="H76" s="159">
        <v>270710129</v>
      </c>
      <c r="I76" s="159">
        <v>2977811419</v>
      </c>
      <c r="J76" s="159">
        <f>bargiri[[#This Row],[مقدار]]*INDEX(invoice[پیش دریافت به ازای هر کیلوگرم],MATCH(bargiri[[#This Row],[شماره سند مبنا]],invoice[شماره پیش فاکتور],0))</f>
        <v>1320271000</v>
      </c>
      <c r="K76" s="159">
        <f>bargiri[[#This Row],[مبلغ خالص]]-bargiri[[#This Row],[میزان استهلاک پیش دریافتی]]</f>
        <v>1657540419</v>
      </c>
      <c r="L76" s="160" t="s">
        <v>593</v>
      </c>
      <c r="M76" s="159" t="s">
        <v>593</v>
      </c>
      <c r="N76" s="159">
        <f>IF(bargiri[[#This Row],[مبلغ واریزی]]&lt;&gt;"",bargiri[[#This Row],[مانده مبلغ]]-bargiri[[#This Row],[مبلغ واریزی]],bargiri[[#This Row],[مانده مبلغ]])</f>
        <v>1657540419</v>
      </c>
      <c r="O76" s="159" t="s">
        <v>593</v>
      </c>
      <c r="P76" s="159">
        <f>VLOOKUP(bargiri[[#This Row],[شماره سند مبنا]],invoice[[شماره پیش فاکتور]:[پیش دریافت به ازای هر کیلوگرم]],14,0)</f>
        <v>62900</v>
      </c>
      <c r="Q76" s="159">
        <f>IF(bargiri[[#This Row],[مبلغ ناخالص]]-(bargiri[[#This Row],[نرخ استهلاک]]*bargiri[[#This Row],[مقدار]])&lt;0,0,bargiri[[#This Row],[مبلغ ناخالص]]-(bargiri[[#This Row],[نرخ استهلاک]]*bargiri[[#This Row],[مقدار]]))</f>
        <v>1386830290</v>
      </c>
    </row>
    <row r="77" spans="1:17" s="22" customFormat="1" ht="13.8" x14ac:dyDescent="0.25">
      <c r="A77" s="22">
        <v>1385</v>
      </c>
      <c r="B77" s="22" t="s">
        <v>1000</v>
      </c>
      <c r="C77" s="22" t="s">
        <v>998</v>
      </c>
      <c r="D77" s="22" t="s">
        <v>73</v>
      </c>
      <c r="E77" s="158">
        <v>20580</v>
      </c>
      <c r="F77" s="159">
        <v>128971</v>
      </c>
      <c r="G77" s="159">
        <v>2654223180</v>
      </c>
      <c r="H77" s="159">
        <v>265422318</v>
      </c>
      <c r="I77" s="159">
        <v>2919645498</v>
      </c>
      <c r="J77" s="159">
        <f>bargiri[[#This Row],[مقدار]]*INDEX(invoice[پیش دریافت به ازای هر کیلوگرم],MATCH(bargiri[[#This Row],[شماره سند مبنا]],invoice[شماره پیش فاکتور],0))</f>
        <v>1294482000</v>
      </c>
      <c r="K77" s="159">
        <f>bargiri[[#This Row],[مبلغ خالص]]-bargiri[[#This Row],[میزان استهلاک پیش دریافتی]]</f>
        <v>1625163498</v>
      </c>
      <c r="L77" s="160" t="s">
        <v>593</v>
      </c>
      <c r="M77" s="159" t="s">
        <v>593</v>
      </c>
      <c r="N77" s="159">
        <f>IF(bargiri[[#This Row],[مبلغ واریزی]]&lt;&gt;"",bargiri[[#This Row],[مانده مبلغ]]-bargiri[[#This Row],[مبلغ واریزی]],bargiri[[#This Row],[مانده مبلغ]])</f>
        <v>1625163498</v>
      </c>
      <c r="O77" s="159" t="s">
        <v>593</v>
      </c>
      <c r="P77" s="159">
        <f>VLOOKUP(bargiri[[#This Row],[شماره سند مبنا]],invoice[[شماره پیش فاکتور]:[پیش دریافت به ازای هر کیلوگرم]],14,0)</f>
        <v>62900</v>
      </c>
      <c r="Q77" s="159">
        <f>IF(bargiri[[#This Row],[مبلغ ناخالص]]-(bargiri[[#This Row],[نرخ استهلاک]]*bargiri[[#This Row],[مقدار]])&lt;0,0,bargiri[[#This Row],[مبلغ ناخالص]]-(bargiri[[#This Row],[نرخ استهلاک]]*bargiri[[#This Row],[مقدار]]))</f>
        <v>1359741180</v>
      </c>
    </row>
    <row r="78" spans="1:17" s="22" customFormat="1" ht="13.8" x14ac:dyDescent="0.25">
      <c r="A78" s="22">
        <v>17</v>
      </c>
      <c r="B78" s="22" t="s">
        <v>1001</v>
      </c>
      <c r="C78" s="22" t="s">
        <v>998</v>
      </c>
      <c r="D78" s="22" t="s">
        <v>73</v>
      </c>
      <c r="E78" s="158">
        <v>21010</v>
      </c>
      <c r="F78" s="159">
        <v>128971</v>
      </c>
      <c r="G78" s="159">
        <v>2709680710</v>
      </c>
      <c r="H78" s="159">
        <v>270968071</v>
      </c>
      <c r="I78" s="159">
        <v>2980648781</v>
      </c>
      <c r="J78" s="159">
        <f>bargiri[[#This Row],[مقدار]]*INDEX(invoice[پیش دریافت به ازای هر کیلوگرم],MATCH(bargiri[[#This Row],[شماره سند مبنا]],invoice[شماره پیش فاکتور],0))</f>
        <v>1321529000</v>
      </c>
      <c r="K78" s="159">
        <f>bargiri[[#This Row],[مبلغ خالص]]-bargiri[[#This Row],[میزان استهلاک پیش دریافتی]]</f>
        <v>1659119781</v>
      </c>
      <c r="L78" s="160" t="s">
        <v>593</v>
      </c>
      <c r="M78" s="159" t="s">
        <v>593</v>
      </c>
      <c r="N78" s="159">
        <f>IF(bargiri[[#This Row],[مبلغ واریزی]]&lt;&gt;"",bargiri[[#This Row],[مانده مبلغ]]-bargiri[[#This Row],[مبلغ واریزی]],bargiri[[#This Row],[مانده مبلغ]])</f>
        <v>1659119781</v>
      </c>
      <c r="O78" s="159" t="s">
        <v>593</v>
      </c>
      <c r="P78" s="159">
        <f>VLOOKUP(bargiri[[#This Row],[شماره سند مبنا]],invoice[[شماره پیش فاکتور]:[پیش دریافت به ازای هر کیلوگرم]],14,0)</f>
        <v>62900</v>
      </c>
      <c r="Q78" s="159">
        <f>IF(bargiri[[#This Row],[مبلغ ناخالص]]-(bargiri[[#This Row],[نرخ استهلاک]]*bargiri[[#This Row],[مقدار]])&lt;0,0,bargiri[[#This Row],[مبلغ ناخالص]]-(bargiri[[#This Row],[نرخ استهلاک]]*bargiri[[#This Row],[مقدار]]))</f>
        <v>1388151710</v>
      </c>
    </row>
    <row r="79" spans="1:17" s="22" customFormat="1" ht="13.8" x14ac:dyDescent="0.25">
      <c r="A79" s="22">
        <v>1384</v>
      </c>
      <c r="B79" s="22" t="s">
        <v>1000</v>
      </c>
      <c r="C79" s="22" t="s">
        <v>998</v>
      </c>
      <c r="D79" s="22" t="s">
        <v>73</v>
      </c>
      <c r="E79" s="158">
        <v>20940</v>
      </c>
      <c r="F79" s="159">
        <v>128971</v>
      </c>
      <c r="G79" s="159">
        <v>2700652740</v>
      </c>
      <c r="H79" s="159">
        <v>270065274</v>
      </c>
      <c r="I79" s="159">
        <v>2970718014</v>
      </c>
      <c r="J79" s="159">
        <f>bargiri[[#This Row],[مقدار]]*INDEX(invoice[پیش دریافت به ازای هر کیلوگرم],MATCH(bargiri[[#This Row],[شماره سند مبنا]],invoice[شماره پیش فاکتور],0))</f>
        <v>1317126000</v>
      </c>
      <c r="K79" s="159">
        <f>bargiri[[#This Row],[مبلغ خالص]]-bargiri[[#This Row],[میزان استهلاک پیش دریافتی]]</f>
        <v>1653592014</v>
      </c>
      <c r="L79" s="160" t="s">
        <v>593</v>
      </c>
      <c r="M79" s="159" t="s">
        <v>593</v>
      </c>
      <c r="N79" s="159">
        <f>IF(bargiri[[#This Row],[مبلغ واریزی]]&lt;&gt;"",bargiri[[#This Row],[مانده مبلغ]]-bargiri[[#This Row],[مبلغ واریزی]],bargiri[[#This Row],[مانده مبلغ]])</f>
        <v>1653592014</v>
      </c>
      <c r="O79" s="159" t="s">
        <v>593</v>
      </c>
      <c r="P79" s="159">
        <f>VLOOKUP(bargiri[[#This Row],[شماره سند مبنا]],invoice[[شماره پیش فاکتور]:[پیش دریافت به ازای هر کیلوگرم]],14,0)</f>
        <v>62900</v>
      </c>
      <c r="Q79" s="159">
        <f>IF(bargiri[[#This Row],[مبلغ ناخالص]]-(bargiri[[#This Row],[نرخ استهلاک]]*bargiri[[#This Row],[مقدار]])&lt;0,0,bargiri[[#This Row],[مبلغ ناخالص]]-(bargiri[[#This Row],[نرخ استهلاک]]*bargiri[[#This Row],[مقدار]]))</f>
        <v>1383526740</v>
      </c>
    </row>
    <row r="80" spans="1:17" s="22" customFormat="1" ht="13.8" x14ac:dyDescent="0.25">
      <c r="A80" s="22">
        <v>16</v>
      </c>
      <c r="B80" s="22" t="s">
        <v>1001</v>
      </c>
      <c r="C80" s="22" t="s">
        <v>998</v>
      </c>
      <c r="D80" s="22" t="s">
        <v>73</v>
      </c>
      <c r="E80" s="158">
        <v>20990</v>
      </c>
      <c r="F80" s="159">
        <v>128971</v>
      </c>
      <c r="G80" s="159">
        <v>2707101290</v>
      </c>
      <c r="H80" s="159">
        <v>270710129</v>
      </c>
      <c r="I80" s="159">
        <v>2977811419</v>
      </c>
      <c r="J80" s="159">
        <f>bargiri[[#This Row],[مقدار]]*INDEX(invoice[پیش دریافت به ازای هر کیلوگرم],MATCH(bargiri[[#This Row],[شماره سند مبنا]],invoice[شماره پیش فاکتور],0))</f>
        <v>1320271000</v>
      </c>
      <c r="K80" s="159">
        <f>bargiri[[#This Row],[مبلغ خالص]]-bargiri[[#This Row],[میزان استهلاک پیش دریافتی]]</f>
        <v>1657540419</v>
      </c>
      <c r="L80" s="160" t="s">
        <v>593</v>
      </c>
      <c r="M80" s="159" t="s">
        <v>593</v>
      </c>
      <c r="N80" s="159">
        <f>IF(bargiri[[#This Row],[مبلغ واریزی]]&lt;&gt;"",bargiri[[#This Row],[مانده مبلغ]]-bargiri[[#This Row],[مبلغ واریزی]],bargiri[[#This Row],[مانده مبلغ]])</f>
        <v>1657540419</v>
      </c>
      <c r="O80" s="159" t="s">
        <v>593</v>
      </c>
      <c r="P80" s="159">
        <f>VLOOKUP(bargiri[[#This Row],[شماره سند مبنا]],invoice[[شماره پیش فاکتور]:[پیش دریافت به ازای هر کیلوگرم]],14,0)</f>
        <v>62900</v>
      </c>
      <c r="Q80" s="159">
        <f>IF(bargiri[[#This Row],[مبلغ ناخالص]]-(bargiri[[#This Row],[نرخ استهلاک]]*bargiri[[#This Row],[مقدار]])&lt;0,0,bargiri[[#This Row],[مبلغ ناخالص]]-(bargiri[[#This Row],[نرخ استهلاک]]*bargiri[[#This Row],[مقدار]]))</f>
        <v>1386830290</v>
      </c>
    </row>
    <row r="81" spans="1:17" s="22" customFormat="1" ht="13.8" x14ac:dyDescent="0.25">
      <c r="A81" s="22">
        <v>1383</v>
      </c>
      <c r="B81" s="22" t="s">
        <v>1002</v>
      </c>
      <c r="C81" s="22" t="s">
        <v>998</v>
      </c>
      <c r="D81" s="22" t="s">
        <v>73</v>
      </c>
      <c r="E81" s="158">
        <v>20070</v>
      </c>
      <c r="F81" s="159">
        <v>128971</v>
      </c>
      <c r="G81" s="159">
        <v>2588447970</v>
      </c>
      <c r="H81" s="159">
        <v>258844797</v>
      </c>
      <c r="I81" s="159">
        <v>2847292767</v>
      </c>
      <c r="J81" s="159">
        <f>bargiri[[#This Row],[مقدار]]*INDEX(invoice[پیش دریافت به ازای هر کیلوگرم],MATCH(bargiri[[#This Row],[شماره سند مبنا]],invoice[شماره پیش فاکتور],0))</f>
        <v>1262403000</v>
      </c>
      <c r="K81" s="159">
        <f>bargiri[[#This Row],[مبلغ خالص]]-bargiri[[#This Row],[میزان استهلاک پیش دریافتی]]</f>
        <v>1584889767</v>
      </c>
      <c r="L81" s="160" t="s">
        <v>282</v>
      </c>
      <c r="M81" s="159">
        <v>441787500</v>
      </c>
      <c r="N81" s="159">
        <f>IF(bargiri[[#This Row],[مبلغ واریزی]]&lt;&gt;"",bargiri[[#This Row],[مانده مبلغ]]-bargiri[[#This Row],[مبلغ واریزی]],bargiri[[#This Row],[مانده مبلغ]])</f>
        <v>1143102267</v>
      </c>
      <c r="O81" s="159">
        <v>0</v>
      </c>
      <c r="P81" s="159">
        <f>VLOOKUP(bargiri[[#This Row],[شماره سند مبنا]],invoice[[شماره پیش فاکتور]:[پیش دریافت به ازای هر کیلوگرم]],14,0)</f>
        <v>62900</v>
      </c>
      <c r="Q81" s="159">
        <f>IF(bargiri[[#This Row],[مبلغ ناخالص]]-(bargiri[[#This Row],[نرخ استهلاک]]*bargiri[[#This Row],[مقدار]])&lt;0,0,bargiri[[#This Row],[مبلغ ناخالص]]-(bargiri[[#This Row],[نرخ استهلاک]]*bargiri[[#This Row],[مقدار]]))</f>
        <v>1326044970</v>
      </c>
    </row>
    <row r="82" spans="1:17" s="22" customFormat="1" ht="13.8" x14ac:dyDescent="0.25">
      <c r="A82" s="22">
        <v>1382</v>
      </c>
      <c r="B82" s="22" t="s">
        <v>1002</v>
      </c>
      <c r="C82" s="22" t="s">
        <v>998</v>
      </c>
      <c r="D82" s="22" t="s">
        <v>73</v>
      </c>
      <c r="E82" s="158">
        <v>19830</v>
      </c>
      <c r="F82" s="159">
        <v>128971</v>
      </c>
      <c r="G82" s="159">
        <v>2557494930</v>
      </c>
      <c r="H82" s="159">
        <v>255749493</v>
      </c>
      <c r="I82" s="159">
        <v>2813244423</v>
      </c>
      <c r="J82" s="159">
        <f>bargiri[[#This Row],[مقدار]]*INDEX(invoice[پیش دریافت به ازای هر کیلوگرم],MATCH(bargiri[[#This Row],[شماره سند مبنا]],invoice[شماره پیش فاکتور],0))</f>
        <v>1247307000</v>
      </c>
      <c r="K82" s="159">
        <f>bargiri[[#This Row],[مبلغ خالص]]-bargiri[[#This Row],[میزان استهلاک پیش دریافتی]]</f>
        <v>1565937423</v>
      </c>
      <c r="L82" s="160" t="s">
        <v>593</v>
      </c>
      <c r="M82" s="159" t="s">
        <v>593</v>
      </c>
      <c r="N82" s="159">
        <f>IF(bargiri[[#This Row],[مبلغ واریزی]]&lt;&gt;"",bargiri[[#This Row],[مانده مبلغ]]-bargiri[[#This Row],[مبلغ واریزی]],bargiri[[#This Row],[مانده مبلغ]])</f>
        <v>1565937423</v>
      </c>
      <c r="O82" s="159" t="s">
        <v>593</v>
      </c>
      <c r="P82" s="159">
        <f>VLOOKUP(bargiri[[#This Row],[شماره سند مبنا]],invoice[[شماره پیش فاکتور]:[پیش دریافت به ازای هر کیلوگرم]],14,0)</f>
        <v>62900</v>
      </c>
      <c r="Q82" s="159">
        <f>IF(bargiri[[#This Row],[مبلغ ناخالص]]-(bargiri[[#This Row],[نرخ استهلاک]]*bargiri[[#This Row],[مقدار]])&lt;0,0,bargiri[[#This Row],[مبلغ ناخالص]]-(bargiri[[#This Row],[نرخ استهلاک]]*bargiri[[#This Row],[مقدار]]))</f>
        <v>1310187930</v>
      </c>
    </row>
    <row r="83" spans="1:17" s="22" customFormat="1" ht="13.8" x14ac:dyDescent="0.25">
      <c r="A83" s="22">
        <v>1381</v>
      </c>
      <c r="B83" s="22" t="s">
        <v>1002</v>
      </c>
      <c r="C83" s="22" t="s">
        <v>998</v>
      </c>
      <c r="D83" s="22" t="s">
        <v>73</v>
      </c>
      <c r="E83" s="158">
        <v>20140</v>
      </c>
      <c r="F83" s="159">
        <v>128971</v>
      </c>
      <c r="G83" s="159">
        <v>2597475940</v>
      </c>
      <c r="H83" s="159">
        <v>259747594</v>
      </c>
      <c r="I83" s="159">
        <v>2857223534</v>
      </c>
      <c r="J83" s="159">
        <f>bargiri[[#This Row],[مقدار]]*INDEX(invoice[پیش دریافت به ازای هر کیلوگرم],MATCH(bargiri[[#This Row],[شماره سند مبنا]],invoice[شماره پیش فاکتور],0))</f>
        <v>1266806000</v>
      </c>
      <c r="K83" s="159">
        <f>bargiri[[#This Row],[مبلغ خالص]]-bargiri[[#This Row],[میزان استهلاک پیش دریافتی]]</f>
        <v>1590417534</v>
      </c>
      <c r="L83" s="160" t="s">
        <v>302</v>
      </c>
      <c r="M83" s="159">
        <v>1137045000</v>
      </c>
      <c r="N83" s="159">
        <f>IF(bargiri[[#This Row],[مبلغ واریزی]]&lt;&gt;"",bargiri[[#This Row],[مانده مبلغ]]-bargiri[[#This Row],[مبلغ واریزی]],bargiri[[#This Row],[مانده مبلغ]])</f>
        <v>453372534</v>
      </c>
      <c r="O83" s="159">
        <v>0</v>
      </c>
      <c r="P83" s="159">
        <f>VLOOKUP(bargiri[[#This Row],[شماره سند مبنا]],invoice[[شماره پیش فاکتور]:[پیش دریافت به ازای هر کیلوگرم]],14,0)</f>
        <v>62900</v>
      </c>
      <c r="Q83" s="159">
        <f>IF(bargiri[[#This Row],[مبلغ ناخالص]]-(bargiri[[#This Row],[نرخ استهلاک]]*bargiri[[#This Row],[مقدار]])&lt;0,0,bargiri[[#This Row],[مبلغ ناخالص]]-(bargiri[[#This Row],[نرخ استهلاک]]*bargiri[[#This Row],[مقدار]]))</f>
        <v>1330669940</v>
      </c>
    </row>
    <row r="84" spans="1:17" s="22" customFormat="1" ht="13.8" x14ac:dyDescent="0.25">
      <c r="A84" s="22">
        <v>1380</v>
      </c>
      <c r="B84" s="22" t="s">
        <v>1002</v>
      </c>
      <c r="C84" s="22" t="s">
        <v>998</v>
      </c>
      <c r="D84" s="22" t="s">
        <v>73</v>
      </c>
      <c r="E84" s="158">
        <v>20040</v>
      </c>
      <c r="F84" s="159">
        <v>128971</v>
      </c>
      <c r="G84" s="159">
        <v>2584578840</v>
      </c>
      <c r="H84" s="159">
        <v>258457884</v>
      </c>
      <c r="I84" s="159">
        <v>2843036724</v>
      </c>
      <c r="J84" s="159">
        <f>bargiri[[#This Row],[مقدار]]*INDEX(invoice[پیش دریافت به ازای هر کیلوگرم],MATCH(bargiri[[#This Row],[شماره سند مبنا]],invoice[شماره پیش فاکتور],0))</f>
        <v>1260516000</v>
      </c>
      <c r="K84" s="159">
        <f>bargiri[[#This Row],[مبلغ خالص]]-bargiri[[#This Row],[میزان استهلاک پیش دریافتی]]</f>
        <v>1582520724</v>
      </c>
      <c r="L84" s="160" t="s">
        <v>593</v>
      </c>
      <c r="M84" s="159" t="s">
        <v>593</v>
      </c>
      <c r="N84" s="159">
        <f>IF(bargiri[[#This Row],[مبلغ واریزی]]&lt;&gt;"",bargiri[[#This Row],[مانده مبلغ]]-bargiri[[#This Row],[مبلغ واریزی]],bargiri[[#This Row],[مانده مبلغ]])</f>
        <v>1582520724</v>
      </c>
      <c r="O84" s="159" t="s">
        <v>593</v>
      </c>
      <c r="P84" s="159">
        <f>VLOOKUP(bargiri[[#This Row],[شماره سند مبنا]],invoice[[شماره پیش فاکتور]:[پیش دریافت به ازای هر کیلوگرم]],14,0)</f>
        <v>62900</v>
      </c>
      <c r="Q84" s="159">
        <f>IF(bargiri[[#This Row],[مبلغ ناخالص]]-(bargiri[[#This Row],[نرخ استهلاک]]*bargiri[[#This Row],[مقدار]])&lt;0,0,bargiri[[#This Row],[مبلغ ناخالص]]-(bargiri[[#This Row],[نرخ استهلاک]]*bargiri[[#This Row],[مقدار]]))</f>
        <v>1324062840</v>
      </c>
    </row>
    <row r="85" spans="1:17" s="22" customFormat="1" ht="13.8" x14ac:dyDescent="0.25">
      <c r="A85" s="22">
        <v>1379</v>
      </c>
      <c r="B85" s="22" t="s">
        <v>948</v>
      </c>
      <c r="C85" s="22" t="s">
        <v>998</v>
      </c>
      <c r="D85" s="22" t="s">
        <v>73</v>
      </c>
      <c r="E85" s="158">
        <v>21010</v>
      </c>
      <c r="F85" s="159">
        <v>128971</v>
      </c>
      <c r="G85" s="159">
        <v>2709680710</v>
      </c>
      <c r="H85" s="159">
        <v>270968071</v>
      </c>
      <c r="I85" s="159">
        <v>2980648781</v>
      </c>
      <c r="J85" s="159">
        <f>bargiri[[#This Row],[مقدار]]*INDEX(invoice[پیش دریافت به ازای هر کیلوگرم],MATCH(bargiri[[#This Row],[شماره سند مبنا]],invoice[شماره پیش فاکتور],0))</f>
        <v>1321529000</v>
      </c>
      <c r="K85" s="159">
        <f>bargiri[[#This Row],[مبلغ خالص]]-bargiri[[#This Row],[میزان استهلاک پیش دریافتی]]</f>
        <v>1659119781</v>
      </c>
      <c r="L85" s="160">
        <v>0</v>
      </c>
      <c r="M85" s="159">
        <v>0</v>
      </c>
      <c r="N85" s="159">
        <f>IF(bargiri[[#This Row],[مبلغ واریزی]]&lt;&gt;"",bargiri[[#This Row],[مانده مبلغ]]-bargiri[[#This Row],[مبلغ واریزی]],bargiri[[#This Row],[مانده مبلغ]])</f>
        <v>1659119781</v>
      </c>
      <c r="O85" s="159">
        <v>0</v>
      </c>
      <c r="P85" s="159">
        <f>VLOOKUP(bargiri[[#This Row],[شماره سند مبنا]],invoice[[شماره پیش فاکتور]:[پیش دریافت به ازای هر کیلوگرم]],14,0)</f>
        <v>62900</v>
      </c>
      <c r="Q85" s="159">
        <f>IF(bargiri[[#This Row],[مبلغ ناخالص]]-(bargiri[[#This Row],[نرخ استهلاک]]*bargiri[[#This Row],[مقدار]])&lt;0,0,bargiri[[#This Row],[مبلغ ناخالص]]-(bargiri[[#This Row],[نرخ استهلاک]]*bargiri[[#This Row],[مقدار]]))</f>
        <v>1388151710</v>
      </c>
    </row>
    <row r="86" spans="1:17" s="22" customFormat="1" ht="13.8" x14ac:dyDescent="0.25">
      <c r="A86" s="22">
        <v>1378</v>
      </c>
      <c r="B86" s="22" t="s">
        <v>948</v>
      </c>
      <c r="C86" s="22" t="s">
        <v>998</v>
      </c>
      <c r="D86" s="22" t="s">
        <v>73</v>
      </c>
      <c r="E86" s="158">
        <v>20710</v>
      </c>
      <c r="F86" s="159">
        <v>128971</v>
      </c>
      <c r="G86" s="159">
        <v>2670989410</v>
      </c>
      <c r="H86" s="159">
        <v>267098941</v>
      </c>
      <c r="I86" s="159">
        <v>2938088351</v>
      </c>
      <c r="J86" s="159">
        <f>bargiri[[#This Row],[مقدار]]*INDEX(invoice[پیش دریافت به ازای هر کیلوگرم],MATCH(bargiri[[#This Row],[شماره سند مبنا]],invoice[شماره پیش فاکتور],0))</f>
        <v>1302659000</v>
      </c>
      <c r="K86" s="159">
        <f>bargiri[[#This Row],[مبلغ خالص]]-bargiri[[#This Row],[میزان استهلاک پیش دریافتی]]</f>
        <v>1635429351</v>
      </c>
      <c r="L86" s="160" t="s">
        <v>282</v>
      </c>
      <c r="M86" s="159">
        <v>1092122500</v>
      </c>
      <c r="N86" s="159">
        <f>IF(bargiri[[#This Row],[مبلغ واریزی]]&lt;&gt;"",bargiri[[#This Row],[مانده مبلغ]]-bargiri[[#This Row],[مبلغ واریزی]],bargiri[[#This Row],[مانده مبلغ]])</f>
        <v>543306851</v>
      </c>
      <c r="O86" s="159" t="s">
        <v>389</v>
      </c>
      <c r="P86" s="159">
        <f>VLOOKUP(bargiri[[#This Row],[شماره سند مبنا]],invoice[[شماره پیش فاکتور]:[پیش دریافت به ازای هر کیلوگرم]],14,0)</f>
        <v>62900</v>
      </c>
      <c r="Q86" s="159">
        <f>IF(bargiri[[#This Row],[مبلغ ناخالص]]-(bargiri[[#This Row],[نرخ استهلاک]]*bargiri[[#This Row],[مقدار]])&lt;0,0,bargiri[[#This Row],[مبلغ ناخالص]]-(bargiri[[#This Row],[نرخ استهلاک]]*bargiri[[#This Row],[مقدار]]))</f>
        <v>1368330410</v>
      </c>
    </row>
    <row r="87" spans="1:17" s="22" customFormat="1" ht="13.8" x14ac:dyDescent="0.25">
      <c r="A87" s="22">
        <v>1377</v>
      </c>
      <c r="B87" s="22" t="s">
        <v>948</v>
      </c>
      <c r="C87" s="22" t="s">
        <v>998</v>
      </c>
      <c r="D87" s="22" t="s">
        <v>73</v>
      </c>
      <c r="E87" s="158">
        <v>21010</v>
      </c>
      <c r="F87" s="159">
        <v>128971</v>
      </c>
      <c r="G87" s="159">
        <v>2709680710</v>
      </c>
      <c r="H87" s="159">
        <v>270968071</v>
      </c>
      <c r="I87" s="159">
        <v>2980648781</v>
      </c>
      <c r="J87" s="159">
        <f>bargiri[[#This Row],[مقدار]]*INDEX(invoice[پیش دریافت به ازای هر کیلوگرم],MATCH(bargiri[[#This Row],[شماره سند مبنا]],invoice[شماره پیش فاکتور],0))</f>
        <v>1321529000</v>
      </c>
      <c r="K87" s="159">
        <f>bargiri[[#This Row],[مبلغ خالص]]-bargiri[[#This Row],[میزان استهلاک پیش دریافتی]]</f>
        <v>1659119781</v>
      </c>
      <c r="L87" s="160" t="s">
        <v>593</v>
      </c>
      <c r="M87" s="159" t="s">
        <v>593</v>
      </c>
      <c r="N87" s="159">
        <f>IF(bargiri[[#This Row],[مبلغ واریزی]]&lt;&gt;"",bargiri[[#This Row],[مانده مبلغ]]-bargiri[[#This Row],[مبلغ واریزی]],bargiri[[#This Row],[مانده مبلغ]])</f>
        <v>1659119781</v>
      </c>
      <c r="O87" s="159" t="s">
        <v>593</v>
      </c>
      <c r="P87" s="159">
        <f>VLOOKUP(bargiri[[#This Row],[شماره سند مبنا]],invoice[[شماره پیش فاکتور]:[پیش دریافت به ازای هر کیلوگرم]],14,0)</f>
        <v>62900</v>
      </c>
      <c r="Q87" s="159">
        <f>IF(bargiri[[#This Row],[مبلغ ناخالص]]-(bargiri[[#This Row],[نرخ استهلاک]]*bargiri[[#This Row],[مقدار]])&lt;0,0,bargiri[[#This Row],[مبلغ ناخالص]]-(bargiri[[#This Row],[نرخ استهلاک]]*bargiri[[#This Row],[مقدار]]))</f>
        <v>1388151710</v>
      </c>
    </row>
    <row r="88" spans="1:17" s="22" customFormat="1" ht="13.8" x14ac:dyDescent="0.25">
      <c r="A88" s="22">
        <v>1376</v>
      </c>
      <c r="B88" s="22" t="s">
        <v>948</v>
      </c>
      <c r="C88" s="22" t="s">
        <v>998</v>
      </c>
      <c r="D88" s="22" t="s">
        <v>73</v>
      </c>
      <c r="E88" s="158">
        <v>20590</v>
      </c>
      <c r="F88" s="159">
        <v>128971</v>
      </c>
      <c r="G88" s="159">
        <v>2655512890</v>
      </c>
      <c r="H88" s="159">
        <v>265551289</v>
      </c>
      <c r="I88" s="159">
        <v>2921064179</v>
      </c>
      <c r="J88" s="159">
        <f>bargiri[[#This Row],[مقدار]]*INDEX(invoice[پیش دریافت به ازای هر کیلوگرم],MATCH(bargiri[[#This Row],[شماره سند مبنا]],invoice[شماره پیش فاکتور],0))</f>
        <v>1295111000</v>
      </c>
      <c r="K88" s="159">
        <f>bargiri[[#This Row],[مبلغ خالص]]-bargiri[[#This Row],[میزان استهلاک پیش دریافتی]]</f>
        <v>1625953179</v>
      </c>
      <c r="L88" s="160" t="s">
        <v>282</v>
      </c>
      <c r="M88" s="159">
        <v>456610000</v>
      </c>
      <c r="N88" s="159">
        <f>IF(bargiri[[#This Row],[مبلغ واریزی]]&lt;&gt;"",bargiri[[#This Row],[مانده مبلغ]]-bargiri[[#This Row],[مبلغ واریزی]],bargiri[[#This Row],[مانده مبلغ]])</f>
        <v>1169343179</v>
      </c>
      <c r="O88" s="159">
        <v>0</v>
      </c>
      <c r="P88" s="159">
        <f>VLOOKUP(bargiri[[#This Row],[شماره سند مبنا]],invoice[[شماره پیش فاکتور]:[پیش دریافت به ازای هر کیلوگرم]],14,0)</f>
        <v>62900</v>
      </c>
      <c r="Q88" s="159">
        <f>IF(bargiri[[#This Row],[مبلغ ناخالص]]-(bargiri[[#This Row],[نرخ استهلاک]]*bargiri[[#This Row],[مقدار]])&lt;0,0,bargiri[[#This Row],[مبلغ ناخالص]]-(bargiri[[#This Row],[نرخ استهلاک]]*bargiri[[#This Row],[مقدار]]))</f>
        <v>1360401890</v>
      </c>
    </row>
    <row r="89" spans="1:17" s="22" customFormat="1" ht="13.8" x14ac:dyDescent="0.25">
      <c r="A89" s="22">
        <v>1375</v>
      </c>
      <c r="B89" s="22" t="s">
        <v>949</v>
      </c>
      <c r="C89" s="22" t="s">
        <v>998</v>
      </c>
      <c r="D89" s="22" t="s">
        <v>73</v>
      </c>
      <c r="E89" s="158">
        <v>20130</v>
      </c>
      <c r="F89" s="159">
        <v>128971</v>
      </c>
      <c r="G89" s="159">
        <v>2596186230</v>
      </c>
      <c r="H89" s="159">
        <v>259618623</v>
      </c>
      <c r="I89" s="159">
        <v>2855804853</v>
      </c>
      <c r="J89" s="159">
        <f>bargiri[[#This Row],[مقدار]]*INDEX(invoice[پیش دریافت به ازای هر کیلوگرم],MATCH(bargiri[[#This Row],[شماره سند مبنا]],invoice[شماره پیش فاکتور],0))</f>
        <v>1266177000</v>
      </c>
      <c r="K89" s="159">
        <f>bargiri[[#This Row],[مبلغ خالص]]-bargiri[[#This Row],[میزان استهلاک پیش دریافتی]]</f>
        <v>1589627853</v>
      </c>
      <c r="L89" s="160" t="s">
        <v>593</v>
      </c>
      <c r="M89" s="159" t="s">
        <v>593</v>
      </c>
      <c r="N89" s="159">
        <f>IF(bargiri[[#This Row],[مبلغ واریزی]]&lt;&gt;"",bargiri[[#This Row],[مانده مبلغ]]-bargiri[[#This Row],[مبلغ واریزی]],bargiri[[#This Row],[مانده مبلغ]])</f>
        <v>1589627853</v>
      </c>
      <c r="O89" s="159" t="s">
        <v>593</v>
      </c>
      <c r="P89" s="159">
        <f>VLOOKUP(bargiri[[#This Row],[شماره سند مبنا]],invoice[[شماره پیش فاکتور]:[پیش دریافت به ازای هر کیلوگرم]],14,0)</f>
        <v>62900</v>
      </c>
      <c r="Q89" s="159">
        <f>IF(bargiri[[#This Row],[مبلغ ناخالص]]-(bargiri[[#This Row],[نرخ استهلاک]]*bargiri[[#This Row],[مقدار]])&lt;0,0,bargiri[[#This Row],[مبلغ ناخالص]]-(bargiri[[#This Row],[نرخ استهلاک]]*bargiri[[#This Row],[مقدار]]))</f>
        <v>1330009230</v>
      </c>
    </row>
    <row r="90" spans="1:17" s="22" customFormat="1" ht="13.8" x14ac:dyDescent="0.25">
      <c r="A90" s="22">
        <v>1374</v>
      </c>
      <c r="B90" s="22" t="s">
        <v>949</v>
      </c>
      <c r="C90" s="22" t="s">
        <v>998</v>
      </c>
      <c r="D90" s="22" t="s">
        <v>73</v>
      </c>
      <c r="E90" s="158">
        <v>19970</v>
      </c>
      <c r="F90" s="159">
        <v>128971</v>
      </c>
      <c r="G90" s="159">
        <v>2575550870</v>
      </c>
      <c r="H90" s="159">
        <v>257555087</v>
      </c>
      <c r="I90" s="159">
        <v>2833105957</v>
      </c>
      <c r="J90" s="159">
        <f>bargiri[[#This Row],[مقدار]]*INDEX(invoice[پیش دریافت به ازای هر کیلوگرم],MATCH(bargiri[[#This Row],[شماره سند مبنا]],invoice[شماره پیش فاکتور],0))</f>
        <v>1256113000</v>
      </c>
      <c r="K90" s="159">
        <f>bargiri[[#This Row],[مبلغ خالص]]-bargiri[[#This Row],[میزان استهلاک پیش دریافتی]]</f>
        <v>1576992957</v>
      </c>
      <c r="L90" s="160" t="s">
        <v>282</v>
      </c>
      <c r="M90" s="159">
        <v>1420381875</v>
      </c>
      <c r="N90" s="159">
        <f>IF(bargiri[[#This Row],[مبلغ واریزی]]&lt;&gt;"",bargiri[[#This Row],[مانده مبلغ]]-bargiri[[#This Row],[مبلغ واریزی]],bargiri[[#This Row],[مانده مبلغ]])</f>
        <v>156611082</v>
      </c>
      <c r="O90" s="159">
        <v>0</v>
      </c>
      <c r="P90" s="159">
        <f>VLOOKUP(bargiri[[#This Row],[شماره سند مبنا]],invoice[[شماره پیش فاکتور]:[پیش دریافت به ازای هر کیلوگرم]],14,0)</f>
        <v>62900</v>
      </c>
      <c r="Q90" s="159">
        <f>IF(bargiri[[#This Row],[مبلغ ناخالص]]-(bargiri[[#This Row],[نرخ استهلاک]]*bargiri[[#This Row],[مقدار]])&lt;0,0,bargiri[[#This Row],[مبلغ ناخالص]]-(bargiri[[#This Row],[نرخ استهلاک]]*bargiri[[#This Row],[مقدار]]))</f>
        <v>1319437870</v>
      </c>
    </row>
    <row r="91" spans="1:17" s="22" customFormat="1" ht="13.8" x14ac:dyDescent="0.25">
      <c r="A91" s="22">
        <v>1373</v>
      </c>
      <c r="B91" s="22" t="s">
        <v>941</v>
      </c>
      <c r="C91" s="22" t="s">
        <v>998</v>
      </c>
      <c r="D91" s="22" t="s">
        <v>73</v>
      </c>
      <c r="E91" s="158">
        <v>20150</v>
      </c>
      <c r="F91" s="159">
        <v>128971</v>
      </c>
      <c r="G91" s="159">
        <v>2598765650</v>
      </c>
      <c r="H91" s="159">
        <v>259876565</v>
      </c>
      <c r="I91" s="159">
        <v>2858642215</v>
      </c>
      <c r="J91" s="159">
        <f>bargiri[[#This Row],[مقدار]]*INDEX(invoice[پیش دریافت به ازای هر کیلوگرم],MATCH(bargiri[[#This Row],[شماره سند مبنا]],invoice[شماره پیش فاکتور],0))</f>
        <v>1267435000</v>
      </c>
      <c r="K91" s="159">
        <f>bargiri[[#This Row],[مبلغ خالص]]-bargiri[[#This Row],[میزان استهلاک پیش دریافتی]]</f>
        <v>1591207215</v>
      </c>
      <c r="L91" s="160" t="s">
        <v>593</v>
      </c>
      <c r="M91" s="159" t="s">
        <v>593</v>
      </c>
      <c r="N91" s="159">
        <f>IF(bargiri[[#This Row],[مبلغ واریزی]]&lt;&gt;"",bargiri[[#This Row],[مانده مبلغ]]-bargiri[[#This Row],[مبلغ واریزی]],bargiri[[#This Row],[مانده مبلغ]])</f>
        <v>1591207215</v>
      </c>
      <c r="O91" s="159" t="s">
        <v>593</v>
      </c>
      <c r="P91" s="159">
        <f>VLOOKUP(bargiri[[#This Row],[شماره سند مبنا]],invoice[[شماره پیش فاکتور]:[پیش دریافت به ازای هر کیلوگرم]],14,0)</f>
        <v>62900</v>
      </c>
      <c r="Q91" s="159">
        <f>IF(bargiri[[#This Row],[مبلغ ناخالص]]-(bargiri[[#This Row],[نرخ استهلاک]]*bargiri[[#This Row],[مقدار]])&lt;0,0,bargiri[[#This Row],[مبلغ ناخالص]]-(bargiri[[#This Row],[نرخ استهلاک]]*bargiri[[#This Row],[مقدار]]))</f>
        <v>1331330650</v>
      </c>
    </row>
    <row r="92" spans="1:17" s="22" customFormat="1" ht="13.8" x14ac:dyDescent="0.25">
      <c r="A92" s="22">
        <v>1372</v>
      </c>
      <c r="B92" s="22" t="s">
        <v>941</v>
      </c>
      <c r="C92" s="22" t="s">
        <v>998</v>
      </c>
      <c r="D92" s="22" t="s">
        <v>73</v>
      </c>
      <c r="E92" s="158">
        <v>19990</v>
      </c>
      <c r="F92" s="159">
        <v>128971</v>
      </c>
      <c r="G92" s="159">
        <v>2578130290</v>
      </c>
      <c r="H92" s="159">
        <v>257813029</v>
      </c>
      <c r="I92" s="159">
        <v>2835943319</v>
      </c>
      <c r="J92" s="159">
        <f>bargiri[[#This Row],[مقدار]]*INDEX(invoice[پیش دریافت به ازای هر کیلوگرم],MATCH(bargiri[[#This Row],[شماره سند مبنا]],invoice[شماره پیش فاکتور],0))</f>
        <v>1257371000</v>
      </c>
      <c r="K92" s="159">
        <f>bargiri[[#This Row],[مبلغ خالص]]-bargiri[[#This Row],[میزان استهلاک پیش دریافتی]]</f>
        <v>1578572319</v>
      </c>
      <c r="L92" s="160" t="s">
        <v>593</v>
      </c>
      <c r="M92" s="159" t="s">
        <v>593</v>
      </c>
      <c r="N92" s="159">
        <f>IF(bargiri[[#This Row],[مبلغ واریزی]]&lt;&gt;"",bargiri[[#This Row],[مانده مبلغ]]-bargiri[[#This Row],[مبلغ واریزی]],bargiri[[#This Row],[مانده مبلغ]])</f>
        <v>1578572319</v>
      </c>
      <c r="O92" s="159" t="s">
        <v>593</v>
      </c>
      <c r="P92" s="159">
        <f>VLOOKUP(bargiri[[#This Row],[شماره سند مبنا]],invoice[[شماره پیش فاکتور]:[پیش دریافت به ازای هر کیلوگرم]],14,0)</f>
        <v>62900</v>
      </c>
      <c r="Q92" s="159">
        <f>IF(bargiri[[#This Row],[مبلغ ناخالص]]-(bargiri[[#This Row],[نرخ استهلاک]]*bargiri[[#This Row],[مقدار]])&lt;0,0,bargiri[[#This Row],[مبلغ ناخالص]]-(bargiri[[#This Row],[نرخ استهلاک]]*bargiri[[#This Row],[مقدار]]))</f>
        <v>1320759290</v>
      </c>
    </row>
    <row r="93" spans="1:17" s="22" customFormat="1" ht="13.8" x14ac:dyDescent="0.25">
      <c r="A93" s="22">
        <v>1371</v>
      </c>
      <c r="B93" s="22" t="s">
        <v>941</v>
      </c>
      <c r="C93" s="22" t="s">
        <v>998</v>
      </c>
      <c r="D93" s="22" t="s">
        <v>73</v>
      </c>
      <c r="E93" s="158">
        <v>20130</v>
      </c>
      <c r="F93" s="159">
        <v>128971</v>
      </c>
      <c r="G93" s="159">
        <v>2596186230</v>
      </c>
      <c r="H93" s="159">
        <v>259618623</v>
      </c>
      <c r="I93" s="159">
        <v>2855804853</v>
      </c>
      <c r="J93" s="159">
        <f>bargiri[[#This Row],[مقدار]]*INDEX(invoice[پیش دریافت به ازای هر کیلوگرم],MATCH(bargiri[[#This Row],[شماره سند مبنا]],invoice[شماره پیش فاکتور],0))</f>
        <v>1266177000</v>
      </c>
      <c r="K93" s="159">
        <f>bargiri[[#This Row],[مبلغ خالص]]-bargiri[[#This Row],[میزان استهلاک پیش دریافتی]]</f>
        <v>1589627853</v>
      </c>
      <c r="L93" s="160" t="s">
        <v>593</v>
      </c>
      <c r="M93" s="159" t="s">
        <v>593</v>
      </c>
      <c r="N93" s="159">
        <f>IF(bargiri[[#This Row],[مبلغ واریزی]]&lt;&gt;"",bargiri[[#This Row],[مانده مبلغ]]-bargiri[[#This Row],[مبلغ واریزی]],bargiri[[#This Row],[مانده مبلغ]])</f>
        <v>1589627853</v>
      </c>
      <c r="O93" s="159" t="s">
        <v>593</v>
      </c>
      <c r="P93" s="159">
        <f>VLOOKUP(bargiri[[#This Row],[شماره سند مبنا]],invoice[[شماره پیش فاکتور]:[پیش دریافت به ازای هر کیلوگرم]],14,0)</f>
        <v>62900</v>
      </c>
      <c r="Q93" s="159">
        <f>IF(bargiri[[#This Row],[مبلغ ناخالص]]-(bargiri[[#This Row],[نرخ استهلاک]]*bargiri[[#This Row],[مقدار]])&lt;0,0,bargiri[[#This Row],[مبلغ ناخالص]]-(bargiri[[#This Row],[نرخ استهلاک]]*bargiri[[#This Row],[مقدار]]))</f>
        <v>1330009230</v>
      </c>
    </row>
    <row r="94" spans="1:17" s="22" customFormat="1" ht="13.8" x14ac:dyDescent="0.25">
      <c r="A94" s="22">
        <v>1370</v>
      </c>
      <c r="B94" s="22" t="s">
        <v>941</v>
      </c>
      <c r="C94" s="22" t="s">
        <v>934</v>
      </c>
      <c r="D94" s="22" t="s">
        <v>73</v>
      </c>
      <c r="E94" s="158">
        <v>16700</v>
      </c>
      <c r="F94" s="159">
        <v>130266</v>
      </c>
      <c r="G94" s="159">
        <v>2175442200</v>
      </c>
      <c r="H94" s="159">
        <v>217544220</v>
      </c>
      <c r="I94" s="159">
        <v>2392986420</v>
      </c>
      <c r="J94" s="159">
        <f>bargiri[[#This Row],[مقدار]]*INDEX(invoice[پیش دریافت به ازای هر کیلوگرم],MATCH(bargiri[[#This Row],[شماره سند مبنا]],invoice[شماره پیش فاکتور],0))</f>
        <v>1050430000</v>
      </c>
      <c r="K94" s="159">
        <f>bargiri[[#This Row],[مبلغ خالص]]-bargiri[[#This Row],[میزان استهلاک پیش دریافتی]]</f>
        <v>1342556420</v>
      </c>
      <c r="L94" s="160" t="s">
        <v>593</v>
      </c>
      <c r="M94" s="159" t="s">
        <v>593</v>
      </c>
      <c r="N94" s="159">
        <f>IF(bargiri[[#This Row],[مبلغ واریزی]]&lt;&gt;"",bargiri[[#This Row],[مانده مبلغ]]-bargiri[[#This Row],[مبلغ واریزی]],bargiri[[#This Row],[مانده مبلغ]])</f>
        <v>1342556420</v>
      </c>
      <c r="O94" s="159" t="s">
        <v>593</v>
      </c>
      <c r="P94" s="159">
        <f>VLOOKUP(bargiri[[#This Row],[شماره سند مبنا]],invoice[[شماره پیش فاکتور]:[پیش دریافت به ازای هر کیلوگرم]],14,0)</f>
        <v>62900</v>
      </c>
      <c r="Q94" s="159">
        <f>IF(bargiri[[#This Row],[مبلغ ناخالص]]-(bargiri[[#This Row],[نرخ استهلاک]]*bargiri[[#This Row],[مقدار]])&lt;0,0,bargiri[[#This Row],[مبلغ ناخالص]]-(bargiri[[#This Row],[نرخ استهلاک]]*bargiri[[#This Row],[مقدار]]))</f>
        <v>1125012200</v>
      </c>
    </row>
    <row r="95" spans="1:17" s="22" customFormat="1" ht="13.8" x14ac:dyDescent="0.25">
      <c r="A95" s="22">
        <v>1370</v>
      </c>
      <c r="B95" s="22" t="s">
        <v>941</v>
      </c>
      <c r="C95" s="22" t="s">
        <v>998</v>
      </c>
      <c r="D95" s="22" t="s">
        <v>73</v>
      </c>
      <c r="E95" s="158">
        <v>3200</v>
      </c>
      <c r="F95" s="159">
        <v>128971</v>
      </c>
      <c r="G95" s="159">
        <v>412707200</v>
      </c>
      <c r="H95" s="159">
        <v>41270720</v>
      </c>
      <c r="I95" s="159">
        <v>453977920</v>
      </c>
      <c r="J95" s="159">
        <f>bargiri[[#This Row],[مقدار]]*INDEX(invoice[پیش دریافت به ازای هر کیلوگرم],MATCH(bargiri[[#This Row],[شماره سند مبنا]],invoice[شماره پیش فاکتور],0))</f>
        <v>201280000</v>
      </c>
      <c r="K95" s="159">
        <f>bargiri[[#This Row],[مبلغ خالص]]-bargiri[[#This Row],[میزان استهلاک پیش دریافتی]]</f>
        <v>252697920</v>
      </c>
      <c r="L95" s="160" t="s">
        <v>282</v>
      </c>
      <c r="M95" s="159">
        <v>246746500</v>
      </c>
      <c r="N95" s="159">
        <f>IF(bargiri[[#This Row],[مبلغ واریزی]]&lt;&gt;"",bargiri[[#This Row],[مانده مبلغ]]-bargiri[[#This Row],[مبلغ واریزی]],bargiri[[#This Row],[مانده مبلغ]])</f>
        <v>5951420</v>
      </c>
      <c r="O95" s="159" t="s">
        <v>349</v>
      </c>
      <c r="P95" s="159">
        <f>VLOOKUP(bargiri[[#This Row],[شماره سند مبنا]],invoice[[شماره پیش فاکتور]:[پیش دریافت به ازای هر کیلوگرم]],14,0)</f>
        <v>62900</v>
      </c>
      <c r="Q95" s="159">
        <f>IF(bargiri[[#This Row],[مبلغ ناخالص]]-(bargiri[[#This Row],[نرخ استهلاک]]*bargiri[[#This Row],[مقدار]])&lt;0,0,bargiri[[#This Row],[مبلغ ناخالص]]-(bargiri[[#This Row],[نرخ استهلاک]]*bargiri[[#This Row],[مقدار]]))</f>
        <v>211427200</v>
      </c>
    </row>
    <row r="96" spans="1:17" s="22" customFormat="1" ht="13.8" x14ac:dyDescent="0.25">
      <c r="A96" s="22">
        <v>15</v>
      </c>
      <c r="B96" s="22" t="s">
        <v>997</v>
      </c>
      <c r="C96" s="22" t="s">
        <v>720</v>
      </c>
      <c r="D96" s="22" t="s">
        <v>20</v>
      </c>
      <c r="E96" s="158">
        <v>21960</v>
      </c>
      <c r="F96" s="159">
        <v>105000</v>
      </c>
      <c r="G96" s="159">
        <v>2305800000</v>
      </c>
      <c r="H96" s="159">
        <v>230580000</v>
      </c>
      <c r="I96" s="159">
        <v>2536380000</v>
      </c>
      <c r="J96" s="159">
        <f>bargiri[[#This Row],[مقدار]]*INDEX(invoice[پیش دریافت به ازای هر کیلوگرم],MATCH(bargiri[[#This Row],[شماره سند مبنا]],invoice[شماره پیش فاکتور],0))</f>
        <v>1152900000</v>
      </c>
      <c r="K96" s="159">
        <f>bargiri[[#This Row],[مبلغ خالص]]-bargiri[[#This Row],[میزان استهلاک پیش دریافتی]]</f>
        <v>1383480000</v>
      </c>
      <c r="L96" s="160" t="s">
        <v>593</v>
      </c>
      <c r="M96" s="159" t="s">
        <v>593</v>
      </c>
      <c r="N96" s="159">
        <f>IF(bargiri[[#This Row],[مبلغ واریزی]]&lt;&gt;"",bargiri[[#This Row],[مانده مبلغ]]-bargiri[[#This Row],[مبلغ واریزی]],bargiri[[#This Row],[مانده مبلغ]])</f>
        <v>1383480000</v>
      </c>
      <c r="O96" s="159" t="s">
        <v>593</v>
      </c>
      <c r="P96" s="159">
        <f>VLOOKUP(bargiri[[#This Row],[شماره سند مبنا]],invoice[[شماره پیش فاکتور]:[پیش دریافت به ازای هر کیلوگرم]],14,0)</f>
        <v>52500</v>
      </c>
      <c r="Q96" s="159">
        <f>IF(bargiri[[#This Row],[مبلغ ناخالص]]-(bargiri[[#This Row],[نرخ استهلاک]]*bargiri[[#This Row],[مقدار]])&lt;0,0,bargiri[[#This Row],[مبلغ ناخالص]]-(bargiri[[#This Row],[نرخ استهلاک]]*bargiri[[#This Row],[مقدار]]))</f>
        <v>1152900000</v>
      </c>
    </row>
    <row r="97" spans="1:17" s="22" customFormat="1" ht="13.8" x14ac:dyDescent="0.25">
      <c r="A97" s="22">
        <v>14</v>
      </c>
      <c r="B97" s="22" t="s">
        <v>997</v>
      </c>
      <c r="C97" s="22" t="s">
        <v>895</v>
      </c>
      <c r="D97" s="22" t="s">
        <v>43</v>
      </c>
      <c r="E97" s="158">
        <v>20180</v>
      </c>
      <c r="F97" s="159">
        <v>125000</v>
      </c>
      <c r="G97" s="159">
        <v>2522500000</v>
      </c>
      <c r="H97" s="159">
        <v>252250000</v>
      </c>
      <c r="I97" s="159">
        <v>2774750000</v>
      </c>
      <c r="J97" s="159">
        <f>bargiri[[#This Row],[مقدار]]*INDEX(invoice[پیش دریافت به ازای هر کیلوگرم],MATCH(bargiri[[#This Row],[شماره سند مبنا]],invoice[شماره پیش فاکتور],0))</f>
        <v>832425000</v>
      </c>
      <c r="K97" s="159">
        <f>bargiri[[#This Row],[مبلغ خالص]]-bargiri[[#This Row],[میزان استهلاک پیش دریافتی]]</f>
        <v>1942325000</v>
      </c>
      <c r="L97" s="160" t="s">
        <v>593</v>
      </c>
      <c r="M97" s="159" t="s">
        <v>593</v>
      </c>
      <c r="N97" s="159">
        <f>IF(bargiri[[#This Row],[مبلغ واریزی]]&lt;&gt;"",bargiri[[#This Row],[مانده مبلغ]]-bargiri[[#This Row],[مبلغ واریزی]],bargiri[[#This Row],[مانده مبلغ]])</f>
        <v>1942325000</v>
      </c>
      <c r="O97" s="159" t="s">
        <v>593</v>
      </c>
      <c r="P97" s="159">
        <f>VLOOKUP(bargiri[[#This Row],[شماره سند مبنا]],invoice[[شماره پیش فاکتور]:[پیش دریافت به ازای هر کیلوگرم]],14,0)</f>
        <v>41250</v>
      </c>
      <c r="Q97" s="159">
        <f>IF(bargiri[[#This Row],[مبلغ ناخالص]]-(bargiri[[#This Row],[نرخ استهلاک]]*bargiri[[#This Row],[مقدار]])&lt;0,0,bargiri[[#This Row],[مبلغ ناخالص]]-(bargiri[[#This Row],[نرخ استهلاک]]*bargiri[[#This Row],[مقدار]]))</f>
        <v>1690075000</v>
      </c>
    </row>
    <row r="98" spans="1:17" s="22" customFormat="1" ht="13.8" x14ac:dyDescent="0.25">
      <c r="A98" s="22">
        <v>13</v>
      </c>
      <c r="B98" s="22" t="s">
        <v>997</v>
      </c>
      <c r="C98" s="22" t="s">
        <v>930</v>
      </c>
      <c r="D98" s="22" t="s">
        <v>70</v>
      </c>
      <c r="E98" s="158">
        <v>20060</v>
      </c>
      <c r="F98" s="159">
        <v>167500</v>
      </c>
      <c r="G98" s="159">
        <v>3360050000</v>
      </c>
      <c r="H98" s="159">
        <v>336005000</v>
      </c>
      <c r="I98" s="159">
        <v>3696055000</v>
      </c>
      <c r="J98" s="159">
        <f>bargiri[[#This Row],[مقدار]]*INDEX(invoice[پیش دریافت به ازای هر کیلوگرم],MATCH(bargiri[[#This Row],[شماره سند مبنا]],invoice[شماره پیش فاکتور],0))</f>
        <v>3696055000</v>
      </c>
      <c r="K98" s="159">
        <f>bargiri[[#This Row],[مبلغ خالص]]-bargiri[[#This Row],[میزان استهلاک پیش دریافتی]]</f>
        <v>0</v>
      </c>
      <c r="L98" s="160" t="s">
        <v>593</v>
      </c>
      <c r="M98" s="159" t="s">
        <v>593</v>
      </c>
      <c r="N98" s="159">
        <f>IF(bargiri[[#This Row],[مبلغ واریزی]]&lt;&gt;"",bargiri[[#This Row],[مانده مبلغ]]-bargiri[[#This Row],[مبلغ واریزی]],bargiri[[#This Row],[مانده مبلغ]])</f>
        <v>0</v>
      </c>
      <c r="O98" s="159" t="s">
        <v>593</v>
      </c>
      <c r="P98" s="159">
        <f>VLOOKUP(bargiri[[#This Row],[شماره سند مبنا]],invoice[[شماره پیش فاکتور]:[پیش دریافت به ازای هر کیلوگرم]],14,0)</f>
        <v>184250</v>
      </c>
      <c r="Q98" s="159">
        <f>IF(bargiri[[#This Row],[مبلغ ناخالص]]-(bargiri[[#This Row],[نرخ استهلاک]]*bargiri[[#This Row],[مقدار]])&lt;0,0,bargiri[[#This Row],[مبلغ ناخالص]]-(bargiri[[#This Row],[نرخ استهلاک]]*bargiri[[#This Row],[مقدار]]))</f>
        <v>0</v>
      </c>
    </row>
    <row r="99" spans="1:17" s="22" customFormat="1" ht="13.8" x14ac:dyDescent="0.25">
      <c r="A99" s="22">
        <v>12</v>
      </c>
      <c r="B99" s="22" t="s">
        <v>997</v>
      </c>
      <c r="C99" s="22" t="s">
        <v>616</v>
      </c>
      <c r="D99" s="22" t="s">
        <v>67</v>
      </c>
      <c r="E99" s="158">
        <v>19990</v>
      </c>
      <c r="F99" s="159">
        <v>142000</v>
      </c>
      <c r="G99" s="159">
        <v>2838580000</v>
      </c>
      <c r="H99" s="159">
        <v>283858000</v>
      </c>
      <c r="I99" s="159">
        <v>3122438000</v>
      </c>
      <c r="J99" s="159">
        <f>bargiri[[#This Row],[مقدار]]*INDEX(invoice[پیش دریافت به ازای هر کیلوگرم],MATCH(bargiri[[#This Row],[شماره سند مبنا]],invoice[شماره پیش فاکتور],0))</f>
        <v>468365700</v>
      </c>
      <c r="K99" s="159">
        <f>bargiri[[#This Row],[مبلغ خالص]]-bargiri[[#This Row],[میزان استهلاک پیش دریافتی]]</f>
        <v>2654072300</v>
      </c>
      <c r="L99" s="160" t="s">
        <v>593</v>
      </c>
      <c r="M99" s="159" t="s">
        <v>593</v>
      </c>
      <c r="N99" s="159">
        <f>IF(bargiri[[#This Row],[مبلغ واریزی]]&lt;&gt;"",bargiri[[#This Row],[مانده مبلغ]]-bargiri[[#This Row],[مبلغ واریزی]],bargiri[[#This Row],[مانده مبلغ]])</f>
        <v>2654072300</v>
      </c>
      <c r="O99" s="159" t="s">
        <v>593</v>
      </c>
      <c r="P99" s="159">
        <f>VLOOKUP(bargiri[[#This Row],[شماره سند مبنا]],invoice[[شماره پیش فاکتور]:[پیش دریافت به ازای هر کیلوگرم]],14,0)</f>
        <v>23430</v>
      </c>
      <c r="Q99" s="159">
        <f>IF(bargiri[[#This Row],[مبلغ ناخالص]]-(bargiri[[#This Row],[نرخ استهلاک]]*bargiri[[#This Row],[مقدار]])&lt;0,0,bargiri[[#This Row],[مبلغ ناخالص]]-(bargiri[[#This Row],[نرخ استهلاک]]*bargiri[[#This Row],[مقدار]]))</f>
        <v>2370214300</v>
      </c>
    </row>
    <row r="100" spans="1:17" s="22" customFormat="1" ht="13.8" x14ac:dyDescent="0.25">
      <c r="A100" s="22">
        <v>11</v>
      </c>
      <c r="B100" s="22" t="s">
        <v>1003</v>
      </c>
      <c r="C100" s="22" t="s">
        <v>895</v>
      </c>
      <c r="D100" s="22" t="s">
        <v>43</v>
      </c>
      <c r="E100" s="158">
        <v>18120</v>
      </c>
      <c r="F100" s="159">
        <v>125000</v>
      </c>
      <c r="G100" s="159">
        <v>2265000000</v>
      </c>
      <c r="H100" s="159">
        <v>226500000</v>
      </c>
      <c r="I100" s="159">
        <v>2491500000</v>
      </c>
      <c r="J100" s="159">
        <f>bargiri[[#This Row],[مقدار]]*INDEX(invoice[پیش دریافت به ازای هر کیلوگرم],MATCH(bargiri[[#This Row],[شماره سند مبنا]],invoice[شماره پیش فاکتور],0))</f>
        <v>747450000</v>
      </c>
      <c r="K100" s="159">
        <f>bargiri[[#This Row],[مبلغ خالص]]-bargiri[[#This Row],[میزان استهلاک پیش دریافتی]]</f>
        <v>1744050000</v>
      </c>
      <c r="L100" s="160" t="s">
        <v>593</v>
      </c>
      <c r="M100" s="159" t="s">
        <v>593</v>
      </c>
      <c r="N100" s="159">
        <f>IF(bargiri[[#This Row],[مبلغ واریزی]]&lt;&gt;"",bargiri[[#This Row],[مانده مبلغ]]-bargiri[[#This Row],[مبلغ واریزی]],bargiri[[#This Row],[مانده مبلغ]])</f>
        <v>1744050000</v>
      </c>
      <c r="O100" s="159" t="s">
        <v>593</v>
      </c>
      <c r="P100" s="159">
        <f>VLOOKUP(bargiri[[#This Row],[شماره سند مبنا]],invoice[[شماره پیش فاکتور]:[پیش دریافت به ازای هر کیلوگرم]],14,0)</f>
        <v>41250</v>
      </c>
      <c r="Q100" s="159">
        <f>IF(bargiri[[#This Row],[مبلغ ناخالص]]-(bargiri[[#This Row],[نرخ استهلاک]]*bargiri[[#This Row],[مقدار]])&lt;0,0,bargiri[[#This Row],[مبلغ ناخالص]]-(bargiri[[#This Row],[نرخ استهلاک]]*bargiri[[#This Row],[مقدار]]))</f>
        <v>1517550000</v>
      </c>
    </row>
    <row r="101" spans="1:17" s="22" customFormat="1" ht="13.8" x14ac:dyDescent="0.25">
      <c r="A101" s="22">
        <v>10</v>
      </c>
      <c r="B101" s="22" t="s">
        <v>1004</v>
      </c>
      <c r="C101" s="22" t="s">
        <v>895</v>
      </c>
      <c r="D101" s="22" t="s">
        <v>43</v>
      </c>
      <c r="E101" s="158">
        <v>5280</v>
      </c>
      <c r="F101" s="159">
        <v>125000</v>
      </c>
      <c r="G101" s="159">
        <v>660000000</v>
      </c>
      <c r="H101" s="159">
        <v>66000000</v>
      </c>
      <c r="I101" s="159">
        <v>726000000</v>
      </c>
      <c r="J101" s="159">
        <f>bargiri[[#This Row],[مقدار]]*INDEX(invoice[پیش دریافت به ازای هر کیلوگرم],MATCH(bargiri[[#This Row],[شماره سند مبنا]],invoice[شماره پیش فاکتور],0))</f>
        <v>217800000</v>
      </c>
      <c r="K101" s="159">
        <f>bargiri[[#This Row],[مبلغ خالص]]-bargiri[[#This Row],[میزان استهلاک پیش دریافتی]]</f>
        <v>508200000</v>
      </c>
      <c r="L101" s="160" t="s">
        <v>593</v>
      </c>
      <c r="M101" s="159" t="s">
        <v>593</v>
      </c>
      <c r="N101" s="159">
        <f>IF(bargiri[[#This Row],[مبلغ واریزی]]&lt;&gt;"",bargiri[[#This Row],[مانده مبلغ]]-bargiri[[#This Row],[مبلغ واریزی]],bargiri[[#This Row],[مانده مبلغ]])</f>
        <v>508200000</v>
      </c>
      <c r="O101" s="159" t="s">
        <v>593</v>
      </c>
      <c r="P101" s="159">
        <f>VLOOKUP(bargiri[[#This Row],[شماره سند مبنا]],invoice[[شماره پیش فاکتور]:[پیش دریافت به ازای هر کیلوگرم]],14,0)</f>
        <v>41250</v>
      </c>
      <c r="Q101" s="159">
        <f>IF(bargiri[[#This Row],[مبلغ ناخالص]]-(bargiri[[#This Row],[نرخ استهلاک]]*bargiri[[#This Row],[مقدار]])&lt;0,0,bargiri[[#This Row],[مبلغ ناخالص]]-(bargiri[[#This Row],[نرخ استهلاک]]*bargiri[[#This Row],[مقدار]]))</f>
        <v>442200000</v>
      </c>
    </row>
    <row r="102" spans="1:17" s="22" customFormat="1" ht="13.8" x14ac:dyDescent="0.25">
      <c r="A102" s="22">
        <v>9</v>
      </c>
      <c r="B102" s="22" t="s">
        <v>1004</v>
      </c>
      <c r="C102" s="22" t="s">
        <v>895</v>
      </c>
      <c r="D102" s="22" t="s">
        <v>43</v>
      </c>
      <c r="E102" s="158">
        <v>20190</v>
      </c>
      <c r="F102" s="159">
        <v>125000</v>
      </c>
      <c r="G102" s="159">
        <v>2523750000</v>
      </c>
      <c r="H102" s="159">
        <v>252375000</v>
      </c>
      <c r="I102" s="159">
        <v>2776125000</v>
      </c>
      <c r="J102" s="159">
        <f>bargiri[[#This Row],[مقدار]]*INDEX(invoice[پیش دریافت به ازای هر کیلوگرم],MATCH(bargiri[[#This Row],[شماره سند مبنا]],invoice[شماره پیش فاکتور],0))</f>
        <v>832837500</v>
      </c>
      <c r="K102" s="159">
        <f>bargiri[[#This Row],[مبلغ خالص]]-bargiri[[#This Row],[میزان استهلاک پیش دریافتی]]</f>
        <v>1943287500</v>
      </c>
      <c r="L102" s="160" t="s">
        <v>593</v>
      </c>
      <c r="M102" s="159" t="s">
        <v>593</v>
      </c>
      <c r="N102" s="159">
        <f>IF(bargiri[[#This Row],[مبلغ واریزی]]&lt;&gt;"",bargiri[[#This Row],[مانده مبلغ]]-bargiri[[#This Row],[مبلغ واریزی]],bargiri[[#This Row],[مانده مبلغ]])</f>
        <v>1943287500</v>
      </c>
      <c r="O102" s="159" t="s">
        <v>593</v>
      </c>
      <c r="P102" s="159">
        <f>VLOOKUP(bargiri[[#This Row],[شماره سند مبنا]],invoice[[شماره پیش فاکتور]:[پیش دریافت به ازای هر کیلوگرم]],14,0)</f>
        <v>41250</v>
      </c>
      <c r="Q102" s="159">
        <f>IF(bargiri[[#This Row],[مبلغ ناخالص]]-(bargiri[[#This Row],[نرخ استهلاک]]*bargiri[[#This Row],[مقدار]])&lt;0,0,bargiri[[#This Row],[مبلغ ناخالص]]-(bargiri[[#This Row],[نرخ استهلاک]]*bargiri[[#This Row],[مقدار]]))</f>
        <v>1690912500</v>
      </c>
    </row>
    <row r="103" spans="1:17" s="22" customFormat="1" ht="13.8" x14ac:dyDescent="0.25">
      <c r="A103" s="22">
        <v>8</v>
      </c>
      <c r="B103" s="22" t="s">
        <v>1004</v>
      </c>
      <c r="C103" s="22" t="s">
        <v>616</v>
      </c>
      <c r="D103" s="22" t="s">
        <v>67</v>
      </c>
      <c r="E103" s="158">
        <v>15790</v>
      </c>
      <c r="F103" s="159">
        <v>142000</v>
      </c>
      <c r="G103" s="159">
        <v>2242180000</v>
      </c>
      <c r="H103" s="159">
        <v>224218000</v>
      </c>
      <c r="I103" s="159">
        <v>2466398000</v>
      </c>
      <c r="J103" s="159">
        <f>bargiri[[#This Row],[مقدار]]*INDEX(invoice[پیش دریافت به ازای هر کیلوگرم],MATCH(bargiri[[#This Row],[شماره سند مبنا]],invoice[شماره پیش فاکتور],0))</f>
        <v>369959700</v>
      </c>
      <c r="K103" s="159">
        <f>bargiri[[#This Row],[مبلغ خالص]]-bargiri[[#This Row],[میزان استهلاک پیش دریافتی]]</f>
        <v>2096438300</v>
      </c>
      <c r="L103" s="160" t="s">
        <v>281</v>
      </c>
      <c r="M103" s="159">
        <v>1129807250</v>
      </c>
      <c r="N103" s="159">
        <f>IF(bargiri[[#This Row],[مبلغ واریزی]]&lt;&gt;"",bargiri[[#This Row],[مانده مبلغ]]-bargiri[[#This Row],[مبلغ واریزی]],bargiri[[#This Row],[مانده مبلغ]])</f>
        <v>966631050</v>
      </c>
      <c r="O103" s="159">
        <v>0</v>
      </c>
      <c r="P103" s="159">
        <f>VLOOKUP(bargiri[[#This Row],[شماره سند مبنا]],invoice[[شماره پیش فاکتور]:[پیش دریافت به ازای هر کیلوگرم]],14,0)</f>
        <v>23430</v>
      </c>
      <c r="Q103" s="159">
        <f>IF(bargiri[[#This Row],[مبلغ ناخالص]]-(bargiri[[#This Row],[نرخ استهلاک]]*bargiri[[#This Row],[مقدار]])&lt;0,0,bargiri[[#This Row],[مبلغ ناخالص]]-(bargiri[[#This Row],[نرخ استهلاک]]*bargiri[[#This Row],[مقدار]]))</f>
        <v>1872220300</v>
      </c>
    </row>
    <row r="104" spans="1:17" s="22" customFormat="1" ht="13.8" x14ac:dyDescent="0.25">
      <c r="A104" s="22">
        <v>7</v>
      </c>
      <c r="B104" s="22" t="s">
        <v>999</v>
      </c>
      <c r="C104" s="22" t="s">
        <v>616</v>
      </c>
      <c r="D104" s="22" t="s">
        <v>67</v>
      </c>
      <c r="E104" s="158">
        <v>17310</v>
      </c>
      <c r="F104" s="159">
        <v>142000</v>
      </c>
      <c r="G104" s="159">
        <v>2458020000</v>
      </c>
      <c r="H104" s="159">
        <v>245802000</v>
      </c>
      <c r="I104" s="159">
        <v>2703822000</v>
      </c>
      <c r="J104" s="159">
        <f>bargiri[[#This Row],[مقدار]]*INDEX(invoice[پیش دریافت به ازای هر کیلوگرم],MATCH(bargiri[[#This Row],[شماره سند مبنا]],invoice[شماره پیش فاکتور],0))</f>
        <v>405573300</v>
      </c>
      <c r="K104" s="159">
        <f>bargiri[[#This Row],[مبلغ خالص]]-bargiri[[#This Row],[میزان استهلاک پیش دریافتی]]</f>
        <v>2298248700</v>
      </c>
      <c r="L104" s="160" t="s">
        <v>593</v>
      </c>
      <c r="M104" s="159" t="s">
        <v>593</v>
      </c>
      <c r="N104" s="159">
        <f>IF(bargiri[[#This Row],[مبلغ واریزی]]&lt;&gt;"",bargiri[[#This Row],[مانده مبلغ]]-bargiri[[#This Row],[مبلغ واریزی]],bargiri[[#This Row],[مانده مبلغ]])</f>
        <v>2298248700</v>
      </c>
      <c r="O104" s="159" t="s">
        <v>593</v>
      </c>
      <c r="P104" s="159">
        <f>VLOOKUP(bargiri[[#This Row],[شماره سند مبنا]],invoice[[شماره پیش فاکتور]:[پیش دریافت به ازای هر کیلوگرم]],14,0)</f>
        <v>23430</v>
      </c>
      <c r="Q104" s="159">
        <f>IF(bargiri[[#This Row],[مبلغ ناخالص]]-(bargiri[[#This Row],[نرخ استهلاک]]*bargiri[[#This Row],[مقدار]])&lt;0,0,bargiri[[#This Row],[مبلغ ناخالص]]-(bargiri[[#This Row],[نرخ استهلاک]]*bargiri[[#This Row],[مقدار]]))</f>
        <v>2052446700</v>
      </c>
    </row>
    <row r="105" spans="1:17" s="22" customFormat="1" ht="13.8" x14ac:dyDescent="0.25">
      <c r="A105" s="22">
        <v>6</v>
      </c>
      <c r="B105" s="22" t="s">
        <v>999</v>
      </c>
      <c r="C105" s="22" t="s">
        <v>208</v>
      </c>
      <c r="D105" s="22" t="s">
        <v>30</v>
      </c>
      <c r="E105" s="158">
        <v>11460</v>
      </c>
      <c r="F105" s="159">
        <v>89000</v>
      </c>
      <c r="G105" s="159">
        <v>1019940000</v>
      </c>
      <c r="H105" s="159">
        <v>101994000</v>
      </c>
      <c r="I105" s="159">
        <v>1121934000</v>
      </c>
      <c r="J105" s="159">
        <f>bargiri[[#This Row],[مقدار]]*INDEX(invoice[پیش دریافت به ازای هر کیلوگرم],MATCH(bargiri[[#This Row],[شماره سند مبنا]],invoice[شماره پیش فاکتور],0))</f>
        <v>1121934000</v>
      </c>
      <c r="K105" s="159">
        <f>bargiri[[#This Row],[مبلغ خالص]]-bargiri[[#This Row],[میزان استهلاک پیش دریافتی]]</f>
        <v>0</v>
      </c>
      <c r="L105" s="160" t="s">
        <v>593</v>
      </c>
      <c r="M105" s="159" t="s">
        <v>593</v>
      </c>
      <c r="N105" s="159">
        <f>IF(bargiri[[#This Row],[مبلغ واریزی]]&lt;&gt;"",bargiri[[#This Row],[مانده مبلغ]]-bargiri[[#This Row],[مبلغ واریزی]],bargiri[[#This Row],[مانده مبلغ]])</f>
        <v>0</v>
      </c>
      <c r="O105" s="159" t="s">
        <v>593</v>
      </c>
      <c r="P105" s="159">
        <f>VLOOKUP(bargiri[[#This Row],[شماره سند مبنا]],invoice[[شماره پیش فاکتور]:[پیش دریافت به ازای هر کیلوگرم]],14,0)</f>
        <v>97900</v>
      </c>
      <c r="Q105" s="159">
        <f>IF(bargiri[[#This Row],[مبلغ ناخالص]]-(bargiri[[#This Row],[نرخ استهلاک]]*bargiri[[#This Row],[مقدار]])&lt;0,0,bargiri[[#This Row],[مبلغ ناخالص]]-(bargiri[[#This Row],[نرخ استهلاک]]*bargiri[[#This Row],[مقدار]]))</f>
        <v>0</v>
      </c>
    </row>
    <row r="106" spans="1:17" s="22" customFormat="1" ht="13.8" x14ac:dyDescent="0.25">
      <c r="A106" s="22">
        <v>5</v>
      </c>
      <c r="B106" s="22" t="s">
        <v>999</v>
      </c>
      <c r="C106" s="22" t="s">
        <v>616</v>
      </c>
      <c r="D106" s="22" t="s">
        <v>67</v>
      </c>
      <c r="E106" s="158">
        <v>17370</v>
      </c>
      <c r="F106" s="159">
        <v>142000</v>
      </c>
      <c r="G106" s="159">
        <v>2466540000</v>
      </c>
      <c r="H106" s="159">
        <v>246654000</v>
      </c>
      <c r="I106" s="159">
        <v>2713194000</v>
      </c>
      <c r="J106" s="159">
        <f>bargiri[[#This Row],[مقدار]]*INDEX(invoice[پیش دریافت به ازای هر کیلوگرم],MATCH(bargiri[[#This Row],[شماره سند مبنا]],invoice[شماره پیش فاکتور],0))</f>
        <v>406979100</v>
      </c>
      <c r="K106" s="159">
        <f>bargiri[[#This Row],[مبلغ خالص]]-bargiri[[#This Row],[میزان استهلاک پیش دریافتی]]</f>
        <v>2306214900</v>
      </c>
      <c r="L106" s="160" t="s">
        <v>593</v>
      </c>
      <c r="M106" s="159" t="s">
        <v>593</v>
      </c>
      <c r="N106" s="159">
        <f>IF(bargiri[[#This Row],[مبلغ واریزی]]&lt;&gt;"",bargiri[[#This Row],[مانده مبلغ]]-bargiri[[#This Row],[مبلغ واریزی]],bargiri[[#This Row],[مانده مبلغ]])</f>
        <v>2306214900</v>
      </c>
      <c r="O106" s="159" t="s">
        <v>593</v>
      </c>
      <c r="P106" s="159">
        <f>VLOOKUP(bargiri[[#This Row],[شماره سند مبنا]],invoice[[شماره پیش فاکتور]:[پیش دریافت به ازای هر کیلوگرم]],14,0)</f>
        <v>23430</v>
      </c>
      <c r="Q106" s="159">
        <f>IF(bargiri[[#This Row],[مبلغ ناخالص]]-(bargiri[[#This Row],[نرخ استهلاک]]*bargiri[[#This Row],[مقدار]])&lt;0,0,bargiri[[#This Row],[مبلغ ناخالص]]-(bargiri[[#This Row],[نرخ استهلاک]]*bargiri[[#This Row],[مقدار]]))</f>
        <v>2059560900</v>
      </c>
    </row>
    <row r="107" spans="1:17" s="22" customFormat="1" ht="13.8" x14ac:dyDescent="0.25">
      <c r="A107" s="22">
        <v>4</v>
      </c>
      <c r="B107" s="22" t="s">
        <v>1005</v>
      </c>
      <c r="C107" s="22" t="s">
        <v>895</v>
      </c>
      <c r="D107" s="22" t="s">
        <v>43</v>
      </c>
      <c r="E107" s="158">
        <v>14880</v>
      </c>
      <c r="F107" s="159">
        <v>125000</v>
      </c>
      <c r="G107" s="159">
        <v>1860000000</v>
      </c>
      <c r="H107" s="159">
        <v>186000000</v>
      </c>
      <c r="I107" s="159">
        <v>2046000000</v>
      </c>
      <c r="J107" s="159">
        <f>bargiri[[#This Row],[مقدار]]*INDEX(invoice[پیش دریافت به ازای هر کیلوگرم],MATCH(bargiri[[#This Row],[شماره سند مبنا]],invoice[شماره پیش فاکتور],0))</f>
        <v>613800000</v>
      </c>
      <c r="K107" s="159">
        <f>bargiri[[#This Row],[مبلغ خالص]]-bargiri[[#This Row],[میزان استهلاک پیش دریافتی]]</f>
        <v>1432200000</v>
      </c>
      <c r="L107" s="160" t="s">
        <v>593</v>
      </c>
      <c r="M107" s="159" t="s">
        <v>593</v>
      </c>
      <c r="N107" s="159">
        <f>IF(bargiri[[#This Row],[مبلغ واریزی]]&lt;&gt;"",bargiri[[#This Row],[مانده مبلغ]]-bargiri[[#This Row],[مبلغ واریزی]],bargiri[[#This Row],[مانده مبلغ]])</f>
        <v>1432200000</v>
      </c>
      <c r="O107" s="159" t="s">
        <v>593</v>
      </c>
      <c r="P107" s="159">
        <f>VLOOKUP(bargiri[[#This Row],[شماره سند مبنا]],invoice[[شماره پیش فاکتور]:[پیش دریافت به ازای هر کیلوگرم]],14,0)</f>
        <v>41250</v>
      </c>
      <c r="Q107" s="159">
        <f>IF(bargiri[[#This Row],[مبلغ ناخالص]]-(bargiri[[#This Row],[نرخ استهلاک]]*bargiri[[#This Row],[مقدار]])&lt;0,0,bargiri[[#This Row],[مبلغ ناخالص]]-(bargiri[[#This Row],[نرخ استهلاک]]*bargiri[[#This Row],[مقدار]]))</f>
        <v>1246200000</v>
      </c>
    </row>
    <row r="108" spans="1:17" s="22" customFormat="1" ht="13.8" x14ac:dyDescent="0.25">
      <c r="A108" s="22">
        <v>3</v>
      </c>
      <c r="B108" s="22" t="s">
        <v>1005</v>
      </c>
      <c r="C108" s="22" t="s">
        <v>328</v>
      </c>
      <c r="D108" s="22" t="s">
        <v>67</v>
      </c>
      <c r="E108" s="158">
        <v>20140</v>
      </c>
      <c r="F108" s="159">
        <v>116500</v>
      </c>
      <c r="G108" s="159">
        <v>2346310000</v>
      </c>
      <c r="H108" s="159">
        <v>234631000</v>
      </c>
      <c r="I108" s="159">
        <v>2580941000</v>
      </c>
      <c r="J108" s="159">
        <f>bargiri[[#This Row],[مقدار]]*INDEX(invoice[پیش دریافت به ازای هر کیلوگرم],MATCH(bargiri[[#This Row],[شماره سند مبنا]],invoice[شماره پیش فاکتور],0))</f>
        <v>387141150</v>
      </c>
      <c r="K108" s="159">
        <f>bargiri[[#This Row],[مبلغ خالص]]-bargiri[[#This Row],[میزان استهلاک پیش دریافتی]]</f>
        <v>2193799850</v>
      </c>
      <c r="L108" s="160" t="s">
        <v>593</v>
      </c>
      <c r="M108" s="159" t="s">
        <v>593</v>
      </c>
      <c r="N108" s="159">
        <f>IF(bargiri[[#This Row],[مبلغ واریزی]]&lt;&gt;"",bargiri[[#This Row],[مانده مبلغ]]-bargiri[[#This Row],[مبلغ واریزی]],bargiri[[#This Row],[مانده مبلغ]])</f>
        <v>2193799850</v>
      </c>
      <c r="O108" s="159" t="s">
        <v>593</v>
      </c>
      <c r="P108" s="159">
        <f>VLOOKUP(bargiri[[#This Row],[شماره سند مبنا]],invoice[[شماره پیش فاکتور]:[پیش دریافت به ازای هر کیلوگرم]],14,0)</f>
        <v>19222.5</v>
      </c>
      <c r="Q108" s="159">
        <f>IF(bargiri[[#This Row],[مبلغ ناخالص]]-(bargiri[[#This Row],[نرخ استهلاک]]*bargiri[[#This Row],[مقدار]])&lt;0,0,bargiri[[#This Row],[مبلغ ناخالص]]-(bargiri[[#This Row],[نرخ استهلاک]]*bargiri[[#This Row],[مقدار]]))</f>
        <v>1959168850</v>
      </c>
    </row>
    <row r="109" spans="1:17" s="22" customFormat="1" ht="13.8" x14ac:dyDescent="0.25">
      <c r="A109" s="22">
        <v>2</v>
      </c>
      <c r="B109" s="22" t="s">
        <v>1005</v>
      </c>
      <c r="C109" s="22" t="s">
        <v>723</v>
      </c>
      <c r="D109" s="22" t="s">
        <v>116</v>
      </c>
      <c r="E109" s="158">
        <v>18720</v>
      </c>
      <c r="F109" s="159">
        <v>105000</v>
      </c>
      <c r="G109" s="159">
        <v>1965600000</v>
      </c>
      <c r="H109" s="159">
        <v>196560000</v>
      </c>
      <c r="I109" s="159">
        <v>2162160000</v>
      </c>
      <c r="J109" s="159">
        <f>bargiri[[#This Row],[مقدار]]*INDEX(invoice[پیش دریافت به ازای هر کیلوگرم],MATCH(bargiri[[#This Row],[شماره سند مبنا]],invoice[شماره پیش فاکتور],0))</f>
        <v>982800000</v>
      </c>
      <c r="K109" s="159">
        <f>bargiri[[#This Row],[مبلغ خالص]]-bargiri[[#This Row],[میزان استهلاک پیش دریافتی]]</f>
        <v>1179360000</v>
      </c>
      <c r="L109" s="160" t="s">
        <v>593</v>
      </c>
      <c r="M109" s="159" t="s">
        <v>593</v>
      </c>
      <c r="N109" s="159">
        <f>IF(bargiri[[#This Row],[مبلغ واریزی]]&lt;&gt;"",bargiri[[#This Row],[مانده مبلغ]]-bargiri[[#This Row],[مبلغ واریزی]],bargiri[[#This Row],[مانده مبلغ]])</f>
        <v>1179360000</v>
      </c>
      <c r="O109" s="159" t="s">
        <v>593</v>
      </c>
      <c r="P109" s="159">
        <f>VLOOKUP(bargiri[[#This Row],[شماره سند مبنا]],invoice[[شماره پیش فاکتور]:[پیش دریافت به ازای هر کیلوگرم]],14,0)</f>
        <v>52500</v>
      </c>
      <c r="Q109" s="159">
        <f>IF(bargiri[[#This Row],[مبلغ ناخالص]]-(bargiri[[#This Row],[نرخ استهلاک]]*bargiri[[#This Row],[مقدار]])&lt;0,0,bargiri[[#This Row],[مبلغ ناخالص]]-(bargiri[[#This Row],[نرخ استهلاک]]*bargiri[[#This Row],[مقدار]]))</f>
        <v>982800000</v>
      </c>
    </row>
    <row r="110" spans="1:17" s="22" customFormat="1" ht="13.8" x14ac:dyDescent="0.25">
      <c r="A110" s="22">
        <v>1</v>
      </c>
      <c r="B110" s="22" t="s">
        <v>1001</v>
      </c>
      <c r="C110" s="22" t="s">
        <v>644</v>
      </c>
      <c r="D110" s="22" t="s">
        <v>67</v>
      </c>
      <c r="E110" s="158">
        <v>4050</v>
      </c>
      <c r="F110" s="159">
        <v>95000</v>
      </c>
      <c r="G110" s="159">
        <v>384750000</v>
      </c>
      <c r="H110" s="159">
        <v>38475000</v>
      </c>
      <c r="I110" s="159">
        <v>423225000</v>
      </c>
      <c r="J110" s="159">
        <f>bargiri[[#This Row],[مقدار]]*INDEX(invoice[پیش دریافت به ازای هر کیلوگرم],MATCH(bargiri[[#This Row],[شماره سند مبنا]],invoice[شماره پیش فاکتور],0))</f>
        <v>123143347.76413406</v>
      </c>
      <c r="K110" s="159">
        <f>bargiri[[#This Row],[مبلغ خالص]]-bargiri[[#This Row],[میزان استهلاک پیش دریافتی]]</f>
        <v>300081652.23586595</v>
      </c>
      <c r="L110" s="160" t="s">
        <v>593</v>
      </c>
      <c r="M110" s="159" t="s">
        <v>593</v>
      </c>
      <c r="N110" s="159">
        <f>IF(bargiri[[#This Row],[مبلغ واریزی]]&lt;&gt;"",bargiri[[#This Row],[مانده مبلغ]]-bargiri[[#This Row],[مبلغ واریزی]],bargiri[[#This Row],[مانده مبلغ]])</f>
        <v>300081652.23586595</v>
      </c>
      <c r="O110" s="159" t="s">
        <v>593</v>
      </c>
      <c r="P110" s="159">
        <f>VLOOKUP(bargiri[[#This Row],[شماره سند مبنا]],invoice[[شماره پیش فاکتور]:[پیش دریافت به ازای هر کیلوگرم]],14,0)</f>
        <v>30405.764880033101</v>
      </c>
      <c r="Q110" s="159">
        <f>IF(bargiri[[#This Row],[مبلغ ناخالص]]-(bargiri[[#This Row],[نرخ استهلاک]]*bargiri[[#This Row],[مقدار]])&lt;0,0,bargiri[[#This Row],[مبلغ ناخالص]]-(bargiri[[#This Row],[نرخ استهلاک]]*bargiri[[#This Row],[مقدار]]))</f>
        <v>261606652.23586595</v>
      </c>
    </row>
    <row r="111" spans="1:17" s="22" customFormat="1" ht="13.8" x14ac:dyDescent="0.25">
      <c r="A111" s="22">
        <v>1</v>
      </c>
      <c r="B111" s="22" t="s">
        <v>1001</v>
      </c>
      <c r="C111" s="22" t="s">
        <v>616</v>
      </c>
      <c r="D111" s="22" t="s">
        <v>67</v>
      </c>
      <c r="E111" s="158">
        <v>15750</v>
      </c>
      <c r="F111" s="159">
        <v>142000</v>
      </c>
      <c r="G111" s="159">
        <v>2236500000</v>
      </c>
      <c r="H111" s="159">
        <v>223650000</v>
      </c>
      <c r="I111" s="159">
        <v>2460150000</v>
      </c>
      <c r="J111" s="159">
        <f>bargiri[[#This Row],[مقدار]]*INDEX(invoice[پیش دریافت به ازای هر کیلوگرم],MATCH(bargiri[[#This Row],[شماره سند مبنا]],invoice[شماره پیش فاکتور],0))</f>
        <v>369022500</v>
      </c>
      <c r="K111" s="159">
        <f>bargiri[[#This Row],[مبلغ خالص]]-bargiri[[#This Row],[میزان استهلاک پیش دریافتی]]</f>
        <v>2091127500</v>
      </c>
      <c r="L111" s="160" t="s">
        <v>593</v>
      </c>
      <c r="M111" s="159" t="s">
        <v>593</v>
      </c>
      <c r="N111" s="159">
        <f>IF(bargiri[[#This Row],[مبلغ واریزی]]&lt;&gt;"",bargiri[[#This Row],[مانده مبلغ]]-bargiri[[#This Row],[مبلغ واریزی]],bargiri[[#This Row],[مانده مبلغ]])</f>
        <v>2091127500</v>
      </c>
      <c r="O111" s="159" t="s">
        <v>593</v>
      </c>
      <c r="P111" s="159">
        <f>VLOOKUP(bargiri[[#This Row],[شماره سند مبنا]],invoice[[شماره پیش فاکتور]:[پیش دریافت به ازای هر کیلوگرم]],14,0)</f>
        <v>23430</v>
      </c>
      <c r="Q111" s="159">
        <f>IF(bargiri[[#This Row],[مبلغ ناخالص]]-(bargiri[[#This Row],[نرخ استهلاک]]*bargiri[[#This Row],[مقدار]])&lt;0,0,bargiri[[#This Row],[مبلغ ناخالص]]-(bargiri[[#This Row],[نرخ استهلاک]]*bargiri[[#This Row],[مقدار]]))</f>
        <v>1867477500</v>
      </c>
    </row>
    <row r="112" spans="1:17" s="22" customFormat="1" ht="13.8" x14ac:dyDescent="0.25">
      <c r="A112" s="22">
        <v>1354</v>
      </c>
      <c r="B112" s="22" t="s">
        <v>1006</v>
      </c>
      <c r="C112" s="22" t="s">
        <v>920</v>
      </c>
      <c r="D112" s="22" t="s">
        <v>67</v>
      </c>
      <c r="E112" s="158">
        <v>20570</v>
      </c>
      <c r="F112" s="159">
        <v>167500</v>
      </c>
      <c r="G112" s="159">
        <v>3445475000</v>
      </c>
      <c r="H112" s="159">
        <v>344547500</v>
      </c>
      <c r="I112" s="159">
        <v>3790022500</v>
      </c>
      <c r="J112" s="159">
        <f>bargiri[[#This Row],[مقدار]]*INDEX(invoice[پیش دریافت به ازای هر کیلوگرم],MATCH(bargiri[[#This Row],[شماره سند مبنا]],invoice[شماره پیش فاکتور],0))</f>
        <v>3790022500</v>
      </c>
      <c r="K112" s="159">
        <f>bargiri[[#This Row],[مبلغ خالص]]-bargiri[[#This Row],[میزان استهلاک پیش دریافتی]]</f>
        <v>0</v>
      </c>
      <c r="L112" s="160" t="s">
        <v>593</v>
      </c>
      <c r="M112" s="159" t="s">
        <v>593</v>
      </c>
      <c r="N112" s="159">
        <f>IF(bargiri[[#This Row],[مبلغ واریزی]]&lt;&gt;"",bargiri[[#This Row],[مانده مبلغ]]-bargiri[[#This Row],[مبلغ واریزی]],bargiri[[#This Row],[مانده مبلغ]])</f>
        <v>0</v>
      </c>
      <c r="O112" s="159" t="s">
        <v>593</v>
      </c>
      <c r="P112" s="159">
        <f>VLOOKUP(bargiri[[#This Row],[شماره سند مبنا]],invoice[[شماره پیش فاکتور]:[پیش دریافت به ازای هر کیلوگرم]],14,0)</f>
        <v>184250</v>
      </c>
      <c r="Q112" s="159">
        <f>IF(bargiri[[#This Row],[مبلغ ناخالص]]-(bargiri[[#This Row],[نرخ استهلاک]]*bargiri[[#This Row],[مقدار]])&lt;0,0,bargiri[[#This Row],[مبلغ ناخالص]]-(bargiri[[#This Row],[نرخ استهلاک]]*bargiri[[#This Row],[مقدار]]))</f>
        <v>0</v>
      </c>
    </row>
    <row r="113" spans="1:17" s="22" customFormat="1" ht="13.8" x14ac:dyDescent="0.25">
      <c r="A113" s="22">
        <v>1353</v>
      </c>
      <c r="B113" s="22" t="s">
        <v>1007</v>
      </c>
      <c r="C113" s="22" t="s">
        <v>907</v>
      </c>
      <c r="D113" s="22" t="s">
        <v>67</v>
      </c>
      <c r="E113" s="158">
        <v>17865</v>
      </c>
      <c r="F113" s="159">
        <v>167500</v>
      </c>
      <c r="G113" s="159">
        <v>2992387500</v>
      </c>
      <c r="H113" s="159">
        <v>299238750</v>
      </c>
      <c r="I113" s="159">
        <v>3291626250</v>
      </c>
      <c r="J113" s="159">
        <f>bargiri[[#This Row],[مقدار]]*INDEX(invoice[پیش دریافت به ازای هر کیلوگرم],MATCH(bargiri[[#This Row],[شماره سند مبنا]],invoice[شماره پیش فاکتور],0))</f>
        <v>3291626250</v>
      </c>
      <c r="K113" s="159">
        <f>bargiri[[#This Row],[مبلغ خالص]]-bargiri[[#This Row],[میزان استهلاک پیش دریافتی]]</f>
        <v>0</v>
      </c>
      <c r="L113" s="160" t="s">
        <v>282</v>
      </c>
      <c r="M113" s="159">
        <v>1127227500</v>
      </c>
      <c r="N113" s="159">
        <f>IF(bargiri[[#This Row],[مبلغ واریزی]]&lt;&gt;"",bargiri[[#This Row],[مانده مبلغ]]-bargiri[[#This Row],[مبلغ واریزی]],bargiri[[#This Row],[مانده مبلغ]])</f>
        <v>-1127227500</v>
      </c>
      <c r="O113" s="159">
        <v>0</v>
      </c>
      <c r="P113" s="159">
        <f>VLOOKUP(bargiri[[#This Row],[شماره سند مبنا]],invoice[[شماره پیش فاکتور]:[پیش دریافت به ازای هر کیلوگرم]],14,0)</f>
        <v>184250</v>
      </c>
      <c r="Q113" s="159">
        <f>IF(bargiri[[#This Row],[مبلغ ناخالص]]-(bargiri[[#This Row],[نرخ استهلاک]]*bargiri[[#This Row],[مقدار]])&lt;0,0,bargiri[[#This Row],[مبلغ ناخالص]]-(bargiri[[#This Row],[نرخ استهلاک]]*bargiri[[#This Row],[مقدار]]))</f>
        <v>0</v>
      </c>
    </row>
    <row r="114" spans="1:17" s="22" customFormat="1" ht="13.8" x14ac:dyDescent="0.25">
      <c r="A114" s="22">
        <v>1353</v>
      </c>
      <c r="B114" s="22" t="s">
        <v>1007</v>
      </c>
      <c r="C114" s="22" t="s">
        <v>920</v>
      </c>
      <c r="D114" s="22" t="s">
        <v>67</v>
      </c>
      <c r="E114" s="158">
        <v>2785</v>
      </c>
      <c r="F114" s="159">
        <v>167500</v>
      </c>
      <c r="G114" s="159">
        <v>466487500</v>
      </c>
      <c r="H114" s="159">
        <v>46648750</v>
      </c>
      <c r="I114" s="159">
        <v>513136250</v>
      </c>
      <c r="J114" s="159">
        <f>bargiri[[#This Row],[مقدار]]*INDEX(invoice[پیش دریافت به ازای هر کیلوگرم],MATCH(bargiri[[#This Row],[شماره سند مبنا]],invoice[شماره پیش فاکتور],0))</f>
        <v>513136250</v>
      </c>
      <c r="K114" s="159">
        <f>bargiri[[#This Row],[مبلغ خالص]]-bargiri[[#This Row],[میزان استهلاک پیش دریافتی]]</f>
        <v>0</v>
      </c>
      <c r="L114" s="160" t="s">
        <v>593</v>
      </c>
      <c r="M114" s="159" t="s">
        <v>593</v>
      </c>
      <c r="N114" s="159">
        <f>IF(bargiri[[#This Row],[مبلغ واریزی]]&lt;&gt;"",bargiri[[#This Row],[مانده مبلغ]]-bargiri[[#This Row],[مبلغ واریزی]],bargiri[[#This Row],[مانده مبلغ]])</f>
        <v>0</v>
      </c>
      <c r="O114" s="159" t="s">
        <v>593</v>
      </c>
      <c r="P114" s="159">
        <f>VLOOKUP(bargiri[[#This Row],[شماره سند مبنا]],invoice[[شماره پیش فاکتور]:[پیش دریافت به ازای هر کیلوگرم]],14,0)</f>
        <v>184250</v>
      </c>
      <c r="Q114" s="159">
        <f>IF(bargiri[[#This Row],[مبلغ ناخالص]]-(bargiri[[#This Row],[نرخ استهلاک]]*bargiri[[#This Row],[مقدار]])&lt;0,0,bargiri[[#This Row],[مبلغ ناخالص]]-(bargiri[[#This Row],[نرخ استهلاک]]*bargiri[[#This Row],[مقدار]]))</f>
        <v>0</v>
      </c>
    </row>
    <row r="115" spans="1:17" s="22" customFormat="1" ht="13.8" x14ac:dyDescent="0.25">
      <c r="A115" s="22">
        <v>1352</v>
      </c>
      <c r="B115" s="22" t="s">
        <v>1008</v>
      </c>
      <c r="C115" s="22" t="s">
        <v>893</v>
      </c>
      <c r="D115" s="22" t="s">
        <v>173</v>
      </c>
      <c r="E115" s="158">
        <v>16050</v>
      </c>
      <c r="F115" s="159">
        <v>135000</v>
      </c>
      <c r="G115" s="159">
        <v>2166750000</v>
      </c>
      <c r="H115" s="159">
        <v>216675000</v>
      </c>
      <c r="I115" s="159">
        <v>2383425000</v>
      </c>
      <c r="J115" s="159">
        <f>bargiri[[#This Row],[مقدار]]*INDEX(invoice[پیش دریافت به ازای هر کیلوگرم],MATCH(bargiri[[#This Row],[شماره سند مبنا]],invoice[شماره پیش فاکتور],0))</f>
        <v>476685000</v>
      </c>
      <c r="K115" s="159">
        <f>bargiri[[#This Row],[مبلغ خالص]]-bargiri[[#This Row],[میزان استهلاک پیش دریافتی]]</f>
        <v>1906740000</v>
      </c>
      <c r="L115" s="160" t="s">
        <v>593</v>
      </c>
      <c r="M115" s="159" t="s">
        <v>593</v>
      </c>
      <c r="N115" s="159">
        <f>IF(bargiri[[#This Row],[مبلغ واریزی]]&lt;&gt;"",bargiri[[#This Row],[مانده مبلغ]]-bargiri[[#This Row],[مبلغ واریزی]],bargiri[[#This Row],[مانده مبلغ]])</f>
        <v>1906740000</v>
      </c>
      <c r="O115" s="159" t="s">
        <v>593</v>
      </c>
      <c r="P115" s="159">
        <f>VLOOKUP(bargiri[[#This Row],[شماره سند مبنا]],invoice[[شماره پیش فاکتور]:[پیش دریافت به ازای هر کیلوگرم]],14,0)</f>
        <v>29700</v>
      </c>
      <c r="Q115" s="159">
        <f>IF(bargiri[[#This Row],[مبلغ ناخالص]]-(bargiri[[#This Row],[نرخ استهلاک]]*bargiri[[#This Row],[مقدار]])&lt;0,0,bargiri[[#This Row],[مبلغ ناخالص]]-(bargiri[[#This Row],[نرخ استهلاک]]*bargiri[[#This Row],[مقدار]]))</f>
        <v>1690065000</v>
      </c>
    </row>
    <row r="116" spans="1:17" s="22" customFormat="1" ht="13.8" x14ac:dyDescent="0.25">
      <c r="A116" s="22">
        <v>1351</v>
      </c>
      <c r="B116" s="22" t="s">
        <v>1009</v>
      </c>
      <c r="C116" s="22" t="s">
        <v>893</v>
      </c>
      <c r="D116" s="22" t="s">
        <v>173</v>
      </c>
      <c r="E116" s="158">
        <v>21940</v>
      </c>
      <c r="F116" s="159">
        <v>135000</v>
      </c>
      <c r="G116" s="159">
        <v>2961900000</v>
      </c>
      <c r="H116" s="159">
        <v>296190000</v>
      </c>
      <c r="I116" s="159">
        <v>3258090000</v>
      </c>
      <c r="J116" s="159">
        <f>bargiri[[#This Row],[مقدار]]*INDEX(invoice[پیش دریافت به ازای هر کیلوگرم],MATCH(bargiri[[#This Row],[شماره سند مبنا]],invoice[شماره پیش فاکتور],0))</f>
        <v>651618000</v>
      </c>
      <c r="K116" s="159">
        <f>bargiri[[#This Row],[مبلغ خالص]]-bargiri[[#This Row],[میزان استهلاک پیش دریافتی]]</f>
        <v>2606472000</v>
      </c>
      <c r="L116" s="160" t="s">
        <v>326</v>
      </c>
      <c r="M116" s="159">
        <v>436012500</v>
      </c>
      <c r="N116" s="159">
        <f>IF(bargiri[[#This Row],[مبلغ واریزی]]&lt;&gt;"",bargiri[[#This Row],[مانده مبلغ]]-bargiri[[#This Row],[مبلغ واریزی]],bargiri[[#This Row],[مانده مبلغ]])</f>
        <v>2170459500</v>
      </c>
      <c r="O116" s="159">
        <v>0</v>
      </c>
      <c r="P116" s="159">
        <f>VLOOKUP(bargiri[[#This Row],[شماره سند مبنا]],invoice[[شماره پیش فاکتور]:[پیش دریافت به ازای هر کیلوگرم]],14,0)</f>
        <v>29700</v>
      </c>
      <c r="Q116" s="159">
        <f>IF(bargiri[[#This Row],[مبلغ ناخالص]]-(bargiri[[#This Row],[نرخ استهلاک]]*bargiri[[#This Row],[مقدار]])&lt;0,0,bargiri[[#This Row],[مبلغ ناخالص]]-(bargiri[[#This Row],[نرخ استهلاک]]*bargiri[[#This Row],[مقدار]]))</f>
        <v>2310282000</v>
      </c>
    </row>
    <row r="117" spans="1:17" s="22" customFormat="1" ht="13.8" x14ac:dyDescent="0.25">
      <c r="A117" s="22">
        <v>1350</v>
      </c>
      <c r="B117" s="22" t="s">
        <v>1009</v>
      </c>
      <c r="C117" s="22" t="s">
        <v>893</v>
      </c>
      <c r="D117" s="22" t="s">
        <v>173</v>
      </c>
      <c r="E117" s="158">
        <v>22950</v>
      </c>
      <c r="F117" s="159">
        <v>135000</v>
      </c>
      <c r="G117" s="159">
        <v>3098250000</v>
      </c>
      <c r="H117" s="159">
        <v>309825000</v>
      </c>
      <c r="I117" s="159">
        <v>3408075000</v>
      </c>
      <c r="J117" s="159">
        <f>bargiri[[#This Row],[مقدار]]*INDEX(invoice[پیش دریافت به ازای هر کیلوگرم],MATCH(bargiri[[#This Row],[شماره سند مبنا]],invoice[شماره پیش فاکتور],0))</f>
        <v>681615000</v>
      </c>
      <c r="K117" s="159">
        <f>bargiri[[#This Row],[مبلغ خالص]]-bargiri[[#This Row],[میزان استهلاک پیش دریافتی]]</f>
        <v>2726460000</v>
      </c>
      <c r="L117" s="160" t="s">
        <v>593</v>
      </c>
      <c r="M117" s="159" t="s">
        <v>593</v>
      </c>
      <c r="N117" s="159">
        <f>IF(bargiri[[#This Row],[مبلغ واریزی]]&lt;&gt;"",bargiri[[#This Row],[مانده مبلغ]]-bargiri[[#This Row],[مبلغ واریزی]],bargiri[[#This Row],[مانده مبلغ]])</f>
        <v>2726460000</v>
      </c>
      <c r="O117" s="159" t="s">
        <v>593</v>
      </c>
      <c r="P117" s="159">
        <f>VLOOKUP(bargiri[[#This Row],[شماره سند مبنا]],invoice[[شماره پیش فاکتور]:[پیش دریافت به ازای هر کیلوگرم]],14,0)</f>
        <v>29700</v>
      </c>
      <c r="Q117" s="159">
        <f>IF(bargiri[[#This Row],[مبلغ ناخالص]]-(bargiri[[#This Row],[نرخ استهلاک]]*bargiri[[#This Row],[مقدار]])&lt;0,0,bargiri[[#This Row],[مبلغ ناخالص]]-(bargiri[[#This Row],[نرخ استهلاک]]*bargiri[[#This Row],[مقدار]]))</f>
        <v>2416635000</v>
      </c>
    </row>
    <row r="118" spans="1:17" s="22" customFormat="1" ht="13.8" x14ac:dyDescent="0.25">
      <c r="A118" s="22">
        <v>1349</v>
      </c>
      <c r="B118" s="22" t="s">
        <v>1009</v>
      </c>
      <c r="C118" s="22" t="s">
        <v>893</v>
      </c>
      <c r="D118" s="22" t="s">
        <v>173</v>
      </c>
      <c r="E118" s="158">
        <v>19650</v>
      </c>
      <c r="F118" s="159">
        <v>135000</v>
      </c>
      <c r="G118" s="159">
        <v>2652750000</v>
      </c>
      <c r="H118" s="159">
        <v>265275000</v>
      </c>
      <c r="I118" s="159">
        <v>2918025000</v>
      </c>
      <c r="J118" s="159">
        <f>bargiri[[#This Row],[مقدار]]*INDEX(invoice[پیش دریافت به ازای هر کیلوگرم],MATCH(bargiri[[#This Row],[شماره سند مبنا]],invoice[شماره پیش فاکتور],0))</f>
        <v>583605000</v>
      </c>
      <c r="K118" s="159">
        <f>bargiri[[#This Row],[مبلغ خالص]]-bargiri[[#This Row],[میزان استهلاک پیش دریافتی]]</f>
        <v>2334420000</v>
      </c>
      <c r="L118" s="160" t="s">
        <v>593</v>
      </c>
      <c r="M118" s="159" t="s">
        <v>593</v>
      </c>
      <c r="N118" s="159">
        <f>IF(bargiri[[#This Row],[مبلغ واریزی]]&lt;&gt;"",bargiri[[#This Row],[مانده مبلغ]]-bargiri[[#This Row],[مبلغ واریزی]],bargiri[[#This Row],[مانده مبلغ]])</f>
        <v>2334420000</v>
      </c>
      <c r="O118" s="159" t="s">
        <v>593</v>
      </c>
      <c r="P118" s="159">
        <f>VLOOKUP(bargiri[[#This Row],[شماره سند مبنا]],invoice[[شماره پیش فاکتور]:[پیش دریافت به ازای هر کیلوگرم]],14,0)</f>
        <v>29700</v>
      </c>
      <c r="Q118" s="159">
        <f>IF(bargiri[[#This Row],[مبلغ ناخالص]]-(bargiri[[#This Row],[نرخ استهلاک]]*bargiri[[#This Row],[مقدار]])&lt;0,0,bargiri[[#This Row],[مبلغ ناخالص]]-(bargiri[[#This Row],[نرخ استهلاک]]*bargiri[[#This Row],[مقدار]]))</f>
        <v>2069145000</v>
      </c>
    </row>
    <row r="119" spans="1:17" s="22" customFormat="1" ht="13.8" x14ac:dyDescent="0.25">
      <c r="A119" s="22">
        <v>1348</v>
      </c>
      <c r="B119" s="22" t="s">
        <v>1010</v>
      </c>
      <c r="C119" s="22" t="s">
        <v>893</v>
      </c>
      <c r="D119" s="22" t="s">
        <v>173</v>
      </c>
      <c r="E119" s="158">
        <v>22120</v>
      </c>
      <c r="F119" s="159">
        <v>135000</v>
      </c>
      <c r="G119" s="159">
        <v>2986200000</v>
      </c>
      <c r="H119" s="159">
        <v>298620000</v>
      </c>
      <c r="I119" s="159">
        <v>3284820000</v>
      </c>
      <c r="J119" s="159">
        <f>bargiri[[#This Row],[مقدار]]*INDEX(invoice[پیش دریافت به ازای هر کیلوگرم],MATCH(bargiri[[#This Row],[شماره سند مبنا]],invoice[شماره پیش فاکتور],0))</f>
        <v>656964000</v>
      </c>
      <c r="K119" s="159">
        <f>bargiri[[#This Row],[مبلغ خالص]]-bargiri[[#This Row],[میزان استهلاک پیش دریافتی]]</f>
        <v>2627856000</v>
      </c>
      <c r="L119" s="160" t="s">
        <v>593</v>
      </c>
      <c r="M119" s="159" t="s">
        <v>593</v>
      </c>
      <c r="N119" s="159">
        <f>IF(bargiri[[#This Row],[مبلغ واریزی]]&lt;&gt;"",bargiri[[#This Row],[مانده مبلغ]]-bargiri[[#This Row],[مبلغ واریزی]],bargiri[[#This Row],[مانده مبلغ]])</f>
        <v>2627856000</v>
      </c>
      <c r="O119" s="159" t="s">
        <v>593</v>
      </c>
      <c r="P119" s="159">
        <f>VLOOKUP(bargiri[[#This Row],[شماره سند مبنا]],invoice[[شماره پیش فاکتور]:[پیش دریافت به ازای هر کیلوگرم]],14,0)</f>
        <v>29700</v>
      </c>
      <c r="Q119" s="159">
        <f>IF(bargiri[[#This Row],[مبلغ ناخالص]]-(bargiri[[#This Row],[نرخ استهلاک]]*bargiri[[#This Row],[مقدار]])&lt;0,0,bargiri[[#This Row],[مبلغ ناخالص]]-(bargiri[[#This Row],[نرخ استهلاک]]*bargiri[[#This Row],[مقدار]]))</f>
        <v>2329236000</v>
      </c>
    </row>
    <row r="120" spans="1:17" s="22" customFormat="1" ht="13.8" x14ac:dyDescent="0.25">
      <c r="A120" s="22">
        <v>1347</v>
      </c>
      <c r="B120" s="22" t="s">
        <v>1010</v>
      </c>
      <c r="C120" s="22" t="s">
        <v>893</v>
      </c>
      <c r="D120" s="22" t="s">
        <v>173</v>
      </c>
      <c r="E120" s="158">
        <v>21860</v>
      </c>
      <c r="F120" s="159">
        <v>135000</v>
      </c>
      <c r="G120" s="159">
        <v>2951100000</v>
      </c>
      <c r="H120" s="159">
        <v>295110000</v>
      </c>
      <c r="I120" s="159">
        <v>3246210000</v>
      </c>
      <c r="J120" s="159">
        <f>bargiri[[#This Row],[مقدار]]*INDEX(invoice[پیش دریافت به ازای هر کیلوگرم],MATCH(bargiri[[#This Row],[شماره سند مبنا]],invoice[شماره پیش فاکتور],0))</f>
        <v>649242000</v>
      </c>
      <c r="K120" s="159">
        <f>bargiri[[#This Row],[مبلغ خالص]]-bargiri[[#This Row],[میزان استهلاک پیش دریافتی]]</f>
        <v>2596968000</v>
      </c>
      <c r="L120" s="160" t="s">
        <v>277</v>
      </c>
      <c r="M120" s="159">
        <v>1056422500</v>
      </c>
      <c r="N120" s="159">
        <f>IF(bargiri[[#This Row],[مبلغ واریزی]]&lt;&gt;"",bargiri[[#This Row],[مانده مبلغ]]-bargiri[[#This Row],[مبلغ واریزی]],bargiri[[#This Row],[مانده مبلغ]])</f>
        <v>1540545500</v>
      </c>
      <c r="O120" s="159">
        <v>0</v>
      </c>
      <c r="P120" s="159">
        <f>VLOOKUP(bargiri[[#This Row],[شماره سند مبنا]],invoice[[شماره پیش فاکتور]:[پیش دریافت به ازای هر کیلوگرم]],14,0)</f>
        <v>29700</v>
      </c>
      <c r="Q120" s="159">
        <f>IF(bargiri[[#This Row],[مبلغ ناخالص]]-(bargiri[[#This Row],[نرخ استهلاک]]*bargiri[[#This Row],[مقدار]])&lt;0,0,bargiri[[#This Row],[مبلغ ناخالص]]-(bargiri[[#This Row],[نرخ استهلاک]]*bargiri[[#This Row],[مقدار]]))</f>
        <v>2301858000</v>
      </c>
    </row>
    <row r="121" spans="1:17" s="22" customFormat="1" ht="13.8" x14ac:dyDescent="0.25">
      <c r="A121" s="22">
        <v>1346</v>
      </c>
      <c r="B121" s="22" t="s">
        <v>1011</v>
      </c>
      <c r="C121" s="22" t="s">
        <v>743</v>
      </c>
      <c r="D121" s="22" t="s">
        <v>25</v>
      </c>
      <c r="E121" s="158">
        <v>22300</v>
      </c>
      <c r="F121" s="159">
        <v>116500</v>
      </c>
      <c r="G121" s="159">
        <v>2597950000</v>
      </c>
      <c r="H121" s="159">
        <v>259795000</v>
      </c>
      <c r="I121" s="159">
        <v>2857745000</v>
      </c>
      <c r="J121" s="159">
        <f>bargiri[[#This Row],[مقدار]]*INDEX(invoice[پیش دریافت به ازای هر کیلوگرم],MATCH(bargiri[[#This Row],[شماره سند مبنا]],invoice[شماره پیش فاکتور],0))</f>
        <v>428661750</v>
      </c>
      <c r="K121" s="159">
        <f>bargiri[[#This Row],[مبلغ خالص]]-bargiri[[#This Row],[میزان استهلاک پیش دریافتی]]</f>
        <v>2429083250</v>
      </c>
      <c r="L121" s="160" t="s">
        <v>593</v>
      </c>
      <c r="M121" s="159" t="s">
        <v>593</v>
      </c>
      <c r="N121" s="159">
        <f>IF(bargiri[[#This Row],[مبلغ واریزی]]&lt;&gt;"",bargiri[[#This Row],[مانده مبلغ]]-bargiri[[#This Row],[مبلغ واریزی]],bargiri[[#This Row],[مانده مبلغ]])</f>
        <v>2429083250</v>
      </c>
      <c r="O121" s="159" t="s">
        <v>593</v>
      </c>
      <c r="P121" s="159">
        <f>VLOOKUP(bargiri[[#This Row],[شماره سند مبنا]],invoice[[شماره پیش فاکتور]:[پیش دریافت به ازای هر کیلوگرم]],14,0)</f>
        <v>19222.5</v>
      </c>
      <c r="Q121" s="159">
        <f>IF(bargiri[[#This Row],[مبلغ ناخالص]]-(bargiri[[#This Row],[نرخ استهلاک]]*bargiri[[#This Row],[مقدار]])&lt;0,0,bargiri[[#This Row],[مبلغ ناخالص]]-(bargiri[[#This Row],[نرخ استهلاک]]*bargiri[[#This Row],[مقدار]]))</f>
        <v>2169288250</v>
      </c>
    </row>
    <row r="122" spans="1:17" s="22" customFormat="1" ht="13.8" x14ac:dyDescent="0.25">
      <c r="A122" s="22">
        <v>1344</v>
      </c>
      <c r="B122" s="22" t="s">
        <v>1012</v>
      </c>
      <c r="C122" s="22" t="s">
        <v>616</v>
      </c>
      <c r="D122" s="22" t="s">
        <v>67</v>
      </c>
      <c r="E122" s="158">
        <v>20090</v>
      </c>
      <c r="F122" s="159">
        <v>142000</v>
      </c>
      <c r="G122" s="159">
        <v>2852780000</v>
      </c>
      <c r="H122" s="159">
        <v>285278000</v>
      </c>
      <c r="I122" s="159">
        <v>3138058000</v>
      </c>
      <c r="J122" s="159">
        <f>bargiri[[#This Row],[مقدار]]*INDEX(invoice[پیش دریافت به ازای هر کیلوگرم],MATCH(bargiri[[#This Row],[شماره سند مبنا]],invoice[شماره پیش فاکتور],0))</f>
        <v>470708700</v>
      </c>
      <c r="K122" s="159">
        <f>bargiri[[#This Row],[مبلغ خالص]]-bargiri[[#This Row],[میزان استهلاک پیش دریافتی]]</f>
        <v>2667349300</v>
      </c>
      <c r="L122" s="160" t="s">
        <v>302</v>
      </c>
      <c r="M122" s="159">
        <v>1219146500</v>
      </c>
      <c r="N122" s="159">
        <f>IF(bargiri[[#This Row],[مبلغ واریزی]]&lt;&gt;"",bargiri[[#This Row],[مانده مبلغ]]-bargiri[[#This Row],[مبلغ واریزی]],bargiri[[#This Row],[مانده مبلغ]])</f>
        <v>1448202800</v>
      </c>
      <c r="O122" s="159">
        <v>0</v>
      </c>
      <c r="P122" s="159">
        <f>VLOOKUP(bargiri[[#This Row],[شماره سند مبنا]],invoice[[شماره پیش فاکتور]:[پیش دریافت به ازای هر کیلوگرم]],14,0)</f>
        <v>23430</v>
      </c>
      <c r="Q122" s="159">
        <f>IF(bargiri[[#This Row],[مبلغ ناخالص]]-(bargiri[[#This Row],[نرخ استهلاک]]*bargiri[[#This Row],[مقدار]])&lt;0,0,bargiri[[#This Row],[مبلغ ناخالص]]-(bargiri[[#This Row],[نرخ استهلاک]]*bargiri[[#This Row],[مقدار]]))</f>
        <v>2382071300</v>
      </c>
    </row>
    <row r="123" spans="1:17" s="22" customFormat="1" ht="13.8" x14ac:dyDescent="0.25">
      <c r="A123" s="22">
        <v>1343</v>
      </c>
      <c r="B123" s="22" t="s">
        <v>1012</v>
      </c>
      <c r="C123" s="22" t="s">
        <v>644</v>
      </c>
      <c r="D123" s="22" t="s">
        <v>67</v>
      </c>
      <c r="E123" s="158">
        <v>20760</v>
      </c>
      <c r="F123" s="159">
        <v>95000</v>
      </c>
      <c r="G123" s="159">
        <v>1972200000</v>
      </c>
      <c r="H123" s="159">
        <v>197220000</v>
      </c>
      <c r="I123" s="159">
        <v>2169420000</v>
      </c>
      <c r="J123" s="159">
        <f>bargiri[[#This Row],[مقدار]]*INDEX(invoice[پیش دریافت به ازای هر کیلوگرم],MATCH(bargiri[[#This Row],[شماره سند مبنا]],invoice[شماره پیش فاکتور],0))</f>
        <v>631223678.90948713</v>
      </c>
      <c r="K123" s="159">
        <f>bargiri[[#This Row],[مبلغ خالص]]-bargiri[[#This Row],[میزان استهلاک پیش دریافتی]]</f>
        <v>1538196321.0905128</v>
      </c>
      <c r="L123" s="160" t="s">
        <v>593</v>
      </c>
      <c r="M123" s="159" t="s">
        <v>593</v>
      </c>
      <c r="N123" s="159">
        <f>IF(bargiri[[#This Row],[مبلغ واریزی]]&lt;&gt;"",bargiri[[#This Row],[مانده مبلغ]]-bargiri[[#This Row],[مبلغ واریزی]],bargiri[[#This Row],[مانده مبلغ]])</f>
        <v>1538196321.0905128</v>
      </c>
      <c r="O123" s="159" t="s">
        <v>593</v>
      </c>
      <c r="P123" s="159">
        <f>VLOOKUP(bargiri[[#This Row],[شماره سند مبنا]],invoice[[شماره پیش فاکتور]:[پیش دریافت به ازای هر کیلوگرم]],14,0)</f>
        <v>30405.764880033101</v>
      </c>
      <c r="Q123" s="159">
        <f>IF(bargiri[[#This Row],[مبلغ ناخالص]]-(bargiri[[#This Row],[نرخ استهلاک]]*bargiri[[#This Row],[مقدار]])&lt;0,0,bargiri[[#This Row],[مبلغ ناخالص]]-(bargiri[[#This Row],[نرخ استهلاک]]*bargiri[[#This Row],[مقدار]]))</f>
        <v>1340976321.0905128</v>
      </c>
    </row>
    <row r="124" spans="1:17" s="22" customFormat="1" ht="13.8" x14ac:dyDescent="0.25">
      <c r="A124" s="22">
        <v>1341</v>
      </c>
      <c r="B124" s="22" t="s">
        <v>1013</v>
      </c>
      <c r="C124" s="22" t="s">
        <v>602</v>
      </c>
      <c r="D124" s="22" t="s">
        <v>30</v>
      </c>
      <c r="E124" s="158">
        <v>11720</v>
      </c>
      <c r="F124" s="159">
        <v>142000</v>
      </c>
      <c r="G124" s="159">
        <v>1664240000</v>
      </c>
      <c r="H124" s="159">
        <v>166424000</v>
      </c>
      <c r="I124" s="159">
        <v>1830664000</v>
      </c>
      <c r="J124" s="159">
        <f>bargiri[[#This Row],[مقدار]]*INDEX(invoice[پیش دریافت به ازای هر کیلوگرم],MATCH(bargiri[[#This Row],[شماره سند مبنا]],invoice[شماره پیش فاکتور],0))</f>
        <v>1326156266.1699266</v>
      </c>
      <c r="K124" s="159">
        <f>bargiri[[#This Row],[مبلغ خالص]]-bargiri[[#This Row],[میزان استهلاک پیش دریافتی]]</f>
        <v>504507733.83007336</v>
      </c>
      <c r="L124" s="160" t="s">
        <v>593</v>
      </c>
      <c r="M124" s="159" t="s">
        <v>593</v>
      </c>
      <c r="N124" s="159">
        <f>IF(bargiri[[#This Row],[مبلغ واریزی]]&lt;&gt;"",bargiri[[#This Row],[مانده مبلغ]]-bargiri[[#This Row],[مبلغ واریزی]],bargiri[[#This Row],[مانده مبلغ]])</f>
        <v>504507733.83007336</v>
      </c>
      <c r="O124" s="159" t="s">
        <v>593</v>
      </c>
      <c r="P124" s="159">
        <f>VLOOKUP(bargiri[[#This Row],[شماره سند مبنا]],invoice[[شماره پیش فاکتور]:[پیش دریافت به ازای هر کیلوگرم]],14,0)</f>
        <v>113153.2650315637</v>
      </c>
      <c r="Q124" s="159">
        <f>IF(bargiri[[#This Row],[مبلغ ناخالص]]-(bargiri[[#This Row],[نرخ استهلاک]]*bargiri[[#This Row],[مقدار]])&lt;0,0,bargiri[[#This Row],[مبلغ ناخالص]]-(bargiri[[#This Row],[نرخ استهلاک]]*bargiri[[#This Row],[مقدار]]))</f>
        <v>338083733.83007336</v>
      </c>
    </row>
    <row r="125" spans="1:17" s="22" customFormat="1" ht="13.8" x14ac:dyDescent="0.25">
      <c r="A125" s="22">
        <v>1340</v>
      </c>
      <c r="B125" s="22" t="s">
        <v>1014</v>
      </c>
      <c r="C125" s="22" t="s">
        <v>616</v>
      </c>
      <c r="D125" s="22" t="s">
        <v>67</v>
      </c>
      <c r="E125" s="158">
        <v>20090</v>
      </c>
      <c r="F125" s="159">
        <v>142000</v>
      </c>
      <c r="G125" s="159">
        <v>2852780000</v>
      </c>
      <c r="H125" s="159">
        <v>285278000</v>
      </c>
      <c r="I125" s="159">
        <v>3138058000</v>
      </c>
      <c r="J125" s="159">
        <f>bargiri[[#This Row],[مقدار]]*INDEX(invoice[پیش دریافت به ازای هر کیلوگرم],MATCH(bargiri[[#This Row],[شماره سند مبنا]],invoice[شماره پیش فاکتور],0))</f>
        <v>470708700</v>
      </c>
      <c r="K125" s="159">
        <f>bargiri[[#This Row],[مبلغ خالص]]-bargiri[[#This Row],[میزان استهلاک پیش دریافتی]]</f>
        <v>2667349300</v>
      </c>
      <c r="L125" s="160" t="s">
        <v>593</v>
      </c>
      <c r="M125" s="159" t="s">
        <v>593</v>
      </c>
      <c r="N125" s="159">
        <f>IF(bargiri[[#This Row],[مبلغ واریزی]]&lt;&gt;"",bargiri[[#This Row],[مانده مبلغ]]-bargiri[[#This Row],[مبلغ واریزی]],bargiri[[#This Row],[مانده مبلغ]])</f>
        <v>2667349300</v>
      </c>
      <c r="O125" s="159" t="s">
        <v>593</v>
      </c>
      <c r="P125" s="159">
        <f>VLOOKUP(bargiri[[#This Row],[شماره سند مبنا]],invoice[[شماره پیش فاکتور]:[پیش دریافت به ازای هر کیلوگرم]],14,0)</f>
        <v>23430</v>
      </c>
      <c r="Q125" s="159">
        <f>IF(bargiri[[#This Row],[مبلغ ناخالص]]-(bargiri[[#This Row],[نرخ استهلاک]]*bargiri[[#This Row],[مقدار]])&lt;0,0,bargiri[[#This Row],[مبلغ ناخالص]]-(bargiri[[#This Row],[نرخ استهلاک]]*bargiri[[#This Row],[مقدار]]))</f>
        <v>2382071300</v>
      </c>
    </row>
    <row r="126" spans="1:17" s="22" customFormat="1" ht="13.8" x14ac:dyDescent="0.25">
      <c r="A126" s="22">
        <v>1339</v>
      </c>
      <c r="B126" s="22" t="s">
        <v>1014</v>
      </c>
      <c r="C126" s="22" t="s">
        <v>895</v>
      </c>
      <c r="D126" s="22" t="s">
        <v>43</v>
      </c>
      <c r="E126" s="158">
        <v>15840</v>
      </c>
      <c r="F126" s="159">
        <v>125000</v>
      </c>
      <c r="G126" s="159">
        <v>1980000000</v>
      </c>
      <c r="H126" s="159">
        <v>198000000</v>
      </c>
      <c r="I126" s="159">
        <v>2178000000</v>
      </c>
      <c r="J126" s="159">
        <f>bargiri[[#This Row],[مقدار]]*INDEX(invoice[پیش دریافت به ازای هر کیلوگرم],MATCH(bargiri[[#This Row],[شماره سند مبنا]],invoice[شماره پیش فاکتور],0))</f>
        <v>653400000</v>
      </c>
      <c r="K126" s="159">
        <f>bargiri[[#This Row],[مبلغ خالص]]-bargiri[[#This Row],[میزان استهلاک پیش دریافتی]]</f>
        <v>1524600000</v>
      </c>
      <c r="L126" s="160" t="s">
        <v>593</v>
      </c>
      <c r="M126" s="159" t="s">
        <v>593</v>
      </c>
      <c r="N126" s="159">
        <f>IF(bargiri[[#This Row],[مبلغ واریزی]]&lt;&gt;"",bargiri[[#This Row],[مانده مبلغ]]-bargiri[[#This Row],[مبلغ واریزی]],bargiri[[#This Row],[مانده مبلغ]])</f>
        <v>1524600000</v>
      </c>
      <c r="O126" s="159" t="s">
        <v>593</v>
      </c>
      <c r="P126" s="159">
        <f>VLOOKUP(bargiri[[#This Row],[شماره سند مبنا]],invoice[[شماره پیش فاکتور]:[پیش دریافت به ازای هر کیلوگرم]],14,0)</f>
        <v>41250</v>
      </c>
      <c r="Q126" s="159">
        <f>IF(bargiri[[#This Row],[مبلغ ناخالص]]-(bargiri[[#This Row],[نرخ استهلاک]]*bargiri[[#This Row],[مقدار]])&lt;0,0,bargiri[[#This Row],[مبلغ ناخالص]]-(bargiri[[#This Row],[نرخ استهلاک]]*bargiri[[#This Row],[مقدار]]))</f>
        <v>1326600000</v>
      </c>
    </row>
    <row r="127" spans="1:17" s="22" customFormat="1" ht="13.8" x14ac:dyDescent="0.25">
      <c r="A127" s="22">
        <v>1338</v>
      </c>
      <c r="B127" s="22" t="s">
        <v>1000</v>
      </c>
      <c r="C127" s="22" t="s">
        <v>644</v>
      </c>
      <c r="D127" s="22" t="s">
        <v>67</v>
      </c>
      <c r="E127" s="158">
        <v>20120</v>
      </c>
      <c r="F127" s="159">
        <v>95000</v>
      </c>
      <c r="G127" s="159">
        <v>1911400000</v>
      </c>
      <c r="H127" s="159">
        <v>191140000</v>
      </c>
      <c r="I127" s="159">
        <v>2102540000</v>
      </c>
      <c r="J127" s="159">
        <f>bargiri[[#This Row],[مقدار]]*INDEX(invoice[پیش دریافت به ازای هر کیلوگرم],MATCH(bargiri[[#This Row],[شماره سند مبنا]],invoice[شماره پیش فاکتور],0))</f>
        <v>611763989.38626599</v>
      </c>
      <c r="K127" s="159">
        <f>bargiri[[#This Row],[مبلغ خالص]]-bargiri[[#This Row],[میزان استهلاک پیش دریافتی]]</f>
        <v>1490776010.613734</v>
      </c>
      <c r="L127" s="160" t="s">
        <v>281</v>
      </c>
      <c r="M127" s="159">
        <v>579840000</v>
      </c>
      <c r="N127" s="159">
        <f>IF(bargiri[[#This Row],[مبلغ واریزی]]&lt;&gt;"",bargiri[[#This Row],[مانده مبلغ]]-bargiri[[#This Row],[مبلغ واریزی]],bargiri[[#This Row],[مانده مبلغ]])</f>
        <v>910936010.61373401</v>
      </c>
      <c r="O127" s="159">
        <v>0</v>
      </c>
      <c r="P127" s="159">
        <f>VLOOKUP(bargiri[[#This Row],[شماره سند مبنا]],invoice[[شماره پیش فاکتور]:[پیش دریافت به ازای هر کیلوگرم]],14,0)</f>
        <v>30405.764880033101</v>
      </c>
      <c r="Q127" s="159">
        <f>IF(bargiri[[#This Row],[مبلغ ناخالص]]-(bargiri[[#This Row],[نرخ استهلاک]]*bargiri[[#This Row],[مقدار]])&lt;0,0,bargiri[[#This Row],[مبلغ ناخالص]]-(bargiri[[#This Row],[نرخ استهلاک]]*bargiri[[#This Row],[مقدار]]))</f>
        <v>1299636010.613734</v>
      </c>
    </row>
    <row r="128" spans="1:17" s="22" customFormat="1" ht="13.8" x14ac:dyDescent="0.25">
      <c r="A128" s="22">
        <v>1337</v>
      </c>
      <c r="B128" s="22" t="s">
        <v>1000</v>
      </c>
      <c r="C128" s="22" t="s">
        <v>720</v>
      </c>
      <c r="D128" s="22" t="s">
        <v>20</v>
      </c>
      <c r="E128" s="158">
        <v>18870</v>
      </c>
      <c r="F128" s="159">
        <v>105000</v>
      </c>
      <c r="G128" s="159">
        <v>1981350000</v>
      </c>
      <c r="H128" s="159">
        <v>198135000</v>
      </c>
      <c r="I128" s="159">
        <v>2179485000</v>
      </c>
      <c r="J128" s="159">
        <f>bargiri[[#This Row],[مقدار]]*INDEX(invoice[پیش دریافت به ازای هر کیلوگرم],MATCH(bargiri[[#This Row],[شماره سند مبنا]],invoice[شماره پیش فاکتور],0))</f>
        <v>990675000</v>
      </c>
      <c r="K128" s="159">
        <f>bargiri[[#This Row],[مبلغ خالص]]-bargiri[[#This Row],[میزان استهلاک پیش دریافتی]]</f>
        <v>1188810000</v>
      </c>
      <c r="L128" s="160" t="s">
        <v>593</v>
      </c>
      <c r="M128" s="159" t="s">
        <v>593</v>
      </c>
      <c r="N128" s="159">
        <f>IF(bargiri[[#This Row],[مبلغ واریزی]]&lt;&gt;"",bargiri[[#This Row],[مانده مبلغ]]-bargiri[[#This Row],[مبلغ واریزی]],bargiri[[#This Row],[مانده مبلغ]])</f>
        <v>1188810000</v>
      </c>
      <c r="O128" s="159" t="s">
        <v>593</v>
      </c>
      <c r="P128" s="159">
        <f>VLOOKUP(bargiri[[#This Row],[شماره سند مبنا]],invoice[[شماره پیش فاکتور]:[پیش دریافت به ازای هر کیلوگرم]],14,0)</f>
        <v>52500</v>
      </c>
      <c r="Q128" s="159">
        <f>IF(bargiri[[#This Row],[مبلغ ناخالص]]-(bargiri[[#This Row],[نرخ استهلاک]]*bargiri[[#This Row],[مقدار]])&lt;0,0,bargiri[[#This Row],[مبلغ ناخالص]]-(bargiri[[#This Row],[نرخ استهلاک]]*bargiri[[#This Row],[مقدار]]))</f>
        <v>990675000</v>
      </c>
    </row>
    <row r="129" spans="1:17" s="22" customFormat="1" ht="13.8" x14ac:dyDescent="0.25">
      <c r="A129" s="22">
        <v>1336</v>
      </c>
      <c r="B129" s="22" t="s">
        <v>1000</v>
      </c>
      <c r="C129" s="22" t="s">
        <v>745</v>
      </c>
      <c r="D129" s="22" t="s">
        <v>221</v>
      </c>
      <c r="E129" s="158">
        <v>14420</v>
      </c>
      <c r="F129" s="159">
        <v>135000</v>
      </c>
      <c r="G129" s="159">
        <v>1946700000</v>
      </c>
      <c r="H129" s="159">
        <v>194670000</v>
      </c>
      <c r="I129" s="159">
        <v>2141370000</v>
      </c>
      <c r="J129" s="159">
        <f>bargiri[[#This Row],[مقدار]]*INDEX(invoice[پیش دریافت به ازای هر کیلوگرم],MATCH(bargiri[[#This Row],[شماره سند مبنا]],invoice[شماره پیش فاکتور],0))</f>
        <v>321205500</v>
      </c>
      <c r="K129" s="159">
        <f>bargiri[[#This Row],[مبلغ خالص]]-bargiri[[#This Row],[میزان استهلاک پیش دریافتی]]</f>
        <v>1820164500</v>
      </c>
      <c r="L129" s="160" t="s">
        <v>593</v>
      </c>
      <c r="M129" s="159" t="s">
        <v>593</v>
      </c>
      <c r="N129" s="159">
        <f>IF(bargiri[[#This Row],[مبلغ واریزی]]&lt;&gt;"",bargiri[[#This Row],[مانده مبلغ]]-bargiri[[#This Row],[مبلغ واریزی]],bargiri[[#This Row],[مانده مبلغ]])</f>
        <v>1820164500</v>
      </c>
      <c r="O129" s="159" t="s">
        <v>593</v>
      </c>
      <c r="P129" s="159">
        <f>VLOOKUP(bargiri[[#This Row],[شماره سند مبنا]],invoice[[شماره پیش فاکتور]:[پیش دریافت به ازای هر کیلوگرم]],14,0)</f>
        <v>22275</v>
      </c>
      <c r="Q129" s="159">
        <f>IF(bargiri[[#This Row],[مبلغ ناخالص]]-(bargiri[[#This Row],[نرخ استهلاک]]*bargiri[[#This Row],[مقدار]])&lt;0,0,bargiri[[#This Row],[مبلغ ناخالص]]-(bargiri[[#This Row],[نرخ استهلاک]]*bargiri[[#This Row],[مقدار]]))</f>
        <v>1625494500</v>
      </c>
    </row>
    <row r="130" spans="1:17" s="22" customFormat="1" ht="13.8" x14ac:dyDescent="0.25">
      <c r="A130" s="22">
        <v>1335</v>
      </c>
      <c r="B130" s="22" t="s">
        <v>1002</v>
      </c>
      <c r="C130" s="22" t="s">
        <v>461</v>
      </c>
      <c r="D130" s="22" t="s">
        <v>35</v>
      </c>
      <c r="E130" s="158">
        <v>6040</v>
      </c>
      <c r="F130" s="159">
        <v>142000</v>
      </c>
      <c r="G130" s="159">
        <v>857680000</v>
      </c>
      <c r="H130" s="159">
        <v>85768000</v>
      </c>
      <c r="I130" s="159">
        <v>943448000</v>
      </c>
      <c r="J130" s="159">
        <f>bargiri[[#This Row],[مقدار]]*INDEX(invoice[پیش دریافت به ازای هر کیلوگرم],MATCH(bargiri[[#This Row],[شماره سند مبنا]],invoice[شماره پیش فاکتور],0))</f>
        <v>198222239.6530762</v>
      </c>
      <c r="K130" s="159">
        <f>bargiri[[#This Row],[مبلغ خالص]]-bargiri[[#This Row],[میزان استهلاک پیش دریافتی]]</f>
        <v>745225760.34692383</v>
      </c>
      <c r="L130" s="160" t="s">
        <v>276</v>
      </c>
      <c r="M130" s="159">
        <v>1397591250</v>
      </c>
      <c r="N130" s="159">
        <f>IF(bargiri[[#This Row],[مبلغ واریزی]]&lt;&gt;"",bargiri[[#This Row],[مانده مبلغ]]-bargiri[[#This Row],[مبلغ واریزی]],bargiri[[#This Row],[مانده مبلغ]])</f>
        <v>-652365489.65307617</v>
      </c>
      <c r="O130" s="159">
        <v>0</v>
      </c>
      <c r="P130" s="159">
        <f>VLOOKUP(bargiri[[#This Row],[شماره سند مبنا]],invoice[[شماره پیش فاکتور]:[پیش دریافت به ازای هر کیلوگرم]],14,0)</f>
        <v>32818.251598191426</v>
      </c>
      <c r="Q130" s="159">
        <f>IF(bargiri[[#This Row],[مبلغ ناخالص]]-(bargiri[[#This Row],[نرخ استهلاک]]*bargiri[[#This Row],[مقدار]])&lt;0,0,bargiri[[#This Row],[مبلغ ناخالص]]-(bargiri[[#This Row],[نرخ استهلاک]]*bargiri[[#This Row],[مقدار]]))</f>
        <v>659457760.34692383</v>
      </c>
    </row>
    <row r="131" spans="1:17" s="22" customFormat="1" ht="13.8" x14ac:dyDescent="0.25">
      <c r="A131" s="22">
        <v>1334</v>
      </c>
      <c r="B131" s="22" t="s">
        <v>1002</v>
      </c>
      <c r="C131" s="22" t="s">
        <v>902</v>
      </c>
      <c r="D131" s="22" t="s">
        <v>67</v>
      </c>
      <c r="E131" s="158">
        <v>18045</v>
      </c>
      <c r="F131" s="159">
        <v>167500</v>
      </c>
      <c r="G131" s="159">
        <v>3022537500</v>
      </c>
      <c r="H131" s="159">
        <v>302253750</v>
      </c>
      <c r="I131" s="159">
        <v>3324791250</v>
      </c>
      <c r="J131" s="159">
        <f>bargiri[[#This Row],[مقدار]]*INDEX(invoice[پیش دریافت به ازای هر کیلوگرم],MATCH(bargiri[[#This Row],[شماره سند مبنا]],invoice[شماره پیش فاکتور],0))</f>
        <v>3324791250</v>
      </c>
      <c r="K131" s="159">
        <f>bargiri[[#This Row],[مبلغ خالص]]-bargiri[[#This Row],[میزان استهلاک پیش دریافتی]]</f>
        <v>0</v>
      </c>
      <c r="L131" s="160" t="s">
        <v>593</v>
      </c>
      <c r="M131" s="159" t="s">
        <v>593</v>
      </c>
      <c r="N131" s="159">
        <f>IF(bargiri[[#This Row],[مبلغ واریزی]]&lt;&gt;"",bargiri[[#This Row],[مانده مبلغ]]-bargiri[[#This Row],[مبلغ واریزی]],bargiri[[#This Row],[مانده مبلغ]])</f>
        <v>0</v>
      </c>
      <c r="O131" s="159" t="s">
        <v>593</v>
      </c>
      <c r="P131" s="159">
        <f>VLOOKUP(bargiri[[#This Row],[شماره سند مبنا]],invoice[[شماره پیش فاکتور]:[پیش دریافت به ازای هر کیلوگرم]],14,0)</f>
        <v>184250</v>
      </c>
      <c r="Q131" s="159">
        <f>IF(bargiri[[#This Row],[مبلغ ناخالص]]-(bargiri[[#This Row],[نرخ استهلاک]]*bargiri[[#This Row],[مقدار]])&lt;0,0,bargiri[[#This Row],[مبلغ ناخالص]]-(bargiri[[#This Row],[نرخ استهلاک]]*bargiri[[#This Row],[مقدار]]))</f>
        <v>0</v>
      </c>
    </row>
    <row r="132" spans="1:17" s="22" customFormat="1" ht="13.8" x14ac:dyDescent="0.25">
      <c r="A132" s="22">
        <v>1334</v>
      </c>
      <c r="B132" s="22" t="s">
        <v>1002</v>
      </c>
      <c r="C132" s="22" t="s">
        <v>907</v>
      </c>
      <c r="D132" s="22" t="s">
        <v>67</v>
      </c>
      <c r="E132" s="158">
        <v>2135</v>
      </c>
      <c r="F132" s="159">
        <v>167500</v>
      </c>
      <c r="G132" s="159">
        <v>357612500</v>
      </c>
      <c r="H132" s="159">
        <v>35761250</v>
      </c>
      <c r="I132" s="159">
        <v>393373750</v>
      </c>
      <c r="J132" s="159">
        <f>bargiri[[#This Row],[مقدار]]*INDEX(invoice[پیش دریافت به ازای هر کیلوگرم],MATCH(bargiri[[#This Row],[شماره سند مبنا]],invoice[شماره پیش فاکتور],0))</f>
        <v>393373750</v>
      </c>
      <c r="K132" s="159">
        <f>bargiri[[#This Row],[مبلغ خالص]]-bargiri[[#This Row],[میزان استهلاک پیش دریافتی]]</f>
        <v>0</v>
      </c>
      <c r="L132" s="160" t="s">
        <v>593</v>
      </c>
      <c r="M132" s="159" t="s">
        <v>593</v>
      </c>
      <c r="N132" s="159">
        <f>IF(bargiri[[#This Row],[مبلغ واریزی]]&lt;&gt;"",bargiri[[#This Row],[مانده مبلغ]]-bargiri[[#This Row],[مبلغ واریزی]],bargiri[[#This Row],[مانده مبلغ]])</f>
        <v>0</v>
      </c>
      <c r="O132" s="159" t="s">
        <v>593</v>
      </c>
      <c r="P132" s="159">
        <f>VLOOKUP(bargiri[[#This Row],[شماره سند مبنا]],invoice[[شماره پیش فاکتور]:[پیش دریافت به ازای هر کیلوگرم]],14,0)</f>
        <v>184250</v>
      </c>
      <c r="Q132" s="159">
        <f>IF(bargiri[[#This Row],[مبلغ ناخالص]]-(bargiri[[#This Row],[نرخ استهلاک]]*bargiri[[#This Row],[مقدار]])&lt;0,0,bargiri[[#This Row],[مبلغ ناخالص]]-(bargiri[[#This Row],[نرخ استهلاک]]*bargiri[[#This Row],[مقدار]]))</f>
        <v>0</v>
      </c>
    </row>
    <row r="133" spans="1:17" s="22" customFormat="1" ht="13.8" x14ac:dyDescent="0.25">
      <c r="A133" s="22">
        <v>1333</v>
      </c>
      <c r="B133" s="22" t="s">
        <v>941</v>
      </c>
      <c r="C133" s="22" t="s">
        <v>934</v>
      </c>
      <c r="D133" s="22" t="s">
        <v>73</v>
      </c>
      <c r="E133" s="158">
        <v>20830</v>
      </c>
      <c r="F133" s="159">
        <v>130266</v>
      </c>
      <c r="G133" s="159">
        <v>2713440780</v>
      </c>
      <c r="H133" s="159">
        <v>271344078</v>
      </c>
      <c r="I133" s="159">
        <v>2984784858</v>
      </c>
      <c r="J133" s="159">
        <f>bargiri[[#This Row],[مقدار]]*INDEX(invoice[پیش دریافت به ازای هر کیلوگرم],MATCH(bargiri[[#This Row],[شماره سند مبنا]],invoice[شماره پیش فاکتور],0))</f>
        <v>1310207000</v>
      </c>
      <c r="K133" s="159">
        <f>bargiri[[#This Row],[مبلغ خالص]]-bargiri[[#This Row],[میزان استهلاک پیش دریافتی]]</f>
        <v>1674577858</v>
      </c>
      <c r="L133" s="160" t="s">
        <v>593</v>
      </c>
      <c r="M133" s="159" t="s">
        <v>593</v>
      </c>
      <c r="N133" s="159">
        <f>IF(bargiri[[#This Row],[مبلغ واریزی]]&lt;&gt;"",bargiri[[#This Row],[مانده مبلغ]]-bargiri[[#This Row],[مبلغ واریزی]],bargiri[[#This Row],[مانده مبلغ]])</f>
        <v>1674577858</v>
      </c>
      <c r="O133" s="159" t="s">
        <v>593</v>
      </c>
      <c r="P133" s="159">
        <f>VLOOKUP(bargiri[[#This Row],[شماره سند مبنا]],invoice[[شماره پیش فاکتور]:[پیش دریافت به ازای هر کیلوگرم]],14,0)</f>
        <v>62900</v>
      </c>
      <c r="Q133" s="159">
        <f>IF(bargiri[[#This Row],[مبلغ ناخالص]]-(bargiri[[#This Row],[نرخ استهلاک]]*bargiri[[#This Row],[مقدار]])&lt;0,0,bargiri[[#This Row],[مبلغ ناخالص]]-(bargiri[[#This Row],[نرخ استهلاک]]*bargiri[[#This Row],[مقدار]]))</f>
        <v>1403233780</v>
      </c>
    </row>
    <row r="134" spans="1:17" s="22" customFormat="1" ht="13.8" x14ac:dyDescent="0.25">
      <c r="A134" s="22">
        <v>1332</v>
      </c>
      <c r="B134" s="22" t="s">
        <v>941</v>
      </c>
      <c r="C134" s="22" t="s">
        <v>934</v>
      </c>
      <c r="D134" s="22" t="s">
        <v>73</v>
      </c>
      <c r="E134" s="158">
        <v>20990</v>
      </c>
      <c r="F134" s="159">
        <v>130266</v>
      </c>
      <c r="G134" s="159">
        <v>2734283340</v>
      </c>
      <c r="H134" s="159">
        <v>273428334</v>
      </c>
      <c r="I134" s="159">
        <v>3007711674</v>
      </c>
      <c r="J134" s="159">
        <f>bargiri[[#This Row],[مقدار]]*INDEX(invoice[پیش دریافت به ازای هر کیلوگرم],MATCH(bargiri[[#This Row],[شماره سند مبنا]],invoice[شماره پیش فاکتور],0))</f>
        <v>1320271000</v>
      </c>
      <c r="K134" s="159">
        <f>bargiri[[#This Row],[مبلغ خالص]]-bargiri[[#This Row],[میزان استهلاک پیش دریافتی]]</f>
        <v>1687440674</v>
      </c>
      <c r="L134" s="160" t="s">
        <v>404</v>
      </c>
      <c r="M134" s="159">
        <v>1473676875</v>
      </c>
      <c r="N134" s="159">
        <f>IF(bargiri[[#This Row],[مبلغ واریزی]]&lt;&gt;"",bargiri[[#This Row],[مانده مبلغ]]-bargiri[[#This Row],[مبلغ واریزی]],bargiri[[#This Row],[مانده مبلغ]])</f>
        <v>213763799</v>
      </c>
      <c r="O134" s="159">
        <v>0</v>
      </c>
      <c r="P134" s="159">
        <f>VLOOKUP(bargiri[[#This Row],[شماره سند مبنا]],invoice[[شماره پیش فاکتور]:[پیش دریافت به ازای هر کیلوگرم]],14,0)</f>
        <v>62900</v>
      </c>
      <c r="Q134" s="159">
        <f>IF(bargiri[[#This Row],[مبلغ ناخالص]]-(bargiri[[#This Row],[نرخ استهلاک]]*bargiri[[#This Row],[مقدار]])&lt;0,0,bargiri[[#This Row],[مبلغ ناخالص]]-(bargiri[[#This Row],[نرخ استهلاک]]*bargiri[[#This Row],[مقدار]]))</f>
        <v>1414012340</v>
      </c>
    </row>
    <row r="135" spans="1:17" s="22" customFormat="1" ht="13.8" x14ac:dyDescent="0.25">
      <c r="A135" s="22">
        <v>1331</v>
      </c>
      <c r="B135" s="22" t="s">
        <v>941</v>
      </c>
      <c r="C135" s="22" t="s">
        <v>934</v>
      </c>
      <c r="D135" s="22" t="s">
        <v>73</v>
      </c>
      <c r="E135" s="158">
        <v>20950</v>
      </c>
      <c r="F135" s="159">
        <v>130266</v>
      </c>
      <c r="G135" s="159">
        <v>2729072700</v>
      </c>
      <c r="H135" s="159">
        <v>272907270</v>
      </c>
      <c r="I135" s="159">
        <v>3001979970</v>
      </c>
      <c r="J135" s="159">
        <f>bargiri[[#This Row],[مقدار]]*INDEX(invoice[پیش دریافت به ازای هر کیلوگرم],MATCH(bargiri[[#This Row],[شماره سند مبنا]],invoice[شماره پیش فاکتور],0))</f>
        <v>1317755000</v>
      </c>
      <c r="K135" s="159">
        <f>bargiri[[#This Row],[مبلغ خالص]]-bargiri[[#This Row],[میزان استهلاک پیش دریافتی]]</f>
        <v>1684224970</v>
      </c>
      <c r="L135" s="160" t="s">
        <v>593</v>
      </c>
      <c r="M135" s="159" t="s">
        <v>593</v>
      </c>
      <c r="N135" s="159">
        <f>IF(bargiri[[#This Row],[مبلغ واریزی]]&lt;&gt;"",bargiri[[#This Row],[مانده مبلغ]]-bargiri[[#This Row],[مبلغ واریزی]],bargiri[[#This Row],[مانده مبلغ]])</f>
        <v>1684224970</v>
      </c>
      <c r="O135" s="159" t="s">
        <v>593</v>
      </c>
      <c r="P135" s="159">
        <f>VLOOKUP(bargiri[[#This Row],[شماره سند مبنا]],invoice[[شماره پیش فاکتور]:[پیش دریافت به ازای هر کیلوگرم]],14,0)</f>
        <v>62900</v>
      </c>
      <c r="Q135" s="159">
        <f>IF(bargiri[[#This Row],[مبلغ ناخالص]]-(bargiri[[#This Row],[نرخ استهلاک]]*bargiri[[#This Row],[مقدار]])&lt;0,0,bargiri[[#This Row],[مبلغ ناخالص]]-(bargiri[[#This Row],[نرخ استهلاک]]*bargiri[[#This Row],[مقدار]]))</f>
        <v>1411317700</v>
      </c>
    </row>
    <row r="136" spans="1:17" s="22" customFormat="1" ht="13.8" x14ac:dyDescent="0.25">
      <c r="A136" s="22">
        <v>1330</v>
      </c>
      <c r="B136" s="22" t="s">
        <v>941</v>
      </c>
      <c r="C136" s="22" t="s">
        <v>934</v>
      </c>
      <c r="D136" s="22" t="s">
        <v>73</v>
      </c>
      <c r="E136" s="158">
        <v>20930</v>
      </c>
      <c r="F136" s="159">
        <v>130266</v>
      </c>
      <c r="G136" s="159">
        <v>2726467380</v>
      </c>
      <c r="H136" s="159">
        <v>272646738</v>
      </c>
      <c r="I136" s="159">
        <v>2999114118</v>
      </c>
      <c r="J136" s="159">
        <f>bargiri[[#This Row],[مقدار]]*INDEX(invoice[پیش دریافت به ازای هر کیلوگرم],MATCH(bargiri[[#This Row],[شماره سند مبنا]],invoice[شماره پیش فاکتور],0))</f>
        <v>1316497000</v>
      </c>
      <c r="K136" s="159">
        <f>bargiri[[#This Row],[مبلغ خالص]]-bargiri[[#This Row],[میزان استهلاک پیش دریافتی]]</f>
        <v>1682617118</v>
      </c>
      <c r="L136" s="160" t="s">
        <v>593</v>
      </c>
      <c r="M136" s="159" t="s">
        <v>593</v>
      </c>
      <c r="N136" s="159">
        <f>IF(bargiri[[#This Row],[مبلغ واریزی]]&lt;&gt;"",bargiri[[#This Row],[مانده مبلغ]]-bargiri[[#This Row],[مبلغ واریزی]],bargiri[[#This Row],[مانده مبلغ]])</f>
        <v>1682617118</v>
      </c>
      <c r="O136" s="159" t="s">
        <v>593</v>
      </c>
      <c r="P136" s="159">
        <f>VLOOKUP(bargiri[[#This Row],[شماره سند مبنا]],invoice[[شماره پیش فاکتور]:[پیش دریافت به ازای هر کیلوگرم]],14,0)</f>
        <v>62900</v>
      </c>
      <c r="Q136" s="159">
        <f>IF(bargiri[[#This Row],[مبلغ ناخالص]]-(bargiri[[#This Row],[نرخ استهلاک]]*bargiri[[#This Row],[مقدار]])&lt;0,0,bargiri[[#This Row],[مبلغ ناخالص]]-(bargiri[[#This Row],[نرخ استهلاک]]*bargiri[[#This Row],[مقدار]]))</f>
        <v>1409970380</v>
      </c>
    </row>
    <row r="137" spans="1:17" s="22" customFormat="1" ht="13.8" x14ac:dyDescent="0.25">
      <c r="A137" s="22">
        <v>1329</v>
      </c>
      <c r="B137" s="22" t="s">
        <v>942</v>
      </c>
      <c r="C137" s="22" t="s">
        <v>934</v>
      </c>
      <c r="D137" s="22" t="s">
        <v>73</v>
      </c>
      <c r="E137" s="158">
        <v>20950</v>
      </c>
      <c r="F137" s="159">
        <v>130266</v>
      </c>
      <c r="G137" s="159">
        <v>2729072700</v>
      </c>
      <c r="H137" s="159">
        <v>272907270</v>
      </c>
      <c r="I137" s="159">
        <v>3001979970</v>
      </c>
      <c r="J137" s="159">
        <f>bargiri[[#This Row],[مقدار]]*INDEX(invoice[پیش دریافت به ازای هر کیلوگرم],MATCH(bargiri[[#This Row],[شماره سند مبنا]],invoice[شماره پیش فاکتور],0))</f>
        <v>1317755000</v>
      </c>
      <c r="K137" s="159">
        <f>bargiri[[#This Row],[مبلغ خالص]]-bargiri[[#This Row],[میزان استهلاک پیش دریافتی]]</f>
        <v>1684224970</v>
      </c>
      <c r="L137" s="160" t="s">
        <v>593</v>
      </c>
      <c r="M137" s="159" t="s">
        <v>593</v>
      </c>
      <c r="N137" s="159">
        <f>IF(bargiri[[#This Row],[مبلغ واریزی]]&lt;&gt;"",bargiri[[#This Row],[مانده مبلغ]]-bargiri[[#This Row],[مبلغ واریزی]],bargiri[[#This Row],[مانده مبلغ]])</f>
        <v>1684224970</v>
      </c>
      <c r="O137" s="159" t="s">
        <v>593</v>
      </c>
      <c r="P137" s="159">
        <f>VLOOKUP(bargiri[[#This Row],[شماره سند مبنا]],invoice[[شماره پیش فاکتور]:[پیش دریافت به ازای هر کیلوگرم]],14,0)</f>
        <v>62900</v>
      </c>
      <c r="Q137" s="159">
        <f>IF(bargiri[[#This Row],[مبلغ ناخالص]]-(bargiri[[#This Row],[نرخ استهلاک]]*bargiri[[#This Row],[مقدار]])&lt;0,0,bargiri[[#This Row],[مبلغ ناخالص]]-(bargiri[[#This Row],[نرخ استهلاک]]*bargiri[[#This Row],[مقدار]]))</f>
        <v>1411317700</v>
      </c>
    </row>
    <row r="138" spans="1:17" s="22" customFormat="1" ht="13.8" x14ac:dyDescent="0.25">
      <c r="A138" s="22">
        <v>1328</v>
      </c>
      <c r="B138" s="22" t="s">
        <v>942</v>
      </c>
      <c r="C138" s="22" t="s">
        <v>934</v>
      </c>
      <c r="D138" s="22" t="s">
        <v>73</v>
      </c>
      <c r="E138" s="158">
        <v>20970</v>
      </c>
      <c r="F138" s="159">
        <v>130266</v>
      </c>
      <c r="G138" s="159">
        <v>2731678020</v>
      </c>
      <c r="H138" s="159">
        <v>273167802</v>
      </c>
      <c r="I138" s="159">
        <v>3004845822</v>
      </c>
      <c r="J138" s="159">
        <f>bargiri[[#This Row],[مقدار]]*INDEX(invoice[پیش دریافت به ازای هر کیلوگرم],MATCH(bargiri[[#This Row],[شماره سند مبنا]],invoice[شماره پیش فاکتور],0))</f>
        <v>1319013000</v>
      </c>
      <c r="K138" s="159">
        <f>bargiri[[#This Row],[مبلغ خالص]]-bargiri[[#This Row],[میزان استهلاک پیش دریافتی]]</f>
        <v>1685832822</v>
      </c>
      <c r="L138" s="160" t="s">
        <v>263</v>
      </c>
      <c r="M138" s="159">
        <v>576320000</v>
      </c>
      <c r="N138" s="159">
        <f>IF(bargiri[[#This Row],[مبلغ واریزی]]&lt;&gt;"",bargiri[[#This Row],[مانده مبلغ]]-bargiri[[#This Row],[مبلغ واریزی]],bargiri[[#This Row],[مانده مبلغ]])</f>
        <v>1109512822</v>
      </c>
      <c r="O138" s="159">
        <v>0</v>
      </c>
      <c r="P138" s="159">
        <f>VLOOKUP(bargiri[[#This Row],[شماره سند مبنا]],invoice[[شماره پیش فاکتور]:[پیش دریافت به ازای هر کیلوگرم]],14,0)</f>
        <v>62900</v>
      </c>
      <c r="Q138" s="159">
        <f>IF(bargiri[[#This Row],[مبلغ ناخالص]]-(bargiri[[#This Row],[نرخ استهلاک]]*bargiri[[#This Row],[مقدار]])&lt;0,0,bargiri[[#This Row],[مبلغ ناخالص]]-(bargiri[[#This Row],[نرخ استهلاک]]*bargiri[[#This Row],[مقدار]]))</f>
        <v>1412665020</v>
      </c>
    </row>
    <row r="139" spans="1:17" s="22" customFormat="1" ht="13.8" x14ac:dyDescent="0.25">
      <c r="A139" s="22">
        <v>1327</v>
      </c>
      <c r="B139" s="22" t="s">
        <v>943</v>
      </c>
      <c r="C139" s="22" t="s">
        <v>934</v>
      </c>
      <c r="D139" s="22" t="s">
        <v>73</v>
      </c>
      <c r="E139" s="158">
        <v>20870</v>
      </c>
      <c r="F139" s="159">
        <v>130266</v>
      </c>
      <c r="G139" s="159">
        <v>2718651420</v>
      </c>
      <c r="H139" s="159">
        <v>271865142</v>
      </c>
      <c r="I139" s="159">
        <v>2990516562</v>
      </c>
      <c r="J139" s="159">
        <f>bargiri[[#This Row],[مقدار]]*INDEX(invoice[پیش دریافت به ازای هر کیلوگرم],MATCH(bargiri[[#This Row],[شماره سند مبنا]],invoice[شماره پیش فاکتور],0))</f>
        <v>1312723000</v>
      </c>
      <c r="K139" s="159">
        <f>bargiri[[#This Row],[مبلغ خالص]]-bargiri[[#This Row],[میزان استهلاک پیش دریافتی]]</f>
        <v>1677793562</v>
      </c>
      <c r="L139" s="160" t="s">
        <v>593</v>
      </c>
      <c r="M139" s="159" t="s">
        <v>593</v>
      </c>
      <c r="N139" s="159">
        <f>IF(bargiri[[#This Row],[مبلغ واریزی]]&lt;&gt;"",bargiri[[#This Row],[مانده مبلغ]]-bargiri[[#This Row],[مبلغ واریزی]],bargiri[[#This Row],[مانده مبلغ]])</f>
        <v>1677793562</v>
      </c>
      <c r="O139" s="159" t="s">
        <v>593</v>
      </c>
      <c r="P139" s="159">
        <f>VLOOKUP(bargiri[[#This Row],[شماره سند مبنا]],invoice[[شماره پیش فاکتور]:[پیش دریافت به ازای هر کیلوگرم]],14,0)</f>
        <v>62900</v>
      </c>
      <c r="Q139" s="159">
        <f>IF(bargiri[[#This Row],[مبلغ ناخالص]]-(bargiri[[#This Row],[نرخ استهلاک]]*bargiri[[#This Row],[مقدار]])&lt;0,0,bargiri[[#This Row],[مبلغ ناخالص]]-(bargiri[[#This Row],[نرخ استهلاک]]*bargiri[[#This Row],[مقدار]]))</f>
        <v>1405928420</v>
      </c>
    </row>
    <row r="140" spans="1:17" s="22" customFormat="1" ht="13.8" x14ac:dyDescent="0.25">
      <c r="A140" s="22">
        <v>1326</v>
      </c>
      <c r="B140" s="22" t="s">
        <v>943</v>
      </c>
      <c r="C140" s="22" t="s">
        <v>934</v>
      </c>
      <c r="D140" s="22" t="s">
        <v>73</v>
      </c>
      <c r="E140" s="158">
        <v>20860</v>
      </c>
      <c r="F140" s="159">
        <v>130266</v>
      </c>
      <c r="G140" s="159">
        <v>2717348760</v>
      </c>
      <c r="H140" s="159">
        <v>271734876</v>
      </c>
      <c r="I140" s="159">
        <v>2989083636</v>
      </c>
      <c r="J140" s="159">
        <f>bargiri[[#This Row],[مقدار]]*INDEX(invoice[پیش دریافت به ازای هر کیلوگرم],MATCH(bargiri[[#This Row],[شماره سند مبنا]],invoice[شماره پیش فاکتور],0))</f>
        <v>1312094000</v>
      </c>
      <c r="K140" s="159">
        <f>bargiri[[#This Row],[مبلغ خالص]]-bargiri[[#This Row],[میزان استهلاک پیش دریافتی]]</f>
        <v>1676989636</v>
      </c>
      <c r="L140" s="160" t="s">
        <v>593</v>
      </c>
      <c r="M140" s="159" t="s">
        <v>593</v>
      </c>
      <c r="N140" s="159">
        <f>IF(bargiri[[#This Row],[مبلغ واریزی]]&lt;&gt;"",bargiri[[#This Row],[مانده مبلغ]]-bargiri[[#This Row],[مبلغ واریزی]],bargiri[[#This Row],[مانده مبلغ]])</f>
        <v>1676989636</v>
      </c>
      <c r="O140" s="159" t="s">
        <v>593</v>
      </c>
      <c r="P140" s="159">
        <f>VLOOKUP(bargiri[[#This Row],[شماره سند مبنا]],invoice[[شماره پیش فاکتور]:[پیش دریافت به ازای هر کیلوگرم]],14,0)</f>
        <v>62900</v>
      </c>
      <c r="Q140" s="159">
        <f>IF(bargiri[[#This Row],[مبلغ ناخالص]]-(bargiri[[#This Row],[نرخ استهلاک]]*bargiri[[#This Row],[مقدار]])&lt;0,0,bargiri[[#This Row],[مبلغ ناخالص]]-(bargiri[[#This Row],[نرخ استهلاک]]*bargiri[[#This Row],[مقدار]]))</f>
        <v>1405254760</v>
      </c>
    </row>
    <row r="141" spans="1:17" s="22" customFormat="1" ht="13.8" x14ac:dyDescent="0.25">
      <c r="A141" s="22">
        <v>1325</v>
      </c>
      <c r="B141" s="22" t="s">
        <v>943</v>
      </c>
      <c r="C141" s="22" t="s">
        <v>934</v>
      </c>
      <c r="D141" s="22" t="s">
        <v>73</v>
      </c>
      <c r="E141" s="158">
        <v>20600</v>
      </c>
      <c r="F141" s="159">
        <v>130266</v>
      </c>
      <c r="G141" s="159">
        <v>2683479600</v>
      </c>
      <c r="H141" s="159">
        <v>268347960</v>
      </c>
      <c r="I141" s="159">
        <v>2951827560</v>
      </c>
      <c r="J141" s="159">
        <f>bargiri[[#This Row],[مقدار]]*INDEX(invoice[پیش دریافت به ازای هر کیلوگرم],MATCH(bargiri[[#This Row],[شماره سند مبنا]],invoice[شماره پیش فاکتور],0))</f>
        <v>1295740000</v>
      </c>
      <c r="K141" s="159">
        <f>bargiri[[#This Row],[مبلغ خالص]]-bargiri[[#This Row],[میزان استهلاک پیش دریافتی]]</f>
        <v>1656087560</v>
      </c>
      <c r="L141" s="160" t="s">
        <v>593</v>
      </c>
      <c r="M141" s="159" t="s">
        <v>593</v>
      </c>
      <c r="N141" s="159">
        <f>IF(bargiri[[#This Row],[مبلغ واریزی]]&lt;&gt;"",bargiri[[#This Row],[مانده مبلغ]]-bargiri[[#This Row],[مبلغ واریزی]],bargiri[[#This Row],[مانده مبلغ]])</f>
        <v>1656087560</v>
      </c>
      <c r="O141" s="159" t="s">
        <v>593</v>
      </c>
      <c r="P141" s="159">
        <f>VLOOKUP(bargiri[[#This Row],[شماره سند مبنا]],invoice[[شماره پیش فاکتور]:[پیش دریافت به ازای هر کیلوگرم]],14,0)</f>
        <v>62900</v>
      </c>
      <c r="Q141" s="159">
        <f>IF(bargiri[[#This Row],[مبلغ ناخالص]]-(bargiri[[#This Row],[نرخ استهلاک]]*bargiri[[#This Row],[مقدار]])&lt;0,0,bargiri[[#This Row],[مبلغ ناخالص]]-(bargiri[[#This Row],[نرخ استهلاک]]*bargiri[[#This Row],[مقدار]]))</f>
        <v>1387739600</v>
      </c>
    </row>
    <row r="142" spans="1:17" s="22" customFormat="1" ht="13.8" x14ac:dyDescent="0.25">
      <c r="A142" s="22">
        <v>1324</v>
      </c>
      <c r="B142" s="22" t="s">
        <v>925</v>
      </c>
      <c r="C142" s="22" t="s">
        <v>934</v>
      </c>
      <c r="D142" s="22" t="s">
        <v>73</v>
      </c>
      <c r="E142" s="158">
        <v>20920</v>
      </c>
      <c r="F142" s="159">
        <v>130266</v>
      </c>
      <c r="G142" s="159">
        <v>2725164720</v>
      </c>
      <c r="H142" s="159">
        <v>272516472</v>
      </c>
      <c r="I142" s="159">
        <v>2997681192</v>
      </c>
      <c r="J142" s="159">
        <f>bargiri[[#This Row],[مقدار]]*INDEX(invoice[پیش دریافت به ازای هر کیلوگرم],MATCH(bargiri[[#This Row],[شماره سند مبنا]],invoice[شماره پیش فاکتور],0))</f>
        <v>1315868000</v>
      </c>
      <c r="K142" s="159">
        <f>bargiri[[#This Row],[مبلغ خالص]]-bargiri[[#This Row],[میزان استهلاک پیش دریافتی]]</f>
        <v>1681813192</v>
      </c>
      <c r="L142" s="160" t="s">
        <v>593</v>
      </c>
      <c r="M142" s="159" t="s">
        <v>593</v>
      </c>
      <c r="N142" s="159">
        <f>IF(bargiri[[#This Row],[مبلغ واریزی]]&lt;&gt;"",bargiri[[#This Row],[مانده مبلغ]]-bargiri[[#This Row],[مبلغ واریزی]],bargiri[[#This Row],[مانده مبلغ]])</f>
        <v>1681813192</v>
      </c>
      <c r="O142" s="159" t="s">
        <v>593</v>
      </c>
      <c r="P142" s="159">
        <f>VLOOKUP(bargiri[[#This Row],[شماره سند مبنا]],invoice[[شماره پیش فاکتور]:[پیش دریافت به ازای هر کیلوگرم]],14,0)</f>
        <v>62900</v>
      </c>
      <c r="Q142" s="159">
        <f>IF(bargiri[[#This Row],[مبلغ ناخالص]]-(bargiri[[#This Row],[نرخ استهلاک]]*bargiri[[#This Row],[مقدار]])&lt;0,0,bargiri[[#This Row],[مبلغ ناخالص]]-(bargiri[[#This Row],[نرخ استهلاک]]*bargiri[[#This Row],[مقدار]]))</f>
        <v>1409296720</v>
      </c>
    </row>
    <row r="143" spans="1:17" s="22" customFormat="1" ht="13.8" x14ac:dyDescent="0.25">
      <c r="A143" s="22">
        <v>1323</v>
      </c>
      <c r="B143" s="22" t="s">
        <v>925</v>
      </c>
      <c r="C143" s="22" t="s">
        <v>934</v>
      </c>
      <c r="D143" s="22" t="s">
        <v>73</v>
      </c>
      <c r="E143" s="158">
        <v>20470</v>
      </c>
      <c r="F143" s="159">
        <v>130266</v>
      </c>
      <c r="G143" s="159">
        <v>2666545020</v>
      </c>
      <c r="H143" s="159">
        <v>266654502</v>
      </c>
      <c r="I143" s="159">
        <v>2933199522</v>
      </c>
      <c r="J143" s="159">
        <f>bargiri[[#This Row],[مقدار]]*INDEX(invoice[پیش دریافت به ازای هر کیلوگرم],MATCH(bargiri[[#This Row],[شماره سند مبنا]],invoice[شماره پیش فاکتور],0))</f>
        <v>1287563000</v>
      </c>
      <c r="K143" s="159">
        <f>bargiri[[#This Row],[مبلغ خالص]]-bargiri[[#This Row],[میزان استهلاک پیش دریافتی]]</f>
        <v>1645636522</v>
      </c>
      <c r="L143" s="160" t="s">
        <v>277</v>
      </c>
      <c r="M143" s="159">
        <v>1118600000</v>
      </c>
      <c r="N143" s="159">
        <f>IF(bargiri[[#This Row],[مبلغ واریزی]]&lt;&gt;"",bargiri[[#This Row],[مانده مبلغ]]-bargiri[[#This Row],[مبلغ واریزی]],bargiri[[#This Row],[مانده مبلغ]])</f>
        <v>527036522</v>
      </c>
      <c r="O143" s="159">
        <v>0</v>
      </c>
      <c r="P143" s="159">
        <f>VLOOKUP(bargiri[[#This Row],[شماره سند مبنا]],invoice[[شماره پیش فاکتور]:[پیش دریافت به ازای هر کیلوگرم]],14,0)</f>
        <v>62900</v>
      </c>
      <c r="Q143" s="159">
        <f>IF(bargiri[[#This Row],[مبلغ ناخالص]]-(bargiri[[#This Row],[نرخ استهلاک]]*bargiri[[#This Row],[مقدار]])&lt;0,0,bargiri[[#This Row],[مبلغ ناخالص]]-(bargiri[[#This Row],[نرخ استهلاک]]*bargiri[[#This Row],[مقدار]]))</f>
        <v>1378982020</v>
      </c>
    </row>
    <row r="144" spans="1:17" s="22" customFormat="1" ht="13.8" x14ac:dyDescent="0.25">
      <c r="A144" s="22">
        <v>1322</v>
      </c>
      <c r="B144" s="22" t="s">
        <v>925</v>
      </c>
      <c r="C144" s="22" t="s">
        <v>934</v>
      </c>
      <c r="D144" s="22" t="s">
        <v>73</v>
      </c>
      <c r="E144" s="158">
        <v>20400</v>
      </c>
      <c r="F144" s="159">
        <v>130266</v>
      </c>
      <c r="G144" s="159">
        <v>2657426400</v>
      </c>
      <c r="H144" s="159">
        <v>265742640</v>
      </c>
      <c r="I144" s="159">
        <v>2923169040</v>
      </c>
      <c r="J144" s="159">
        <f>bargiri[[#This Row],[مقدار]]*INDEX(invoice[پیش دریافت به ازای هر کیلوگرم],MATCH(bargiri[[#This Row],[شماره سند مبنا]],invoice[شماره پیش فاکتور],0))</f>
        <v>1283160000</v>
      </c>
      <c r="K144" s="159">
        <f>bargiri[[#This Row],[مبلغ خالص]]-bargiri[[#This Row],[میزان استهلاک پیش دریافتی]]</f>
        <v>1640009040</v>
      </c>
      <c r="L144" s="160" t="s">
        <v>276</v>
      </c>
      <c r="M144" s="159">
        <v>695172500</v>
      </c>
      <c r="N144" s="159">
        <f>IF(bargiri[[#This Row],[مبلغ واریزی]]&lt;&gt;"",bargiri[[#This Row],[مانده مبلغ]]-bargiri[[#This Row],[مبلغ واریزی]],bargiri[[#This Row],[مانده مبلغ]])</f>
        <v>944836540</v>
      </c>
      <c r="O144" s="159">
        <v>0</v>
      </c>
      <c r="P144" s="159">
        <f>VLOOKUP(bargiri[[#This Row],[شماره سند مبنا]],invoice[[شماره پیش فاکتور]:[پیش دریافت به ازای هر کیلوگرم]],14,0)</f>
        <v>62900</v>
      </c>
      <c r="Q144" s="159">
        <f>IF(bargiri[[#This Row],[مبلغ ناخالص]]-(bargiri[[#This Row],[نرخ استهلاک]]*bargiri[[#This Row],[مقدار]])&lt;0,0,bargiri[[#This Row],[مبلغ ناخالص]]-(bargiri[[#This Row],[نرخ استهلاک]]*bargiri[[#This Row],[مقدار]]))</f>
        <v>1374266400</v>
      </c>
    </row>
    <row r="145" spans="1:17" s="22" customFormat="1" ht="13.8" x14ac:dyDescent="0.25">
      <c r="A145" s="22">
        <v>1321</v>
      </c>
      <c r="B145" s="22" t="s">
        <v>944</v>
      </c>
      <c r="C145" s="22" t="s">
        <v>934</v>
      </c>
      <c r="D145" s="22" t="s">
        <v>73</v>
      </c>
      <c r="E145" s="158">
        <v>20570</v>
      </c>
      <c r="F145" s="159">
        <v>130266</v>
      </c>
      <c r="G145" s="159">
        <v>2679571620</v>
      </c>
      <c r="H145" s="159">
        <v>267957162</v>
      </c>
      <c r="I145" s="159">
        <v>2947528782</v>
      </c>
      <c r="J145" s="159">
        <f>bargiri[[#This Row],[مقدار]]*INDEX(invoice[پیش دریافت به ازای هر کیلوگرم],MATCH(bargiri[[#This Row],[شماره سند مبنا]],invoice[شماره پیش فاکتور],0))</f>
        <v>1293853000</v>
      </c>
      <c r="K145" s="159">
        <f>bargiri[[#This Row],[مبلغ خالص]]-bargiri[[#This Row],[میزان استهلاک پیش دریافتی]]</f>
        <v>1653675782</v>
      </c>
      <c r="L145" s="160" t="s">
        <v>326</v>
      </c>
      <c r="M145" s="159">
        <v>446022500</v>
      </c>
      <c r="N145" s="159">
        <f>IF(bargiri[[#This Row],[مبلغ واریزی]]&lt;&gt;"",bargiri[[#This Row],[مانده مبلغ]]-bargiri[[#This Row],[مبلغ واریزی]],bargiri[[#This Row],[مانده مبلغ]])</f>
        <v>1207653282</v>
      </c>
      <c r="O145" s="159">
        <v>0</v>
      </c>
      <c r="P145" s="159">
        <f>VLOOKUP(bargiri[[#This Row],[شماره سند مبنا]],invoice[[شماره پیش فاکتور]:[پیش دریافت به ازای هر کیلوگرم]],14,0)</f>
        <v>62900</v>
      </c>
      <c r="Q145" s="159">
        <f>IF(bargiri[[#This Row],[مبلغ ناخالص]]-(bargiri[[#This Row],[نرخ استهلاک]]*bargiri[[#This Row],[مقدار]])&lt;0,0,bargiri[[#This Row],[مبلغ ناخالص]]-(bargiri[[#This Row],[نرخ استهلاک]]*bargiri[[#This Row],[مقدار]]))</f>
        <v>1385718620</v>
      </c>
    </row>
    <row r="146" spans="1:17" s="22" customFormat="1" ht="13.8" x14ac:dyDescent="0.25">
      <c r="A146" s="22">
        <v>1320</v>
      </c>
      <c r="B146" s="22" t="s">
        <v>944</v>
      </c>
      <c r="C146" s="22" t="s">
        <v>934</v>
      </c>
      <c r="D146" s="22" t="s">
        <v>73</v>
      </c>
      <c r="E146" s="158">
        <v>20590</v>
      </c>
      <c r="F146" s="159">
        <v>130266</v>
      </c>
      <c r="G146" s="159">
        <v>2682176940</v>
      </c>
      <c r="H146" s="159">
        <v>268217694</v>
      </c>
      <c r="I146" s="159">
        <v>2950394634</v>
      </c>
      <c r="J146" s="159">
        <f>bargiri[[#This Row],[مقدار]]*INDEX(invoice[پیش دریافت به ازای هر کیلوگرم],MATCH(bargiri[[#This Row],[شماره سند مبنا]],invoice[شماره پیش فاکتور],0))</f>
        <v>1295111000</v>
      </c>
      <c r="K146" s="159">
        <f>bargiri[[#This Row],[مبلغ خالص]]-bargiri[[#This Row],[میزان استهلاک پیش دریافتی]]</f>
        <v>1655283634</v>
      </c>
      <c r="L146" s="160" t="s">
        <v>593</v>
      </c>
      <c r="M146" s="159" t="s">
        <v>593</v>
      </c>
      <c r="N146" s="159">
        <f>IF(bargiri[[#This Row],[مبلغ واریزی]]&lt;&gt;"",bargiri[[#This Row],[مانده مبلغ]]-bargiri[[#This Row],[مبلغ واریزی]],bargiri[[#This Row],[مانده مبلغ]])</f>
        <v>1655283634</v>
      </c>
      <c r="O146" s="159" t="s">
        <v>593</v>
      </c>
      <c r="P146" s="159">
        <f>VLOOKUP(bargiri[[#This Row],[شماره سند مبنا]],invoice[[شماره پیش فاکتور]:[پیش دریافت به ازای هر کیلوگرم]],14,0)</f>
        <v>62900</v>
      </c>
      <c r="Q146" s="159">
        <f>IF(bargiri[[#This Row],[مبلغ ناخالص]]-(bargiri[[#This Row],[نرخ استهلاک]]*bargiri[[#This Row],[مقدار]])&lt;0,0,bargiri[[#This Row],[مبلغ ناخالص]]-(bargiri[[#This Row],[نرخ استهلاک]]*bargiri[[#This Row],[مقدار]]))</f>
        <v>1387065940</v>
      </c>
    </row>
    <row r="147" spans="1:17" s="22" customFormat="1" ht="13.8" x14ac:dyDescent="0.25">
      <c r="A147" s="22">
        <v>1319</v>
      </c>
      <c r="B147" s="22" t="s">
        <v>945</v>
      </c>
      <c r="C147" s="22" t="s">
        <v>934</v>
      </c>
      <c r="D147" s="22" t="s">
        <v>73</v>
      </c>
      <c r="E147" s="158">
        <v>20590</v>
      </c>
      <c r="F147" s="159">
        <v>130266</v>
      </c>
      <c r="G147" s="159">
        <v>2682176940</v>
      </c>
      <c r="H147" s="159">
        <v>268217694</v>
      </c>
      <c r="I147" s="159">
        <v>2950394634</v>
      </c>
      <c r="J147" s="159">
        <f>bargiri[[#This Row],[مقدار]]*INDEX(invoice[پیش دریافت به ازای هر کیلوگرم],MATCH(bargiri[[#This Row],[شماره سند مبنا]],invoice[شماره پیش فاکتور],0))</f>
        <v>1295111000</v>
      </c>
      <c r="K147" s="159">
        <f>bargiri[[#This Row],[مبلغ خالص]]-bargiri[[#This Row],[میزان استهلاک پیش دریافتی]]</f>
        <v>1655283634</v>
      </c>
      <c r="L147" s="160" t="s">
        <v>593</v>
      </c>
      <c r="M147" s="159" t="s">
        <v>593</v>
      </c>
      <c r="N147" s="159">
        <f>IF(bargiri[[#This Row],[مبلغ واریزی]]&lt;&gt;"",bargiri[[#This Row],[مانده مبلغ]]-bargiri[[#This Row],[مبلغ واریزی]],bargiri[[#This Row],[مانده مبلغ]])</f>
        <v>1655283634</v>
      </c>
      <c r="O147" s="159" t="s">
        <v>593</v>
      </c>
      <c r="P147" s="159">
        <f>VLOOKUP(bargiri[[#This Row],[شماره سند مبنا]],invoice[[شماره پیش فاکتور]:[پیش دریافت به ازای هر کیلوگرم]],14,0)</f>
        <v>62900</v>
      </c>
      <c r="Q147" s="159">
        <f>IF(bargiri[[#This Row],[مبلغ ناخالص]]-(bargiri[[#This Row],[نرخ استهلاک]]*bargiri[[#This Row],[مقدار]])&lt;0,0,bargiri[[#This Row],[مبلغ ناخالص]]-(bargiri[[#This Row],[نرخ استهلاک]]*bargiri[[#This Row],[مقدار]]))</f>
        <v>1387065940</v>
      </c>
    </row>
    <row r="148" spans="1:17" s="22" customFormat="1" ht="13.8" x14ac:dyDescent="0.25">
      <c r="A148" s="22">
        <v>1318</v>
      </c>
      <c r="B148" s="22" t="s">
        <v>945</v>
      </c>
      <c r="C148" s="22" t="s">
        <v>934</v>
      </c>
      <c r="D148" s="22" t="s">
        <v>73</v>
      </c>
      <c r="E148" s="158">
        <v>20010</v>
      </c>
      <c r="F148" s="159">
        <v>130266</v>
      </c>
      <c r="G148" s="159">
        <v>2606622660</v>
      </c>
      <c r="H148" s="159">
        <v>260662266</v>
      </c>
      <c r="I148" s="159">
        <v>2867284926</v>
      </c>
      <c r="J148" s="159">
        <f>bargiri[[#This Row],[مقدار]]*INDEX(invoice[پیش دریافت به ازای هر کیلوگرم],MATCH(bargiri[[#This Row],[شماره سند مبنا]],invoice[شماره پیش فاکتور],0))</f>
        <v>1258629000</v>
      </c>
      <c r="K148" s="159">
        <f>bargiri[[#This Row],[مبلغ خالص]]-bargiri[[#This Row],[میزان استهلاک پیش دریافتی]]</f>
        <v>1608655926</v>
      </c>
      <c r="L148" s="160" t="s">
        <v>593</v>
      </c>
      <c r="M148" s="159" t="s">
        <v>593</v>
      </c>
      <c r="N148" s="159">
        <f>IF(bargiri[[#This Row],[مبلغ واریزی]]&lt;&gt;"",bargiri[[#This Row],[مانده مبلغ]]-bargiri[[#This Row],[مبلغ واریزی]],bargiri[[#This Row],[مانده مبلغ]])</f>
        <v>1608655926</v>
      </c>
      <c r="O148" s="159" t="s">
        <v>593</v>
      </c>
      <c r="P148" s="159">
        <f>VLOOKUP(bargiri[[#This Row],[شماره سند مبنا]],invoice[[شماره پیش فاکتور]:[پیش دریافت به ازای هر کیلوگرم]],14,0)</f>
        <v>62900</v>
      </c>
      <c r="Q148" s="159">
        <f>IF(bargiri[[#This Row],[مبلغ ناخالص]]-(bargiri[[#This Row],[نرخ استهلاک]]*bargiri[[#This Row],[مقدار]])&lt;0,0,bargiri[[#This Row],[مبلغ ناخالص]]-(bargiri[[#This Row],[نرخ استهلاک]]*bargiri[[#This Row],[مقدار]]))</f>
        <v>1347993660</v>
      </c>
    </row>
    <row r="149" spans="1:17" s="22" customFormat="1" ht="13.8" x14ac:dyDescent="0.25">
      <c r="A149" s="22">
        <v>1317</v>
      </c>
      <c r="B149" s="22" t="s">
        <v>945</v>
      </c>
      <c r="C149" s="22" t="s">
        <v>934</v>
      </c>
      <c r="D149" s="22" t="s">
        <v>73</v>
      </c>
      <c r="E149" s="158">
        <v>20530</v>
      </c>
      <c r="F149" s="159">
        <v>130266</v>
      </c>
      <c r="G149" s="159">
        <v>2674360980</v>
      </c>
      <c r="H149" s="159">
        <v>267436098</v>
      </c>
      <c r="I149" s="159">
        <v>2941797078</v>
      </c>
      <c r="J149" s="159">
        <f>bargiri[[#This Row],[مقدار]]*INDEX(invoice[پیش دریافت به ازای هر کیلوگرم],MATCH(bargiri[[#This Row],[شماره سند مبنا]],invoice[شماره پیش فاکتور],0))</f>
        <v>1291337000</v>
      </c>
      <c r="K149" s="159">
        <f>bargiri[[#This Row],[مبلغ خالص]]-bargiri[[#This Row],[میزان استهلاک پیش دریافتی]]</f>
        <v>1650460078</v>
      </c>
      <c r="L149" s="160" t="s">
        <v>275</v>
      </c>
      <c r="M149" s="159">
        <v>694705000</v>
      </c>
      <c r="N149" s="159">
        <f>IF(bargiri[[#This Row],[مبلغ واریزی]]&lt;&gt;"",bargiri[[#This Row],[مانده مبلغ]]-bargiri[[#This Row],[مبلغ واریزی]],bargiri[[#This Row],[مانده مبلغ]])</f>
        <v>955755078</v>
      </c>
      <c r="O149" s="159">
        <v>0</v>
      </c>
      <c r="P149" s="159">
        <f>VLOOKUP(bargiri[[#This Row],[شماره سند مبنا]],invoice[[شماره پیش فاکتور]:[پیش دریافت به ازای هر کیلوگرم]],14,0)</f>
        <v>62900</v>
      </c>
      <c r="Q149" s="159">
        <f>IF(bargiri[[#This Row],[مبلغ ناخالص]]-(bargiri[[#This Row],[نرخ استهلاک]]*bargiri[[#This Row],[مقدار]])&lt;0,0,bargiri[[#This Row],[مبلغ ناخالص]]-(bargiri[[#This Row],[نرخ استهلاک]]*bargiri[[#This Row],[مقدار]]))</f>
        <v>1383023980</v>
      </c>
    </row>
    <row r="150" spans="1:17" s="22" customFormat="1" ht="13.8" x14ac:dyDescent="0.25">
      <c r="A150" s="22">
        <v>1316</v>
      </c>
      <c r="B150" s="22" t="s">
        <v>945</v>
      </c>
      <c r="C150" s="22" t="s">
        <v>934</v>
      </c>
      <c r="D150" s="22" t="s">
        <v>73</v>
      </c>
      <c r="E150" s="158">
        <v>20820</v>
      </c>
      <c r="F150" s="159">
        <v>130266</v>
      </c>
      <c r="G150" s="159">
        <v>2712138120</v>
      </c>
      <c r="H150" s="159">
        <v>271213812</v>
      </c>
      <c r="I150" s="159">
        <v>2983351932</v>
      </c>
      <c r="J150" s="159">
        <f>bargiri[[#This Row],[مقدار]]*INDEX(invoice[پیش دریافت به ازای هر کیلوگرم],MATCH(bargiri[[#This Row],[شماره سند مبنا]],invoice[شماره پیش فاکتور],0))</f>
        <v>1309578000</v>
      </c>
      <c r="K150" s="159">
        <f>bargiri[[#This Row],[مبلغ خالص]]-bargiri[[#This Row],[میزان استهلاک پیش دریافتی]]</f>
        <v>1673773932</v>
      </c>
      <c r="L150" s="160" t="s">
        <v>301</v>
      </c>
      <c r="M150" s="159">
        <v>435242500</v>
      </c>
      <c r="N150" s="159">
        <f>IF(bargiri[[#This Row],[مبلغ واریزی]]&lt;&gt;"",bargiri[[#This Row],[مانده مبلغ]]-bargiri[[#This Row],[مبلغ واریزی]],bargiri[[#This Row],[مانده مبلغ]])</f>
        <v>1238531432</v>
      </c>
      <c r="O150" s="159">
        <v>0</v>
      </c>
      <c r="P150" s="159">
        <f>VLOOKUP(bargiri[[#This Row],[شماره سند مبنا]],invoice[[شماره پیش فاکتور]:[پیش دریافت به ازای هر کیلوگرم]],14,0)</f>
        <v>62900</v>
      </c>
      <c r="Q150" s="159">
        <f>IF(bargiri[[#This Row],[مبلغ ناخالص]]-(bargiri[[#This Row],[نرخ استهلاک]]*bargiri[[#This Row],[مقدار]])&lt;0,0,bargiri[[#This Row],[مبلغ ناخالص]]-(bargiri[[#This Row],[نرخ استهلاک]]*bargiri[[#This Row],[مقدار]]))</f>
        <v>1402560120</v>
      </c>
    </row>
    <row r="151" spans="1:17" s="22" customFormat="1" ht="13.8" x14ac:dyDescent="0.25">
      <c r="A151" s="22">
        <v>1314</v>
      </c>
      <c r="B151" s="22" t="s">
        <v>929</v>
      </c>
      <c r="C151" s="22" t="s">
        <v>934</v>
      </c>
      <c r="D151" s="22" t="s">
        <v>73</v>
      </c>
      <c r="E151" s="158">
        <v>21170</v>
      </c>
      <c r="F151" s="159">
        <v>130266</v>
      </c>
      <c r="G151" s="159">
        <v>2757731220</v>
      </c>
      <c r="H151" s="159">
        <v>275773122</v>
      </c>
      <c r="I151" s="159">
        <v>3033504342</v>
      </c>
      <c r="J151" s="159">
        <f>bargiri[[#This Row],[مقدار]]*INDEX(invoice[پیش دریافت به ازای هر کیلوگرم],MATCH(bargiri[[#This Row],[شماره سند مبنا]],invoice[شماره پیش فاکتور],0))</f>
        <v>1331593000</v>
      </c>
      <c r="K151" s="159">
        <f>bargiri[[#This Row],[مبلغ خالص]]-bargiri[[#This Row],[میزان استهلاک پیش دریافتی]]</f>
        <v>1701911342</v>
      </c>
      <c r="L151" s="160" t="s">
        <v>403</v>
      </c>
      <c r="M151" s="159">
        <v>1485598125</v>
      </c>
      <c r="N151" s="159">
        <f>IF(bargiri[[#This Row],[مبلغ واریزی]]&lt;&gt;"",bargiri[[#This Row],[مانده مبلغ]]-bargiri[[#This Row],[مبلغ واریزی]],bargiri[[#This Row],[مانده مبلغ]])</f>
        <v>216313217</v>
      </c>
      <c r="O151" s="159">
        <v>0</v>
      </c>
      <c r="P151" s="159">
        <f>VLOOKUP(bargiri[[#This Row],[شماره سند مبنا]],invoice[[شماره پیش فاکتور]:[پیش دریافت به ازای هر کیلوگرم]],14,0)</f>
        <v>62900</v>
      </c>
      <c r="Q151" s="159">
        <f>IF(bargiri[[#This Row],[مبلغ ناخالص]]-(bargiri[[#This Row],[نرخ استهلاک]]*bargiri[[#This Row],[مقدار]])&lt;0,0,bargiri[[#This Row],[مبلغ ناخالص]]-(bargiri[[#This Row],[نرخ استهلاک]]*bargiri[[#This Row],[مقدار]]))</f>
        <v>1426138220</v>
      </c>
    </row>
    <row r="152" spans="1:17" s="22" customFormat="1" ht="13.8" x14ac:dyDescent="0.25">
      <c r="A152" s="22">
        <v>1315</v>
      </c>
      <c r="B152" s="22" t="s">
        <v>946</v>
      </c>
      <c r="C152" s="22" t="s">
        <v>677</v>
      </c>
      <c r="D152" s="22" t="s">
        <v>25</v>
      </c>
      <c r="E152" s="158">
        <v>17305</v>
      </c>
      <c r="F152" s="159">
        <v>116500</v>
      </c>
      <c r="G152" s="159">
        <v>2016032500</v>
      </c>
      <c r="H152" s="159">
        <v>201603250</v>
      </c>
      <c r="I152" s="159">
        <v>2217635750</v>
      </c>
      <c r="J152" s="159">
        <f>bargiri[[#This Row],[مقدار]]*INDEX(invoice[پیش دریافت به ازای هر کیلوگرم],MATCH(bargiri[[#This Row],[شماره سند مبنا]],invoice[شماره پیش فاکتور],0))</f>
        <v>332645362.5</v>
      </c>
      <c r="K152" s="159">
        <f>bargiri[[#This Row],[مبلغ خالص]]-bargiri[[#This Row],[میزان استهلاک پیش دریافتی]]</f>
        <v>1884990387.5</v>
      </c>
      <c r="L152" s="160" t="s">
        <v>593</v>
      </c>
      <c r="M152" s="159" t="s">
        <v>593</v>
      </c>
      <c r="N152" s="159">
        <f>IF(bargiri[[#This Row],[مبلغ واریزی]]&lt;&gt;"",bargiri[[#This Row],[مانده مبلغ]]-bargiri[[#This Row],[مبلغ واریزی]],bargiri[[#This Row],[مانده مبلغ]])</f>
        <v>1884990387.5</v>
      </c>
      <c r="O152" s="159" t="s">
        <v>593</v>
      </c>
      <c r="P152" s="159">
        <f>VLOOKUP(bargiri[[#This Row],[شماره سند مبنا]],invoice[[شماره پیش فاکتور]:[پیش دریافت به ازای هر کیلوگرم]],14,0)</f>
        <v>19222.5</v>
      </c>
      <c r="Q152" s="159">
        <f>IF(bargiri[[#This Row],[مبلغ ناخالص]]-(bargiri[[#This Row],[نرخ استهلاک]]*bargiri[[#This Row],[مقدار]])&lt;0,0,bargiri[[#This Row],[مبلغ ناخالص]]-(bargiri[[#This Row],[نرخ استهلاک]]*bargiri[[#This Row],[مقدار]]))</f>
        <v>1683387137.5</v>
      </c>
    </row>
    <row r="153" spans="1:17" s="22" customFormat="1" ht="13.8" x14ac:dyDescent="0.25">
      <c r="A153" s="22">
        <v>1315</v>
      </c>
      <c r="B153" s="22" t="s">
        <v>946</v>
      </c>
      <c r="C153" s="22" t="s">
        <v>743</v>
      </c>
      <c r="D153" s="22" t="s">
        <v>25</v>
      </c>
      <c r="E153" s="158">
        <v>5565</v>
      </c>
      <c r="F153" s="159">
        <v>116500</v>
      </c>
      <c r="G153" s="159">
        <v>648322500</v>
      </c>
      <c r="H153" s="159">
        <v>64832250</v>
      </c>
      <c r="I153" s="159">
        <v>713154750</v>
      </c>
      <c r="J153" s="159">
        <f>bargiri[[#This Row],[مقدار]]*INDEX(invoice[پیش دریافت به ازای هر کیلوگرم],MATCH(bargiri[[#This Row],[شماره سند مبنا]],invoice[شماره پیش فاکتور],0))</f>
        <v>106973212.5</v>
      </c>
      <c r="K153" s="159">
        <f>bargiri[[#This Row],[مبلغ خالص]]-bargiri[[#This Row],[میزان استهلاک پیش دریافتی]]</f>
        <v>606181537.5</v>
      </c>
      <c r="L153" s="160" t="s">
        <v>278</v>
      </c>
      <c r="M153" s="159">
        <v>543360000</v>
      </c>
      <c r="N153" s="159">
        <f>IF(bargiri[[#This Row],[مبلغ واریزی]]&lt;&gt;"",bargiri[[#This Row],[مانده مبلغ]]-bargiri[[#This Row],[مبلغ واریزی]],bargiri[[#This Row],[مانده مبلغ]])</f>
        <v>62821537.5</v>
      </c>
      <c r="O153" s="159">
        <v>0</v>
      </c>
      <c r="P153" s="159">
        <f>VLOOKUP(bargiri[[#This Row],[شماره سند مبنا]],invoice[[شماره پیش فاکتور]:[پیش دریافت به ازای هر کیلوگرم]],14,0)</f>
        <v>19222.5</v>
      </c>
      <c r="Q153" s="159">
        <f>IF(bargiri[[#This Row],[مبلغ ناخالص]]-(bargiri[[#This Row],[نرخ استهلاک]]*bargiri[[#This Row],[مقدار]])&lt;0,0,bargiri[[#This Row],[مبلغ ناخالص]]-(bargiri[[#This Row],[نرخ استهلاک]]*bargiri[[#This Row],[مقدار]]))</f>
        <v>541349287.5</v>
      </c>
    </row>
    <row r="154" spans="1:17" s="22" customFormat="1" ht="13.8" x14ac:dyDescent="0.25">
      <c r="A154" s="22">
        <v>1313</v>
      </c>
      <c r="B154" s="22" t="s">
        <v>929</v>
      </c>
      <c r="C154" s="22" t="s">
        <v>934</v>
      </c>
      <c r="D154" s="22" t="s">
        <v>73</v>
      </c>
      <c r="E154" s="158">
        <v>19950</v>
      </c>
      <c r="F154" s="159">
        <v>130266</v>
      </c>
      <c r="G154" s="159">
        <v>2598806700</v>
      </c>
      <c r="H154" s="159">
        <v>259880670</v>
      </c>
      <c r="I154" s="159">
        <v>2858687370</v>
      </c>
      <c r="J154" s="159">
        <f>bargiri[[#This Row],[مقدار]]*INDEX(invoice[پیش دریافت به ازای هر کیلوگرم],MATCH(bargiri[[#This Row],[شماره سند مبنا]],invoice[شماره پیش فاکتور],0))</f>
        <v>1254855000</v>
      </c>
      <c r="K154" s="159">
        <f>bargiri[[#This Row],[مبلغ خالص]]-bargiri[[#This Row],[میزان استهلاک پیش دریافتی]]</f>
        <v>1603832370</v>
      </c>
      <c r="L154" s="160" t="s">
        <v>593</v>
      </c>
      <c r="M154" s="159" t="s">
        <v>593</v>
      </c>
      <c r="N154" s="159">
        <f>IF(bargiri[[#This Row],[مبلغ واریزی]]&lt;&gt;"",bargiri[[#This Row],[مانده مبلغ]]-bargiri[[#This Row],[مبلغ واریزی]],bargiri[[#This Row],[مانده مبلغ]])</f>
        <v>1603832370</v>
      </c>
      <c r="O154" s="159" t="s">
        <v>593</v>
      </c>
      <c r="P154" s="159">
        <f>VLOOKUP(bargiri[[#This Row],[شماره سند مبنا]],invoice[[شماره پیش فاکتور]:[پیش دریافت به ازای هر کیلوگرم]],14,0)</f>
        <v>62900</v>
      </c>
      <c r="Q154" s="159">
        <f>IF(bargiri[[#This Row],[مبلغ ناخالص]]-(bargiri[[#This Row],[نرخ استهلاک]]*bargiri[[#This Row],[مقدار]])&lt;0,0,bargiri[[#This Row],[مبلغ ناخالص]]-(bargiri[[#This Row],[نرخ استهلاک]]*bargiri[[#This Row],[مقدار]]))</f>
        <v>1343951700</v>
      </c>
    </row>
    <row r="155" spans="1:17" s="22" customFormat="1" ht="13.8" x14ac:dyDescent="0.25">
      <c r="A155" s="22">
        <v>1312</v>
      </c>
      <c r="B155" s="22" t="s">
        <v>946</v>
      </c>
      <c r="C155" s="22" t="s">
        <v>723</v>
      </c>
      <c r="D155" s="22" t="s">
        <v>116</v>
      </c>
      <c r="E155" s="158">
        <v>22130</v>
      </c>
      <c r="F155" s="159">
        <v>105000</v>
      </c>
      <c r="G155" s="159">
        <v>2323650000</v>
      </c>
      <c r="H155" s="159">
        <v>232365000</v>
      </c>
      <c r="I155" s="159">
        <v>2556015000</v>
      </c>
      <c r="J155" s="159">
        <f>bargiri[[#This Row],[مقدار]]*INDEX(invoice[پیش دریافت به ازای هر کیلوگرم],MATCH(bargiri[[#This Row],[شماره سند مبنا]],invoice[شماره پیش فاکتور],0))</f>
        <v>1161825000</v>
      </c>
      <c r="K155" s="159">
        <f>bargiri[[#This Row],[مبلغ خالص]]-bargiri[[#This Row],[میزان استهلاک پیش دریافتی]]</f>
        <v>1394190000</v>
      </c>
      <c r="L155" s="160" t="s">
        <v>593</v>
      </c>
      <c r="M155" s="159" t="s">
        <v>593</v>
      </c>
      <c r="N155" s="159">
        <f>IF(bargiri[[#This Row],[مبلغ واریزی]]&lt;&gt;"",bargiri[[#This Row],[مانده مبلغ]]-bargiri[[#This Row],[مبلغ واریزی]],bargiri[[#This Row],[مانده مبلغ]])</f>
        <v>1394190000</v>
      </c>
      <c r="O155" s="159" t="s">
        <v>593</v>
      </c>
      <c r="P155" s="159">
        <f>VLOOKUP(bargiri[[#This Row],[شماره سند مبنا]],invoice[[شماره پیش فاکتور]:[پیش دریافت به ازای هر کیلوگرم]],14,0)</f>
        <v>52500</v>
      </c>
      <c r="Q155" s="159">
        <f>IF(bargiri[[#This Row],[مبلغ ناخالص]]-(bargiri[[#This Row],[نرخ استهلاک]]*bargiri[[#This Row],[مقدار]])&lt;0,0,bargiri[[#This Row],[مبلغ ناخالص]]-(bargiri[[#This Row],[نرخ استهلاک]]*bargiri[[#This Row],[مقدار]]))</f>
        <v>1161825000</v>
      </c>
    </row>
    <row r="156" spans="1:17" s="22" customFormat="1" ht="13.8" x14ac:dyDescent="0.25">
      <c r="A156" s="22">
        <v>1311</v>
      </c>
      <c r="B156" s="22" t="s">
        <v>929</v>
      </c>
      <c r="C156" s="22" t="s">
        <v>934</v>
      </c>
      <c r="D156" s="22" t="s">
        <v>73</v>
      </c>
      <c r="E156" s="158">
        <v>20190</v>
      </c>
      <c r="F156" s="159">
        <v>130266</v>
      </c>
      <c r="G156" s="159">
        <v>2630070540</v>
      </c>
      <c r="H156" s="159">
        <v>263007054</v>
      </c>
      <c r="I156" s="159">
        <v>2893077594</v>
      </c>
      <c r="J156" s="159">
        <f>bargiri[[#This Row],[مقدار]]*INDEX(invoice[پیش دریافت به ازای هر کیلوگرم],MATCH(bargiri[[#This Row],[شماره سند مبنا]],invoice[شماره پیش فاکتور],0))</f>
        <v>1269951000</v>
      </c>
      <c r="K156" s="159">
        <f>bargiri[[#This Row],[مبلغ خالص]]-bargiri[[#This Row],[میزان استهلاک پیش دریافتی]]</f>
        <v>1623126594</v>
      </c>
      <c r="L156" s="160" t="s">
        <v>321</v>
      </c>
      <c r="M156" s="159">
        <v>622336000</v>
      </c>
      <c r="N156" s="159">
        <f>IF(bargiri[[#This Row],[مبلغ واریزی]]&lt;&gt;"",bargiri[[#This Row],[مانده مبلغ]]-bargiri[[#This Row],[مبلغ واریزی]],bargiri[[#This Row],[مانده مبلغ]])</f>
        <v>1000790594</v>
      </c>
      <c r="O156" s="159">
        <v>0</v>
      </c>
      <c r="P156" s="159">
        <f>VLOOKUP(bargiri[[#This Row],[شماره سند مبنا]],invoice[[شماره پیش فاکتور]:[پیش دریافت به ازای هر کیلوگرم]],14,0)</f>
        <v>62900</v>
      </c>
      <c r="Q156" s="159">
        <f>IF(bargiri[[#This Row],[مبلغ ناخالص]]-(bargiri[[#This Row],[نرخ استهلاک]]*bargiri[[#This Row],[مقدار]])&lt;0,0,bargiri[[#This Row],[مبلغ ناخالص]]-(bargiri[[#This Row],[نرخ استهلاک]]*bargiri[[#This Row],[مقدار]]))</f>
        <v>1360119540</v>
      </c>
    </row>
    <row r="157" spans="1:17" s="22" customFormat="1" ht="13.8" x14ac:dyDescent="0.25">
      <c r="A157" s="22">
        <v>1310</v>
      </c>
      <c r="B157" s="22" t="s">
        <v>929</v>
      </c>
      <c r="C157" s="22" t="s">
        <v>934</v>
      </c>
      <c r="D157" s="22" t="s">
        <v>73</v>
      </c>
      <c r="E157" s="158">
        <v>19910</v>
      </c>
      <c r="F157" s="159">
        <v>130266</v>
      </c>
      <c r="G157" s="159">
        <v>2593596060</v>
      </c>
      <c r="H157" s="159">
        <v>259359606</v>
      </c>
      <c r="I157" s="159">
        <v>2852955666</v>
      </c>
      <c r="J157" s="159">
        <f>bargiri[[#This Row],[مقدار]]*INDEX(invoice[پیش دریافت به ازای هر کیلوگرم],MATCH(bargiri[[#This Row],[شماره سند مبنا]],invoice[شماره پیش فاکتور],0))</f>
        <v>1252339000</v>
      </c>
      <c r="K157" s="159">
        <f>bargiri[[#This Row],[مبلغ خالص]]-bargiri[[#This Row],[میزان استهلاک پیش دریافتی]]</f>
        <v>1600616666</v>
      </c>
      <c r="L157" s="160" t="s">
        <v>593</v>
      </c>
      <c r="M157" s="159" t="s">
        <v>593</v>
      </c>
      <c r="N157" s="159">
        <f>IF(bargiri[[#This Row],[مبلغ واریزی]]&lt;&gt;"",bargiri[[#This Row],[مانده مبلغ]]-bargiri[[#This Row],[مبلغ واریزی]],bargiri[[#This Row],[مانده مبلغ]])</f>
        <v>1600616666</v>
      </c>
      <c r="O157" s="159" t="s">
        <v>593</v>
      </c>
      <c r="P157" s="159">
        <f>VLOOKUP(bargiri[[#This Row],[شماره سند مبنا]],invoice[[شماره پیش فاکتور]:[پیش دریافت به ازای هر کیلوگرم]],14,0)</f>
        <v>62900</v>
      </c>
      <c r="Q157" s="159">
        <f>IF(bargiri[[#This Row],[مبلغ ناخالص]]-(bargiri[[#This Row],[نرخ استهلاک]]*bargiri[[#This Row],[مقدار]])&lt;0,0,bargiri[[#This Row],[مبلغ ناخالص]]-(bargiri[[#This Row],[نرخ استهلاک]]*bargiri[[#This Row],[مقدار]]))</f>
        <v>1341257060</v>
      </c>
    </row>
    <row r="158" spans="1:17" s="22" customFormat="1" ht="13.8" x14ac:dyDescent="0.25">
      <c r="A158" s="22">
        <v>1309</v>
      </c>
      <c r="B158" s="22" t="s">
        <v>946</v>
      </c>
      <c r="C158" s="22" t="s">
        <v>461</v>
      </c>
      <c r="D158" s="22" t="s">
        <v>35</v>
      </c>
      <c r="E158" s="158">
        <v>19940</v>
      </c>
      <c r="F158" s="159">
        <v>142000</v>
      </c>
      <c r="G158" s="159">
        <v>2831480000</v>
      </c>
      <c r="H158" s="159">
        <v>283148000</v>
      </c>
      <c r="I158" s="159">
        <v>3114628000</v>
      </c>
      <c r="J158" s="159">
        <f>bargiri[[#This Row],[مقدار]]*INDEX(invoice[پیش دریافت به ازای هر کیلوگرم],MATCH(bargiri[[#This Row],[شماره سند مبنا]],invoice[شماره پیش فاکتور],0))</f>
        <v>654395936.86793709</v>
      </c>
      <c r="K158" s="159">
        <f>bargiri[[#This Row],[مبلغ خالص]]-bargiri[[#This Row],[میزان استهلاک پیش دریافتی]]</f>
        <v>2460232063.1320629</v>
      </c>
      <c r="L158" s="160" t="s">
        <v>593</v>
      </c>
      <c r="M158" s="159" t="s">
        <v>593</v>
      </c>
      <c r="N158" s="159">
        <f>IF(bargiri[[#This Row],[مبلغ واریزی]]&lt;&gt;"",bargiri[[#This Row],[مانده مبلغ]]-bargiri[[#This Row],[مبلغ واریزی]],bargiri[[#This Row],[مانده مبلغ]])</f>
        <v>2460232063.1320629</v>
      </c>
      <c r="O158" s="159" t="s">
        <v>593</v>
      </c>
      <c r="P158" s="159">
        <f>VLOOKUP(bargiri[[#This Row],[شماره سند مبنا]],invoice[[شماره پیش فاکتور]:[پیش دریافت به ازای هر کیلوگرم]],14,0)</f>
        <v>32818.251598191426</v>
      </c>
      <c r="Q158" s="159">
        <f>IF(bargiri[[#This Row],[مبلغ ناخالص]]-(bargiri[[#This Row],[نرخ استهلاک]]*bargiri[[#This Row],[مقدار]])&lt;0,0,bargiri[[#This Row],[مبلغ ناخالص]]-(bargiri[[#This Row],[نرخ استهلاک]]*bargiri[[#This Row],[مقدار]]))</f>
        <v>2177084063.1320629</v>
      </c>
    </row>
    <row r="159" spans="1:17" s="22" customFormat="1" ht="13.8" x14ac:dyDescent="0.25">
      <c r="A159" s="22">
        <v>1308</v>
      </c>
      <c r="B159" s="22" t="s">
        <v>946</v>
      </c>
      <c r="C159" s="22" t="s">
        <v>208</v>
      </c>
      <c r="D159" s="22" t="s">
        <v>30</v>
      </c>
      <c r="E159" s="158">
        <v>11570</v>
      </c>
      <c r="F159" s="159">
        <v>89000</v>
      </c>
      <c r="G159" s="159">
        <v>1029730000</v>
      </c>
      <c r="H159" s="159">
        <v>102973000</v>
      </c>
      <c r="I159" s="159">
        <v>1132703000</v>
      </c>
      <c r="J159" s="159">
        <f>bargiri[[#This Row],[مقدار]]*INDEX(invoice[پیش دریافت به ازای هر کیلوگرم],MATCH(bargiri[[#This Row],[شماره سند مبنا]],invoice[شماره پیش فاکتور],0))</f>
        <v>1132703000</v>
      </c>
      <c r="K159" s="159">
        <f>bargiri[[#This Row],[مبلغ خالص]]-bargiri[[#This Row],[میزان استهلاک پیش دریافتی]]</f>
        <v>0</v>
      </c>
      <c r="L159" s="160" t="s">
        <v>593</v>
      </c>
      <c r="M159" s="159" t="s">
        <v>593</v>
      </c>
      <c r="N159" s="159">
        <f>IF(bargiri[[#This Row],[مبلغ واریزی]]&lt;&gt;"",bargiri[[#This Row],[مانده مبلغ]]-bargiri[[#This Row],[مبلغ واریزی]],bargiri[[#This Row],[مانده مبلغ]])</f>
        <v>0</v>
      </c>
      <c r="O159" s="159" t="s">
        <v>593</v>
      </c>
      <c r="P159" s="159">
        <f>VLOOKUP(bargiri[[#This Row],[شماره سند مبنا]],invoice[[شماره پیش فاکتور]:[پیش دریافت به ازای هر کیلوگرم]],14,0)</f>
        <v>97900</v>
      </c>
      <c r="Q159" s="159">
        <f>IF(bargiri[[#This Row],[مبلغ ناخالص]]-(bargiri[[#This Row],[نرخ استهلاک]]*bargiri[[#This Row],[مقدار]])&lt;0,0,bargiri[[#This Row],[مبلغ ناخالص]]-(bargiri[[#This Row],[نرخ استهلاک]]*bargiri[[#This Row],[مقدار]]))</f>
        <v>0</v>
      </c>
    </row>
    <row r="160" spans="1:17" s="22" customFormat="1" ht="13.8" x14ac:dyDescent="0.25">
      <c r="A160" s="22">
        <v>1307</v>
      </c>
      <c r="B160" s="22" t="s">
        <v>929</v>
      </c>
      <c r="C160" s="22" t="s">
        <v>934</v>
      </c>
      <c r="D160" s="22" t="s">
        <v>73</v>
      </c>
      <c r="E160" s="158">
        <v>20130</v>
      </c>
      <c r="F160" s="159">
        <v>130266</v>
      </c>
      <c r="G160" s="159">
        <v>2622254580</v>
      </c>
      <c r="H160" s="159">
        <v>262225458</v>
      </c>
      <c r="I160" s="159">
        <v>2884480038</v>
      </c>
      <c r="J160" s="159">
        <f>bargiri[[#This Row],[مقدار]]*INDEX(invoice[پیش دریافت به ازای هر کیلوگرم],MATCH(bargiri[[#This Row],[شماره سند مبنا]],invoice[شماره پیش فاکتور],0))</f>
        <v>1266177000</v>
      </c>
      <c r="K160" s="159">
        <f>bargiri[[#This Row],[مبلغ خالص]]-bargiri[[#This Row],[میزان استهلاک پیش دریافتی]]</f>
        <v>1618303038</v>
      </c>
      <c r="L160" s="160" t="s">
        <v>301</v>
      </c>
      <c r="M160" s="159">
        <v>690030000</v>
      </c>
      <c r="N160" s="159">
        <f>IF(bargiri[[#This Row],[مبلغ واریزی]]&lt;&gt;"",bargiri[[#This Row],[مانده مبلغ]]-bargiri[[#This Row],[مبلغ واریزی]],bargiri[[#This Row],[مانده مبلغ]])</f>
        <v>928273038</v>
      </c>
      <c r="O160" s="159">
        <v>0</v>
      </c>
      <c r="P160" s="159">
        <f>VLOOKUP(bargiri[[#This Row],[شماره سند مبنا]],invoice[[شماره پیش فاکتور]:[پیش دریافت به ازای هر کیلوگرم]],14,0)</f>
        <v>62900</v>
      </c>
      <c r="Q160" s="159">
        <f>IF(bargiri[[#This Row],[مبلغ ناخالص]]-(bargiri[[#This Row],[نرخ استهلاک]]*bargiri[[#This Row],[مقدار]])&lt;0,0,bargiri[[#This Row],[مبلغ ناخالص]]-(bargiri[[#This Row],[نرخ استهلاک]]*bargiri[[#This Row],[مقدار]]))</f>
        <v>1356077580</v>
      </c>
    </row>
    <row r="161" spans="1:17" s="22" customFormat="1" ht="13.8" x14ac:dyDescent="0.25">
      <c r="A161" s="22">
        <v>1306</v>
      </c>
      <c r="B161" s="22" t="s">
        <v>946</v>
      </c>
      <c r="C161" s="22" t="s">
        <v>1015</v>
      </c>
      <c r="D161" s="22" t="s">
        <v>70</v>
      </c>
      <c r="E161" s="158">
        <v>20060</v>
      </c>
      <c r="F161" s="159">
        <v>120000</v>
      </c>
      <c r="G161" s="159">
        <v>2407200000</v>
      </c>
      <c r="H161" s="159">
        <v>240720000</v>
      </c>
      <c r="I161" s="159">
        <v>2647920000</v>
      </c>
      <c r="J161" s="159">
        <f>bargiri[[#This Row],[مقدار]]*INDEX(invoice[پیش دریافت به ازای هر کیلوگرم],MATCH(bargiri[[#This Row],[شماره سند مبنا]],invoice[شماره پیش فاکتور],0))</f>
        <v>661980000</v>
      </c>
      <c r="K161" s="159">
        <f>bargiri[[#This Row],[مبلغ خالص]]-bargiri[[#This Row],[میزان استهلاک پیش دریافتی]]</f>
        <v>1985940000</v>
      </c>
      <c r="L161" s="160" t="s">
        <v>593</v>
      </c>
      <c r="M161" s="159" t="s">
        <v>593</v>
      </c>
      <c r="N161" s="159">
        <f>IF(bargiri[[#This Row],[مبلغ واریزی]]&lt;&gt;"",bargiri[[#This Row],[مانده مبلغ]]-bargiri[[#This Row],[مبلغ واریزی]],bargiri[[#This Row],[مانده مبلغ]])</f>
        <v>1985940000</v>
      </c>
      <c r="O161" s="159" t="s">
        <v>593</v>
      </c>
      <c r="P161" s="159">
        <f>VLOOKUP(bargiri[[#This Row],[شماره سند مبنا]],invoice[[شماره پیش فاکتور]:[پیش دریافت به ازای هر کیلوگرم]],14,0)</f>
        <v>33000</v>
      </c>
      <c r="Q161" s="159">
        <f>IF(bargiri[[#This Row],[مبلغ ناخالص]]-(bargiri[[#This Row],[نرخ استهلاک]]*bargiri[[#This Row],[مقدار]])&lt;0,0,bargiri[[#This Row],[مبلغ ناخالص]]-(bargiri[[#This Row],[نرخ استهلاک]]*bargiri[[#This Row],[مقدار]]))</f>
        <v>1745220000</v>
      </c>
    </row>
    <row r="162" spans="1:17" s="22" customFormat="1" ht="13.8" x14ac:dyDescent="0.25">
      <c r="A162" s="22">
        <v>1305</v>
      </c>
      <c r="B162" s="22" t="s">
        <v>929</v>
      </c>
      <c r="C162" s="22" t="s">
        <v>910</v>
      </c>
      <c r="D162" s="22" t="s">
        <v>73</v>
      </c>
      <c r="E162" s="158">
        <v>10850</v>
      </c>
      <c r="F162" s="159">
        <v>115372</v>
      </c>
      <c r="G162" s="159">
        <v>1251786200</v>
      </c>
      <c r="H162" s="159">
        <v>125178620</v>
      </c>
      <c r="I162" s="159">
        <v>1376964820</v>
      </c>
      <c r="J162" s="159">
        <f>bargiri[[#This Row],[مقدار]]*INDEX(invoice[پیش دریافت به ازای هر کیلوگرم],MATCH(bargiri[[#This Row],[شماره سند مبنا]],invoice[شماره پیش فاکتور],0))</f>
        <v>682465000</v>
      </c>
      <c r="K162" s="159">
        <f>bargiri[[#This Row],[مبلغ خالص]]-bargiri[[#This Row],[میزان استهلاک پیش دریافتی]]</f>
        <v>694499820</v>
      </c>
      <c r="L162" s="160" t="s">
        <v>593</v>
      </c>
      <c r="M162" s="159" t="s">
        <v>593</v>
      </c>
      <c r="N162" s="159">
        <f>IF(bargiri[[#This Row],[مبلغ واریزی]]&lt;&gt;"",bargiri[[#This Row],[مانده مبلغ]]-bargiri[[#This Row],[مبلغ واریزی]],bargiri[[#This Row],[مانده مبلغ]])</f>
        <v>694499820</v>
      </c>
      <c r="O162" s="159" t="s">
        <v>593</v>
      </c>
      <c r="P162" s="159">
        <f>VLOOKUP(bargiri[[#This Row],[شماره سند مبنا]],invoice[[شماره پیش فاکتور]:[پیش دریافت به ازای هر کیلوگرم]],14,0)</f>
        <v>62900</v>
      </c>
      <c r="Q162" s="159">
        <f>IF(bargiri[[#This Row],[مبلغ ناخالص]]-(bargiri[[#This Row],[نرخ استهلاک]]*bargiri[[#This Row],[مقدار]])&lt;0,0,bargiri[[#This Row],[مبلغ ناخالص]]-(bargiri[[#This Row],[نرخ استهلاک]]*bargiri[[#This Row],[مقدار]]))</f>
        <v>569321200</v>
      </c>
    </row>
    <row r="163" spans="1:17" s="22" customFormat="1" ht="13.8" x14ac:dyDescent="0.25">
      <c r="A163" s="22">
        <v>1305</v>
      </c>
      <c r="B163" s="22" t="s">
        <v>929</v>
      </c>
      <c r="C163" s="22" t="s">
        <v>934</v>
      </c>
      <c r="D163" s="22" t="s">
        <v>73</v>
      </c>
      <c r="E163" s="158">
        <v>9100</v>
      </c>
      <c r="F163" s="159">
        <v>130266</v>
      </c>
      <c r="G163" s="159">
        <v>1185420600</v>
      </c>
      <c r="H163" s="159">
        <v>118542060</v>
      </c>
      <c r="I163" s="159">
        <v>1303962660</v>
      </c>
      <c r="J163" s="159">
        <f>bargiri[[#This Row],[مقدار]]*INDEX(invoice[پیش دریافت به ازای هر کیلوگرم],MATCH(bargiri[[#This Row],[شماره سند مبنا]],invoice[شماره پیش فاکتور],0))</f>
        <v>572390000</v>
      </c>
      <c r="K163" s="159">
        <f>bargiri[[#This Row],[مبلغ خالص]]-bargiri[[#This Row],[میزان استهلاک پیش دریافتی]]</f>
        <v>731572660</v>
      </c>
      <c r="L163" s="160" t="s">
        <v>593</v>
      </c>
      <c r="M163" s="159" t="s">
        <v>593</v>
      </c>
      <c r="N163" s="159">
        <f>IF(bargiri[[#This Row],[مبلغ واریزی]]&lt;&gt;"",bargiri[[#This Row],[مانده مبلغ]]-bargiri[[#This Row],[مبلغ واریزی]],bargiri[[#This Row],[مانده مبلغ]])</f>
        <v>731572660</v>
      </c>
      <c r="O163" s="159" t="s">
        <v>593</v>
      </c>
      <c r="P163" s="159">
        <f>VLOOKUP(bargiri[[#This Row],[شماره سند مبنا]],invoice[[شماره پیش فاکتور]:[پیش دریافت به ازای هر کیلوگرم]],14,0)</f>
        <v>62900</v>
      </c>
      <c r="Q163" s="159">
        <f>IF(bargiri[[#This Row],[مبلغ ناخالص]]-(bargiri[[#This Row],[نرخ استهلاک]]*bargiri[[#This Row],[مقدار]])&lt;0,0,bargiri[[#This Row],[مبلغ ناخالص]]-(bargiri[[#This Row],[نرخ استهلاک]]*bargiri[[#This Row],[مقدار]]))</f>
        <v>613030600</v>
      </c>
    </row>
    <row r="164" spans="1:17" s="22" customFormat="1" ht="13.8" x14ac:dyDescent="0.25">
      <c r="A164" s="22">
        <v>1304</v>
      </c>
      <c r="B164" s="22" t="s">
        <v>946</v>
      </c>
      <c r="C164" s="22" t="s">
        <v>720</v>
      </c>
      <c r="D164" s="22" t="s">
        <v>20</v>
      </c>
      <c r="E164" s="158">
        <v>22060</v>
      </c>
      <c r="F164" s="159">
        <v>105000</v>
      </c>
      <c r="G164" s="159">
        <v>2316300000</v>
      </c>
      <c r="H164" s="159">
        <v>231630000</v>
      </c>
      <c r="I164" s="159">
        <v>2547930000</v>
      </c>
      <c r="J164" s="159">
        <f>bargiri[[#This Row],[مقدار]]*INDEX(invoice[پیش دریافت به ازای هر کیلوگرم],MATCH(bargiri[[#This Row],[شماره سند مبنا]],invoice[شماره پیش فاکتور],0))</f>
        <v>1158150000</v>
      </c>
      <c r="K164" s="159">
        <f>bargiri[[#This Row],[مبلغ خالص]]-bargiri[[#This Row],[میزان استهلاک پیش دریافتی]]</f>
        <v>1389780000</v>
      </c>
      <c r="L164" s="160" t="s">
        <v>301</v>
      </c>
      <c r="M164" s="159">
        <v>463155000</v>
      </c>
      <c r="N164" s="159">
        <f>IF(bargiri[[#This Row],[مبلغ واریزی]]&lt;&gt;"",bargiri[[#This Row],[مانده مبلغ]]-bargiri[[#This Row],[مبلغ واریزی]],bargiri[[#This Row],[مانده مبلغ]])</f>
        <v>926625000</v>
      </c>
      <c r="O164" s="159">
        <v>0</v>
      </c>
      <c r="P164" s="159">
        <f>VLOOKUP(bargiri[[#This Row],[شماره سند مبنا]],invoice[[شماره پیش فاکتور]:[پیش دریافت به ازای هر کیلوگرم]],14,0)</f>
        <v>52500</v>
      </c>
      <c r="Q164" s="159">
        <f>IF(bargiri[[#This Row],[مبلغ ناخالص]]-(bargiri[[#This Row],[نرخ استهلاک]]*bargiri[[#This Row],[مقدار]])&lt;0,0,bargiri[[#This Row],[مبلغ ناخالص]]-(bargiri[[#This Row],[نرخ استهلاک]]*bargiri[[#This Row],[مقدار]]))</f>
        <v>1158150000</v>
      </c>
    </row>
    <row r="165" spans="1:17" s="22" customFormat="1" ht="13.8" x14ac:dyDescent="0.25">
      <c r="A165" s="22">
        <v>1303</v>
      </c>
      <c r="B165" s="22" t="s">
        <v>946</v>
      </c>
      <c r="C165" s="22" t="s">
        <v>616</v>
      </c>
      <c r="D165" s="22" t="s">
        <v>67</v>
      </c>
      <c r="E165" s="158">
        <v>20030</v>
      </c>
      <c r="F165" s="159">
        <v>142000</v>
      </c>
      <c r="G165" s="159">
        <v>2844260000</v>
      </c>
      <c r="H165" s="159">
        <v>284426000</v>
      </c>
      <c r="I165" s="159">
        <v>3128686000</v>
      </c>
      <c r="J165" s="159">
        <f>bargiri[[#This Row],[مقدار]]*INDEX(invoice[پیش دریافت به ازای هر کیلوگرم],MATCH(bargiri[[#This Row],[شماره سند مبنا]],invoice[شماره پیش فاکتور],0))</f>
        <v>469302900</v>
      </c>
      <c r="K165" s="159">
        <f>bargiri[[#This Row],[مبلغ خالص]]-bargiri[[#This Row],[میزان استهلاک پیش دریافتی]]</f>
        <v>2659383100</v>
      </c>
      <c r="L165" s="160" t="s">
        <v>273</v>
      </c>
      <c r="M165" s="159">
        <v>1405305000</v>
      </c>
      <c r="N165" s="159">
        <f>IF(bargiri[[#This Row],[مبلغ واریزی]]&lt;&gt;"",bargiri[[#This Row],[مانده مبلغ]]-bargiri[[#This Row],[مبلغ واریزی]],bargiri[[#This Row],[مانده مبلغ]])</f>
        <v>1254078100</v>
      </c>
      <c r="O165" s="159">
        <v>0</v>
      </c>
      <c r="P165" s="159">
        <f>VLOOKUP(bargiri[[#This Row],[شماره سند مبنا]],invoice[[شماره پیش فاکتور]:[پیش دریافت به ازای هر کیلوگرم]],14,0)</f>
        <v>23430</v>
      </c>
      <c r="Q165" s="159">
        <f>IF(bargiri[[#This Row],[مبلغ ناخالص]]-(bargiri[[#This Row],[نرخ استهلاک]]*bargiri[[#This Row],[مقدار]])&lt;0,0,bargiri[[#This Row],[مبلغ ناخالص]]-(bargiri[[#This Row],[نرخ استهلاک]]*bargiri[[#This Row],[مقدار]]))</f>
        <v>2374957100</v>
      </c>
    </row>
    <row r="166" spans="1:17" s="22" customFormat="1" ht="13.8" x14ac:dyDescent="0.25">
      <c r="A166" s="22">
        <v>1302</v>
      </c>
      <c r="B166" s="22" t="s">
        <v>947</v>
      </c>
      <c r="C166" s="22" t="s">
        <v>888</v>
      </c>
      <c r="D166" s="22" t="s">
        <v>17</v>
      </c>
      <c r="E166" s="158">
        <v>23150</v>
      </c>
      <c r="F166" s="159">
        <v>116500</v>
      </c>
      <c r="G166" s="159">
        <v>2696975000</v>
      </c>
      <c r="H166" s="159">
        <v>269697500</v>
      </c>
      <c r="I166" s="159">
        <v>2966672500</v>
      </c>
      <c r="J166" s="159">
        <f>bargiri[[#This Row],[مقدار]]*INDEX(invoice[پیش دریافت به ازای هر کیلوگرم],MATCH(bargiri[[#This Row],[شماره سند مبنا]],invoice[شماره پیش فاکتور],0))</f>
        <v>445000875</v>
      </c>
      <c r="K166" s="159">
        <f>bargiri[[#This Row],[مبلغ خالص]]-bargiri[[#This Row],[میزان استهلاک پیش دریافتی]]</f>
        <v>2521671625</v>
      </c>
      <c r="L166" s="160" t="s">
        <v>593</v>
      </c>
      <c r="M166" s="159" t="s">
        <v>593</v>
      </c>
      <c r="N166" s="159">
        <f>IF(bargiri[[#This Row],[مبلغ واریزی]]&lt;&gt;"",bargiri[[#This Row],[مانده مبلغ]]-bargiri[[#This Row],[مبلغ واریزی]],bargiri[[#This Row],[مانده مبلغ]])</f>
        <v>2521671625</v>
      </c>
      <c r="O166" s="159" t="s">
        <v>593</v>
      </c>
      <c r="P166" s="159">
        <f>VLOOKUP(bargiri[[#This Row],[شماره سند مبنا]],invoice[[شماره پیش فاکتور]:[پیش دریافت به ازای هر کیلوگرم]],14,0)</f>
        <v>19222.5</v>
      </c>
      <c r="Q166" s="159">
        <f>IF(bargiri[[#This Row],[مبلغ ناخالص]]-(bargiri[[#This Row],[نرخ استهلاک]]*bargiri[[#This Row],[مقدار]])&lt;0,0,bargiri[[#This Row],[مبلغ ناخالص]]-(bargiri[[#This Row],[نرخ استهلاک]]*bargiri[[#This Row],[مقدار]]))</f>
        <v>2251974125</v>
      </c>
    </row>
    <row r="167" spans="1:17" s="22" customFormat="1" ht="13.8" x14ac:dyDescent="0.25">
      <c r="A167" s="22">
        <v>1301</v>
      </c>
      <c r="B167" s="22" t="s">
        <v>948</v>
      </c>
      <c r="C167" s="22" t="s">
        <v>602</v>
      </c>
      <c r="D167" s="22" t="s">
        <v>30</v>
      </c>
      <c r="E167" s="158">
        <v>10730</v>
      </c>
      <c r="F167" s="159">
        <v>142000</v>
      </c>
      <c r="G167" s="159">
        <v>1523660000</v>
      </c>
      <c r="H167" s="159">
        <v>152366000</v>
      </c>
      <c r="I167" s="159">
        <v>1676026000</v>
      </c>
      <c r="J167" s="159">
        <f>bargiri[[#This Row],[مقدار]]*INDEX(invoice[پیش دریافت به ازای هر کیلوگرم],MATCH(bargiri[[#This Row],[شماره سند مبنا]],invoice[شماره پیش فاکتور],0))</f>
        <v>1214134533.7886784</v>
      </c>
      <c r="K167" s="159">
        <f>bargiri[[#This Row],[مبلغ خالص]]-bargiri[[#This Row],[میزان استهلاک پیش دریافتی]]</f>
        <v>461891466.21132159</v>
      </c>
      <c r="L167" s="160" t="s">
        <v>321</v>
      </c>
      <c r="M167" s="159">
        <v>542432000</v>
      </c>
      <c r="N167" s="159">
        <f>IF(bargiri[[#This Row],[مبلغ واریزی]]&lt;&gt;"",bargiri[[#This Row],[مانده مبلغ]]-bargiri[[#This Row],[مبلغ واریزی]],bargiri[[#This Row],[مانده مبلغ]])</f>
        <v>-80540533.788678408</v>
      </c>
      <c r="O167" s="159" t="s">
        <v>324</v>
      </c>
      <c r="P167" s="159">
        <f>VLOOKUP(bargiri[[#This Row],[شماره سند مبنا]],invoice[[شماره پیش فاکتور]:[پیش دریافت به ازای هر کیلوگرم]],14,0)</f>
        <v>113153.2650315637</v>
      </c>
      <c r="Q167" s="159">
        <f>IF(bargiri[[#This Row],[مبلغ ناخالص]]-(bargiri[[#This Row],[نرخ استهلاک]]*bargiri[[#This Row],[مقدار]])&lt;0,0,bargiri[[#This Row],[مبلغ ناخالص]]-(bargiri[[#This Row],[نرخ استهلاک]]*bargiri[[#This Row],[مقدار]]))</f>
        <v>309525466.21132159</v>
      </c>
    </row>
    <row r="168" spans="1:17" s="22" customFormat="1" ht="13.8" x14ac:dyDescent="0.25">
      <c r="A168" s="22">
        <v>1300</v>
      </c>
      <c r="B168" s="22" t="s">
        <v>954</v>
      </c>
      <c r="C168" s="22" t="s">
        <v>605</v>
      </c>
      <c r="D168" s="22" t="s">
        <v>70</v>
      </c>
      <c r="E168" s="158">
        <v>7845</v>
      </c>
      <c r="F168" s="159">
        <v>142000</v>
      </c>
      <c r="G168" s="159">
        <v>1113990000</v>
      </c>
      <c r="H168" s="159">
        <v>111399000</v>
      </c>
      <c r="I168" s="159">
        <v>1225389000</v>
      </c>
      <c r="J168" s="159">
        <f>bargiri[[#This Row],[مقدار]]*INDEX(invoice[پیش دریافت به ازای هر کیلوگرم],MATCH(bargiri[[#This Row],[شماره سند مبنا]],invoice[شماره پیش فاکتور],0))</f>
        <v>183808350</v>
      </c>
      <c r="K168" s="159">
        <f>bargiri[[#This Row],[مبلغ خالص]]-bargiri[[#This Row],[میزان استهلاک پیش دریافتی]]</f>
        <v>1041580650</v>
      </c>
      <c r="L168" s="160" t="s">
        <v>301</v>
      </c>
      <c r="M168" s="159">
        <v>702185000</v>
      </c>
      <c r="N168" s="159">
        <f>IF(bargiri[[#This Row],[مبلغ واریزی]]&lt;&gt;"",bargiri[[#This Row],[مانده مبلغ]]-bargiri[[#This Row],[مبلغ واریزی]],bargiri[[#This Row],[مانده مبلغ]])</f>
        <v>339395650</v>
      </c>
      <c r="O168" s="159">
        <v>0</v>
      </c>
      <c r="P168" s="159">
        <f>VLOOKUP(bargiri[[#This Row],[شماره سند مبنا]],invoice[[شماره پیش فاکتور]:[پیش دریافت به ازای هر کیلوگرم]],14,0)</f>
        <v>23430</v>
      </c>
      <c r="Q168" s="159">
        <f>IF(bargiri[[#This Row],[مبلغ ناخالص]]-(bargiri[[#This Row],[نرخ استهلاک]]*bargiri[[#This Row],[مقدار]])&lt;0,0,bargiri[[#This Row],[مبلغ ناخالص]]-(bargiri[[#This Row],[نرخ استهلاک]]*bargiri[[#This Row],[مقدار]]))</f>
        <v>930181650</v>
      </c>
    </row>
    <row r="169" spans="1:17" s="22" customFormat="1" ht="13.8" x14ac:dyDescent="0.25">
      <c r="A169" s="22">
        <v>1300</v>
      </c>
      <c r="B169" s="22" t="s">
        <v>954</v>
      </c>
      <c r="C169" s="22" t="s">
        <v>1015</v>
      </c>
      <c r="D169" s="22" t="s">
        <v>70</v>
      </c>
      <c r="E169" s="158">
        <v>12615</v>
      </c>
      <c r="F169" s="159">
        <v>120000</v>
      </c>
      <c r="G169" s="159">
        <v>1513800000</v>
      </c>
      <c r="H169" s="159">
        <v>151380000</v>
      </c>
      <c r="I169" s="159">
        <v>1665180000</v>
      </c>
      <c r="J169" s="159">
        <f>bargiri[[#This Row],[مقدار]]*INDEX(invoice[پیش دریافت به ازای هر کیلوگرم],MATCH(bargiri[[#This Row],[شماره سند مبنا]],invoice[شماره پیش فاکتور],0))</f>
        <v>416295000</v>
      </c>
      <c r="K169" s="159">
        <f>bargiri[[#This Row],[مبلغ خالص]]-bargiri[[#This Row],[میزان استهلاک پیش دریافتی]]</f>
        <v>1248885000</v>
      </c>
      <c r="L169" s="160" t="s">
        <v>593</v>
      </c>
      <c r="M169" s="159" t="s">
        <v>593</v>
      </c>
      <c r="N169" s="159">
        <f>IF(bargiri[[#This Row],[مبلغ واریزی]]&lt;&gt;"",bargiri[[#This Row],[مانده مبلغ]]-bargiri[[#This Row],[مبلغ واریزی]],bargiri[[#This Row],[مانده مبلغ]])</f>
        <v>1248885000</v>
      </c>
      <c r="O169" s="159" t="s">
        <v>593</v>
      </c>
      <c r="P169" s="159">
        <f>VLOOKUP(bargiri[[#This Row],[شماره سند مبنا]],invoice[[شماره پیش فاکتور]:[پیش دریافت به ازای هر کیلوگرم]],14,0)</f>
        <v>33000</v>
      </c>
      <c r="Q169" s="159">
        <f>IF(bargiri[[#This Row],[مبلغ ناخالص]]-(bargiri[[#This Row],[نرخ استهلاک]]*bargiri[[#This Row],[مقدار]])&lt;0,0,bargiri[[#This Row],[مبلغ ناخالص]]-(bargiri[[#This Row],[نرخ استهلاک]]*bargiri[[#This Row],[مقدار]]))</f>
        <v>1097505000</v>
      </c>
    </row>
    <row r="170" spans="1:17" s="22" customFormat="1" ht="13.8" x14ac:dyDescent="0.25">
      <c r="A170" s="22">
        <v>1299</v>
      </c>
      <c r="B170" s="22" t="s">
        <v>954</v>
      </c>
      <c r="C170" s="22" t="s">
        <v>605</v>
      </c>
      <c r="D170" s="22" t="s">
        <v>70</v>
      </c>
      <c r="E170" s="158">
        <v>20240</v>
      </c>
      <c r="F170" s="159">
        <v>142000</v>
      </c>
      <c r="G170" s="159">
        <v>2874080000</v>
      </c>
      <c r="H170" s="159">
        <v>287408000</v>
      </c>
      <c r="I170" s="159">
        <v>3161488000</v>
      </c>
      <c r="J170" s="159">
        <f>bargiri[[#This Row],[مقدار]]*INDEX(invoice[پیش دریافت به ازای هر کیلوگرم],MATCH(bargiri[[#This Row],[شماره سند مبنا]],invoice[شماره پیش فاکتور],0))</f>
        <v>474223200</v>
      </c>
      <c r="K170" s="159">
        <f>bargiri[[#This Row],[مبلغ خالص]]-bargiri[[#This Row],[میزان استهلاک پیش دریافتی]]</f>
        <v>2687264800</v>
      </c>
      <c r="L170" s="160" t="s">
        <v>273</v>
      </c>
      <c r="M170" s="159">
        <v>1116517500</v>
      </c>
      <c r="N170" s="159">
        <f>IF(bargiri[[#This Row],[مبلغ واریزی]]&lt;&gt;"",bargiri[[#This Row],[مانده مبلغ]]-bargiri[[#This Row],[مبلغ واریزی]],bargiri[[#This Row],[مانده مبلغ]])</f>
        <v>1570747300</v>
      </c>
      <c r="O170" s="159">
        <v>0</v>
      </c>
      <c r="P170" s="159">
        <f>VLOOKUP(bargiri[[#This Row],[شماره سند مبنا]],invoice[[شماره پیش فاکتور]:[پیش دریافت به ازای هر کیلوگرم]],14,0)</f>
        <v>23430</v>
      </c>
      <c r="Q170" s="159">
        <f>IF(bargiri[[#This Row],[مبلغ ناخالص]]-(bargiri[[#This Row],[نرخ استهلاک]]*bargiri[[#This Row],[مقدار]])&lt;0,0,bargiri[[#This Row],[مبلغ ناخالص]]-(bargiri[[#This Row],[نرخ استهلاک]]*bargiri[[#This Row],[مقدار]]))</f>
        <v>2399856800</v>
      </c>
    </row>
    <row r="171" spans="1:17" s="22" customFormat="1" ht="13.8" x14ac:dyDescent="0.25">
      <c r="A171" s="22">
        <v>1298</v>
      </c>
      <c r="B171" s="22" t="s">
        <v>949</v>
      </c>
      <c r="C171" s="22" t="s">
        <v>930</v>
      </c>
      <c r="D171" s="22" t="s">
        <v>70</v>
      </c>
      <c r="E171" s="158">
        <v>19900</v>
      </c>
      <c r="F171" s="159">
        <v>167500</v>
      </c>
      <c r="G171" s="159">
        <v>3333250000</v>
      </c>
      <c r="H171" s="159">
        <v>333325000</v>
      </c>
      <c r="I171" s="159">
        <v>3666575000</v>
      </c>
      <c r="J171" s="159">
        <f>bargiri[[#This Row],[مقدار]]*INDEX(invoice[پیش دریافت به ازای هر کیلوگرم],MATCH(bargiri[[#This Row],[شماره سند مبنا]],invoice[شماره پیش فاکتور],0))</f>
        <v>3666575000</v>
      </c>
      <c r="K171" s="159">
        <f>bargiri[[#This Row],[مبلغ خالص]]-bargiri[[#This Row],[میزان استهلاک پیش دریافتی]]</f>
        <v>0</v>
      </c>
      <c r="L171" s="160" t="s">
        <v>593</v>
      </c>
      <c r="M171" s="159" t="s">
        <v>593</v>
      </c>
      <c r="N171" s="159">
        <f>IF(bargiri[[#This Row],[مبلغ واریزی]]&lt;&gt;"",bargiri[[#This Row],[مانده مبلغ]]-bargiri[[#This Row],[مبلغ واریزی]],bargiri[[#This Row],[مانده مبلغ]])</f>
        <v>0</v>
      </c>
      <c r="O171" s="159" t="s">
        <v>593</v>
      </c>
      <c r="P171" s="159">
        <f>VLOOKUP(bargiri[[#This Row],[شماره سند مبنا]],invoice[[شماره پیش فاکتور]:[پیش دریافت به ازای هر کیلوگرم]],14,0)</f>
        <v>184250</v>
      </c>
      <c r="Q171" s="159">
        <f>IF(bargiri[[#This Row],[مبلغ ناخالص]]-(bargiri[[#This Row],[نرخ استهلاک]]*bargiri[[#This Row],[مقدار]])&lt;0,0,bargiri[[#This Row],[مبلغ ناخالص]]-(bargiri[[#This Row],[نرخ استهلاک]]*bargiri[[#This Row],[مقدار]]))</f>
        <v>0</v>
      </c>
    </row>
    <row r="172" spans="1:17" s="22" customFormat="1" ht="13.8" x14ac:dyDescent="0.25">
      <c r="A172" s="22">
        <v>1297</v>
      </c>
      <c r="B172" s="22" t="s">
        <v>950</v>
      </c>
      <c r="C172" s="22" t="s">
        <v>208</v>
      </c>
      <c r="D172" s="22" t="s">
        <v>30</v>
      </c>
      <c r="E172" s="158">
        <v>10980</v>
      </c>
      <c r="F172" s="159">
        <v>89000</v>
      </c>
      <c r="G172" s="159">
        <v>977220000</v>
      </c>
      <c r="H172" s="159">
        <v>97722000</v>
      </c>
      <c r="I172" s="159">
        <v>1074942000</v>
      </c>
      <c r="J172" s="159">
        <f>bargiri[[#This Row],[مقدار]]*INDEX(invoice[پیش دریافت به ازای هر کیلوگرم],MATCH(bargiri[[#This Row],[شماره سند مبنا]],invoice[شماره پیش فاکتور],0))</f>
        <v>1074942000</v>
      </c>
      <c r="K172" s="159">
        <f>bargiri[[#This Row],[مبلغ خالص]]-bargiri[[#This Row],[میزان استهلاک پیش دریافتی]]</f>
        <v>0</v>
      </c>
      <c r="L172" s="160" t="s">
        <v>593</v>
      </c>
      <c r="M172" s="159" t="s">
        <v>593</v>
      </c>
      <c r="N172" s="159">
        <f>IF(bargiri[[#This Row],[مبلغ واریزی]]&lt;&gt;"",bargiri[[#This Row],[مانده مبلغ]]-bargiri[[#This Row],[مبلغ واریزی]],bargiri[[#This Row],[مانده مبلغ]])</f>
        <v>0</v>
      </c>
      <c r="O172" s="159" t="s">
        <v>593</v>
      </c>
      <c r="P172" s="159">
        <f>VLOOKUP(bargiri[[#This Row],[شماره سند مبنا]],invoice[[شماره پیش فاکتور]:[پیش دریافت به ازای هر کیلوگرم]],14,0)</f>
        <v>97900</v>
      </c>
      <c r="Q172" s="159">
        <f>IF(bargiri[[#This Row],[مبلغ ناخالص]]-(bargiri[[#This Row],[نرخ استهلاک]]*bargiri[[#This Row],[مقدار]])&lt;0,0,bargiri[[#This Row],[مبلغ ناخالص]]-(bargiri[[#This Row],[نرخ استهلاک]]*bargiri[[#This Row],[مقدار]]))</f>
        <v>0</v>
      </c>
    </row>
    <row r="173" spans="1:17" s="22" customFormat="1" ht="13.8" x14ac:dyDescent="0.25">
      <c r="A173" s="22">
        <v>1296</v>
      </c>
      <c r="B173" s="22" t="s">
        <v>950</v>
      </c>
      <c r="C173" s="22" t="s">
        <v>928</v>
      </c>
      <c r="D173" s="22" t="s">
        <v>40</v>
      </c>
      <c r="E173" s="158">
        <v>19900</v>
      </c>
      <c r="F173" s="159">
        <v>167500</v>
      </c>
      <c r="G173" s="159">
        <v>3333250000</v>
      </c>
      <c r="H173" s="159">
        <v>333325000</v>
      </c>
      <c r="I173" s="159">
        <v>3666575000</v>
      </c>
      <c r="J173" s="159">
        <f>bargiri[[#This Row],[مقدار]]*INDEX(invoice[پیش دریافت به ازای هر کیلوگرم],MATCH(bargiri[[#This Row],[شماره سند مبنا]],invoice[شماره پیش فاکتور],0))</f>
        <v>3666575000</v>
      </c>
      <c r="K173" s="159">
        <f>bargiri[[#This Row],[مبلغ خالص]]-bargiri[[#This Row],[میزان استهلاک پیش دریافتی]]</f>
        <v>0</v>
      </c>
      <c r="L173" s="160" t="s">
        <v>593</v>
      </c>
      <c r="M173" s="159" t="s">
        <v>593</v>
      </c>
      <c r="N173" s="159">
        <f>IF(bargiri[[#This Row],[مبلغ واریزی]]&lt;&gt;"",bargiri[[#This Row],[مانده مبلغ]]-bargiri[[#This Row],[مبلغ واریزی]],bargiri[[#This Row],[مانده مبلغ]])</f>
        <v>0</v>
      </c>
      <c r="O173" s="159" t="s">
        <v>593</v>
      </c>
      <c r="P173" s="159">
        <f>VLOOKUP(bargiri[[#This Row],[شماره سند مبنا]],invoice[[شماره پیش فاکتور]:[پیش دریافت به ازای هر کیلوگرم]],14,0)</f>
        <v>184250</v>
      </c>
      <c r="Q173" s="159">
        <f>IF(bargiri[[#This Row],[مبلغ ناخالص]]-(bargiri[[#This Row],[نرخ استهلاک]]*bargiri[[#This Row],[مقدار]])&lt;0,0,bargiri[[#This Row],[مبلغ ناخالص]]-(bargiri[[#This Row],[نرخ استهلاک]]*bargiri[[#This Row],[مقدار]]))</f>
        <v>0</v>
      </c>
    </row>
    <row r="174" spans="1:17" s="22" customFormat="1" ht="13.8" x14ac:dyDescent="0.25">
      <c r="A174" s="22">
        <v>1295</v>
      </c>
      <c r="B174" s="22" t="s">
        <v>950</v>
      </c>
      <c r="C174" s="22" t="s">
        <v>895</v>
      </c>
      <c r="D174" s="22" t="s">
        <v>43</v>
      </c>
      <c r="E174" s="158">
        <v>20130</v>
      </c>
      <c r="F174" s="159">
        <v>125000</v>
      </c>
      <c r="G174" s="159">
        <v>2516250000</v>
      </c>
      <c r="H174" s="159">
        <v>251625000</v>
      </c>
      <c r="I174" s="159">
        <v>2767875000</v>
      </c>
      <c r="J174" s="159">
        <f>bargiri[[#This Row],[مقدار]]*INDEX(invoice[پیش دریافت به ازای هر کیلوگرم],MATCH(bargiri[[#This Row],[شماره سند مبنا]],invoice[شماره پیش فاکتور],0))</f>
        <v>830362500</v>
      </c>
      <c r="K174" s="159">
        <f>bargiri[[#This Row],[مبلغ خالص]]-bargiri[[#This Row],[میزان استهلاک پیش دریافتی]]</f>
        <v>1937512500</v>
      </c>
      <c r="L174" s="160" t="s">
        <v>593</v>
      </c>
      <c r="M174" s="159" t="s">
        <v>593</v>
      </c>
      <c r="N174" s="159">
        <f>IF(bargiri[[#This Row],[مبلغ واریزی]]&lt;&gt;"",bargiri[[#This Row],[مانده مبلغ]]-bargiri[[#This Row],[مبلغ واریزی]],bargiri[[#This Row],[مانده مبلغ]])</f>
        <v>1937512500</v>
      </c>
      <c r="O174" s="159" t="s">
        <v>593</v>
      </c>
      <c r="P174" s="159">
        <f>VLOOKUP(bargiri[[#This Row],[شماره سند مبنا]],invoice[[شماره پیش فاکتور]:[پیش دریافت به ازای هر کیلوگرم]],14,0)</f>
        <v>41250</v>
      </c>
      <c r="Q174" s="159">
        <f>IF(bargiri[[#This Row],[مبلغ ناخالص]]-(bargiri[[#This Row],[نرخ استهلاک]]*bargiri[[#This Row],[مقدار]])&lt;0,0,bargiri[[#This Row],[مبلغ ناخالص]]-(bargiri[[#This Row],[نرخ استهلاک]]*bargiri[[#This Row],[مقدار]]))</f>
        <v>1685887500</v>
      </c>
    </row>
    <row r="175" spans="1:17" s="22" customFormat="1" ht="13.8" x14ac:dyDescent="0.25">
      <c r="A175" s="22">
        <v>1294</v>
      </c>
      <c r="B175" s="22" t="s">
        <v>951</v>
      </c>
      <c r="C175" s="22" t="s">
        <v>895</v>
      </c>
      <c r="D175" s="22" t="s">
        <v>43</v>
      </c>
      <c r="E175" s="158">
        <v>20000</v>
      </c>
      <c r="F175" s="159">
        <v>125000</v>
      </c>
      <c r="G175" s="159">
        <v>2500000000</v>
      </c>
      <c r="H175" s="159">
        <v>250000000</v>
      </c>
      <c r="I175" s="159">
        <v>2750000000</v>
      </c>
      <c r="J175" s="159">
        <f>bargiri[[#This Row],[مقدار]]*INDEX(invoice[پیش دریافت به ازای هر کیلوگرم],MATCH(bargiri[[#This Row],[شماره سند مبنا]],invoice[شماره پیش فاکتور],0))</f>
        <v>825000000</v>
      </c>
      <c r="K175" s="159">
        <f>bargiri[[#This Row],[مبلغ خالص]]-bargiri[[#This Row],[میزان استهلاک پیش دریافتی]]</f>
        <v>1925000000</v>
      </c>
      <c r="L175" s="160" t="s">
        <v>272</v>
      </c>
      <c r="M175" s="159">
        <v>592322500</v>
      </c>
      <c r="N175" s="159">
        <f>IF(bargiri[[#This Row],[مبلغ واریزی]]&lt;&gt;"",bargiri[[#This Row],[مانده مبلغ]]-bargiri[[#This Row],[مبلغ واریزی]],bargiri[[#This Row],[مانده مبلغ]])</f>
        <v>1332677500</v>
      </c>
      <c r="O175" s="159">
        <v>0</v>
      </c>
      <c r="P175" s="159">
        <f>VLOOKUP(bargiri[[#This Row],[شماره سند مبنا]],invoice[[شماره پیش فاکتور]:[پیش دریافت به ازای هر کیلوگرم]],14,0)</f>
        <v>41250</v>
      </c>
      <c r="Q175" s="159">
        <f>IF(bargiri[[#This Row],[مبلغ ناخالص]]-(bargiri[[#This Row],[نرخ استهلاک]]*bargiri[[#This Row],[مقدار]])&lt;0,0,bargiri[[#This Row],[مبلغ ناخالص]]-(bargiri[[#This Row],[نرخ استهلاک]]*bargiri[[#This Row],[مقدار]]))</f>
        <v>1675000000</v>
      </c>
    </row>
    <row r="176" spans="1:17" s="22" customFormat="1" ht="13.8" x14ac:dyDescent="0.25">
      <c r="A176" s="22">
        <v>1293</v>
      </c>
      <c r="B176" s="22" t="s">
        <v>951</v>
      </c>
      <c r="C176" s="22" t="s">
        <v>745</v>
      </c>
      <c r="D176" s="22" t="s">
        <v>221</v>
      </c>
      <c r="E176" s="158">
        <v>14320</v>
      </c>
      <c r="F176" s="159">
        <v>135000</v>
      </c>
      <c r="G176" s="159">
        <v>1933200000</v>
      </c>
      <c r="H176" s="159">
        <v>193320000</v>
      </c>
      <c r="I176" s="159">
        <v>2126520000</v>
      </c>
      <c r="J176" s="159">
        <f>bargiri[[#This Row],[مقدار]]*INDEX(invoice[پیش دریافت به ازای هر کیلوگرم],MATCH(bargiri[[#This Row],[شماره سند مبنا]],invoice[شماره پیش فاکتور],0))</f>
        <v>318978000</v>
      </c>
      <c r="K176" s="159">
        <f>bargiri[[#This Row],[مبلغ خالص]]-bargiri[[#This Row],[میزان استهلاک پیش دریافتی]]</f>
        <v>1807542000</v>
      </c>
      <c r="L176" s="160" t="s">
        <v>593</v>
      </c>
      <c r="M176" s="159" t="s">
        <v>593</v>
      </c>
      <c r="N176" s="159">
        <f>IF(bargiri[[#This Row],[مبلغ واریزی]]&lt;&gt;"",bargiri[[#This Row],[مانده مبلغ]]-bargiri[[#This Row],[مبلغ واریزی]],bargiri[[#This Row],[مانده مبلغ]])</f>
        <v>1807542000</v>
      </c>
      <c r="O176" s="159" t="s">
        <v>593</v>
      </c>
      <c r="P176" s="159">
        <f>VLOOKUP(bargiri[[#This Row],[شماره سند مبنا]],invoice[[شماره پیش فاکتور]:[پیش دریافت به ازای هر کیلوگرم]],14,0)</f>
        <v>22275</v>
      </c>
      <c r="Q176" s="159">
        <f>IF(bargiri[[#This Row],[مبلغ ناخالص]]-(bargiri[[#This Row],[نرخ استهلاک]]*bargiri[[#This Row],[مقدار]])&lt;0,0,bargiri[[#This Row],[مبلغ ناخالص]]-(bargiri[[#This Row],[نرخ استهلاک]]*bargiri[[#This Row],[مقدار]]))</f>
        <v>1614222000</v>
      </c>
    </row>
    <row r="177" spans="1:17" s="22" customFormat="1" ht="13.8" x14ac:dyDescent="0.25">
      <c r="A177" s="22">
        <v>1292</v>
      </c>
      <c r="B177" s="22" t="s">
        <v>951</v>
      </c>
      <c r="C177" s="22" t="s">
        <v>644</v>
      </c>
      <c r="D177" s="22" t="s">
        <v>67</v>
      </c>
      <c r="E177" s="158">
        <v>12060</v>
      </c>
      <c r="F177" s="159">
        <v>95000</v>
      </c>
      <c r="G177" s="159">
        <v>1145700000</v>
      </c>
      <c r="H177" s="159">
        <v>114570000</v>
      </c>
      <c r="I177" s="159">
        <v>1260270000</v>
      </c>
      <c r="J177" s="159">
        <f>bargiri[[#This Row],[مقدار]]*INDEX(invoice[پیش دریافت به ازای هر کیلوگرم],MATCH(bargiri[[#This Row],[شماره سند مبنا]],invoice[شماره پیش فاکتور],0))</f>
        <v>366693524.45319921</v>
      </c>
      <c r="K177" s="159">
        <f>bargiri[[#This Row],[مبلغ خالص]]-bargiri[[#This Row],[میزان استهلاک پیش دریافتی]]</f>
        <v>893576475.54680085</v>
      </c>
      <c r="L177" s="160" t="s">
        <v>378</v>
      </c>
      <c r="M177" s="159">
        <v>579520000</v>
      </c>
      <c r="N177" s="159">
        <f>IF(bargiri[[#This Row],[مبلغ واریزی]]&lt;&gt;"",bargiri[[#This Row],[مانده مبلغ]]-bargiri[[#This Row],[مبلغ واریزی]],bargiri[[#This Row],[مانده مبلغ]])</f>
        <v>314056475.54680085</v>
      </c>
      <c r="O177" s="159">
        <v>0</v>
      </c>
      <c r="P177" s="159">
        <f>VLOOKUP(bargiri[[#This Row],[شماره سند مبنا]],invoice[[شماره پیش فاکتور]:[پیش دریافت به ازای هر کیلوگرم]],14,0)</f>
        <v>30405.764880033101</v>
      </c>
      <c r="Q177" s="159">
        <f>IF(bargiri[[#This Row],[مبلغ ناخالص]]-(bargiri[[#This Row],[نرخ استهلاک]]*bargiri[[#This Row],[مقدار]])&lt;0,0,bargiri[[#This Row],[مبلغ ناخالص]]-(bargiri[[#This Row],[نرخ استهلاک]]*bargiri[[#This Row],[مقدار]]))</f>
        <v>779006475.54680085</v>
      </c>
    </row>
    <row r="178" spans="1:17" s="22" customFormat="1" ht="13.8" x14ac:dyDescent="0.25">
      <c r="A178" s="22">
        <v>1291</v>
      </c>
      <c r="B178" s="22" t="s">
        <v>951</v>
      </c>
      <c r="C178" s="22" t="s">
        <v>723</v>
      </c>
      <c r="D178" s="22" t="s">
        <v>116</v>
      </c>
      <c r="E178" s="158">
        <v>19990</v>
      </c>
      <c r="F178" s="159">
        <v>105000</v>
      </c>
      <c r="G178" s="159">
        <v>2098950000</v>
      </c>
      <c r="H178" s="159">
        <v>209895000</v>
      </c>
      <c r="I178" s="159">
        <v>2308845000</v>
      </c>
      <c r="J178" s="159">
        <f>bargiri[[#This Row],[مقدار]]*INDEX(invoice[پیش دریافت به ازای هر کیلوگرم],MATCH(bargiri[[#This Row],[شماره سند مبنا]],invoice[شماره پیش فاکتور],0))</f>
        <v>1049475000</v>
      </c>
      <c r="K178" s="159">
        <f>bargiri[[#This Row],[مبلغ خالص]]-bargiri[[#This Row],[میزان استهلاک پیش دریافتی]]</f>
        <v>1259370000</v>
      </c>
      <c r="L178" s="160" t="s">
        <v>272</v>
      </c>
      <c r="M178" s="159">
        <v>404057500</v>
      </c>
      <c r="N178" s="159">
        <f>IF(bargiri[[#This Row],[مبلغ واریزی]]&lt;&gt;"",bargiri[[#This Row],[مانده مبلغ]]-bargiri[[#This Row],[مبلغ واریزی]],bargiri[[#This Row],[مانده مبلغ]])</f>
        <v>855312500</v>
      </c>
      <c r="O178" s="159">
        <v>0</v>
      </c>
      <c r="P178" s="159">
        <f>VLOOKUP(bargiri[[#This Row],[شماره سند مبنا]],invoice[[شماره پیش فاکتور]:[پیش دریافت به ازای هر کیلوگرم]],14,0)</f>
        <v>52500</v>
      </c>
      <c r="Q178" s="159">
        <f>IF(bargiri[[#This Row],[مبلغ ناخالص]]-(bargiri[[#This Row],[نرخ استهلاک]]*bargiri[[#This Row],[مقدار]])&lt;0,0,bargiri[[#This Row],[مبلغ ناخالص]]-(bargiri[[#This Row],[نرخ استهلاک]]*bargiri[[#This Row],[مقدار]]))</f>
        <v>1049475000</v>
      </c>
    </row>
    <row r="179" spans="1:17" s="22" customFormat="1" ht="13.8" x14ac:dyDescent="0.25">
      <c r="A179" s="22">
        <v>1290</v>
      </c>
      <c r="B179" s="22" t="s">
        <v>952</v>
      </c>
      <c r="C179" s="22" t="s">
        <v>458</v>
      </c>
      <c r="D179" s="22" t="s">
        <v>156</v>
      </c>
      <c r="E179" s="158">
        <v>17130</v>
      </c>
      <c r="F179" s="159">
        <v>142000</v>
      </c>
      <c r="G179" s="159">
        <v>2432460000</v>
      </c>
      <c r="H179" s="159">
        <v>243246000</v>
      </c>
      <c r="I179" s="159">
        <v>2675706000</v>
      </c>
      <c r="J179" s="159">
        <f>bargiri[[#This Row],[مقدار]]*INDEX(invoice[پیش دریافت به ازای هر کیلوگرم],MATCH(bargiri[[#This Row],[شماره سند مبنا]],invoice[شماره پیش فاکتور],0))</f>
        <v>483862524.86487567</v>
      </c>
      <c r="K179" s="159">
        <f>bargiri[[#This Row],[مبلغ خالص]]-bargiri[[#This Row],[میزان استهلاک پیش دریافتی]]</f>
        <v>2191843475.1351242</v>
      </c>
      <c r="L179" s="160" t="s">
        <v>273</v>
      </c>
      <c r="M179" s="159">
        <v>1057017500</v>
      </c>
      <c r="N179" s="159">
        <f>IF(bargiri[[#This Row],[مبلغ واریزی]]&lt;&gt;"",bargiri[[#This Row],[مانده مبلغ]]-bargiri[[#This Row],[مبلغ واریزی]],bargiri[[#This Row],[مانده مبلغ]])</f>
        <v>1134825975.1351242</v>
      </c>
      <c r="O179" s="159">
        <v>0</v>
      </c>
      <c r="P179" s="159">
        <f>VLOOKUP(bargiri[[#This Row],[شماره سند مبنا]],invoice[[شماره پیش فاکتور]:[پیش دریافت به ازای هر کیلوگرم]],14,0)</f>
        <v>28246.498824569509</v>
      </c>
      <c r="Q179" s="159">
        <f>IF(bargiri[[#This Row],[مبلغ ناخالص]]-(bargiri[[#This Row],[نرخ استهلاک]]*bargiri[[#This Row],[مقدار]])&lt;0,0,bargiri[[#This Row],[مبلغ ناخالص]]-(bargiri[[#This Row],[نرخ استهلاک]]*bargiri[[#This Row],[مقدار]]))</f>
        <v>1948597475.1351242</v>
      </c>
    </row>
    <row r="180" spans="1:17" s="22" customFormat="1" ht="13.8" x14ac:dyDescent="0.25">
      <c r="A180" s="22">
        <v>1289</v>
      </c>
      <c r="B180" s="22" t="s">
        <v>952</v>
      </c>
      <c r="C180" s="22" t="s">
        <v>902</v>
      </c>
      <c r="D180" s="22" t="s">
        <v>67</v>
      </c>
      <c r="E180" s="158">
        <v>17990</v>
      </c>
      <c r="F180" s="159">
        <v>167500</v>
      </c>
      <c r="G180" s="159">
        <v>3013325000</v>
      </c>
      <c r="H180" s="159">
        <v>301332500</v>
      </c>
      <c r="I180" s="159">
        <v>3314657500</v>
      </c>
      <c r="J180" s="159">
        <f>bargiri[[#This Row],[مقدار]]*INDEX(invoice[پیش دریافت به ازای هر کیلوگرم],MATCH(bargiri[[#This Row],[شماره سند مبنا]],invoice[شماره پیش فاکتور],0))</f>
        <v>3314657500</v>
      </c>
      <c r="K180" s="159">
        <f>bargiri[[#This Row],[مبلغ خالص]]-bargiri[[#This Row],[میزان استهلاک پیش دریافتی]]</f>
        <v>0</v>
      </c>
      <c r="L180" s="160" t="s">
        <v>300</v>
      </c>
      <c r="M180" s="159">
        <v>1346400000</v>
      </c>
      <c r="N180" s="159">
        <f>IF(bargiri[[#This Row],[مبلغ واریزی]]&lt;&gt;"",bargiri[[#This Row],[مانده مبلغ]]-bargiri[[#This Row],[مبلغ واریزی]],bargiri[[#This Row],[مانده مبلغ]])</f>
        <v>-1346400000</v>
      </c>
      <c r="O180" s="159">
        <v>0</v>
      </c>
      <c r="P180" s="159">
        <f>VLOOKUP(bargiri[[#This Row],[شماره سند مبنا]],invoice[[شماره پیش فاکتور]:[پیش دریافت به ازای هر کیلوگرم]],14,0)</f>
        <v>184250</v>
      </c>
      <c r="Q180" s="159">
        <f>IF(bargiri[[#This Row],[مبلغ ناخالص]]-(bargiri[[#This Row],[نرخ استهلاک]]*bargiri[[#This Row],[مقدار]])&lt;0,0,bargiri[[#This Row],[مبلغ ناخالص]]-(bargiri[[#This Row],[نرخ استهلاک]]*bargiri[[#This Row],[مقدار]]))</f>
        <v>0</v>
      </c>
    </row>
    <row r="181" spans="1:17" s="22" customFormat="1" ht="13.8" x14ac:dyDescent="0.25">
      <c r="A181" s="22">
        <v>1288</v>
      </c>
      <c r="B181" s="22" t="s">
        <v>952</v>
      </c>
      <c r="C181" s="22" t="s">
        <v>602</v>
      </c>
      <c r="D181" s="22" t="s">
        <v>30</v>
      </c>
      <c r="E181" s="158">
        <v>11470</v>
      </c>
      <c r="F181" s="159">
        <v>142000</v>
      </c>
      <c r="G181" s="159">
        <v>1628740000</v>
      </c>
      <c r="H181" s="159">
        <v>162874000</v>
      </c>
      <c r="I181" s="159">
        <v>1791614000</v>
      </c>
      <c r="J181" s="159">
        <f>bargiri[[#This Row],[مقدار]]*INDEX(invoice[پیش دریافت به ازای هر کیلوگرم],MATCH(bargiri[[#This Row],[شماره سند مبنا]],invoice[شماره پیش فاکتور],0))</f>
        <v>1297867949.9120357</v>
      </c>
      <c r="K181" s="159">
        <f>bargiri[[#This Row],[مبلغ خالص]]-bargiri[[#This Row],[میزان استهلاک پیش دریافتی]]</f>
        <v>493746050.0879643</v>
      </c>
      <c r="L181" s="160" t="s">
        <v>593</v>
      </c>
      <c r="M181" s="159" t="s">
        <v>593</v>
      </c>
      <c r="N181" s="159">
        <f>IF(bargiri[[#This Row],[مبلغ واریزی]]&lt;&gt;"",bargiri[[#This Row],[مانده مبلغ]]-bargiri[[#This Row],[مبلغ واریزی]],bargiri[[#This Row],[مانده مبلغ]])</f>
        <v>493746050.0879643</v>
      </c>
      <c r="O181" s="159" t="s">
        <v>593</v>
      </c>
      <c r="P181" s="159">
        <f>VLOOKUP(bargiri[[#This Row],[شماره سند مبنا]],invoice[[شماره پیش فاکتور]:[پیش دریافت به ازای هر کیلوگرم]],14,0)</f>
        <v>113153.2650315637</v>
      </c>
      <c r="Q181" s="159">
        <f>IF(bargiri[[#This Row],[مبلغ ناخالص]]-(bargiri[[#This Row],[نرخ استهلاک]]*bargiri[[#This Row],[مقدار]])&lt;0,0,bargiri[[#This Row],[مبلغ ناخالص]]-(bargiri[[#This Row],[نرخ استهلاک]]*bargiri[[#This Row],[مقدار]]))</f>
        <v>330872050.0879643</v>
      </c>
    </row>
    <row r="182" spans="1:17" s="22" customFormat="1" ht="13.8" x14ac:dyDescent="0.25">
      <c r="A182" s="22">
        <v>1287</v>
      </c>
      <c r="B182" s="22" t="s">
        <v>952</v>
      </c>
      <c r="C182" s="22" t="s">
        <v>616</v>
      </c>
      <c r="D182" s="22" t="s">
        <v>67</v>
      </c>
      <c r="E182" s="158">
        <v>19030</v>
      </c>
      <c r="F182" s="159">
        <v>142000</v>
      </c>
      <c r="G182" s="159">
        <v>2702260000</v>
      </c>
      <c r="H182" s="159">
        <v>270226000</v>
      </c>
      <c r="I182" s="159">
        <v>2972486000</v>
      </c>
      <c r="J182" s="159">
        <f>bargiri[[#This Row],[مقدار]]*INDEX(invoice[پیش دریافت به ازای هر کیلوگرم],MATCH(bargiri[[#This Row],[شماره سند مبنا]],invoice[شماره پیش فاکتور],0))</f>
        <v>445872900</v>
      </c>
      <c r="K182" s="159">
        <f>bargiri[[#This Row],[مبلغ خالص]]-bargiri[[#This Row],[میزان استهلاک پیش دریافتی]]</f>
        <v>2526613100</v>
      </c>
      <c r="L182" s="160" t="s">
        <v>593</v>
      </c>
      <c r="M182" s="159" t="s">
        <v>593</v>
      </c>
      <c r="N182" s="159">
        <f>IF(bargiri[[#This Row],[مبلغ واریزی]]&lt;&gt;"",bargiri[[#This Row],[مانده مبلغ]]-bargiri[[#This Row],[مبلغ واریزی]],bargiri[[#This Row],[مانده مبلغ]])</f>
        <v>2526613100</v>
      </c>
      <c r="O182" s="159" t="s">
        <v>593</v>
      </c>
      <c r="P182" s="159">
        <f>VLOOKUP(bargiri[[#This Row],[شماره سند مبنا]],invoice[[شماره پیش فاکتور]:[پیش دریافت به ازای هر کیلوگرم]],14,0)</f>
        <v>23430</v>
      </c>
      <c r="Q182" s="159">
        <f>IF(bargiri[[#This Row],[مبلغ ناخالص]]-(bargiri[[#This Row],[نرخ استهلاک]]*bargiri[[#This Row],[مقدار]])&lt;0,0,bargiri[[#This Row],[مبلغ ناخالص]]-(bargiri[[#This Row],[نرخ استهلاک]]*bargiri[[#This Row],[مقدار]]))</f>
        <v>2256387100</v>
      </c>
    </row>
    <row r="183" spans="1:17" s="22" customFormat="1" ht="13.8" x14ac:dyDescent="0.25">
      <c r="A183" s="22">
        <v>1286</v>
      </c>
      <c r="B183" s="22" t="s">
        <v>952</v>
      </c>
      <c r="C183" s="22" t="s">
        <v>720</v>
      </c>
      <c r="D183" s="22" t="s">
        <v>20</v>
      </c>
      <c r="E183" s="158">
        <v>19010</v>
      </c>
      <c r="F183" s="159">
        <v>105000</v>
      </c>
      <c r="G183" s="159">
        <v>1996050000</v>
      </c>
      <c r="H183" s="159">
        <v>199605000</v>
      </c>
      <c r="I183" s="159">
        <v>2195655000</v>
      </c>
      <c r="J183" s="159">
        <f>bargiri[[#This Row],[مقدار]]*INDEX(invoice[پیش دریافت به ازای هر کیلوگرم],MATCH(bargiri[[#This Row],[شماره سند مبنا]],invoice[شماره پیش فاکتور],0))</f>
        <v>998025000</v>
      </c>
      <c r="K183" s="159">
        <f>bargiri[[#This Row],[مبلغ خالص]]-bargiri[[#This Row],[میزان استهلاک پیش دریافتی]]</f>
        <v>1197630000</v>
      </c>
      <c r="L183" s="160" t="s">
        <v>593</v>
      </c>
      <c r="M183" s="159" t="s">
        <v>593</v>
      </c>
      <c r="N183" s="159">
        <f>IF(bargiri[[#This Row],[مبلغ واریزی]]&lt;&gt;"",bargiri[[#This Row],[مانده مبلغ]]-bargiri[[#This Row],[مبلغ واریزی]],bargiri[[#This Row],[مانده مبلغ]])</f>
        <v>1197630000</v>
      </c>
      <c r="O183" s="159" t="s">
        <v>593</v>
      </c>
      <c r="P183" s="159">
        <f>VLOOKUP(bargiri[[#This Row],[شماره سند مبنا]],invoice[[شماره پیش فاکتور]:[پیش دریافت به ازای هر کیلوگرم]],14,0)</f>
        <v>52500</v>
      </c>
      <c r="Q183" s="159">
        <f>IF(bargiri[[#This Row],[مبلغ ناخالص]]-(bargiri[[#This Row],[نرخ استهلاک]]*bargiri[[#This Row],[مقدار]])&lt;0,0,bargiri[[#This Row],[مبلغ ناخالص]]-(bargiri[[#This Row],[نرخ استهلاک]]*bargiri[[#This Row],[مقدار]]))</f>
        <v>998025000</v>
      </c>
    </row>
    <row r="184" spans="1:17" s="22" customFormat="1" ht="13.8" x14ac:dyDescent="0.25">
      <c r="A184" s="22">
        <v>1285</v>
      </c>
      <c r="B184" s="22" t="s">
        <v>941</v>
      </c>
      <c r="C184" s="22" t="s">
        <v>723</v>
      </c>
      <c r="D184" s="22" t="s">
        <v>116</v>
      </c>
      <c r="E184" s="158">
        <v>19200</v>
      </c>
      <c r="F184" s="159">
        <v>105000</v>
      </c>
      <c r="G184" s="159">
        <v>2016000000</v>
      </c>
      <c r="H184" s="159">
        <v>201600000</v>
      </c>
      <c r="I184" s="159">
        <v>2217600000</v>
      </c>
      <c r="J184" s="159">
        <f>bargiri[[#This Row],[مقدار]]*INDEX(invoice[پیش دریافت به ازای هر کیلوگرم],MATCH(bargiri[[#This Row],[شماره سند مبنا]],invoice[شماره پیش فاکتور],0))</f>
        <v>1008000000</v>
      </c>
      <c r="K184" s="159">
        <f>bargiri[[#This Row],[مبلغ خالص]]-bargiri[[#This Row],[میزان استهلاک پیش دریافتی]]</f>
        <v>1209600000</v>
      </c>
      <c r="L184" s="160" t="s">
        <v>593</v>
      </c>
      <c r="M184" s="159" t="s">
        <v>593</v>
      </c>
      <c r="N184" s="159">
        <f>IF(bargiri[[#This Row],[مبلغ واریزی]]&lt;&gt;"",bargiri[[#This Row],[مانده مبلغ]]-bargiri[[#This Row],[مبلغ واریزی]],bargiri[[#This Row],[مانده مبلغ]])</f>
        <v>1209600000</v>
      </c>
      <c r="O184" s="159" t="s">
        <v>593</v>
      </c>
      <c r="P184" s="159">
        <f>VLOOKUP(bargiri[[#This Row],[شماره سند مبنا]],invoice[[شماره پیش فاکتور]:[پیش دریافت به ازای هر کیلوگرم]],14,0)</f>
        <v>52500</v>
      </c>
      <c r="Q184" s="159">
        <f>IF(bargiri[[#This Row],[مبلغ ناخالص]]-(bargiri[[#This Row],[نرخ استهلاک]]*bargiri[[#This Row],[مقدار]])&lt;0,0,bargiri[[#This Row],[مبلغ ناخالص]]-(bargiri[[#This Row],[نرخ استهلاک]]*bargiri[[#This Row],[مقدار]]))</f>
        <v>1008000000</v>
      </c>
    </row>
    <row r="185" spans="1:17" s="22" customFormat="1" ht="13.8" x14ac:dyDescent="0.25">
      <c r="A185" s="22">
        <v>1284</v>
      </c>
      <c r="B185" s="22" t="s">
        <v>942</v>
      </c>
      <c r="C185" s="22" t="s">
        <v>709</v>
      </c>
      <c r="D185" s="22" t="s">
        <v>43</v>
      </c>
      <c r="E185" s="158">
        <v>7110</v>
      </c>
      <c r="F185" s="159">
        <v>111000</v>
      </c>
      <c r="G185" s="159">
        <v>789210000</v>
      </c>
      <c r="H185" s="159">
        <v>78921000</v>
      </c>
      <c r="I185" s="159">
        <v>868131000</v>
      </c>
      <c r="J185" s="159">
        <f>bargiri[[#This Row],[مقدار]]*INDEX(invoice[پیش دریافت به ازای هر کیلوگرم],MATCH(bargiri[[#This Row],[شماره سند مبنا]],invoice[شماره پیش فاکتور],0))</f>
        <v>607691700</v>
      </c>
      <c r="K185" s="159">
        <f>bargiri[[#This Row],[مبلغ خالص]]-bargiri[[#This Row],[میزان استهلاک پیش دریافتی]]</f>
        <v>260439300</v>
      </c>
      <c r="L185" s="160" t="s">
        <v>300</v>
      </c>
      <c r="M185" s="159">
        <v>1679260000</v>
      </c>
      <c r="N185" s="159">
        <f>IF(bargiri[[#This Row],[مبلغ واریزی]]&lt;&gt;"",bargiri[[#This Row],[مانده مبلغ]]-bargiri[[#This Row],[مبلغ واریزی]],bargiri[[#This Row],[مانده مبلغ]])</f>
        <v>-1418820700</v>
      </c>
      <c r="O185" s="159">
        <v>0</v>
      </c>
      <c r="P185" s="159">
        <f>VLOOKUP(bargiri[[#This Row],[شماره سند مبنا]],invoice[[شماره پیش فاکتور]:[پیش دریافت به ازای هر کیلوگرم]],14,0)</f>
        <v>85470</v>
      </c>
      <c r="Q185" s="159">
        <f>IF(bargiri[[#This Row],[مبلغ ناخالص]]-(bargiri[[#This Row],[نرخ استهلاک]]*bargiri[[#This Row],[مقدار]])&lt;0,0,bargiri[[#This Row],[مبلغ ناخالص]]-(bargiri[[#This Row],[نرخ استهلاک]]*bargiri[[#This Row],[مقدار]]))</f>
        <v>181518300</v>
      </c>
    </row>
    <row r="186" spans="1:17" s="22" customFormat="1" ht="13.8" x14ac:dyDescent="0.25">
      <c r="A186" s="22">
        <v>1284</v>
      </c>
      <c r="B186" s="22" t="s">
        <v>942</v>
      </c>
      <c r="C186" s="22" t="s">
        <v>895</v>
      </c>
      <c r="D186" s="22" t="s">
        <v>43</v>
      </c>
      <c r="E186" s="158">
        <v>10930</v>
      </c>
      <c r="F186" s="159">
        <v>125000</v>
      </c>
      <c r="G186" s="159">
        <v>1366250000</v>
      </c>
      <c r="H186" s="159">
        <v>136625000</v>
      </c>
      <c r="I186" s="159">
        <v>1502875000</v>
      </c>
      <c r="J186" s="159">
        <f>bargiri[[#This Row],[مقدار]]*INDEX(invoice[پیش دریافت به ازای هر کیلوگرم],MATCH(bargiri[[#This Row],[شماره سند مبنا]],invoice[شماره پیش فاکتور],0))</f>
        <v>450862500</v>
      </c>
      <c r="K186" s="159">
        <f>bargiri[[#This Row],[مبلغ خالص]]-bargiri[[#This Row],[میزان استهلاک پیش دریافتی]]</f>
        <v>1052012500</v>
      </c>
      <c r="L186" s="160" t="s">
        <v>593</v>
      </c>
      <c r="M186" s="159" t="s">
        <v>593</v>
      </c>
      <c r="N186" s="159">
        <f>IF(bargiri[[#This Row],[مبلغ واریزی]]&lt;&gt;"",bargiri[[#This Row],[مانده مبلغ]]-bargiri[[#This Row],[مبلغ واریزی]],bargiri[[#This Row],[مانده مبلغ]])</f>
        <v>1052012500</v>
      </c>
      <c r="O186" s="159" t="s">
        <v>593</v>
      </c>
      <c r="P186" s="159">
        <f>VLOOKUP(bargiri[[#This Row],[شماره سند مبنا]],invoice[[شماره پیش فاکتور]:[پیش دریافت به ازای هر کیلوگرم]],14,0)</f>
        <v>41250</v>
      </c>
      <c r="Q186" s="159">
        <f>IF(bargiri[[#This Row],[مبلغ ناخالص]]-(bargiri[[#This Row],[نرخ استهلاک]]*bargiri[[#This Row],[مقدار]])&lt;0,0,bargiri[[#This Row],[مبلغ ناخالص]]-(bargiri[[#This Row],[نرخ استهلاک]]*bargiri[[#This Row],[مقدار]]))</f>
        <v>915387500</v>
      </c>
    </row>
    <row r="187" spans="1:17" s="22" customFormat="1" ht="13.8" x14ac:dyDescent="0.25">
      <c r="A187" s="22">
        <v>1283</v>
      </c>
      <c r="B187" s="22" t="s">
        <v>942</v>
      </c>
      <c r="C187" s="22" t="s">
        <v>660</v>
      </c>
      <c r="D187" s="22" t="s">
        <v>25</v>
      </c>
      <c r="E187" s="158">
        <v>17475</v>
      </c>
      <c r="F187" s="159">
        <v>116500</v>
      </c>
      <c r="G187" s="159">
        <v>2035837500</v>
      </c>
      <c r="H187" s="159">
        <v>203583750</v>
      </c>
      <c r="I187" s="159">
        <v>2239421250</v>
      </c>
      <c r="J187" s="159">
        <f>bargiri[[#This Row],[مقدار]]*INDEX(invoice[پیش دریافت به ازای هر کیلوگرم],MATCH(bargiri[[#This Row],[شماره سند مبنا]],invoice[شماره پیش فاکتور],0))</f>
        <v>335913187.5</v>
      </c>
      <c r="K187" s="159">
        <f>bargiri[[#This Row],[مبلغ خالص]]-bargiri[[#This Row],[میزان استهلاک پیش دریافتی]]</f>
        <v>1903508062.5</v>
      </c>
      <c r="L187" s="160" t="s">
        <v>272</v>
      </c>
      <c r="M187" s="159">
        <v>1063860000</v>
      </c>
      <c r="N187" s="159">
        <f>IF(bargiri[[#This Row],[مبلغ واریزی]]&lt;&gt;"",bargiri[[#This Row],[مانده مبلغ]]-bargiri[[#This Row],[مبلغ واریزی]],bargiri[[#This Row],[مانده مبلغ]])</f>
        <v>839648062.5</v>
      </c>
      <c r="O187" s="159">
        <v>0</v>
      </c>
      <c r="P187" s="159">
        <f>VLOOKUP(bargiri[[#This Row],[شماره سند مبنا]],invoice[[شماره پیش فاکتور]:[پیش دریافت به ازای هر کیلوگرم]],14,0)</f>
        <v>19222.5</v>
      </c>
      <c r="Q187" s="159">
        <f>IF(bargiri[[#This Row],[مبلغ ناخالص]]-(bargiri[[#This Row],[نرخ استهلاک]]*bargiri[[#This Row],[مقدار]])&lt;0,0,bargiri[[#This Row],[مبلغ ناخالص]]-(bargiri[[#This Row],[نرخ استهلاک]]*bargiri[[#This Row],[مقدار]]))</f>
        <v>1699924312.5</v>
      </c>
    </row>
    <row r="188" spans="1:17" s="22" customFormat="1" ht="13.8" x14ac:dyDescent="0.25">
      <c r="A188" s="22">
        <v>1283</v>
      </c>
      <c r="B188" s="22" t="s">
        <v>942</v>
      </c>
      <c r="C188" s="22" t="s">
        <v>677</v>
      </c>
      <c r="D188" s="22" t="s">
        <v>25</v>
      </c>
      <c r="E188" s="158">
        <v>2695</v>
      </c>
      <c r="F188" s="159">
        <v>116500</v>
      </c>
      <c r="G188" s="159">
        <v>313967500</v>
      </c>
      <c r="H188" s="159">
        <v>31396750</v>
      </c>
      <c r="I188" s="159">
        <v>345364250</v>
      </c>
      <c r="J188" s="159">
        <f>bargiri[[#This Row],[مقدار]]*INDEX(invoice[پیش دریافت به ازای هر کیلوگرم],MATCH(bargiri[[#This Row],[شماره سند مبنا]],invoice[شماره پیش فاکتور],0))</f>
        <v>51804637.5</v>
      </c>
      <c r="K188" s="159">
        <f>bargiri[[#This Row],[مبلغ خالص]]-bargiri[[#This Row],[میزان استهلاک پیش دریافتی]]</f>
        <v>293559612.5</v>
      </c>
      <c r="L188" s="160" t="s">
        <v>593</v>
      </c>
      <c r="M188" s="159" t="s">
        <v>593</v>
      </c>
      <c r="N188" s="159">
        <f>IF(bargiri[[#This Row],[مبلغ واریزی]]&lt;&gt;"",bargiri[[#This Row],[مانده مبلغ]]-bargiri[[#This Row],[مبلغ واریزی]],bargiri[[#This Row],[مانده مبلغ]])</f>
        <v>293559612.5</v>
      </c>
      <c r="O188" s="159" t="s">
        <v>593</v>
      </c>
      <c r="P188" s="159">
        <f>VLOOKUP(bargiri[[#This Row],[شماره سند مبنا]],invoice[[شماره پیش فاکتور]:[پیش دریافت به ازای هر کیلوگرم]],14,0)</f>
        <v>19222.5</v>
      </c>
      <c r="Q188" s="159">
        <f>IF(bargiri[[#This Row],[مبلغ ناخالص]]-(bargiri[[#This Row],[نرخ استهلاک]]*bargiri[[#This Row],[مقدار]])&lt;0,0,bargiri[[#This Row],[مبلغ ناخالص]]-(bargiri[[#This Row],[نرخ استهلاک]]*bargiri[[#This Row],[مقدار]]))</f>
        <v>262162862.5</v>
      </c>
    </row>
    <row r="189" spans="1:17" s="22" customFormat="1" ht="13.8" x14ac:dyDescent="0.25">
      <c r="A189" s="22">
        <v>1282</v>
      </c>
      <c r="B189" s="22" t="s">
        <v>942</v>
      </c>
      <c r="C189" s="22" t="s">
        <v>644</v>
      </c>
      <c r="D189" s="22" t="s">
        <v>67</v>
      </c>
      <c r="E189" s="158">
        <v>17990</v>
      </c>
      <c r="F189" s="159">
        <v>95000</v>
      </c>
      <c r="G189" s="159">
        <v>1709050000</v>
      </c>
      <c r="H189" s="159">
        <v>170905000</v>
      </c>
      <c r="I189" s="159">
        <v>1879955000</v>
      </c>
      <c r="J189" s="159">
        <f>bargiri[[#This Row],[مقدار]]*INDEX(invoice[پیش دریافت به ازای هر کیلوگرم],MATCH(bargiri[[#This Row],[شماره سند مبنا]],invoice[شماره پیش فاکتور],0))</f>
        <v>546999710.19179547</v>
      </c>
      <c r="K189" s="159">
        <f>bargiri[[#This Row],[مبلغ خالص]]-bargiri[[#This Row],[میزان استهلاک پیش دریافتی]]</f>
        <v>1332955289.8082047</v>
      </c>
      <c r="L189" s="160" t="s">
        <v>593</v>
      </c>
      <c r="M189" s="159" t="s">
        <v>593</v>
      </c>
      <c r="N189" s="159">
        <f>IF(bargiri[[#This Row],[مبلغ واریزی]]&lt;&gt;"",bargiri[[#This Row],[مانده مبلغ]]-bargiri[[#This Row],[مبلغ واریزی]],bargiri[[#This Row],[مانده مبلغ]])</f>
        <v>1332955289.8082047</v>
      </c>
      <c r="O189" s="159" t="s">
        <v>593</v>
      </c>
      <c r="P189" s="159">
        <f>VLOOKUP(bargiri[[#This Row],[شماره سند مبنا]],invoice[[شماره پیش فاکتور]:[پیش دریافت به ازای هر کیلوگرم]],14,0)</f>
        <v>30405.764880033101</v>
      </c>
      <c r="Q189" s="159">
        <f>IF(bargiri[[#This Row],[مبلغ ناخالص]]-(bargiri[[#This Row],[نرخ استهلاک]]*bargiri[[#This Row],[مقدار]])&lt;0,0,bargiri[[#This Row],[مبلغ ناخالص]]-(bargiri[[#This Row],[نرخ استهلاک]]*bargiri[[#This Row],[مقدار]]))</f>
        <v>1162050289.8082047</v>
      </c>
    </row>
    <row r="190" spans="1:17" s="22" customFormat="1" ht="13.8" x14ac:dyDescent="0.25">
      <c r="A190" s="22">
        <v>1281</v>
      </c>
      <c r="B190" s="22" t="s">
        <v>942</v>
      </c>
      <c r="C190" s="22" t="s">
        <v>720</v>
      </c>
      <c r="D190" s="22" t="s">
        <v>20</v>
      </c>
      <c r="E190" s="158">
        <v>20060</v>
      </c>
      <c r="F190" s="159">
        <v>105000</v>
      </c>
      <c r="G190" s="159">
        <v>2106300000</v>
      </c>
      <c r="H190" s="159">
        <v>210630000</v>
      </c>
      <c r="I190" s="159">
        <v>2316930000</v>
      </c>
      <c r="J190" s="159">
        <f>bargiri[[#This Row],[مقدار]]*INDEX(invoice[پیش دریافت به ازای هر کیلوگرم],MATCH(bargiri[[#This Row],[شماره سند مبنا]],invoice[شماره پیش فاکتور],0))</f>
        <v>1053150000</v>
      </c>
      <c r="K190" s="159">
        <f>bargiri[[#This Row],[مبلغ خالص]]-bargiri[[#This Row],[میزان استهلاک پیش دریافتی]]</f>
        <v>1263780000</v>
      </c>
      <c r="L190" s="160" t="s">
        <v>268</v>
      </c>
      <c r="M190" s="159">
        <v>580160000</v>
      </c>
      <c r="N190" s="159">
        <f>IF(bargiri[[#This Row],[مبلغ واریزی]]&lt;&gt;"",bargiri[[#This Row],[مانده مبلغ]]-bargiri[[#This Row],[مبلغ واریزی]],bargiri[[#This Row],[مانده مبلغ]])</f>
        <v>683620000</v>
      </c>
      <c r="O190" s="159">
        <v>0</v>
      </c>
      <c r="P190" s="159">
        <f>VLOOKUP(bargiri[[#This Row],[شماره سند مبنا]],invoice[[شماره پیش فاکتور]:[پیش دریافت به ازای هر کیلوگرم]],14,0)</f>
        <v>52500</v>
      </c>
      <c r="Q190" s="159">
        <f>IF(bargiri[[#This Row],[مبلغ ناخالص]]-(bargiri[[#This Row],[نرخ استهلاک]]*bargiri[[#This Row],[مقدار]])&lt;0,0,bargiri[[#This Row],[مبلغ ناخالص]]-(bargiri[[#This Row],[نرخ استهلاک]]*bargiri[[#This Row],[مقدار]]))</f>
        <v>1053150000</v>
      </c>
    </row>
    <row r="191" spans="1:17" s="22" customFormat="1" ht="13.8" x14ac:dyDescent="0.25">
      <c r="A191" s="22">
        <v>1280</v>
      </c>
      <c r="B191" s="22" t="s">
        <v>942</v>
      </c>
      <c r="C191" s="22" t="s">
        <v>709</v>
      </c>
      <c r="D191" s="22" t="s">
        <v>43</v>
      </c>
      <c r="E191" s="158">
        <v>22210</v>
      </c>
      <c r="F191" s="159">
        <v>111000</v>
      </c>
      <c r="G191" s="159">
        <v>2465310000</v>
      </c>
      <c r="H191" s="159">
        <v>246531000</v>
      </c>
      <c r="I191" s="159">
        <v>2711841000</v>
      </c>
      <c r="J191" s="159">
        <f>bargiri[[#This Row],[مقدار]]*INDEX(invoice[پیش دریافت به ازای هر کیلوگرم],MATCH(bargiri[[#This Row],[شماره سند مبنا]],invoice[شماره پیش فاکتور],0))</f>
        <v>1898288700</v>
      </c>
      <c r="K191" s="159">
        <f>bargiri[[#This Row],[مبلغ خالص]]-bargiri[[#This Row],[میزان استهلاک پیش دریافتی]]</f>
        <v>813552300</v>
      </c>
      <c r="L191" s="160" t="s">
        <v>593</v>
      </c>
      <c r="M191" s="159" t="s">
        <v>593</v>
      </c>
      <c r="N191" s="159">
        <f>IF(bargiri[[#This Row],[مبلغ واریزی]]&lt;&gt;"",bargiri[[#This Row],[مانده مبلغ]]-bargiri[[#This Row],[مبلغ واریزی]],bargiri[[#This Row],[مانده مبلغ]])</f>
        <v>813552300</v>
      </c>
      <c r="O191" s="159" t="s">
        <v>593</v>
      </c>
      <c r="P191" s="159">
        <f>VLOOKUP(bargiri[[#This Row],[شماره سند مبنا]],invoice[[شماره پیش فاکتور]:[پیش دریافت به ازای هر کیلوگرم]],14,0)</f>
        <v>85470</v>
      </c>
      <c r="Q191" s="159">
        <f>IF(bargiri[[#This Row],[مبلغ ناخالص]]-(bargiri[[#This Row],[نرخ استهلاک]]*bargiri[[#This Row],[مقدار]])&lt;0,0,bargiri[[#This Row],[مبلغ ناخالص]]-(bargiri[[#This Row],[نرخ استهلاک]]*bargiri[[#This Row],[مقدار]]))</f>
        <v>567021300</v>
      </c>
    </row>
    <row r="192" spans="1:17" s="22" customFormat="1" ht="13.8" x14ac:dyDescent="0.25">
      <c r="A192" s="22">
        <v>1279</v>
      </c>
      <c r="B192" s="22" t="s">
        <v>906</v>
      </c>
      <c r="C192" s="22" t="s">
        <v>933</v>
      </c>
      <c r="D192" s="22" t="s">
        <v>78</v>
      </c>
      <c r="E192" s="158">
        <v>22580</v>
      </c>
      <c r="F192" s="159">
        <v>110000</v>
      </c>
      <c r="G192" s="159">
        <v>2483800000</v>
      </c>
      <c r="H192" s="159">
        <v>248380000</v>
      </c>
      <c r="I192" s="159">
        <v>2732180000</v>
      </c>
      <c r="J192" s="159">
        <f>bargiri[[#This Row],[مقدار]]*INDEX(invoice[پیش دریافت به ازای هر کیلوگرم],MATCH(bargiri[[#This Row],[شماره سند مبنا]],invoice[شماره پیش فاکتور],0))</f>
        <v>354506000</v>
      </c>
      <c r="K192" s="159">
        <f>bargiri[[#This Row],[مبلغ خالص]]-bargiri[[#This Row],[میزان استهلاک پیش دریافتی]]</f>
        <v>2377674000</v>
      </c>
      <c r="L192" s="160" t="s">
        <v>593</v>
      </c>
      <c r="M192" s="159" t="s">
        <v>593</v>
      </c>
      <c r="N192" s="159">
        <f>IF(bargiri[[#This Row],[مبلغ واریزی]]&lt;&gt;"",bargiri[[#This Row],[مانده مبلغ]]-bargiri[[#This Row],[مبلغ واریزی]],bargiri[[#This Row],[مانده مبلغ]])</f>
        <v>2377674000</v>
      </c>
      <c r="O192" s="159" t="s">
        <v>593</v>
      </c>
      <c r="P192" s="159">
        <f>VLOOKUP(bargiri[[#This Row],[شماره سند مبنا]],invoice[[شماره پیش فاکتور]:[پیش دریافت به ازای هر کیلوگرم]],14,0)</f>
        <v>15700</v>
      </c>
      <c r="Q192" s="159">
        <f>IF(bargiri[[#This Row],[مبلغ ناخالص]]-(bargiri[[#This Row],[نرخ استهلاک]]*bargiri[[#This Row],[مقدار]])&lt;0,0,bargiri[[#This Row],[مبلغ ناخالص]]-(bargiri[[#This Row],[نرخ استهلاک]]*bargiri[[#This Row],[مقدار]]))</f>
        <v>2129294000</v>
      </c>
    </row>
    <row r="193" spans="1:17" s="22" customFormat="1" ht="13.8" x14ac:dyDescent="0.25">
      <c r="A193" s="22">
        <v>1278</v>
      </c>
      <c r="B193" s="22" t="s">
        <v>954</v>
      </c>
      <c r="C193" s="22" t="s">
        <v>902</v>
      </c>
      <c r="D193" s="22" t="s">
        <v>67</v>
      </c>
      <c r="E193" s="158">
        <v>17460</v>
      </c>
      <c r="F193" s="159">
        <v>167500</v>
      </c>
      <c r="G193" s="159">
        <v>2924550000</v>
      </c>
      <c r="H193" s="159">
        <v>292455000</v>
      </c>
      <c r="I193" s="159">
        <v>3217005000</v>
      </c>
      <c r="J193" s="159">
        <f>bargiri[[#This Row],[مقدار]]*INDEX(invoice[پیش دریافت به ازای هر کیلوگرم],MATCH(bargiri[[#This Row],[شماره سند مبنا]],invoice[شماره پیش فاکتور],0))</f>
        <v>3217005000</v>
      </c>
      <c r="K193" s="159">
        <f>bargiri[[#This Row],[مبلغ خالص]]-bargiri[[#This Row],[میزان استهلاک پیش دریافتی]]</f>
        <v>0</v>
      </c>
      <c r="L193" s="160" t="s">
        <v>338</v>
      </c>
      <c r="M193" s="159">
        <v>66268125</v>
      </c>
      <c r="N193" s="159">
        <f>IF(bargiri[[#This Row],[مبلغ واریزی]]&lt;&gt;"",bargiri[[#This Row],[مانده مبلغ]]-bargiri[[#This Row],[مبلغ واریزی]],bargiri[[#This Row],[مانده مبلغ]])</f>
        <v>-66268125</v>
      </c>
      <c r="O193" s="159" t="s">
        <v>401</v>
      </c>
      <c r="P193" s="159">
        <f>VLOOKUP(bargiri[[#This Row],[شماره سند مبنا]],invoice[[شماره پیش فاکتور]:[پیش دریافت به ازای هر کیلوگرم]],14,0)</f>
        <v>184250</v>
      </c>
      <c r="Q193" s="159">
        <f>IF(bargiri[[#This Row],[مبلغ ناخالص]]-(bargiri[[#This Row],[نرخ استهلاک]]*bargiri[[#This Row],[مقدار]])&lt;0,0,bargiri[[#This Row],[مبلغ ناخالص]]-(bargiri[[#This Row],[نرخ استهلاک]]*bargiri[[#This Row],[مقدار]]))</f>
        <v>0</v>
      </c>
    </row>
    <row r="194" spans="1:17" s="22" customFormat="1" ht="13.8" x14ac:dyDescent="0.25">
      <c r="A194" s="22">
        <v>1277</v>
      </c>
      <c r="B194" s="22" t="s">
        <v>943</v>
      </c>
      <c r="C194" s="22" t="s">
        <v>616</v>
      </c>
      <c r="D194" s="22" t="s">
        <v>67</v>
      </c>
      <c r="E194" s="158">
        <v>20740</v>
      </c>
      <c r="F194" s="159">
        <v>142000</v>
      </c>
      <c r="G194" s="159">
        <v>2945080000</v>
      </c>
      <c r="H194" s="159">
        <v>294508000</v>
      </c>
      <c r="I194" s="159">
        <v>3239588000</v>
      </c>
      <c r="J194" s="159">
        <f>bargiri[[#This Row],[مقدار]]*INDEX(invoice[پیش دریافت به ازای هر کیلوگرم],MATCH(bargiri[[#This Row],[شماره سند مبنا]],invoice[شماره پیش فاکتور],0))</f>
        <v>485938200</v>
      </c>
      <c r="K194" s="159">
        <f>bargiri[[#This Row],[مبلغ خالص]]-bargiri[[#This Row],[میزان استهلاک پیش دریافتی]]</f>
        <v>2753649800</v>
      </c>
      <c r="L194" s="160" t="s">
        <v>338</v>
      </c>
      <c r="M194" s="159">
        <v>1445977500</v>
      </c>
      <c r="N194" s="159">
        <f>IF(bargiri[[#This Row],[مبلغ واریزی]]&lt;&gt;"",bargiri[[#This Row],[مانده مبلغ]]-bargiri[[#This Row],[مبلغ واریزی]],bargiri[[#This Row],[مانده مبلغ]])</f>
        <v>1307672300</v>
      </c>
      <c r="O194" s="159" t="s">
        <v>402</v>
      </c>
      <c r="P194" s="159">
        <f>VLOOKUP(bargiri[[#This Row],[شماره سند مبنا]],invoice[[شماره پیش فاکتور]:[پیش دریافت به ازای هر کیلوگرم]],14,0)</f>
        <v>23430</v>
      </c>
      <c r="Q194" s="159">
        <f>IF(bargiri[[#This Row],[مبلغ ناخالص]]-(bargiri[[#This Row],[نرخ استهلاک]]*bargiri[[#This Row],[مقدار]])&lt;0,0,bargiri[[#This Row],[مبلغ ناخالص]]-(bargiri[[#This Row],[نرخ استهلاک]]*bargiri[[#This Row],[مقدار]]))</f>
        <v>2459141800</v>
      </c>
    </row>
    <row r="195" spans="1:17" s="22" customFormat="1" ht="13.8" x14ac:dyDescent="0.25">
      <c r="A195" s="22">
        <v>1276</v>
      </c>
      <c r="B195" s="22" t="s">
        <v>943</v>
      </c>
      <c r="C195" s="22" t="s">
        <v>893</v>
      </c>
      <c r="D195" s="22" t="s">
        <v>173</v>
      </c>
      <c r="E195" s="158">
        <v>22570</v>
      </c>
      <c r="F195" s="159">
        <v>135000</v>
      </c>
      <c r="G195" s="159">
        <v>3046950000</v>
      </c>
      <c r="H195" s="159">
        <v>304695000</v>
      </c>
      <c r="I195" s="159">
        <v>3351645000</v>
      </c>
      <c r="J195" s="159">
        <f>bargiri[[#This Row],[مقدار]]*INDEX(invoice[پیش دریافت به ازای هر کیلوگرم],MATCH(bargiri[[#This Row],[شماره سند مبنا]],invoice[شماره پیش فاکتور],0))</f>
        <v>670329000</v>
      </c>
      <c r="K195" s="159">
        <f>bargiri[[#This Row],[مبلغ خالص]]-bargiri[[#This Row],[میزان استهلاک پیش دریافتی]]</f>
        <v>2681316000</v>
      </c>
      <c r="L195" s="160" t="s">
        <v>320</v>
      </c>
      <c r="M195" s="159">
        <v>1126037500</v>
      </c>
      <c r="N195" s="159">
        <f>IF(bargiri[[#This Row],[مبلغ واریزی]]&lt;&gt;"",bargiri[[#This Row],[مانده مبلغ]]-bargiri[[#This Row],[مبلغ واریزی]],bargiri[[#This Row],[مانده مبلغ]])</f>
        <v>1555278500</v>
      </c>
      <c r="O195" s="159">
        <v>0</v>
      </c>
      <c r="P195" s="159">
        <f>VLOOKUP(bargiri[[#This Row],[شماره سند مبنا]],invoice[[شماره پیش فاکتور]:[پیش دریافت به ازای هر کیلوگرم]],14,0)</f>
        <v>29700</v>
      </c>
      <c r="Q195" s="159">
        <f>IF(bargiri[[#This Row],[مبلغ ناخالص]]-(bargiri[[#This Row],[نرخ استهلاک]]*bargiri[[#This Row],[مقدار]])&lt;0,0,bargiri[[#This Row],[مبلغ ناخالص]]-(bargiri[[#This Row],[نرخ استهلاک]]*bargiri[[#This Row],[مقدار]]))</f>
        <v>2376621000</v>
      </c>
    </row>
    <row r="196" spans="1:17" s="22" customFormat="1" ht="13.8" x14ac:dyDescent="0.25">
      <c r="A196" s="22">
        <v>1275</v>
      </c>
      <c r="B196" s="22" t="s">
        <v>943</v>
      </c>
      <c r="C196" s="22" t="s">
        <v>644</v>
      </c>
      <c r="D196" s="22" t="s">
        <v>67</v>
      </c>
      <c r="E196" s="158">
        <v>20860</v>
      </c>
      <c r="F196" s="159">
        <v>95000</v>
      </c>
      <c r="G196" s="159">
        <v>1981700000</v>
      </c>
      <c r="H196" s="159">
        <v>198170000</v>
      </c>
      <c r="I196" s="159">
        <v>2179870000</v>
      </c>
      <c r="J196" s="159">
        <f>bargiri[[#This Row],[مقدار]]*INDEX(invoice[پیش دریافت به ازای هر کیلوگرم],MATCH(bargiri[[#This Row],[شماره سند مبنا]],invoice[شماره پیش فاکتور],0))</f>
        <v>634264255.3974905</v>
      </c>
      <c r="K196" s="159">
        <f>bargiri[[#This Row],[مبلغ خالص]]-bargiri[[#This Row],[میزان استهلاک پیش دریافتی]]</f>
        <v>1545605744.6025095</v>
      </c>
      <c r="L196" s="160" t="s">
        <v>593</v>
      </c>
      <c r="M196" s="159" t="s">
        <v>593</v>
      </c>
      <c r="N196" s="159">
        <f>IF(bargiri[[#This Row],[مبلغ واریزی]]&lt;&gt;"",bargiri[[#This Row],[مانده مبلغ]]-bargiri[[#This Row],[مبلغ واریزی]],bargiri[[#This Row],[مانده مبلغ]])</f>
        <v>1545605744.6025095</v>
      </c>
      <c r="O196" s="159" t="s">
        <v>593</v>
      </c>
      <c r="P196" s="159">
        <f>VLOOKUP(bargiri[[#This Row],[شماره سند مبنا]],invoice[[شماره پیش فاکتور]:[پیش دریافت به ازای هر کیلوگرم]],14,0)</f>
        <v>30405.764880033101</v>
      </c>
      <c r="Q196" s="159">
        <f>IF(bargiri[[#This Row],[مبلغ ناخالص]]-(bargiri[[#This Row],[نرخ استهلاک]]*bargiri[[#This Row],[مقدار]])&lt;0,0,bargiri[[#This Row],[مبلغ ناخالص]]-(bargiri[[#This Row],[نرخ استهلاک]]*bargiri[[#This Row],[مقدار]]))</f>
        <v>1347435744.6025095</v>
      </c>
    </row>
    <row r="197" spans="1:17" s="22" customFormat="1" ht="13.8" x14ac:dyDescent="0.25">
      <c r="A197" s="22">
        <v>1274</v>
      </c>
      <c r="B197" s="22" t="s">
        <v>955</v>
      </c>
      <c r="C197" s="22" t="s">
        <v>902</v>
      </c>
      <c r="D197" s="22" t="s">
        <v>67</v>
      </c>
      <c r="E197" s="158">
        <v>20580</v>
      </c>
      <c r="F197" s="159">
        <v>167500</v>
      </c>
      <c r="G197" s="159">
        <v>3447150000</v>
      </c>
      <c r="H197" s="159">
        <v>344715000</v>
      </c>
      <c r="I197" s="159">
        <v>3791865000</v>
      </c>
      <c r="J197" s="159">
        <f>bargiri[[#This Row],[مقدار]]*INDEX(invoice[پیش دریافت به ازای هر کیلوگرم],MATCH(bargiri[[#This Row],[شماره سند مبنا]],invoice[شماره پیش فاکتور],0))</f>
        <v>3791865000</v>
      </c>
      <c r="K197" s="159">
        <f>bargiri[[#This Row],[مبلغ خالص]]-bargiri[[#This Row],[میزان استهلاک پیش دریافتی]]</f>
        <v>0</v>
      </c>
      <c r="L197" s="160" t="s">
        <v>593</v>
      </c>
      <c r="M197" s="159" t="s">
        <v>593</v>
      </c>
      <c r="N197" s="159">
        <f>IF(bargiri[[#This Row],[مبلغ واریزی]]&lt;&gt;"",bargiri[[#This Row],[مانده مبلغ]]-bargiri[[#This Row],[مبلغ واریزی]],bargiri[[#This Row],[مانده مبلغ]])</f>
        <v>0</v>
      </c>
      <c r="O197" s="159" t="s">
        <v>593</v>
      </c>
      <c r="P197" s="159">
        <f>VLOOKUP(bargiri[[#This Row],[شماره سند مبنا]],invoice[[شماره پیش فاکتور]:[پیش دریافت به ازای هر کیلوگرم]],14,0)</f>
        <v>184250</v>
      </c>
      <c r="Q197" s="159">
        <f>IF(bargiri[[#This Row],[مبلغ ناخالص]]-(bargiri[[#This Row],[نرخ استهلاک]]*bargiri[[#This Row],[مقدار]])&lt;0,0,bargiri[[#This Row],[مبلغ ناخالص]]-(bargiri[[#This Row],[نرخ استهلاک]]*bargiri[[#This Row],[مقدار]]))</f>
        <v>0</v>
      </c>
    </row>
    <row r="198" spans="1:17" s="22" customFormat="1" ht="13.8" x14ac:dyDescent="0.25">
      <c r="A198" s="22">
        <v>1273</v>
      </c>
      <c r="B198" s="22" t="s">
        <v>925</v>
      </c>
      <c r="C198" s="22" t="s">
        <v>616</v>
      </c>
      <c r="D198" s="22" t="s">
        <v>67</v>
      </c>
      <c r="E198" s="158">
        <v>20250</v>
      </c>
      <c r="F198" s="159">
        <v>142000</v>
      </c>
      <c r="G198" s="159">
        <v>2875500000</v>
      </c>
      <c r="H198" s="159">
        <v>287550000</v>
      </c>
      <c r="I198" s="159">
        <v>3163050000</v>
      </c>
      <c r="J198" s="159">
        <f>bargiri[[#This Row],[مقدار]]*INDEX(invoice[پیش دریافت به ازای هر کیلوگرم],MATCH(bargiri[[#This Row],[شماره سند مبنا]],invoice[شماره پیش فاکتور],0))</f>
        <v>474457500</v>
      </c>
      <c r="K198" s="159">
        <f>bargiri[[#This Row],[مبلغ خالص]]-bargiri[[#This Row],[میزان استهلاک پیش دریافتی]]</f>
        <v>2688592500</v>
      </c>
      <c r="L198" s="160" t="s">
        <v>593</v>
      </c>
      <c r="M198" s="159" t="s">
        <v>593</v>
      </c>
      <c r="N198" s="159">
        <f>IF(bargiri[[#This Row],[مبلغ واریزی]]&lt;&gt;"",bargiri[[#This Row],[مانده مبلغ]]-bargiri[[#This Row],[مبلغ واریزی]],bargiri[[#This Row],[مانده مبلغ]])</f>
        <v>2688592500</v>
      </c>
      <c r="O198" s="159" t="s">
        <v>593</v>
      </c>
      <c r="P198" s="159">
        <f>VLOOKUP(bargiri[[#This Row],[شماره سند مبنا]],invoice[[شماره پیش فاکتور]:[پیش دریافت به ازای هر کیلوگرم]],14,0)</f>
        <v>23430</v>
      </c>
      <c r="Q198" s="159">
        <f>IF(bargiri[[#This Row],[مبلغ ناخالص]]-(bargiri[[#This Row],[نرخ استهلاک]]*bargiri[[#This Row],[مقدار]])&lt;0,0,bargiri[[#This Row],[مبلغ ناخالص]]-(bargiri[[#This Row],[نرخ استهلاک]]*bargiri[[#This Row],[مقدار]]))</f>
        <v>2401042500</v>
      </c>
    </row>
    <row r="199" spans="1:17" s="22" customFormat="1" ht="13.8" x14ac:dyDescent="0.25">
      <c r="A199" s="22">
        <v>1272</v>
      </c>
      <c r="B199" s="22" t="s">
        <v>925</v>
      </c>
      <c r="C199" s="22" t="s">
        <v>709</v>
      </c>
      <c r="D199" s="22" t="s">
        <v>43</v>
      </c>
      <c r="E199" s="158">
        <v>22290</v>
      </c>
      <c r="F199" s="159">
        <v>111000</v>
      </c>
      <c r="G199" s="159">
        <v>2474190000</v>
      </c>
      <c r="H199" s="159">
        <v>247419000</v>
      </c>
      <c r="I199" s="159">
        <v>2721609000</v>
      </c>
      <c r="J199" s="159">
        <f>bargiri[[#This Row],[مقدار]]*INDEX(invoice[پیش دریافت به ازای هر کیلوگرم],MATCH(bargiri[[#This Row],[شماره سند مبنا]],invoice[شماره پیش فاکتور],0))</f>
        <v>1905126300</v>
      </c>
      <c r="K199" s="159">
        <f>bargiri[[#This Row],[مبلغ خالص]]-bargiri[[#This Row],[میزان استهلاک پیش دریافتی]]</f>
        <v>816482700</v>
      </c>
      <c r="L199" s="160" t="s">
        <v>593</v>
      </c>
      <c r="M199" s="159" t="s">
        <v>593</v>
      </c>
      <c r="N199" s="159">
        <f>IF(bargiri[[#This Row],[مبلغ واریزی]]&lt;&gt;"",bargiri[[#This Row],[مانده مبلغ]]-bargiri[[#This Row],[مبلغ واریزی]],bargiri[[#This Row],[مانده مبلغ]])</f>
        <v>816482700</v>
      </c>
      <c r="O199" s="159" t="s">
        <v>593</v>
      </c>
      <c r="P199" s="159">
        <f>VLOOKUP(bargiri[[#This Row],[شماره سند مبنا]],invoice[[شماره پیش فاکتور]:[پیش دریافت به ازای هر کیلوگرم]],14,0)</f>
        <v>85470</v>
      </c>
      <c r="Q199" s="159">
        <f>IF(bargiri[[#This Row],[مبلغ ناخالص]]-(bargiri[[#This Row],[نرخ استهلاک]]*bargiri[[#This Row],[مقدار]])&lt;0,0,bargiri[[#This Row],[مبلغ ناخالص]]-(bargiri[[#This Row],[نرخ استهلاک]]*bargiri[[#This Row],[مقدار]]))</f>
        <v>569063700</v>
      </c>
    </row>
    <row r="200" spans="1:17" s="22" customFormat="1" ht="13.8" x14ac:dyDescent="0.25">
      <c r="A200" s="22">
        <v>1271</v>
      </c>
      <c r="B200" s="22" t="s">
        <v>925</v>
      </c>
      <c r="C200" s="22" t="s">
        <v>644</v>
      </c>
      <c r="D200" s="22" t="s">
        <v>67</v>
      </c>
      <c r="E200" s="158">
        <v>15110</v>
      </c>
      <c r="F200" s="159">
        <v>95000</v>
      </c>
      <c r="G200" s="159">
        <v>1435450000</v>
      </c>
      <c r="H200" s="159">
        <v>143545000</v>
      </c>
      <c r="I200" s="159">
        <v>1578995000</v>
      </c>
      <c r="J200" s="159">
        <f>bargiri[[#This Row],[مقدار]]*INDEX(invoice[پیش دریافت به ازای هر کیلوگرم],MATCH(bargiri[[#This Row],[شماره سند مبنا]],invoice[شماره پیش فاکتور],0))</f>
        <v>459431107.33730018</v>
      </c>
      <c r="K200" s="159">
        <f>bargiri[[#This Row],[مبلغ خالص]]-bargiri[[#This Row],[میزان استهلاک پیش دریافتی]]</f>
        <v>1119563892.6626997</v>
      </c>
      <c r="L200" s="160" t="s">
        <v>593</v>
      </c>
      <c r="M200" s="159" t="s">
        <v>593</v>
      </c>
      <c r="N200" s="159">
        <f>IF(bargiri[[#This Row],[مبلغ واریزی]]&lt;&gt;"",bargiri[[#This Row],[مانده مبلغ]]-bargiri[[#This Row],[مبلغ واریزی]],bargiri[[#This Row],[مانده مبلغ]])</f>
        <v>1119563892.6626997</v>
      </c>
      <c r="O200" s="159" t="s">
        <v>593</v>
      </c>
      <c r="P200" s="159">
        <f>VLOOKUP(bargiri[[#This Row],[شماره سند مبنا]],invoice[[شماره پیش فاکتور]:[پیش دریافت به ازای هر کیلوگرم]],14,0)</f>
        <v>30405.764880033101</v>
      </c>
      <c r="Q200" s="159">
        <f>IF(bargiri[[#This Row],[مبلغ ناخالص]]-(bargiri[[#This Row],[نرخ استهلاک]]*bargiri[[#This Row],[مقدار]])&lt;0,0,bargiri[[#This Row],[مبلغ ناخالص]]-(bargiri[[#This Row],[نرخ استهلاک]]*bargiri[[#This Row],[مقدار]]))</f>
        <v>976018892.66269982</v>
      </c>
    </row>
    <row r="201" spans="1:17" s="22" customFormat="1" ht="13.8" x14ac:dyDescent="0.25">
      <c r="A201" s="22">
        <v>1270</v>
      </c>
      <c r="B201" s="22" t="s">
        <v>925</v>
      </c>
      <c r="C201" s="22" t="s">
        <v>723</v>
      </c>
      <c r="D201" s="22" t="s">
        <v>116</v>
      </c>
      <c r="E201" s="158">
        <v>19060</v>
      </c>
      <c r="F201" s="159">
        <v>105000</v>
      </c>
      <c r="G201" s="159">
        <v>2001300000</v>
      </c>
      <c r="H201" s="159">
        <v>200130000</v>
      </c>
      <c r="I201" s="159">
        <v>2201430000</v>
      </c>
      <c r="J201" s="159">
        <f>bargiri[[#This Row],[مقدار]]*INDEX(invoice[پیش دریافت به ازای هر کیلوگرم],MATCH(bargiri[[#This Row],[شماره سند مبنا]],invoice[شماره پیش فاکتور],0))</f>
        <v>1000650000</v>
      </c>
      <c r="K201" s="159">
        <f>bargiri[[#This Row],[مبلغ خالص]]-bargiri[[#This Row],[میزان استهلاک پیش دریافتی]]</f>
        <v>1200780000</v>
      </c>
      <c r="L201" s="160" t="s">
        <v>268</v>
      </c>
      <c r="M201" s="159">
        <v>458920000</v>
      </c>
      <c r="N201" s="159">
        <f>IF(bargiri[[#This Row],[مبلغ واریزی]]&lt;&gt;"",bargiri[[#This Row],[مانده مبلغ]]-bargiri[[#This Row],[مبلغ واریزی]],bargiri[[#This Row],[مانده مبلغ]])</f>
        <v>741860000</v>
      </c>
      <c r="O201" s="159">
        <v>0</v>
      </c>
      <c r="P201" s="159">
        <f>VLOOKUP(bargiri[[#This Row],[شماره سند مبنا]],invoice[[شماره پیش فاکتور]:[پیش دریافت به ازای هر کیلوگرم]],14,0)</f>
        <v>52500</v>
      </c>
      <c r="Q201" s="159">
        <f>IF(bargiri[[#This Row],[مبلغ ناخالص]]-(bargiri[[#This Row],[نرخ استهلاک]]*bargiri[[#This Row],[مقدار]])&lt;0,0,bargiri[[#This Row],[مبلغ ناخالص]]-(bargiri[[#This Row],[نرخ استهلاک]]*bargiri[[#This Row],[مقدار]]))</f>
        <v>1000650000</v>
      </c>
    </row>
    <row r="202" spans="1:17" s="22" customFormat="1" ht="13.8" x14ac:dyDescent="0.25">
      <c r="A202" s="22">
        <v>1269</v>
      </c>
      <c r="B202" s="22" t="s">
        <v>925</v>
      </c>
      <c r="C202" s="22" t="s">
        <v>463</v>
      </c>
      <c r="D202" s="22" t="s">
        <v>207</v>
      </c>
      <c r="E202" s="158">
        <v>6720</v>
      </c>
      <c r="F202" s="159">
        <v>142000</v>
      </c>
      <c r="G202" s="159">
        <v>954240000</v>
      </c>
      <c r="H202" s="159">
        <v>95424000</v>
      </c>
      <c r="I202" s="159">
        <v>1049664000</v>
      </c>
      <c r="J202" s="159">
        <f>bargiri[[#This Row],[مقدار]]*INDEX(invoice[پیش دریافت به ازای هر کیلوگرم],MATCH(bargiri[[#This Row],[شماره سند مبنا]],invoice[شماره پیش فاکتور],0))</f>
        <v>202316504.48548812</v>
      </c>
      <c r="K202" s="159">
        <f>bargiri[[#This Row],[مبلغ خالص]]-bargiri[[#This Row],[میزان استهلاک پیش دریافتی]]</f>
        <v>847347495.51451182</v>
      </c>
      <c r="L202" s="160" t="s">
        <v>278</v>
      </c>
      <c r="M202" s="159">
        <v>1092430625</v>
      </c>
      <c r="N202" s="159">
        <f>IF(bargiri[[#This Row],[مبلغ واریزی]]&lt;&gt;"",bargiri[[#This Row],[مانده مبلغ]]-bargiri[[#This Row],[مبلغ واریزی]],bargiri[[#This Row],[مانده مبلغ]])</f>
        <v>-245083129.48548818</v>
      </c>
      <c r="O202" s="159">
        <v>0</v>
      </c>
      <c r="P202" s="159">
        <f>VLOOKUP(bargiri[[#This Row],[شماره سند مبنا]],invoice[[شماره پیش فاکتور]:[پیش دریافت به ازای هر کیلوگرم]],14,0)</f>
        <v>30106.622691292876</v>
      </c>
      <c r="Q202" s="159">
        <f>IF(bargiri[[#This Row],[مبلغ ناخالص]]-(bargiri[[#This Row],[نرخ استهلاک]]*bargiri[[#This Row],[مقدار]])&lt;0,0,bargiri[[#This Row],[مبلغ ناخالص]]-(bargiri[[#This Row],[نرخ استهلاک]]*bargiri[[#This Row],[مقدار]]))</f>
        <v>751923495.51451182</v>
      </c>
    </row>
    <row r="203" spans="1:17" s="22" customFormat="1" ht="13.8" x14ac:dyDescent="0.25">
      <c r="A203" s="22">
        <v>1268</v>
      </c>
      <c r="B203" s="22" t="s">
        <v>931</v>
      </c>
      <c r="C203" s="22" t="s">
        <v>601</v>
      </c>
      <c r="D203" s="22" t="s">
        <v>25</v>
      </c>
      <c r="E203" s="158">
        <v>19415</v>
      </c>
      <c r="F203" s="159">
        <v>142000</v>
      </c>
      <c r="G203" s="159">
        <v>2756930000</v>
      </c>
      <c r="H203" s="159">
        <v>275693000</v>
      </c>
      <c r="I203" s="159">
        <v>3032623000</v>
      </c>
      <c r="J203" s="159">
        <f>bargiri[[#This Row],[مقدار]]*INDEX(invoice[پیش دریافت به ازای هر کیلوگرم],MATCH(bargiri[[#This Row],[شماره سند مبنا]],invoice[شماره پیش فاکتور],0))</f>
        <v>454893450</v>
      </c>
      <c r="K203" s="159">
        <f>bargiri[[#This Row],[مبلغ خالص]]-bargiri[[#This Row],[میزان استهلاک پیش دریافتی]]</f>
        <v>2577729550</v>
      </c>
      <c r="L203" s="160" t="s">
        <v>593</v>
      </c>
      <c r="M203" s="159" t="s">
        <v>593</v>
      </c>
      <c r="N203" s="159">
        <f>IF(bargiri[[#This Row],[مبلغ واریزی]]&lt;&gt;"",bargiri[[#This Row],[مانده مبلغ]]-bargiri[[#This Row],[مبلغ واریزی]],bargiri[[#This Row],[مانده مبلغ]])</f>
        <v>2577729550</v>
      </c>
      <c r="O203" s="159" t="s">
        <v>593</v>
      </c>
      <c r="P203" s="159">
        <f>VLOOKUP(bargiri[[#This Row],[شماره سند مبنا]],invoice[[شماره پیش فاکتور]:[پیش دریافت به ازای هر کیلوگرم]],14,0)</f>
        <v>23430</v>
      </c>
      <c r="Q203" s="159">
        <f>IF(bargiri[[#This Row],[مبلغ ناخالص]]-(bargiri[[#This Row],[نرخ استهلاک]]*bargiri[[#This Row],[مقدار]])&lt;0,0,bargiri[[#This Row],[مبلغ ناخالص]]-(bargiri[[#This Row],[نرخ استهلاک]]*bargiri[[#This Row],[مقدار]]))</f>
        <v>2302036550</v>
      </c>
    </row>
    <row r="204" spans="1:17" s="22" customFormat="1" ht="13.8" x14ac:dyDescent="0.25">
      <c r="A204" s="22">
        <v>1268</v>
      </c>
      <c r="B204" s="22" t="s">
        <v>931</v>
      </c>
      <c r="C204" s="22" t="s">
        <v>922</v>
      </c>
      <c r="D204" s="22" t="s">
        <v>25</v>
      </c>
      <c r="E204" s="158">
        <v>620</v>
      </c>
      <c r="F204" s="159">
        <v>167500</v>
      </c>
      <c r="G204" s="159">
        <v>103850000</v>
      </c>
      <c r="H204" s="159">
        <v>10385000</v>
      </c>
      <c r="I204" s="159">
        <v>114235000</v>
      </c>
      <c r="J204" s="159">
        <f>bargiri[[#This Row],[مقدار]]*INDEX(invoice[پیش دریافت به ازای هر کیلوگرم],MATCH(bargiri[[#This Row],[شماره سند مبنا]],invoice[شماره پیش فاکتور],0))</f>
        <v>114235000</v>
      </c>
      <c r="K204" s="159">
        <f>bargiri[[#This Row],[مبلغ خالص]]-bargiri[[#This Row],[میزان استهلاک پیش دریافتی]]</f>
        <v>0</v>
      </c>
      <c r="L204" s="160" t="s">
        <v>593</v>
      </c>
      <c r="M204" s="159" t="s">
        <v>593</v>
      </c>
      <c r="N204" s="159">
        <f>IF(bargiri[[#This Row],[مبلغ واریزی]]&lt;&gt;"",bargiri[[#This Row],[مانده مبلغ]]-bargiri[[#This Row],[مبلغ واریزی]],bargiri[[#This Row],[مانده مبلغ]])</f>
        <v>0</v>
      </c>
      <c r="O204" s="159" t="s">
        <v>593</v>
      </c>
      <c r="P204" s="159">
        <f>VLOOKUP(bargiri[[#This Row],[شماره سند مبنا]],invoice[[شماره پیش فاکتور]:[پیش دریافت به ازای هر کیلوگرم]],14,0)</f>
        <v>184250</v>
      </c>
      <c r="Q204" s="159">
        <f>IF(bargiri[[#This Row],[مبلغ ناخالص]]-(bargiri[[#This Row],[نرخ استهلاک]]*bargiri[[#This Row],[مقدار]])&lt;0,0,bargiri[[#This Row],[مبلغ ناخالص]]-(bargiri[[#This Row],[نرخ استهلاک]]*bargiri[[#This Row],[مقدار]]))</f>
        <v>0</v>
      </c>
    </row>
    <row r="205" spans="1:17" s="22" customFormat="1" ht="13.8" x14ac:dyDescent="0.25">
      <c r="A205" s="22">
        <v>1268</v>
      </c>
      <c r="B205" s="22" t="s">
        <v>931</v>
      </c>
      <c r="C205" s="22" t="s">
        <v>660</v>
      </c>
      <c r="D205" s="22" t="s">
        <v>25</v>
      </c>
      <c r="E205" s="158">
        <v>2525</v>
      </c>
      <c r="F205" s="159">
        <v>116500</v>
      </c>
      <c r="G205" s="159">
        <v>294162500</v>
      </c>
      <c r="H205" s="159">
        <v>29416250</v>
      </c>
      <c r="I205" s="159">
        <v>323578750</v>
      </c>
      <c r="J205" s="159">
        <f>bargiri[[#This Row],[مقدار]]*INDEX(invoice[پیش دریافت به ازای هر کیلوگرم],MATCH(bargiri[[#This Row],[شماره سند مبنا]],invoice[شماره پیش فاکتور],0))</f>
        <v>48536812.5</v>
      </c>
      <c r="K205" s="159">
        <f>bargiri[[#This Row],[مبلغ خالص]]-bargiri[[#This Row],[میزان استهلاک پیش دریافتی]]</f>
        <v>275041937.5</v>
      </c>
      <c r="L205" s="160" t="s">
        <v>593</v>
      </c>
      <c r="M205" s="159" t="s">
        <v>593</v>
      </c>
      <c r="N205" s="159">
        <f>IF(bargiri[[#This Row],[مبلغ واریزی]]&lt;&gt;"",bargiri[[#This Row],[مانده مبلغ]]-bargiri[[#This Row],[مبلغ واریزی]],bargiri[[#This Row],[مانده مبلغ]])</f>
        <v>275041937.5</v>
      </c>
      <c r="O205" s="159" t="s">
        <v>593</v>
      </c>
      <c r="P205" s="159">
        <f>VLOOKUP(bargiri[[#This Row],[شماره سند مبنا]],invoice[[شماره پیش فاکتور]:[پیش دریافت به ازای هر کیلوگرم]],14,0)</f>
        <v>19222.5</v>
      </c>
      <c r="Q205" s="159">
        <f>IF(bargiri[[#This Row],[مبلغ ناخالص]]-(bargiri[[#This Row],[نرخ استهلاک]]*bargiri[[#This Row],[مقدار]])&lt;0,0,bargiri[[#This Row],[مبلغ ناخالص]]-(bargiri[[#This Row],[نرخ استهلاک]]*bargiri[[#This Row],[مقدار]]))</f>
        <v>245625687.5</v>
      </c>
    </row>
    <row r="206" spans="1:17" s="22" customFormat="1" ht="13.8" x14ac:dyDescent="0.25">
      <c r="A206" s="22">
        <v>1267</v>
      </c>
      <c r="B206" s="22" t="s">
        <v>931</v>
      </c>
      <c r="C206" s="22" t="s">
        <v>189</v>
      </c>
      <c r="D206" s="22" t="s">
        <v>173</v>
      </c>
      <c r="E206" s="158">
        <v>20400</v>
      </c>
      <c r="F206" s="159">
        <v>75000</v>
      </c>
      <c r="G206" s="159">
        <v>1530000000</v>
      </c>
      <c r="H206" s="159">
        <v>153000000</v>
      </c>
      <c r="I206" s="159">
        <v>1683000000</v>
      </c>
      <c r="J206" s="159">
        <f>bargiri[[#This Row],[مقدار]]*INDEX(invoice[پیش دریافت به ازای هر کیلوگرم],MATCH(bargiri[[#This Row],[شماره سند مبنا]],invoice[شماره پیش فاکتور],0))</f>
        <v>252450000</v>
      </c>
      <c r="K206" s="159">
        <f>bargiri[[#This Row],[مبلغ خالص]]-bargiri[[#This Row],[میزان استهلاک پیش دریافتی]]</f>
        <v>1430550000</v>
      </c>
      <c r="L206" s="160" t="s">
        <v>593</v>
      </c>
      <c r="M206" s="159" t="s">
        <v>593</v>
      </c>
      <c r="N206" s="159">
        <f>IF(bargiri[[#This Row],[مبلغ واریزی]]&lt;&gt;"",bargiri[[#This Row],[مانده مبلغ]]-bargiri[[#This Row],[مبلغ واریزی]],bargiri[[#This Row],[مانده مبلغ]])</f>
        <v>1430550000</v>
      </c>
      <c r="O206" s="159" t="s">
        <v>593</v>
      </c>
      <c r="P206" s="159">
        <f>VLOOKUP(bargiri[[#This Row],[شماره سند مبنا]],invoice[[شماره پیش فاکتور]:[پیش دریافت به ازای هر کیلوگرم]],14,0)</f>
        <v>12375</v>
      </c>
      <c r="Q206" s="159">
        <f>IF(bargiri[[#This Row],[مبلغ ناخالص]]-(bargiri[[#This Row],[نرخ استهلاک]]*bargiri[[#This Row],[مقدار]])&lt;0,0,bargiri[[#This Row],[مبلغ ناخالص]]-(bargiri[[#This Row],[نرخ استهلاک]]*bargiri[[#This Row],[مقدار]]))</f>
        <v>1277550000</v>
      </c>
    </row>
    <row r="207" spans="1:17" s="22" customFormat="1" ht="13.8" x14ac:dyDescent="0.25">
      <c r="A207" s="22">
        <v>1267</v>
      </c>
      <c r="B207" s="22" t="s">
        <v>931</v>
      </c>
      <c r="C207" s="22" t="s">
        <v>893</v>
      </c>
      <c r="D207" s="22" t="s">
        <v>173</v>
      </c>
      <c r="E207" s="158">
        <v>2180</v>
      </c>
      <c r="F207" s="159">
        <v>135000</v>
      </c>
      <c r="G207" s="159">
        <v>294300000</v>
      </c>
      <c r="H207" s="159">
        <v>29430000</v>
      </c>
      <c r="I207" s="159">
        <v>323730000</v>
      </c>
      <c r="J207" s="159">
        <f>bargiri[[#This Row],[مقدار]]*INDEX(invoice[پیش دریافت به ازای هر کیلوگرم],MATCH(bargiri[[#This Row],[شماره سند مبنا]],invoice[شماره پیش فاکتور],0))</f>
        <v>64746000</v>
      </c>
      <c r="K207" s="159">
        <f>bargiri[[#This Row],[مبلغ خالص]]-bargiri[[#This Row],[میزان استهلاک پیش دریافتی]]</f>
        <v>258984000</v>
      </c>
      <c r="L207" s="160" t="s">
        <v>593</v>
      </c>
      <c r="M207" s="159" t="s">
        <v>593</v>
      </c>
      <c r="N207" s="159">
        <f>IF(bargiri[[#This Row],[مبلغ واریزی]]&lt;&gt;"",bargiri[[#This Row],[مانده مبلغ]]-bargiri[[#This Row],[مبلغ واریزی]],bargiri[[#This Row],[مانده مبلغ]])</f>
        <v>258984000</v>
      </c>
      <c r="O207" s="159" t="s">
        <v>593</v>
      </c>
      <c r="P207" s="159">
        <f>VLOOKUP(bargiri[[#This Row],[شماره سند مبنا]],invoice[[شماره پیش فاکتور]:[پیش دریافت به ازای هر کیلوگرم]],14,0)</f>
        <v>29700</v>
      </c>
      <c r="Q207" s="159">
        <f>IF(bargiri[[#This Row],[مبلغ ناخالص]]-(bargiri[[#This Row],[نرخ استهلاک]]*bargiri[[#This Row],[مقدار]])&lt;0,0,bargiri[[#This Row],[مبلغ ناخالص]]-(bargiri[[#This Row],[نرخ استهلاک]]*bargiri[[#This Row],[مقدار]]))</f>
        <v>229554000</v>
      </c>
    </row>
    <row r="208" spans="1:17" s="22" customFormat="1" ht="13.8" x14ac:dyDescent="0.25">
      <c r="A208" s="22">
        <v>1266</v>
      </c>
      <c r="B208" s="22" t="s">
        <v>931</v>
      </c>
      <c r="C208" s="22" t="s">
        <v>456</v>
      </c>
      <c r="D208" s="22" t="s">
        <v>213</v>
      </c>
      <c r="E208" s="158">
        <v>19740</v>
      </c>
      <c r="F208" s="159">
        <v>142000</v>
      </c>
      <c r="G208" s="159">
        <v>2803080000</v>
      </c>
      <c r="H208" s="159">
        <v>280308000</v>
      </c>
      <c r="I208" s="159">
        <v>3083388000</v>
      </c>
      <c r="J208" s="159">
        <f>bargiri[[#This Row],[مقدار]]*INDEX(invoice[پیش دریافت به ازای هر کیلوگرم],MATCH(bargiri[[#This Row],[شماره سند مبنا]],invoice[شماره پیش فاکتور],0))</f>
        <v>2342430098.7380705</v>
      </c>
      <c r="K208" s="159">
        <f>bargiri[[#This Row],[مبلغ خالص]]-bargiri[[#This Row],[میزان استهلاک پیش دریافتی]]</f>
        <v>740957901.26192951</v>
      </c>
      <c r="L208" s="160" t="s">
        <v>593</v>
      </c>
      <c r="M208" s="159" t="s">
        <v>593</v>
      </c>
      <c r="N208" s="159">
        <f>IF(bargiri[[#This Row],[مبلغ واریزی]]&lt;&gt;"",bargiri[[#This Row],[مانده مبلغ]]-bargiri[[#This Row],[مبلغ واریزی]],bargiri[[#This Row],[مانده مبلغ]])</f>
        <v>740957901.26192951</v>
      </c>
      <c r="O208" s="159" t="s">
        <v>593</v>
      </c>
      <c r="P208" s="159">
        <f>VLOOKUP(bargiri[[#This Row],[شماره سند مبنا]],invoice[[شماره پیش فاکتور]:[پیش دریافت به ازای هر کیلوگرم]],14,0)</f>
        <v>118664.13874053041</v>
      </c>
      <c r="Q208" s="159">
        <f>IF(bargiri[[#This Row],[مبلغ ناخالص]]-(bargiri[[#This Row],[نرخ استهلاک]]*bargiri[[#This Row],[مقدار]])&lt;0,0,bargiri[[#This Row],[مبلغ ناخالص]]-(bargiri[[#This Row],[نرخ استهلاک]]*bargiri[[#This Row],[مقدار]]))</f>
        <v>460649901.26192951</v>
      </c>
    </row>
    <row r="209" spans="1:17" s="22" customFormat="1" ht="13.8" x14ac:dyDescent="0.25">
      <c r="A209" s="22">
        <v>1265</v>
      </c>
      <c r="B209" s="22" t="s">
        <v>931</v>
      </c>
      <c r="C209" s="22" t="s">
        <v>603</v>
      </c>
      <c r="D209" s="22" t="s">
        <v>40</v>
      </c>
      <c r="E209" s="158">
        <v>18150</v>
      </c>
      <c r="F209" s="159">
        <v>142000</v>
      </c>
      <c r="G209" s="159">
        <v>2577300000</v>
      </c>
      <c r="H209" s="159">
        <v>257730000</v>
      </c>
      <c r="I209" s="159">
        <v>2835030000</v>
      </c>
      <c r="J209" s="159">
        <f>bargiri[[#This Row],[مقدار]]*INDEX(invoice[پیش دریافت به ازای هر کیلوگرم],MATCH(bargiri[[#This Row],[شماره سند مبنا]],invoice[شماره پیش فاکتور],0))</f>
        <v>1302464012.2511487</v>
      </c>
      <c r="K209" s="159">
        <f>bargiri[[#This Row],[مبلغ خالص]]-bargiri[[#This Row],[میزان استهلاک پیش دریافتی]]</f>
        <v>1532565987.7488513</v>
      </c>
      <c r="L209" s="160" t="s">
        <v>268</v>
      </c>
      <c r="M209" s="159">
        <v>580160000</v>
      </c>
      <c r="N209" s="159">
        <f>IF(bargiri[[#This Row],[مبلغ واریزی]]&lt;&gt;"",bargiri[[#This Row],[مانده مبلغ]]-bargiri[[#This Row],[مبلغ واریزی]],bargiri[[#This Row],[مانده مبلغ]])</f>
        <v>952405987.7488513</v>
      </c>
      <c r="O209" s="159">
        <v>0</v>
      </c>
      <c r="P209" s="159">
        <f>VLOOKUP(bargiri[[#This Row],[شماره سند مبنا]],invoice[[شماره پیش فاکتور]:[پیش دریافت به ازای هر کیلوگرم]],14,0)</f>
        <v>71761.102603369072</v>
      </c>
      <c r="Q209" s="159">
        <f>IF(bargiri[[#This Row],[مبلغ ناخالص]]-(bargiri[[#This Row],[نرخ استهلاک]]*bargiri[[#This Row],[مقدار]])&lt;0,0,bargiri[[#This Row],[مبلغ ناخالص]]-(bargiri[[#This Row],[نرخ استهلاک]]*bargiri[[#This Row],[مقدار]]))</f>
        <v>1274835987.7488513</v>
      </c>
    </row>
    <row r="210" spans="1:17" s="22" customFormat="1" ht="13.8" x14ac:dyDescent="0.25">
      <c r="A210" s="22">
        <v>1264</v>
      </c>
      <c r="B210" s="22" t="s">
        <v>931</v>
      </c>
      <c r="C210" s="22" t="s">
        <v>723</v>
      </c>
      <c r="D210" s="22" t="s">
        <v>116</v>
      </c>
      <c r="E210" s="158">
        <v>18910</v>
      </c>
      <c r="F210" s="159">
        <v>105000</v>
      </c>
      <c r="G210" s="159">
        <v>1985550000</v>
      </c>
      <c r="H210" s="159">
        <v>198555000</v>
      </c>
      <c r="I210" s="159">
        <v>2184105000</v>
      </c>
      <c r="J210" s="159">
        <f>bargiri[[#This Row],[مقدار]]*INDEX(invoice[پیش دریافت به ازای هر کیلوگرم],MATCH(bargiri[[#This Row],[شماره سند مبنا]],invoice[شماره پیش فاکتور],0))</f>
        <v>992775000</v>
      </c>
      <c r="K210" s="159">
        <f>bargiri[[#This Row],[مبلغ خالص]]-bargiri[[#This Row],[میزان استهلاک پیش دریافتی]]</f>
        <v>1191330000</v>
      </c>
      <c r="L210" s="160" t="s">
        <v>593</v>
      </c>
      <c r="M210" s="159" t="s">
        <v>593</v>
      </c>
      <c r="N210" s="159">
        <f>IF(bargiri[[#This Row],[مبلغ واریزی]]&lt;&gt;"",bargiri[[#This Row],[مانده مبلغ]]-bargiri[[#This Row],[مبلغ واریزی]],bargiri[[#This Row],[مانده مبلغ]])</f>
        <v>1191330000</v>
      </c>
      <c r="O210" s="159" t="s">
        <v>593</v>
      </c>
      <c r="P210" s="159">
        <f>VLOOKUP(bargiri[[#This Row],[شماره سند مبنا]],invoice[[شماره پیش فاکتور]:[پیش دریافت به ازای هر کیلوگرم]],14,0)</f>
        <v>52500</v>
      </c>
      <c r="Q210" s="159">
        <f>IF(bargiri[[#This Row],[مبلغ ناخالص]]-(bargiri[[#This Row],[نرخ استهلاک]]*bargiri[[#This Row],[مقدار]])&lt;0,0,bargiri[[#This Row],[مبلغ ناخالص]]-(bargiri[[#This Row],[نرخ استهلاک]]*bargiri[[#This Row],[مقدار]]))</f>
        <v>992775000</v>
      </c>
    </row>
    <row r="211" spans="1:17" s="22" customFormat="1" ht="13.8" x14ac:dyDescent="0.25">
      <c r="A211" s="22">
        <v>1262</v>
      </c>
      <c r="B211" s="22" t="s">
        <v>944</v>
      </c>
      <c r="C211" s="22" t="s">
        <v>720</v>
      </c>
      <c r="D211" s="22" t="s">
        <v>20</v>
      </c>
      <c r="E211" s="158">
        <v>18430</v>
      </c>
      <c r="F211" s="159">
        <v>105000</v>
      </c>
      <c r="G211" s="159">
        <v>1935150000</v>
      </c>
      <c r="H211" s="159">
        <v>193515000</v>
      </c>
      <c r="I211" s="159">
        <v>2128665000</v>
      </c>
      <c r="J211" s="159">
        <f>bargiri[[#This Row],[مقدار]]*INDEX(invoice[پیش دریافت به ازای هر کیلوگرم],MATCH(bargiri[[#This Row],[شماره سند مبنا]],invoice[شماره پیش فاکتور],0))</f>
        <v>967575000</v>
      </c>
      <c r="K211" s="159">
        <f>bargiri[[#This Row],[مبلغ خالص]]-bargiri[[#This Row],[میزان استهلاک پیش دریافتی]]</f>
        <v>1161090000</v>
      </c>
      <c r="L211" s="160" t="s">
        <v>593</v>
      </c>
      <c r="M211" s="159" t="s">
        <v>593</v>
      </c>
      <c r="N211" s="159">
        <f>IF(bargiri[[#This Row],[مبلغ واریزی]]&lt;&gt;"",bargiri[[#This Row],[مانده مبلغ]]-bargiri[[#This Row],[مبلغ واریزی]],bargiri[[#This Row],[مانده مبلغ]])</f>
        <v>1161090000</v>
      </c>
      <c r="O211" s="159" t="s">
        <v>593</v>
      </c>
      <c r="P211" s="159">
        <f>VLOOKUP(bargiri[[#This Row],[شماره سند مبنا]],invoice[[شماره پیش فاکتور]:[پیش دریافت به ازای هر کیلوگرم]],14,0)</f>
        <v>52500</v>
      </c>
      <c r="Q211" s="159">
        <f>IF(bargiri[[#This Row],[مبلغ ناخالص]]-(bargiri[[#This Row],[نرخ استهلاک]]*bargiri[[#This Row],[مقدار]])&lt;0,0,bargiri[[#This Row],[مبلغ ناخالص]]-(bargiri[[#This Row],[نرخ استهلاک]]*bargiri[[#This Row],[مقدار]]))</f>
        <v>967575000</v>
      </c>
    </row>
    <row r="212" spans="1:17" s="22" customFormat="1" ht="13.8" x14ac:dyDescent="0.25">
      <c r="A212" s="22">
        <v>1261</v>
      </c>
      <c r="B212" s="22" t="s">
        <v>944</v>
      </c>
      <c r="C212" s="22" t="s">
        <v>745</v>
      </c>
      <c r="D212" s="22" t="s">
        <v>221</v>
      </c>
      <c r="E212" s="158">
        <v>14500</v>
      </c>
      <c r="F212" s="159">
        <v>135000</v>
      </c>
      <c r="G212" s="159">
        <v>1957500000</v>
      </c>
      <c r="H212" s="159">
        <v>195750000</v>
      </c>
      <c r="I212" s="159">
        <v>2153250000</v>
      </c>
      <c r="J212" s="159">
        <f>bargiri[[#This Row],[مقدار]]*INDEX(invoice[پیش دریافت به ازای هر کیلوگرم],MATCH(bargiri[[#This Row],[شماره سند مبنا]],invoice[شماره پیش فاکتور],0))</f>
        <v>322987500</v>
      </c>
      <c r="K212" s="159">
        <f>bargiri[[#This Row],[مبلغ خالص]]-bargiri[[#This Row],[میزان استهلاک پیش دریافتی]]</f>
        <v>1830262500</v>
      </c>
      <c r="L212" s="160" t="s">
        <v>320</v>
      </c>
      <c r="M212" s="159">
        <v>1073380000</v>
      </c>
      <c r="N212" s="159">
        <f>IF(bargiri[[#This Row],[مبلغ واریزی]]&lt;&gt;"",bargiri[[#This Row],[مانده مبلغ]]-bargiri[[#This Row],[مبلغ واریزی]],bargiri[[#This Row],[مانده مبلغ]])</f>
        <v>756882500</v>
      </c>
      <c r="O212" s="159">
        <v>0</v>
      </c>
      <c r="P212" s="159">
        <f>VLOOKUP(bargiri[[#This Row],[شماره سند مبنا]],invoice[[شماره پیش فاکتور]:[پیش دریافت به ازای هر کیلوگرم]],14,0)</f>
        <v>22275</v>
      </c>
      <c r="Q212" s="159">
        <f>IF(bargiri[[#This Row],[مبلغ ناخالص]]-(bargiri[[#This Row],[نرخ استهلاک]]*bargiri[[#This Row],[مقدار]])&lt;0,0,bargiri[[#This Row],[مبلغ ناخالص]]-(bargiri[[#This Row],[نرخ استهلاک]]*bargiri[[#This Row],[مقدار]]))</f>
        <v>1634512500</v>
      </c>
    </row>
    <row r="213" spans="1:17" s="22" customFormat="1" ht="13.8" x14ac:dyDescent="0.25">
      <c r="A213" s="22">
        <v>1260</v>
      </c>
      <c r="B213" s="22" t="s">
        <v>944</v>
      </c>
      <c r="C213" s="22" t="s">
        <v>911</v>
      </c>
      <c r="D213" s="22" t="s">
        <v>25</v>
      </c>
      <c r="E213" s="158">
        <v>3440</v>
      </c>
      <c r="F213" s="159">
        <v>167500</v>
      </c>
      <c r="G213" s="159">
        <v>576200000</v>
      </c>
      <c r="H213" s="159">
        <v>57620000</v>
      </c>
      <c r="I213" s="159">
        <v>633820000</v>
      </c>
      <c r="J213" s="159">
        <f>bargiri[[#This Row],[مقدار]]*INDEX(invoice[پیش دریافت به ازای هر کیلوگرم],MATCH(bargiri[[#This Row],[شماره سند مبنا]],invoice[شماره پیش فاکتور],0))</f>
        <v>633820000</v>
      </c>
      <c r="K213" s="159">
        <f>bargiri[[#This Row],[مبلغ خالص]]-bargiri[[#This Row],[میزان استهلاک پیش دریافتی]]</f>
        <v>0</v>
      </c>
      <c r="L213" s="160" t="s">
        <v>185</v>
      </c>
      <c r="M213" s="159">
        <v>576960000</v>
      </c>
      <c r="N213" s="159">
        <f>IF(bargiri[[#This Row],[مبلغ واریزی]]&lt;&gt;"",bargiri[[#This Row],[مانده مبلغ]]-bargiri[[#This Row],[مبلغ واریزی]],bargiri[[#This Row],[مانده مبلغ]])</f>
        <v>-576960000</v>
      </c>
      <c r="O213" s="159">
        <v>0</v>
      </c>
      <c r="P213" s="159">
        <f>VLOOKUP(bargiri[[#This Row],[شماره سند مبنا]],invoice[[شماره پیش فاکتور]:[پیش دریافت به ازای هر کیلوگرم]],14,0)</f>
        <v>184250</v>
      </c>
      <c r="Q213" s="159">
        <f>IF(bargiri[[#This Row],[مبلغ ناخالص]]-(bargiri[[#This Row],[نرخ استهلاک]]*bargiri[[#This Row],[مقدار]])&lt;0,0,bargiri[[#This Row],[مبلغ ناخالص]]-(bargiri[[#This Row],[نرخ استهلاک]]*bargiri[[#This Row],[مقدار]]))</f>
        <v>0</v>
      </c>
    </row>
    <row r="214" spans="1:17" s="22" customFormat="1" ht="13.8" x14ac:dyDescent="0.25">
      <c r="A214" s="22">
        <v>1260</v>
      </c>
      <c r="B214" s="22" t="s">
        <v>944</v>
      </c>
      <c r="C214" s="22" t="s">
        <v>922</v>
      </c>
      <c r="D214" s="22" t="s">
        <v>25</v>
      </c>
      <c r="E214" s="158">
        <v>19380</v>
      </c>
      <c r="F214" s="159">
        <v>167500</v>
      </c>
      <c r="G214" s="159">
        <v>3246150000</v>
      </c>
      <c r="H214" s="159">
        <v>324615000</v>
      </c>
      <c r="I214" s="159">
        <v>3570765000</v>
      </c>
      <c r="J214" s="159">
        <f>bargiri[[#This Row],[مقدار]]*INDEX(invoice[پیش دریافت به ازای هر کیلوگرم],MATCH(bargiri[[#This Row],[شماره سند مبنا]],invoice[شماره پیش فاکتور],0))</f>
        <v>3570765000</v>
      </c>
      <c r="K214" s="159">
        <f>bargiri[[#This Row],[مبلغ خالص]]-bargiri[[#This Row],[میزان استهلاک پیش دریافتی]]</f>
        <v>0</v>
      </c>
      <c r="L214" s="160" t="s">
        <v>210</v>
      </c>
      <c r="M214" s="159">
        <v>576000000</v>
      </c>
      <c r="N214" s="159">
        <f>IF(bargiri[[#This Row],[مبلغ واریزی]]&lt;&gt;"",bargiri[[#This Row],[مانده مبلغ]]-bargiri[[#This Row],[مبلغ واریزی]],bargiri[[#This Row],[مانده مبلغ]])</f>
        <v>-576000000</v>
      </c>
      <c r="O214" s="159">
        <v>0</v>
      </c>
      <c r="P214" s="159">
        <f>VLOOKUP(bargiri[[#This Row],[شماره سند مبنا]],invoice[[شماره پیش فاکتور]:[پیش دریافت به ازای هر کیلوگرم]],14,0)</f>
        <v>184250</v>
      </c>
      <c r="Q214" s="159">
        <f>IF(bargiri[[#This Row],[مبلغ ناخالص]]-(bargiri[[#This Row],[نرخ استهلاک]]*bargiri[[#This Row],[مقدار]])&lt;0,0,bargiri[[#This Row],[مبلغ ناخالص]]-(bargiri[[#This Row],[نرخ استهلاک]]*bargiri[[#This Row],[مقدار]]))</f>
        <v>0</v>
      </c>
    </row>
    <row r="215" spans="1:17" s="22" customFormat="1" ht="13.8" x14ac:dyDescent="0.25">
      <c r="A215" s="22">
        <v>1259</v>
      </c>
      <c r="B215" s="22" t="s">
        <v>944</v>
      </c>
      <c r="C215" s="22" t="s">
        <v>458</v>
      </c>
      <c r="D215" s="22" t="s">
        <v>156</v>
      </c>
      <c r="E215" s="158">
        <v>10350</v>
      </c>
      <c r="F215" s="159">
        <v>142000</v>
      </c>
      <c r="G215" s="159">
        <v>1469700000</v>
      </c>
      <c r="H215" s="159">
        <v>146970000</v>
      </c>
      <c r="I215" s="159">
        <v>1616670000</v>
      </c>
      <c r="J215" s="159">
        <f>bargiri[[#This Row],[مقدار]]*INDEX(invoice[پیش دریافت به ازای هر کیلوگرم],MATCH(bargiri[[#This Row],[شماره سند مبنا]],invoice[شماره پیش فاکتور],0))</f>
        <v>292351262.83429444</v>
      </c>
      <c r="K215" s="159">
        <f>bargiri[[#This Row],[مبلغ خالص]]-bargiri[[#This Row],[میزان استهلاک پیش دریافتی]]</f>
        <v>1324318737.1657057</v>
      </c>
      <c r="L215" s="160" t="s">
        <v>593</v>
      </c>
      <c r="M215" s="159" t="s">
        <v>593</v>
      </c>
      <c r="N215" s="159">
        <f>IF(bargiri[[#This Row],[مبلغ واریزی]]&lt;&gt;"",bargiri[[#This Row],[مانده مبلغ]]-bargiri[[#This Row],[مبلغ واریزی]],bargiri[[#This Row],[مانده مبلغ]])</f>
        <v>1324318737.1657057</v>
      </c>
      <c r="O215" s="159" t="s">
        <v>593</v>
      </c>
      <c r="P215" s="159">
        <f>VLOOKUP(bargiri[[#This Row],[شماره سند مبنا]],invoice[[شماره پیش فاکتور]:[پیش دریافت به ازای هر کیلوگرم]],14,0)</f>
        <v>28246.498824569509</v>
      </c>
      <c r="Q215" s="159">
        <f>IF(bargiri[[#This Row],[مبلغ ناخالص]]-(bargiri[[#This Row],[نرخ استهلاک]]*bargiri[[#This Row],[مقدار]])&lt;0,0,bargiri[[#This Row],[مبلغ ناخالص]]-(bargiri[[#This Row],[نرخ استهلاک]]*bargiri[[#This Row],[مقدار]]))</f>
        <v>1177348737.1657057</v>
      </c>
    </row>
    <row r="216" spans="1:17" s="22" customFormat="1" ht="13.8" x14ac:dyDescent="0.25">
      <c r="A216" s="22">
        <v>1258</v>
      </c>
      <c r="B216" s="22" t="s">
        <v>953</v>
      </c>
      <c r="C216" s="22" t="s">
        <v>461</v>
      </c>
      <c r="D216" s="22" t="s">
        <v>35</v>
      </c>
      <c r="E216" s="158">
        <v>7130</v>
      </c>
      <c r="F216" s="159">
        <v>142000</v>
      </c>
      <c r="G216" s="159">
        <v>1012460000</v>
      </c>
      <c r="H216" s="159">
        <v>101246000</v>
      </c>
      <c r="I216" s="159">
        <v>1113706000</v>
      </c>
      <c r="J216" s="159">
        <f>bargiri[[#This Row],[مقدار]]*INDEX(invoice[پیش دریافت به ازای هر کیلوگرم],MATCH(bargiri[[#This Row],[شماره سند مبنا]],invoice[شماره پیش فاکتور],0))</f>
        <v>233994133.89510486</v>
      </c>
      <c r="K216" s="159">
        <f>bargiri[[#This Row],[مبلغ خالص]]-bargiri[[#This Row],[میزان استهلاک پیش دریافتی]]</f>
        <v>879711866.10489511</v>
      </c>
      <c r="L216" s="160" t="s">
        <v>593</v>
      </c>
      <c r="M216" s="159" t="s">
        <v>593</v>
      </c>
      <c r="N216" s="159">
        <f>IF(bargiri[[#This Row],[مبلغ واریزی]]&lt;&gt;"",bargiri[[#This Row],[مانده مبلغ]]-bargiri[[#This Row],[مبلغ واریزی]],bargiri[[#This Row],[مانده مبلغ]])</f>
        <v>879711866.10489511</v>
      </c>
      <c r="O216" s="159" t="s">
        <v>593</v>
      </c>
      <c r="P216" s="159">
        <f>VLOOKUP(bargiri[[#This Row],[شماره سند مبنا]],invoice[[شماره پیش فاکتور]:[پیش دریافت به ازای هر کیلوگرم]],14,0)</f>
        <v>32818.251598191426</v>
      </c>
      <c r="Q216" s="159">
        <f>IF(bargiri[[#This Row],[مبلغ ناخالص]]-(bargiri[[#This Row],[نرخ استهلاک]]*bargiri[[#This Row],[مقدار]])&lt;0,0,bargiri[[#This Row],[مبلغ ناخالص]]-(bargiri[[#This Row],[نرخ استهلاک]]*bargiri[[#This Row],[مقدار]]))</f>
        <v>778465866.10489511</v>
      </c>
    </row>
    <row r="217" spans="1:17" s="22" customFormat="1" ht="13.8" x14ac:dyDescent="0.25">
      <c r="A217" s="22">
        <v>1257</v>
      </c>
      <c r="B217" s="22" t="s">
        <v>956</v>
      </c>
      <c r="C217" s="22" t="s">
        <v>902</v>
      </c>
      <c r="D217" s="22" t="s">
        <v>67</v>
      </c>
      <c r="E217" s="158">
        <v>16280</v>
      </c>
      <c r="F217" s="159">
        <v>167500</v>
      </c>
      <c r="G217" s="159">
        <v>2726900000</v>
      </c>
      <c r="H217" s="159">
        <v>272690000</v>
      </c>
      <c r="I217" s="159">
        <v>2999590000</v>
      </c>
      <c r="J217" s="159">
        <f>bargiri[[#This Row],[مقدار]]*INDEX(invoice[پیش دریافت به ازای هر کیلوگرم],MATCH(bargiri[[#This Row],[شماره سند مبنا]],invoice[شماره پیش فاکتور],0))</f>
        <v>2999590000</v>
      </c>
      <c r="K217" s="159">
        <f>bargiri[[#This Row],[مبلغ خالص]]-bargiri[[#This Row],[میزان استهلاک پیش دریافتی]]</f>
        <v>0</v>
      </c>
      <c r="L217" s="160" t="s">
        <v>593</v>
      </c>
      <c r="M217" s="159" t="s">
        <v>593</v>
      </c>
      <c r="N217" s="159">
        <f>IF(bargiri[[#This Row],[مبلغ واریزی]]&lt;&gt;"",bargiri[[#This Row],[مانده مبلغ]]-bargiri[[#This Row],[مبلغ واریزی]],bargiri[[#This Row],[مانده مبلغ]])</f>
        <v>0</v>
      </c>
      <c r="O217" s="159" t="s">
        <v>593</v>
      </c>
      <c r="P217" s="159">
        <f>VLOOKUP(bargiri[[#This Row],[شماره سند مبنا]],invoice[[شماره پیش فاکتور]:[پیش دریافت به ازای هر کیلوگرم]],14,0)</f>
        <v>184250</v>
      </c>
      <c r="Q217" s="159">
        <f>IF(bargiri[[#This Row],[مبلغ ناخالص]]-(bargiri[[#This Row],[نرخ استهلاک]]*bargiri[[#This Row],[مقدار]])&lt;0,0,bargiri[[#This Row],[مبلغ ناخالص]]-(bargiri[[#This Row],[نرخ استهلاک]]*bargiri[[#This Row],[مقدار]]))</f>
        <v>0</v>
      </c>
    </row>
    <row r="218" spans="1:17" s="22" customFormat="1" ht="13.8" x14ac:dyDescent="0.25">
      <c r="A218" s="22">
        <v>1256</v>
      </c>
      <c r="B218" s="22" t="s">
        <v>956</v>
      </c>
      <c r="C218" s="22" t="s">
        <v>463</v>
      </c>
      <c r="D218" s="22" t="s">
        <v>207</v>
      </c>
      <c r="E218" s="158">
        <v>6860</v>
      </c>
      <c r="F218" s="159">
        <v>142000</v>
      </c>
      <c r="G218" s="159">
        <v>974120000</v>
      </c>
      <c r="H218" s="159">
        <v>97412000</v>
      </c>
      <c r="I218" s="159">
        <v>1071532000</v>
      </c>
      <c r="J218" s="159">
        <f>bargiri[[#This Row],[مقدار]]*INDEX(invoice[پیش دریافت به ازای هر کیلوگرم],MATCH(bargiri[[#This Row],[شماره سند مبنا]],invoice[شماره پیش فاکتور],0))</f>
        <v>206531431.66226912</v>
      </c>
      <c r="K218" s="159">
        <f>bargiri[[#This Row],[مبلغ خالص]]-bargiri[[#This Row],[میزان استهلاک پیش دریافتی]]</f>
        <v>865000568.33773088</v>
      </c>
      <c r="L218" s="160" t="s">
        <v>593</v>
      </c>
      <c r="M218" s="159" t="s">
        <v>593</v>
      </c>
      <c r="N218" s="159">
        <f>IF(bargiri[[#This Row],[مبلغ واریزی]]&lt;&gt;"",bargiri[[#This Row],[مانده مبلغ]]-bargiri[[#This Row],[مبلغ واریزی]],bargiri[[#This Row],[مانده مبلغ]])</f>
        <v>865000568.33773088</v>
      </c>
      <c r="O218" s="159" t="s">
        <v>593</v>
      </c>
      <c r="P218" s="159">
        <f>VLOOKUP(bargiri[[#This Row],[شماره سند مبنا]],invoice[[شماره پیش فاکتور]:[پیش دریافت به ازای هر کیلوگرم]],14,0)</f>
        <v>30106.622691292876</v>
      </c>
      <c r="Q218" s="159">
        <f>IF(bargiri[[#This Row],[مبلغ ناخالص]]-(bargiri[[#This Row],[نرخ استهلاک]]*bargiri[[#This Row],[مقدار]])&lt;0,0,bargiri[[#This Row],[مبلغ ناخالص]]-(bargiri[[#This Row],[نرخ استهلاک]]*bargiri[[#This Row],[مقدار]]))</f>
        <v>767588568.33773088</v>
      </c>
    </row>
    <row r="219" spans="1:17" s="22" customFormat="1" ht="13.8" x14ac:dyDescent="0.25">
      <c r="A219" s="22">
        <v>1255</v>
      </c>
      <c r="B219" s="22" t="s">
        <v>957</v>
      </c>
      <c r="C219" s="22" t="s">
        <v>208</v>
      </c>
      <c r="D219" s="22" t="s">
        <v>30</v>
      </c>
      <c r="E219" s="158">
        <v>11540</v>
      </c>
      <c r="F219" s="159">
        <v>89000</v>
      </c>
      <c r="G219" s="159">
        <v>1027060000</v>
      </c>
      <c r="H219" s="159">
        <v>102706000</v>
      </c>
      <c r="I219" s="159">
        <v>1129766000</v>
      </c>
      <c r="J219" s="159">
        <f>bargiri[[#This Row],[مقدار]]*INDEX(invoice[پیش دریافت به ازای هر کیلوگرم],MATCH(bargiri[[#This Row],[شماره سند مبنا]],invoice[شماره پیش فاکتور],0))</f>
        <v>1129766000</v>
      </c>
      <c r="K219" s="159">
        <f>bargiri[[#This Row],[مبلغ خالص]]-bargiri[[#This Row],[میزان استهلاک پیش دریافتی]]</f>
        <v>0</v>
      </c>
      <c r="L219" s="160" t="s">
        <v>593</v>
      </c>
      <c r="M219" s="159" t="s">
        <v>593</v>
      </c>
      <c r="N219" s="159">
        <f>IF(bargiri[[#This Row],[مبلغ واریزی]]&lt;&gt;"",bargiri[[#This Row],[مانده مبلغ]]-bargiri[[#This Row],[مبلغ واریزی]],bargiri[[#This Row],[مانده مبلغ]])</f>
        <v>0</v>
      </c>
      <c r="O219" s="159" t="s">
        <v>593</v>
      </c>
      <c r="P219" s="159">
        <f>VLOOKUP(bargiri[[#This Row],[شماره سند مبنا]],invoice[[شماره پیش فاکتور]:[پیش دریافت به ازای هر کیلوگرم]],14,0)</f>
        <v>97900</v>
      </c>
      <c r="Q219" s="159">
        <f>IF(bargiri[[#This Row],[مبلغ ناخالص]]-(bargiri[[#This Row],[نرخ استهلاک]]*bargiri[[#This Row],[مقدار]])&lt;0,0,bargiri[[#This Row],[مبلغ ناخالص]]-(bargiri[[#This Row],[نرخ استهلاک]]*bargiri[[#This Row],[مقدار]]))</f>
        <v>0</v>
      </c>
    </row>
    <row r="220" spans="1:17" s="22" customFormat="1" ht="13.8" x14ac:dyDescent="0.25">
      <c r="A220" s="22">
        <v>1254</v>
      </c>
      <c r="B220" s="22" t="s">
        <v>957</v>
      </c>
      <c r="C220" s="22" t="s">
        <v>605</v>
      </c>
      <c r="D220" s="22" t="s">
        <v>70</v>
      </c>
      <c r="E220" s="158">
        <v>20460</v>
      </c>
      <c r="F220" s="159">
        <v>0</v>
      </c>
      <c r="G220" s="159">
        <v>0</v>
      </c>
      <c r="H220" s="159">
        <v>0</v>
      </c>
      <c r="I220" s="159">
        <v>0</v>
      </c>
      <c r="J220" s="159">
        <f>bargiri[[#This Row],[مقدار]]*INDEX(invoice[پیش دریافت به ازای هر کیلوگرم],MATCH(bargiri[[#This Row],[شماره سند مبنا]],invoice[شماره پیش فاکتور],0))</f>
        <v>479377800</v>
      </c>
      <c r="K220" s="159">
        <f>bargiri[[#This Row],[مبلغ خالص]]-bargiri[[#This Row],[میزان استهلاک پیش دریافتی]]</f>
        <v>-479377800</v>
      </c>
      <c r="L220" s="160" t="s">
        <v>593</v>
      </c>
      <c r="M220" s="159" t="s">
        <v>593</v>
      </c>
      <c r="N220" s="159">
        <f>IF(bargiri[[#This Row],[مبلغ واریزی]]&lt;&gt;"",bargiri[[#This Row],[مانده مبلغ]]-bargiri[[#This Row],[مبلغ واریزی]],bargiri[[#This Row],[مانده مبلغ]])</f>
        <v>-479377800</v>
      </c>
      <c r="O220" s="159" t="s">
        <v>593</v>
      </c>
      <c r="P220" s="159">
        <f>VLOOKUP(bargiri[[#This Row],[شماره سند مبنا]],invoice[[شماره پیش فاکتور]:[پیش دریافت به ازای هر کیلوگرم]],14,0)</f>
        <v>23430</v>
      </c>
      <c r="Q220" s="159">
        <f>IF(bargiri[[#This Row],[مبلغ ناخالص]]-(bargiri[[#This Row],[نرخ استهلاک]]*bargiri[[#This Row],[مقدار]])&lt;0,0,bargiri[[#This Row],[مبلغ ناخالص]]-(bargiri[[#This Row],[نرخ استهلاک]]*bargiri[[#This Row],[مقدار]]))</f>
        <v>0</v>
      </c>
    </row>
    <row r="221" spans="1:17" s="22" customFormat="1" ht="13.8" x14ac:dyDescent="0.25">
      <c r="A221" s="22">
        <v>1253</v>
      </c>
      <c r="B221" s="22" t="s">
        <v>957</v>
      </c>
      <c r="C221" s="22" t="s">
        <v>606</v>
      </c>
      <c r="D221" s="22" t="s">
        <v>219</v>
      </c>
      <c r="E221" s="158">
        <v>18830</v>
      </c>
      <c r="F221" s="159">
        <v>142000</v>
      </c>
      <c r="G221" s="159">
        <v>2673860000</v>
      </c>
      <c r="H221" s="159">
        <v>267386000</v>
      </c>
      <c r="I221" s="159">
        <v>2941246000</v>
      </c>
      <c r="J221" s="159">
        <f>bargiri[[#This Row],[مقدار]]*INDEX(invoice[پیش دریافت به ازای هر کیلوگرم],MATCH(bargiri[[#This Row],[شماره سند مبنا]],invoice[شماره پیش فاکتور],0))</f>
        <v>818066343.52941191</v>
      </c>
      <c r="K221" s="159">
        <f>bargiri[[#This Row],[مبلغ خالص]]-bargiri[[#This Row],[میزان استهلاک پیش دریافتی]]</f>
        <v>2123179656.4705882</v>
      </c>
      <c r="L221" s="160" t="s">
        <v>593</v>
      </c>
      <c r="M221" s="159" t="s">
        <v>593</v>
      </c>
      <c r="N221" s="159">
        <f>IF(bargiri[[#This Row],[مبلغ واریزی]]&lt;&gt;"",bargiri[[#This Row],[مانده مبلغ]]-bargiri[[#This Row],[مبلغ واریزی]],bargiri[[#This Row],[مانده مبلغ]])</f>
        <v>2123179656.4705882</v>
      </c>
      <c r="O221" s="159" t="s">
        <v>593</v>
      </c>
      <c r="P221" s="159">
        <f>VLOOKUP(bargiri[[#This Row],[شماره سند مبنا]],invoice[[شماره پیش فاکتور]:[پیش دریافت به ازای هر کیلوگرم]],14,0)</f>
        <v>43444.840336134461</v>
      </c>
      <c r="Q221" s="159">
        <f>IF(bargiri[[#This Row],[مبلغ ناخالص]]-(bargiri[[#This Row],[نرخ استهلاک]]*bargiri[[#This Row],[مقدار]])&lt;0,0,bargiri[[#This Row],[مبلغ ناخالص]]-(bargiri[[#This Row],[نرخ استهلاک]]*bargiri[[#This Row],[مقدار]]))</f>
        <v>1855793656.4705882</v>
      </c>
    </row>
    <row r="222" spans="1:17" s="22" customFormat="1" ht="13.8" x14ac:dyDescent="0.25">
      <c r="A222" s="22">
        <v>1252</v>
      </c>
      <c r="B222" s="22" t="s">
        <v>929</v>
      </c>
      <c r="C222" s="22" t="s">
        <v>723</v>
      </c>
      <c r="D222" s="22" t="s">
        <v>116</v>
      </c>
      <c r="E222" s="158">
        <v>18410</v>
      </c>
      <c r="F222" s="159">
        <v>105000</v>
      </c>
      <c r="G222" s="159">
        <v>1933050000</v>
      </c>
      <c r="H222" s="159">
        <v>193305000</v>
      </c>
      <c r="I222" s="159">
        <v>2126355000</v>
      </c>
      <c r="J222" s="159">
        <f>bargiri[[#This Row],[مقدار]]*INDEX(invoice[پیش دریافت به ازای هر کیلوگرم],MATCH(bargiri[[#This Row],[شماره سند مبنا]],invoice[شماره پیش فاکتور],0))</f>
        <v>966525000</v>
      </c>
      <c r="K222" s="159">
        <f>bargiri[[#This Row],[مبلغ خالص]]-bargiri[[#This Row],[میزان استهلاک پیش دریافتی]]</f>
        <v>1159830000</v>
      </c>
      <c r="L222" s="160" t="s">
        <v>593</v>
      </c>
      <c r="M222" s="159" t="s">
        <v>593</v>
      </c>
      <c r="N222" s="159">
        <f>IF(bargiri[[#This Row],[مبلغ واریزی]]&lt;&gt;"",bargiri[[#This Row],[مانده مبلغ]]-bargiri[[#This Row],[مبلغ واریزی]],bargiri[[#This Row],[مانده مبلغ]])</f>
        <v>1159830000</v>
      </c>
      <c r="O222" s="159" t="s">
        <v>593</v>
      </c>
      <c r="P222" s="159">
        <f>VLOOKUP(bargiri[[#This Row],[شماره سند مبنا]],invoice[[شماره پیش فاکتور]:[پیش دریافت به ازای هر کیلوگرم]],14,0)</f>
        <v>52500</v>
      </c>
      <c r="Q222" s="159">
        <f>IF(bargiri[[#This Row],[مبلغ ناخالص]]-(bargiri[[#This Row],[نرخ استهلاک]]*bargiri[[#This Row],[مقدار]])&lt;0,0,bargiri[[#This Row],[مبلغ ناخالص]]-(bargiri[[#This Row],[نرخ استهلاک]]*bargiri[[#This Row],[مقدار]]))</f>
        <v>966525000</v>
      </c>
    </row>
    <row r="223" spans="1:17" s="22" customFormat="1" ht="13.8" x14ac:dyDescent="0.25">
      <c r="A223" s="22">
        <v>1251</v>
      </c>
      <c r="B223" s="22" t="s">
        <v>929</v>
      </c>
      <c r="C223" s="22" t="s">
        <v>644</v>
      </c>
      <c r="D223" s="22" t="s">
        <v>67</v>
      </c>
      <c r="E223" s="158">
        <v>5360</v>
      </c>
      <c r="F223" s="159">
        <v>95000</v>
      </c>
      <c r="G223" s="159">
        <v>509200000</v>
      </c>
      <c r="H223" s="159">
        <v>50920000</v>
      </c>
      <c r="I223" s="159">
        <v>560120000</v>
      </c>
      <c r="J223" s="159">
        <f>bargiri[[#This Row],[مقدار]]*INDEX(invoice[پیش دریافت به ازای هر کیلوگرم],MATCH(bargiri[[#This Row],[شماره سند مبنا]],invoice[شماره پیش فاکتور],0))</f>
        <v>162974899.75697741</v>
      </c>
      <c r="K223" s="159">
        <f>bargiri[[#This Row],[مبلغ خالص]]-bargiri[[#This Row],[میزان استهلاک پیش دریافتی]]</f>
        <v>397145100.24302256</v>
      </c>
      <c r="L223" s="160" t="s">
        <v>298</v>
      </c>
      <c r="M223" s="159">
        <v>1265055000</v>
      </c>
      <c r="N223" s="159">
        <f>IF(bargiri[[#This Row],[مبلغ واریزی]]&lt;&gt;"",bargiri[[#This Row],[مانده مبلغ]]-bargiri[[#This Row],[مبلغ واریزی]],bargiri[[#This Row],[مانده مبلغ]])</f>
        <v>-867909899.75697744</v>
      </c>
      <c r="O223" s="159">
        <v>0</v>
      </c>
      <c r="P223" s="159">
        <f>VLOOKUP(bargiri[[#This Row],[شماره سند مبنا]],invoice[[شماره پیش فاکتور]:[پیش دریافت به ازای هر کیلوگرم]],14,0)</f>
        <v>30405.764880033101</v>
      </c>
      <c r="Q223" s="159">
        <f>IF(bargiri[[#This Row],[مبلغ ناخالص]]-(bargiri[[#This Row],[نرخ استهلاک]]*bargiri[[#This Row],[مقدار]])&lt;0,0,bargiri[[#This Row],[مبلغ ناخالص]]-(bargiri[[#This Row],[نرخ استهلاک]]*bargiri[[#This Row],[مقدار]]))</f>
        <v>346225100.24302256</v>
      </c>
    </row>
    <row r="224" spans="1:17" s="22" customFormat="1" ht="13.8" x14ac:dyDescent="0.25">
      <c r="A224" s="22">
        <v>1250</v>
      </c>
      <c r="B224" s="22" t="s">
        <v>929</v>
      </c>
      <c r="C224" s="22" t="s">
        <v>709</v>
      </c>
      <c r="D224" s="22" t="s">
        <v>43</v>
      </c>
      <c r="E224" s="158">
        <v>4160</v>
      </c>
      <c r="F224" s="159">
        <v>111000</v>
      </c>
      <c r="G224" s="159">
        <v>461760000</v>
      </c>
      <c r="H224" s="159">
        <v>46176000</v>
      </c>
      <c r="I224" s="159">
        <v>507936000</v>
      </c>
      <c r="J224" s="159">
        <f>bargiri[[#This Row],[مقدار]]*INDEX(invoice[پیش دریافت به ازای هر کیلوگرم],MATCH(bargiri[[#This Row],[شماره سند مبنا]],invoice[شماره پیش فاکتور],0))</f>
        <v>355555200</v>
      </c>
      <c r="K224" s="159">
        <f>bargiri[[#This Row],[مبلغ خالص]]-bargiri[[#This Row],[میزان استهلاک پیش دریافتی]]</f>
        <v>152380800</v>
      </c>
      <c r="L224" s="160" t="s">
        <v>593</v>
      </c>
      <c r="M224" s="159" t="s">
        <v>593</v>
      </c>
      <c r="N224" s="159">
        <f>IF(bargiri[[#This Row],[مبلغ واریزی]]&lt;&gt;"",bargiri[[#This Row],[مانده مبلغ]]-bargiri[[#This Row],[مبلغ واریزی]],bargiri[[#This Row],[مانده مبلغ]])</f>
        <v>152380800</v>
      </c>
      <c r="O224" s="159" t="s">
        <v>593</v>
      </c>
      <c r="P224" s="159">
        <f>VLOOKUP(bargiri[[#This Row],[شماره سند مبنا]],invoice[[شماره پیش فاکتور]:[پیش دریافت به ازای هر کیلوگرم]],14,0)</f>
        <v>85470</v>
      </c>
      <c r="Q224" s="159">
        <f>IF(bargiri[[#This Row],[مبلغ ناخالص]]-(bargiri[[#This Row],[نرخ استهلاک]]*bargiri[[#This Row],[مقدار]])&lt;0,0,bargiri[[#This Row],[مبلغ ناخالص]]-(bargiri[[#This Row],[نرخ استهلاک]]*bargiri[[#This Row],[مقدار]]))</f>
        <v>106204800</v>
      </c>
    </row>
    <row r="225" spans="1:17" s="22" customFormat="1" ht="13.8" x14ac:dyDescent="0.25">
      <c r="A225" s="22">
        <v>1249</v>
      </c>
      <c r="B225" s="22" t="s">
        <v>929</v>
      </c>
      <c r="C225" s="22" t="s">
        <v>720</v>
      </c>
      <c r="D225" s="22" t="s">
        <v>20</v>
      </c>
      <c r="E225" s="158">
        <v>19430</v>
      </c>
      <c r="F225" s="159">
        <v>105000</v>
      </c>
      <c r="G225" s="159">
        <v>2040150000</v>
      </c>
      <c r="H225" s="159">
        <v>204015000</v>
      </c>
      <c r="I225" s="159">
        <v>2244165000</v>
      </c>
      <c r="J225" s="159">
        <f>bargiri[[#This Row],[مقدار]]*INDEX(invoice[پیش دریافت به ازای هر کیلوگرم],MATCH(bargiri[[#This Row],[شماره سند مبنا]],invoice[شماره پیش فاکتور],0))</f>
        <v>1020075000</v>
      </c>
      <c r="K225" s="159">
        <f>bargiri[[#This Row],[مبلغ خالص]]-bargiri[[#This Row],[میزان استهلاک پیش دریافتی]]</f>
        <v>1224090000</v>
      </c>
      <c r="L225" s="160" t="s">
        <v>387</v>
      </c>
      <c r="M225" s="159">
        <v>1066240000</v>
      </c>
      <c r="N225" s="159">
        <f>IF(bargiri[[#This Row],[مبلغ واریزی]]&lt;&gt;"",bargiri[[#This Row],[مانده مبلغ]]-bargiri[[#This Row],[مبلغ واریزی]],bargiri[[#This Row],[مانده مبلغ]])</f>
        <v>157850000</v>
      </c>
      <c r="O225" s="159">
        <v>0</v>
      </c>
      <c r="P225" s="159">
        <f>VLOOKUP(bargiri[[#This Row],[شماره سند مبنا]],invoice[[شماره پیش فاکتور]:[پیش دریافت به ازای هر کیلوگرم]],14,0)</f>
        <v>52500</v>
      </c>
      <c r="Q225" s="159">
        <f>IF(bargiri[[#This Row],[مبلغ ناخالص]]-(bargiri[[#This Row],[نرخ استهلاک]]*bargiri[[#This Row],[مقدار]])&lt;0,0,bargiri[[#This Row],[مبلغ ناخالص]]-(bargiri[[#This Row],[نرخ استهلاک]]*bargiri[[#This Row],[مقدار]]))</f>
        <v>1020075000</v>
      </c>
    </row>
    <row r="226" spans="1:17" s="22" customFormat="1" ht="13.8" x14ac:dyDescent="0.25">
      <c r="A226" s="22">
        <v>1248</v>
      </c>
      <c r="B226" s="22" t="s">
        <v>958</v>
      </c>
      <c r="C226" s="22" t="s">
        <v>709</v>
      </c>
      <c r="D226" s="22" t="s">
        <v>43</v>
      </c>
      <c r="E226" s="158">
        <v>5640</v>
      </c>
      <c r="F226" s="159">
        <v>111000</v>
      </c>
      <c r="G226" s="159">
        <v>626040000</v>
      </c>
      <c r="H226" s="159">
        <v>62604000</v>
      </c>
      <c r="I226" s="159">
        <v>688644000</v>
      </c>
      <c r="J226" s="159">
        <f>bargiri[[#This Row],[مقدار]]*INDEX(invoice[پیش دریافت به ازای هر کیلوگرم],MATCH(bargiri[[#This Row],[شماره سند مبنا]],invoice[شماره پیش فاکتور],0))</f>
        <v>482050800</v>
      </c>
      <c r="K226" s="159">
        <f>bargiri[[#This Row],[مبلغ خالص]]-bargiri[[#This Row],[میزان استهلاک پیش دریافتی]]</f>
        <v>206593200</v>
      </c>
      <c r="L226" s="160" t="s">
        <v>268</v>
      </c>
      <c r="M226" s="159">
        <v>1261198125</v>
      </c>
      <c r="N226" s="159">
        <f>IF(bargiri[[#This Row],[مبلغ واریزی]]&lt;&gt;"",bargiri[[#This Row],[مانده مبلغ]]-bargiri[[#This Row],[مبلغ واریزی]],bargiri[[#This Row],[مانده مبلغ]])</f>
        <v>-1054604925</v>
      </c>
      <c r="O226" s="159">
        <v>0</v>
      </c>
      <c r="P226" s="159">
        <f>VLOOKUP(bargiri[[#This Row],[شماره سند مبنا]],invoice[[شماره پیش فاکتور]:[پیش دریافت به ازای هر کیلوگرم]],14,0)</f>
        <v>85470</v>
      </c>
      <c r="Q226" s="159">
        <f>IF(bargiri[[#This Row],[مبلغ ناخالص]]-(bargiri[[#This Row],[نرخ استهلاک]]*bargiri[[#This Row],[مقدار]])&lt;0,0,bargiri[[#This Row],[مبلغ ناخالص]]-(bargiri[[#This Row],[نرخ استهلاک]]*bargiri[[#This Row],[مقدار]]))</f>
        <v>143989200</v>
      </c>
    </row>
    <row r="227" spans="1:17" s="22" customFormat="1" ht="13.8" x14ac:dyDescent="0.25">
      <c r="A227" s="22">
        <v>1247</v>
      </c>
      <c r="B227" s="22" t="s">
        <v>958</v>
      </c>
      <c r="C227" s="22" t="s">
        <v>461</v>
      </c>
      <c r="D227" s="22" t="s">
        <v>35</v>
      </c>
      <c r="E227" s="158">
        <v>7110</v>
      </c>
      <c r="F227" s="159">
        <v>142000</v>
      </c>
      <c r="G227" s="159">
        <v>1009620000</v>
      </c>
      <c r="H227" s="159">
        <v>100962000</v>
      </c>
      <c r="I227" s="159">
        <v>1110582000</v>
      </c>
      <c r="J227" s="159">
        <f>bargiri[[#This Row],[مقدار]]*INDEX(invoice[پیش دریافت به ازای هر کیلوگرم],MATCH(bargiri[[#This Row],[شماره سند مبنا]],invoice[شماره پیش فاکتور],0))</f>
        <v>233337768.86314103</v>
      </c>
      <c r="K227" s="159">
        <f>bargiri[[#This Row],[مبلغ خالص]]-bargiri[[#This Row],[میزان استهلاک پیش دریافتی]]</f>
        <v>877244231.13685894</v>
      </c>
      <c r="L227" s="160" t="s">
        <v>593</v>
      </c>
      <c r="M227" s="159" t="s">
        <v>593</v>
      </c>
      <c r="N227" s="159">
        <f>IF(bargiri[[#This Row],[مبلغ واریزی]]&lt;&gt;"",bargiri[[#This Row],[مانده مبلغ]]-bargiri[[#This Row],[مبلغ واریزی]],bargiri[[#This Row],[مانده مبلغ]])</f>
        <v>877244231.13685894</v>
      </c>
      <c r="O227" s="159" t="s">
        <v>593</v>
      </c>
      <c r="P227" s="159">
        <f>VLOOKUP(bargiri[[#This Row],[شماره سند مبنا]],invoice[[شماره پیش فاکتور]:[پیش دریافت به ازای هر کیلوگرم]],14,0)</f>
        <v>32818.251598191426</v>
      </c>
      <c r="Q227" s="159">
        <f>IF(bargiri[[#This Row],[مبلغ ناخالص]]-(bargiri[[#This Row],[نرخ استهلاک]]*bargiri[[#This Row],[مقدار]])&lt;0,0,bargiri[[#This Row],[مبلغ ناخالص]]-(bargiri[[#This Row],[نرخ استهلاک]]*bargiri[[#This Row],[مقدار]]))</f>
        <v>776282231.13685894</v>
      </c>
    </row>
    <row r="228" spans="1:17" s="22" customFormat="1" ht="13.8" x14ac:dyDescent="0.25">
      <c r="A228" s="22">
        <v>1246</v>
      </c>
      <c r="B228" s="22" t="s">
        <v>958</v>
      </c>
      <c r="C228" s="22" t="s">
        <v>616</v>
      </c>
      <c r="D228" s="22" t="s">
        <v>67</v>
      </c>
      <c r="E228" s="158">
        <v>16080</v>
      </c>
      <c r="F228" s="159">
        <v>142000</v>
      </c>
      <c r="G228" s="159">
        <v>2283360000</v>
      </c>
      <c r="H228" s="159">
        <v>228336000</v>
      </c>
      <c r="I228" s="159">
        <v>2511696000</v>
      </c>
      <c r="J228" s="159">
        <f>bargiri[[#This Row],[مقدار]]*INDEX(invoice[پیش دریافت به ازای هر کیلوگرم],MATCH(bargiri[[#This Row],[شماره سند مبنا]],invoice[شماره پیش فاکتور],0))</f>
        <v>376754400</v>
      </c>
      <c r="K228" s="159">
        <f>bargiri[[#This Row],[مبلغ خالص]]-bargiri[[#This Row],[میزان استهلاک پیش دریافتی]]</f>
        <v>2134941600</v>
      </c>
      <c r="L228" s="160" t="s">
        <v>593</v>
      </c>
      <c r="M228" s="159" t="s">
        <v>593</v>
      </c>
      <c r="N228" s="159">
        <f>IF(bargiri[[#This Row],[مبلغ واریزی]]&lt;&gt;"",bargiri[[#This Row],[مانده مبلغ]]-bargiri[[#This Row],[مبلغ واریزی]],bargiri[[#This Row],[مانده مبلغ]])</f>
        <v>2134941600</v>
      </c>
      <c r="O228" s="159" t="s">
        <v>593</v>
      </c>
      <c r="P228" s="159">
        <f>VLOOKUP(bargiri[[#This Row],[شماره سند مبنا]],invoice[[شماره پیش فاکتور]:[پیش دریافت به ازای هر کیلوگرم]],14,0)</f>
        <v>23430</v>
      </c>
      <c r="Q228" s="159">
        <f>IF(bargiri[[#This Row],[مبلغ ناخالص]]-(bargiri[[#This Row],[نرخ استهلاک]]*bargiri[[#This Row],[مقدار]])&lt;0,0,bargiri[[#This Row],[مبلغ ناخالص]]-(bargiri[[#This Row],[نرخ استهلاک]]*bargiri[[#This Row],[مقدار]]))</f>
        <v>1906605600</v>
      </c>
    </row>
    <row r="229" spans="1:17" s="22" customFormat="1" ht="13.8" x14ac:dyDescent="0.25">
      <c r="A229" s="22">
        <v>1245</v>
      </c>
      <c r="B229" s="22" t="s">
        <v>958</v>
      </c>
      <c r="C229" s="22" t="s">
        <v>709</v>
      </c>
      <c r="D229" s="22" t="s">
        <v>43</v>
      </c>
      <c r="E229" s="158">
        <v>5880</v>
      </c>
      <c r="F229" s="159">
        <v>111000</v>
      </c>
      <c r="G229" s="159">
        <v>652680000</v>
      </c>
      <c r="H229" s="159">
        <v>65268000</v>
      </c>
      <c r="I229" s="159">
        <v>717948000</v>
      </c>
      <c r="J229" s="159">
        <f>bargiri[[#This Row],[مقدار]]*INDEX(invoice[پیش دریافت به ازای هر کیلوگرم],MATCH(bargiri[[#This Row],[شماره سند مبنا]],invoice[شماره پیش فاکتور],0))</f>
        <v>502563600</v>
      </c>
      <c r="K229" s="159">
        <f>bargiri[[#This Row],[مبلغ خالص]]-bargiri[[#This Row],[میزان استهلاک پیش دریافتی]]</f>
        <v>215384400</v>
      </c>
      <c r="L229" s="160" t="s">
        <v>296</v>
      </c>
      <c r="M229" s="159">
        <v>442365000</v>
      </c>
      <c r="N229" s="159">
        <f>IF(bargiri[[#This Row],[مبلغ واریزی]]&lt;&gt;"",bargiri[[#This Row],[مانده مبلغ]]-bargiri[[#This Row],[مبلغ واریزی]],bargiri[[#This Row],[مانده مبلغ]])</f>
        <v>-226980600</v>
      </c>
      <c r="O229" s="159">
        <v>0</v>
      </c>
      <c r="P229" s="159">
        <f>VLOOKUP(bargiri[[#This Row],[شماره سند مبنا]],invoice[[شماره پیش فاکتور]:[پیش دریافت به ازای هر کیلوگرم]],14,0)</f>
        <v>85470</v>
      </c>
      <c r="Q229" s="159">
        <f>IF(bargiri[[#This Row],[مبلغ ناخالص]]-(bargiri[[#This Row],[نرخ استهلاک]]*bargiri[[#This Row],[مقدار]])&lt;0,0,bargiri[[#This Row],[مبلغ ناخالص]]-(bargiri[[#This Row],[نرخ استهلاک]]*bargiri[[#This Row],[مقدار]]))</f>
        <v>150116400</v>
      </c>
    </row>
    <row r="230" spans="1:17" s="22" customFormat="1" ht="13.8" x14ac:dyDescent="0.25">
      <c r="A230" s="22">
        <v>1244</v>
      </c>
      <c r="B230" s="22" t="s">
        <v>958</v>
      </c>
      <c r="C230" s="22" t="s">
        <v>908</v>
      </c>
      <c r="D230" s="22" t="s">
        <v>40</v>
      </c>
      <c r="E230" s="158">
        <v>4590</v>
      </c>
      <c r="F230" s="159">
        <v>167500</v>
      </c>
      <c r="G230" s="159">
        <v>768825000</v>
      </c>
      <c r="H230" s="159">
        <v>76882500</v>
      </c>
      <c r="I230" s="159">
        <v>845707500</v>
      </c>
      <c r="J230" s="159">
        <f>bargiri[[#This Row],[مقدار]]*INDEX(invoice[پیش دریافت به ازای هر کیلوگرم],MATCH(bargiri[[#This Row],[شماره سند مبنا]],invoice[شماره پیش فاکتور],0))</f>
        <v>845707500</v>
      </c>
      <c r="K230" s="159">
        <f>bargiri[[#This Row],[مبلغ خالص]]-bargiri[[#This Row],[میزان استهلاک پیش دریافتی]]</f>
        <v>0</v>
      </c>
      <c r="L230" s="160" t="s">
        <v>318</v>
      </c>
      <c r="M230" s="159">
        <v>582400000</v>
      </c>
      <c r="N230" s="159">
        <f>IF(bargiri[[#This Row],[مبلغ واریزی]]&lt;&gt;"",bargiri[[#This Row],[مانده مبلغ]]-bargiri[[#This Row],[مبلغ واریزی]],bargiri[[#This Row],[مانده مبلغ]])</f>
        <v>-582400000</v>
      </c>
      <c r="O230" s="159">
        <v>0</v>
      </c>
      <c r="P230" s="159">
        <f>VLOOKUP(bargiri[[#This Row],[شماره سند مبنا]],invoice[[شماره پیش فاکتور]:[پیش دریافت به ازای هر کیلوگرم]],14,0)</f>
        <v>184250</v>
      </c>
      <c r="Q230" s="159">
        <f>IF(bargiri[[#This Row],[مبلغ ناخالص]]-(bargiri[[#This Row],[نرخ استهلاک]]*bargiri[[#This Row],[مقدار]])&lt;0,0,bargiri[[#This Row],[مبلغ ناخالص]]-(bargiri[[#This Row],[نرخ استهلاک]]*bargiri[[#This Row],[مقدار]]))</f>
        <v>0</v>
      </c>
    </row>
    <row r="231" spans="1:17" s="22" customFormat="1" ht="13.8" x14ac:dyDescent="0.25">
      <c r="A231" s="22">
        <v>1244</v>
      </c>
      <c r="B231" s="22" t="s">
        <v>958</v>
      </c>
      <c r="C231" s="22" t="s">
        <v>650</v>
      </c>
      <c r="D231" s="22" t="s">
        <v>40</v>
      </c>
      <c r="E231" s="158">
        <v>11180</v>
      </c>
      <c r="F231" s="159">
        <v>83000</v>
      </c>
      <c r="G231" s="159">
        <v>927940000</v>
      </c>
      <c r="H231" s="159">
        <v>92794000</v>
      </c>
      <c r="I231" s="159">
        <v>1020734000</v>
      </c>
      <c r="J231" s="159">
        <f>bargiri[[#This Row],[مقدار]]*INDEX(invoice[پیش دریافت به ازای هر کیلوگرم],MATCH(bargiri[[#This Row],[شماره سند مبنا]],invoice[شماره پیش فاکتور],0))</f>
        <v>153110100</v>
      </c>
      <c r="K231" s="159">
        <f>bargiri[[#This Row],[مبلغ خالص]]-bargiri[[#This Row],[میزان استهلاک پیش دریافتی]]</f>
        <v>867623900</v>
      </c>
      <c r="L231" s="160" t="s">
        <v>378</v>
      </c>
      <c r="M231" s="159">
        <v>579520000</v>
      </c>
      <c r="N231" s="159">
        <f>IF(bargiri[[#This Row],[مبلغ واریزی]]&lt;&gt;"",bargiri[[#This Row],[مانده مبلغ]]-bargiri[[#This Row],[مبلغ واریزی]],bargiri[[#This Row],[مانده مبلغ]])</f>
        <v>288103900</v>
      </c>
      <c r="O231" s="159">
        <v>0</v>
      </c>
      <c r="P231" s="159">
        <f>VLOOKUP(bargiri[[#This Row],[شماره سند مبنا]],invoice[[شماره پیش فاکتور]:[پیش دریافت به ازای هر کیلوگرم]],14,0)</f>
        <v>13695</v>
      </c>
      <c r="Q231" s="159">
        <f>IF(bargiri[[#This Row],[مبلغ ناخالص]]-(bargiri[[#This Row],[نرخ استهلاک]]*bargiri[[#This Row],[مقدار]])&lt;0,0,bargiri[[#This Row],[مبلغ ناخالص]]-(bargiri[[#This Row],[نرخ استهلاک]]*bargiri[[#This Row],[مقدار]]))</f>
        <v>774829900</v>
      </c>
    </row>
    <row r="232" spans="1:17" s="22" customFormat="1" ht="13.8" x14ac:dyDescent="0.25">
      <c r="A232" s="22">
        <v>1244</v>
      </c>
      <c r="B232" s="22" t="s">
        <v>958</v>
      </c>
      <c r="C232" s="22" t="s">
        <v>603</v>
      </c>
      <c r="D232" s="22" t="s">
        <v>40</v>
      </c>
      <c r="E232" s="158">
        <v>2470</v>
      </c>
      <c r="F232" s="159">
        <v>142000</v>
      </c>
      <c r="G232" s="159">
        <v>350740000</v>
      </c>
      <c r="H232" s="159">
        <v>35074000</v>
      </c>
      <c r="I232" s="159">
        <v>385814000</v>
      </c>
      <c r="J232" s="159">
        <f>bargiri[[#This Row],[مقدار]]*INDEX(invoice[پیش دریافت به ازای هر کیلوگرم],MATCH(bargiri[[#This Row],[شماره سند مبنا]],invoice[شماره پیش فاکتور],0))</f>
        <v>177249923.4303216</v>
      </c>
      <c r="K232" s="159">
        <f>bargiri[[#This Row],[مبلغ خالص]]-bargiri[[#This Row],[میزان استهلاک پیش دریافتی]]</f>
        <v>208564076.5696784</v>
      </c>
      <c r="L232" s="160" t="s">
        <v>593</v>
      </c>
      <c r="M232" s="159" t="s">
        <v>593</v>
      </c>
      <c r="N232" s="159">
        <f>IF(bargiri[[#This Row],[مبلغ واریزی]]&lt;&gt;"",bargiri[[#This Row],[مانده مبلغ]]-bargiri[[#This Row],[مبلغ واریزی]],bargiri[[#This Row],[مانده مبلغ]])</f>
        <v>208564076.5696784</v>
      </c>
      <c r="O232" s="159" t="s">
        <v>593</v>
      </c>
      <c r="P232" s="159">
        <f>VLOOKUP(bargiri[[#This Row],[شماره سند مبنا]],invoice[[شماره پیش فاکتور]:[پیش دریافت به ازای هر کیلوگرم]],14,0)</f>
        <v>71761.102603369072</v>
      </c>
      <c r="Q232" s="159">
        <f>IF(bargiri[[#This Row],[مبلغ ناخالص]]-(bargiri[[#This Row],[نرخ استهلاک]]*bargiri[[#This Row],[مقدار]])&lt;0,0,bargiri[[#This Row],[مبلغ ناخالص]]-(bargiri[[#This Row],[نرخ استهلاک]]*bargiri[[#This Row],[مقدار]]))</f>
        <v>173490076.5696784</v>
      </c>
    </row>
    <row r="233" spans="1:17" s="22" customFormat="1" ht="13.8" x14ac:dyDescent="0.25">
      <c r="A233" s="22">
        <v>1243</v>
      </c>
      <c r="B233" s="22" t="s">
        <v>959</v>
      </c>
      <c r="C233" s="22" t="s">
        <v>458</v>
      </c>
      <c r="D233" s="22" t="s">
        <v>156</v>
      </c>
      <c r="E233" s="158">
        <v>19160</v>
      </c>
      <c r="F233" s="159">
        <v>142000</v>
      </c>
      <c r="G233" s="159">
        <v>2720720000</v>
      </c>
      <c r="H233" s="159">
        <v>272072000</v>
      </c>
      <c r="I233" s="159">
        <v>2992792000</v>
      </c>
      <c r="J233" s="159">
        <f>bargiri[[#This Row],[مقدار]]*INDEX(invoice[پیش دریافت به ازای هر کیلوگرم],MATCH(bargiri[[#This Row],[شماره سند مبنا]],invoice[شماره پیش فاکتور],0))</f>
        <v>541202917.47875178</v>
      </c>
      <c r="K233" s="159">
        <f>bargiri[[#This Row],[مبلغ خالص]]-bargiri[[#This Row],[میزان استهلاک پیش دریافتی]]</f>
        <v>2451589082.5212483</v>
      </c>
      <c r="L233" s="160" t="s">
        <v>593</v>
      </c>
      <c r="M233" s="159" t="s">
        <v>593</v>
      </c>
      <c r="N233" s="159">
        <f>IF(bargiri[[#This Row],[مبلغ واریزی]]&lt;&gt;"",bargiri[[#This Row],[مانده مبلغ]]-bargiri[[#This Row],[مبلغ واریزی]],bargiri[[#This Row],[مانده مبلغ]])</f>
        <v>2451589082.5212483</v>
      </c>
      <c r="O233" s="159" t="s">
        <v>593</v>
      </c>
      <c r="P233" s="159">
        <f>VLOOKUP(bargiri[[#This Row],[شماره سند مبنا]],invoice[[شماره پیش فاکتور]:[پیش دریافت به ازای هر کیلوگرم]],14,0)</f>
        <v>28246.498824569509</v>
      </c>
      <c r="Q233" s="159">
        <f>IF(bargiri[[#This Row],[مبلغ ناخالص]]-(bargiri[[#This Row],[نرخ استهلاک]]*bargiri[[#This Row],[مقدار]])&lt;0,0,bargiri[[#This Row],[مبلغ ناخالص]]-(bargiri[[#This Row],[نرخ استهلاک]]*bargiri[[#This Row],[مقدار]]))</f>
        <v>2179517082.5212483</v>
      </c>
    </row>
    <row r="234" spans="1:17" s="22" customFormat="1" ht="13.8" x14ac:dyDescent="0.25">
      <c r="A234" s="22">
        <v>1242</v>
      </c>
      <c r="B234" s="22" t="s">
        <v>959</v>
      </c>
      <c r="C234" s="22" t="s">
        <v>910</v>
      </c>
      <c r="D234" s="22" t="s">
        <v>73</v>
      </c>
      <c r="E234" s="158">
        <v>20830</v>
      </c>
      <c r="F234" s="159">
        <v>115372</v>
      </c>
      <c r="G234" s="159">
        <v>2403198760</v>
      </c>
      <c r="H234" s="159">
        <v>240319876</v>
      </c>
      <c r="I234" s="159">
        <v>2643518636</v>
      </c>
      <c r="J234" s="159">
        <f>bargiri[[#This Row],[مقدار]]*INDEX(invoice[پیش دریافت به ازای هر کیلوگرم],MATCH(bargiri[[#This Row],[شماره سند مبنا]],invoice[شماره پیش فاکتور],0))</f>
        <v>1310207000</v>
      </c>
      <c r="K234" s="159">
        <f>bargiri[[#This Row],[مبلغ خالص]]-bargiri[[#This Row],[میزان استهلاک پیش دریافتی]]</f>
        <v>1333311636</v>
      </c>
      <c r="L234" s="160" t="s">
        <v>201</v>
      </c>
      <c r="M234" s="159">
        <v>1124252500</v>
      </c>
      <c r="N234" s="159">
        <f>IF(bargiri[[#This Row],[مبلغ واریزی]]&lt;&gt;"",bargiri[[#This Row],[مانده مبلغ]]-bargiri[[#This Row],[مبلغ واریزی]],bargiri[[#This Row],[مانده مبلغ]])</f>
        <v>209059136</v>
      </c>
      <c r="O234" s="159">
        <v>0</v>
      </c>
      <c r="P234" s="159">
        <f>VLOOKUP(bargiri[[#This Row],[شماره سند مبنا]],invoice[[شماره پیش فاکتور]:[پیش دریافت به ازای هر کیلوگرم]],14,0)</f>
        <v>62900</v>
      </c>
      <c r="Q234" s="159">
        <f>IF(bargiri[[#This Row],[مبلغ ناخالص]]-(bargiri[[#This Row],[نرخ استهلاک]]*bargiri[[#This Row],[مقدار]])&lt;0,0,bargiri[[#This Row],[مبلغ ناخالص]]-(bargiri[[#This Row],[نرخ استهلاک]]*bargiri[[#This Row],[مقدار]]))</f>
        <v>1092991760</v>
      </c>
    </row>
    <row r="235" spans="1:17" s="22" customFormat="1" ht="13.8" x14ac:dyDescent="0.25">
      <c r="A235" s="22">
        <v>1241</v>
      </c>
      <c r="B235" s="22" t="s">
        <v>959</v>
      </c>
      <c r="C235" s="22" t="s">
        <v>709</v>
      </c>
      <c r="D235" s="22" t="s">
        <v>43</v>
      </c>
      <c r="E235" s="158">
        <v>5600</v>
      </c>
      <c r="F235" s="159">
        <v>111000</v>
      </c>
      <c r="G235" s="159">
        <v>621600000</v>
      </c>
      <c r="H235" s="159">
        <v>62160000</v>
      </c>
      <c r="I235" s="159">
        <v>683760000</v>
      </c>
      <c r="J235" s="159">
        <f>bargiri[[#This Row],[مقدار]]*INDEX(invoice[پیش دریافت به ازای هر کیلوگرم],MATCH(bargiri[[#This Row],[شماره سند مبنا]],invoice[شماره پیش فاکتور],0))</f>
        <v>478632000</v>
      </c>
      <c r="K235" s="159">
        <f>bargiri[[#This Row],[مبلغ خالص]]-bargiri[[#This Row],[میزان استهلاک پیش دریافتی]]</f>
        <v>205128000</v>
      </c>
      <c r="L235" s="160" t="s">
        <v>593</v>
      </c>
      <c r="M235" s="159" t="s">
        <v>593</v>
      </c>
      <c r="N235" s="159">
        <f>IF(bargiri[[#This Row],[مبلغ واریزی]]&lt;&gt;"",bargiri[[#This Row],[مانده مبلغ]]-bargiri[[#This Row],[مبلغ واریزی]],bargiri[[#This Row],[مانده مبلغ]])</f>
        <v>205128000</v>
      </c>
      <c r="O235" s="159" t="s">
        <v>593</v>
      </c>
      <c r="P235" s="159">
        <f>VLOOKUP(bargiri[[#This Row],[شماره سند مبنا]],invoice[[شماره پیش فاکتور]:[پیش دریافت به ازای هر کیلوگرم]],14,0)</f>
        <v>85470</v>
      </c>
      <c r="Q235" s="159">
        <f>IF(bargiri[[#This Row],[مبلغ ناخالص]]-(bargiri[[#This Row],[نرخ استهلاک]]*bargiri[[#This Row],[مقدار]])&lt;0,0,bargiri[[#This Row],[مبلغ ناخالص]]-(bargiri[[#This Row],[نرخ استهلاک]]*bargiri[[#This Row],[مقدار]]))</f>
        <v>142968000</v>
      </c>
    </row>
    <row r="236" spans="1:17" s="22" customFormat="1" ht="13.8" x14ac:dyDescent="0.25">
      <c r="A236" s="22">
        <v>1240</v>
      </c>
      <c r="B236" s="22" t="s">
        <v>959</v>
      </c>
      <c r="C236" s="22" t="s">
        <v>601</v>
      </c>
      <c r="D236" s="22" t="s">
        <v>25</v>
      </c>
      <c r="E236" s="158">
        <v>22740</v>
      </c>
      <c r="F236" s="159">
        <v>142000</v>
      </c>
      <c r="G236" s="159">
        <v>3229080000</v>
      </c>
      <c r="H236" s="159">
        <v>322908000</v>
      </c>
      <c r="I236" s="159">
        <v>3551988000</v>
      </c>
      <c r="J236" s="159">
        <f>bargiri[[#This Row],[مقدار]]*INDEX(invoice[پیش دریافت به ازای هر کیلوگرم],MATCH(bargiri[[#This Row],[شماره سند مبنا]],invoice[شماره پیش فاکتور],0))</f>
        <v>532798200</v>
      </c>
      <c r="K236" s="159">
        <f>bargiri[[#This Row],[مبلغ خالص]]-bargiri[[#This Row],[میزان استهلاک پیش دریافتی]]</f>
        <v>3019189800</v>
      </c>
      <c r="L236" s="160" t="s">
        <v>201</v>
      </c>
      <c r="M236" s="159">
        <v>1124252500</v>
      </c>
      <c r="N236" s="159">
        <f>IF(bargiri[[#This Row],[مبلغ واریزی]]&lt;&gt;"",bargiri[[#This Row],[مانده مبلغ]]-bargiri[[#This Row],[مبلغ واریزی]],bargiri[[#This Row],[مانده مبلغ]])</f>
        <v>1894937300</v>
      </c>
      <c r="O236" s="159">
        <v>0</v>
      </c>
      <c r="P236" s="159">
        <f>VLOOKUP(bargiri[[#This Row],[شماره سند مبنا]],invoice[[شماره پیش فاکتور]:[پیش دریافت به ازای هر کیلوگرم]],14,0)</f>
        <v>23430</v>
      </c>
      <c r="Q236" s="159">
        <f>IF(bargiri[[#This Row],[مبلغ ناخالص]]-(bargiri[[#This Row],[نرخ استهلاک]]*bargiri[[#This Row],[مقدار]])&lt;0,0,bargiri[[#This Row],[مبلغ ناخالص]]-(bargiri[[#This Row],[نرخ استهلاک]]*bargiri[[#This Row],[مقدار]]))</f>
        <v>2696281800</v>
      </c>
    </row>
    <row r="237" spans="1:17" s="22" customFormat="1" ht="13.8" x14ac:dyDescent="0.25">
      <c r="A237" s="22">
        <v>1239</v>
      </c>
      <c r="B237" s="22" t="s">
        <v>959</v>
      </c>
      <c r="C237" s="22" t="s">
        <v>748</v>
      </c>
      <c r="D237" s="22" t="s">
        <v>67</v>
      </c>
      <c r="E237" s="158">
        <v>10935</v>
      </c>
      <c r="F237" s="159">
        <v>167500</v>
      </c>
      <c r="G237" s="159">
        <v>1831612500</v>
      </c>
      <c r="H237" s="159">
        <v>183161250</v>
      </c>
      <c r="I237" s="159">
        <v>2014773750</v>
      </c>
      <c r="J237" s="159">
        <f>bargiri[[#This Row],[مقدار]]*INDEX(invoice[پیش دریافت به ازای هر کیلوگرم],MATCH(bargiri[[#This Row],[شماره سند مبنا]],invoice[شماره پیش فاکتور],0))</f>
        <v>2014773750</v>
      </c>
      <c r="K237" s="159">
        <f>bargiri[[#This Row],[مبلغ خالص]]-bargiri[[#This Row],[میزان استهلاک پیش دریافتی]]</f>
        <v>0</v>
      </c>
      <c r="L237" s="160" t="s">
        <v>593</v>
      </c>
      <c r="M237" s="159" t="s">
        <v>593</v>
      </c>
      <c r="N237" s="159">
        <f>IF(bargiri[[#This Row],[مبلغ واریزی]]&lt;&gt;"",bargiri[[#This Row],[مانده مبلغ]]-bargiri[[#This Row],[مبلغ واریزی]],bargiri[[#This Row],[مانده مبلغ]])</f>
        <v>0</v>
      </c>
      <c r="O237" s="159" t="s">
        <v>593</v>
      </c>
      <c r="P237" s="159">
        <f>VLOOKUP(bargiri[[#This Row],[شماره سند مبنا]],invoice[[شماره پیش فاکتور]:[پیش دریافت به ازای هر کیلوگرم]],14,0)</f>
        <v>184250</v>
      </c>
      <c r="Q237" s="159">
        <f>IF(bargiri[[#This Row],[مبلغ ناخالص]]-(bargiri[[#This Row],[نرخ استهلاک]]*bargiri[[#This Row],[مقدار]])&lt;0,0,bargiri[[#This Row],[مبلغ ناخالص]]-(bargiri[[#This Row],[نرخ استهلاک]]*bargiri[[#This Row],[مقدار]]))</f>
        <v>0</v>
      </c>
    </row>
    <row r="238" spans="1:17" s="22" customFormat="1" ht="13.8" x14ac:dyDescent="0.25">
      <c r="A238" s="22">
        <v>1239</v>
      </c>
      <c r="B238" s="22" t="s">
        <v>959</v>
      </c>
      <c r="C238" s="22" t="s">
        <v>902</v>
      </c>
      <c r="D238" s="22" t="s">
        <v>67</v>
      </c>
      <c r="E238" s="158">
        <v>9645</v>
      </c>
      <c r="F238" s="159">
        <v>167500</v>
      </c>
      <c r="G238" s="159">
        <v>1615537500</v>
      </c>
      <c r="H238" s="159">
        <v>161553750</v>
      </c>
      <c r="I238" s="159">
        <v>1777091250</v>
      </c>
      <c r="J238" s="159">
        <f>bargiri[[#This Row],[مقدار]]*INDEX(invoice[پیش دریافت به ازای هر کیلوگرم],MATCH(bargiri[[#This Row],[شماره سند مبنا]],invoice[شماره پیش فاکتور],0))</f>
        <v>1777091250</v>
      </c>
      <c r="K238" s="159">
        <f>bargiri[[#This Row],[مبلغ خالص]]-bargiri[[#This Row],[میزان استهلاک پیش دریافتی]]</f>
        <v>0</v>
      </c>
      <c r="L238" s="160" t="s">
        <v>593</v>
      </c>
      <c r="M238" s="159" t="s">
        <v>593</v>
      </c>
      <c r="N238" s="159">
        <f>IF(bargiri[[#This Row],[مبلغ واریزی]]&lt;&gt;"",bargiri[[#This Row],[مانده مبلغ]]-bargiri[[#This Row],[مبلغ واریزی]],bargiri[[#This Row],[مانده مبلغ]])</f>
        <v>0</v>
      </c>
      <c r="O238" s="159" t="s">
        <v>593</v>
      </c>
      <c r="P238" s="159">
        <f>VLOOKUP(bargiri[[#This Row],[شماره سند مبنا]],invoice[[شماره پیش فاکتور]:[پیش دریافت به ازای هر کیلوگرم]],14,0)</f>
        <v>184250</v>
      </c>
      <c r="Q238" s="159">
        <f>IF(bargiri[[#This Row],[مبلغ ناخالص]]-(bargiri[[#This Row],[نرخ استهلاک]]*bargiri[[#This Row],[مقدار]])&lt;0,0,bargiri[[#This Row],[مبلغ ناخالص]]-(bargiri[[#This Row],[نرخ استهلاک]]*bargiri[[#This Row],[مقدار]]))</f>
        <v>0</v>
      </c>
    </row>
    <row r="239" spans="1:17" s="22" customFormat="1" ht="13.8" x14ac:dyDescent="0.25">
      <c r="A239" s="22">
        <v>1238</v>
      </c>
      <c r="B239" s="22" t="s">
        <v>927</v>
      </c>
      <c r="C239" s="22" t="s">
        <v>644</v>
      </c>
      <c r="D239" s="22" t="s">
        <v>67</v>
      </c>
      <c r="E239" s="158">
        <v>20180</v>
      </c>
      <c r="F239" s="159">
        <v>95000</v>
      </c>
      <c r="G239" s="159">
        <v>1917100000</v>
      </c>
      <c r="H239" s="159">
        <v>191710000</v>
      </c>
      <c r="I239" s="159">
        <v>2108810000</v>
      </c>
      <c r="J239" s="159">
        <f>bargiri[[#This Row],[مقدار]]*INDEX(invoice[پیش دریافت به ازای هر کیلوگرم],MATCH(bargiri[[#This Row],[شماره سند مبنا]],invoice[شماره پیش فاکتور],0))</f>
        <v>613588335.27906799</v>
      </c>
      <c r="K239" s="159">
        <f>bargiri[[#This Row],[مبلغ خالص]]-bargiri[[#This Row],[میزان استهلاک پیش دریافتی]]</f>
        <v>1495221664.720932</v>
      </c>
      <c r="L239" s="160" t="s">
        <v>593</v>
      </c>
      <c r="M239" s="159" t="s">
        <v>593</v>
      </c>
      <c r="N239" s="159">
        <f>IF(bargiri[[#This Row],[مبلغ واریزی]]&lt;&gt;"",bargiri[[#This Row],[مانده مبلغ]]-bargiri[[#This Row],[مبلغ واریزی]],bargiri[[#This Row],[مانده مبلغ]])</f>
        <v>1495221664.720932</v>
      </c>
      <c r="O239" s="159" t="s">
        <v>593</v>
      </c>
      <c r="P239" s="159">
        <f>VLOOKUP(bargiri[[#This Row],[شماره سند مبنا]],invoice[[شماره پیش فاکتور]:[پیش دریافت به ازای هر کیلوگرم]],14,0)</f>
        <v>30405.764880033101</v>
      </c>
      <c r="Q239" s="159">
        <f>IF(bargiri[[#This Row],[مبلغ ناخالص]]-(bargiri[[#This Row],[نرخ استهلاک]]*bargiri[[#This Row],[مقدار]])&lt;0,0,bargiri[[#This Row],[مبلغ ناخالص]]-(bargiri[[#This Row],[نرخ استهلاک]]*bargiri[[#This Row],[مقدار]]))</f>
        <v>1303511664.720932</v>
      </c>
    </row>
    <row r="240" spans="1:17" s="22" customFormat="1" ht="13.8" x14ac:dyDescent="0.25">
      <c r="A240" s="22">
        <v>1237</v>
      </c>
      <c r="B240" s="22" t="s">
        <v>927</v>
      </c>
      <c r="C240" s="22" t="s">
        <v>602</v>
      </c>
      <c r="D240" s="22" t="s">
        <v>30</v>
      </c>
      <c r="E240" s="158">
        <v>11370</v>
      </c>
      <c r="F240" s="159">
        <v>142000</v>
      </c>
      <c r="G240" s="159">
        <v>1614540000</v>
      </c>
      <c r="H240" s="159">
        <v>161454000</v>
      </c>
      <c r="I240" s="159">
        <v>1775994000</v>
      </c>
      <c r="J240" s="159">
        <f>bargiri[[#This Row],[مقدار]]*INDEX(invoice[پیش دریافت به ازای هر کیلوگرم],MATCH(bargiri[[#This Row],[شماره سند مبنا]],invoice[شماره پیش فاکتور],0))</f>
        <v>1286552623.4088793</v>
      </c>
      <c r="K240" s="159">
        <f>bargiri[[#This Row],[مبلغ خالص]]-bargiri[[#This Row],[میزان استهلاک پیش دریافتی]]</f>
        <v>489441376.59112072</v>
      </c>
      <c r="L240" s="160" t="s">
        <v>272</v>
      </c>
      <c r="M240" s="159">
        <v>450835000</v>
      </c>
      <c r="N240" s="159">
        <f>IF(bargiri[[#This Row],[مبلغ واریزی]]&lt;&gt;"",bargiri[[#This Row],[مانده مبلغ]]-bargiri[[#This Row],[مبلغ واریزی]],bargiri[[#This Row],[مانده مبلغ]])</f>
        <v>38606376.59112072</v>
      </c>
      <c r="O240" s="159">
        <v>0</v>
      </c>
      <c r="P240" s="159">
        <f>VLOOKUP(bargiri[[#This Row],[شماره سند مبنا]],invoice[[شماره پیش فاکتور]:[پیش دریافت به ازای هر کیلوگرم]],14,0)</f>
        <v>113153.2650315637</v>
      </c>
      <c r="Q240" s="159">
        <f>IF(bargiri[[#This Row],[مبلغ ناخالص]]-(bargiri[[#This Row],[نرخ استهلاک]]*bargiri[[#This Row],[مقدار]])&lt;0,0,bargiri[[#This Row],[مبلغ ناخالص]]-(bargiri[[#This Row],[نرخ استهلاک]]*bargiri[[#This Row],[مقدار]]))</f>
        <v>327987376.59112072</v>
      </c>
    </row>
    <row r="241" spans="1:17" s="22" customFormat="1" ht="13.8" x14ac:dyDescent="0.25">
      <c r="A241" s="22">
        <v>1236</v>
      </c>
      <c r="B241" s="22" t="s">
        <v>927</v>
      </c>
      <c r="C241" s="22" t="s">
        <v>910</v>
      </c>
      <c r="D241" s="22" t="s">
        <v>73</v>
      </c>
      <c r="E241" s="158">
        <v>20770</v>
      </c>
      <c r="F241" s="159">
        <v>115372</v>
      </c>
      <c r="G241" s="159">
        <v>2396276440</v>
      </c>
      <c r="H241" s="159">
        <v>239627644</v>
      </c>
      <c r="I241" s="159">
        <v>2635904084</v>
      </c>
      <c r="J241" s="159">
        <f>bargiri[[#This Row],[مقدار]]*INDEX(invoice[پیش دریافت به ازای هر کیلوگرم],MATCH(bargiri[[#This Row],[شماره سند مبنا]],invoice[شماره پیش فاکتور],0))</f>
        <v>1306433000</v>
      </c>
      <c r="K241" s="159">
        <f>bargiri[[#This Row],[مبلغ خالص]]-bargiri[[#This Row],[میزان استهلاک پیش دریافتی]]</f>
        <v>1329471084</v>
      </c>
      <c r="L241" s="160" t="s">
        <v>593</v>
      </c>
      <c r="M241" s="159" t="s">
        <v>593</v>
      </c>
      <c r="N241" s="159">
        <f>IF(bargiri[[#This Row],[مبلغ واریزی]]&lt;&gt;"",bargiri[[#This Row],[مانده مبلغ]]-bargiri[[#This Row],[مبلغ واریزی]],bargiri[[#This Row],[مانده مبلغ]])</f>
        <v>1329471084</v>
      </c>
      <c r="O241" s="159" t="s">
        <v>593</v>
      </c>
      <c r="P241" s="159">
        <f>VLOOKUP(bargiri[[#This Row],[شماره سند مبنا]],invoice[[شماره پیش فاکتور]:[پیش دریافت به ازای هر کیلوگرم]],14,0)</f>
        <v>62900</v>
      </c>
      <c r="Q241" s="159">
        <f>IF(bargiri[[#This Row],[مبلغ ناخالص]]-(bargiri[[#This Row],[نرخ استهلاک]]*bargiri[[#This Row],[مقدار]])&lt;0,0,bargiri[[#This Row],[مبلغ ناخالص]]-(bargiri[[#This Row],[نرخ استهلاک]]*bargiri[[#This Row],[مقدار]]))</f>
        <v>1089843440</v>
      </c>
    </row>
    <row r="242" spans="1:17" s="22" customFormat="1" ht="13.8" x14ac:dyDescent="0.25">
      <c r="A242" s="22">
        <v>1235</v>
      </c>
      <c r="B242" s="22" t="s">
        <v>927</v>
      </c>
      <c r="C242" s="22" t="s">
        <v>910</v>
      </c>
      <c r="D242" s="22" t="s">
        <v>73</v>
      </c>
      <c r="E242" s="158">
        <v>20640</v>
      </c>
      <c r="F242" s="159">
        <v>115372</v>
      </c>
      <c r="G242" s="159">
        <v>2381278080</v>
      </c>
      <c r="H242" s="159">
        <v>238127808</v>
      </c>
      <c r="I242" s="159">
        <v>2619405888</v>
      </c>
      <c r="J242" s="159">
        <f>bargiri[[#This Row],[مقدار]]*INDEX(invoice[پیش دریافت به ازای هر کیلوگرم],MATCH(bargiri[[#This Row],[شماره سند مبنا]],invoice[شماره پیش فاکتور],0))</f>
        <v>1298256000</v>
      </c>
      <c r="K242" s="159">
        <f>bargiri[[#This Row],[مبلغ خالص]]-bargiri[[#This Row],[میزان استهلاک پیش دریافتی]]</f>
        <v>1321149888</v>
      </c>
      <c r="L242" s="160" t="s">
        <v>593</v>
      </c>
      <c r="M242" s="159" t="s">
        <v>593</v>
      </c>
      <c r="N242" s="159">
        <f>IF(bargiri[[#This Row],[مبلغ واریزی]]&lt;&gt;"",bargiri[[#This Row],[مانده مبلغ]]-bargiri[[#This Row],[مبلغ واریزی]],bargiri[[#This Row],[مانده مبلغ]])</f>
        <v>1321149888</v>
      </c>
      <c r="O242" s="159" t="s">
        <v>593</v>
      </c>
      <c r="P242" s="159">
        <f>VLOOKUP(bargiri[[#This Row],[شماره سند مبنا]],invoice[[شماره پیش فاکتور]:[پیش دریافت به ازای هر کیلوگرم]],14,0)</f>
        <v>62900</v>
      </c>
      <c r="Q242" s="159">
        <f>IF(bargiri[[#This Row],[مبلغ ناخالص]]-(bargiri[[#This Row],[نرخ استهلاک]]*bargiri[[#This Row],[مقدار]])&lt;0,0,bargiri[[#This Row],[مبلغ ناخالص]]-(bargiri[[#This Row],[نرخ استهلاک]]*bargiri[[#This Row],[مقدار]]))</f>
        <v>1083022080</v>
      </c>
    </row>
    <row r="243" spans="1:17" s="22" customFormat="1" ht="13.8" x14ac:dyDescent="0.25">
      <c r="A243" s="22">
        <v>1234</v>
      </c>
      <c r="B243" s="22" t="s">
        <v>927</v>
      </c>
      <c r="C243" s="22" t="s">
        <v>910</v>
      </c>
      <c r="D243" s="22" t="s">
        <v>73</v>
      </c>
      <c r="E243" s="158">
        <v>20920</v>
      </c>
      <c r="F243" s="159">
        <v>115372</v>
      </c>
      <c r="G243" s="159">
        <v>2413582240</v>
      </c>
      <c r="H243" s="159">
        <v>241358224</v>
      </c>
      <c r="I243" s="159">
        <v>2654940464</v>
      </c>
      <c r="J243" s="159">
        <f>bargiri[[#This Row],[مقدار]]*INDEX(invoice[پیش دریافت به ازای هر کیلوگرم],MATCH(bargiri[[#This Row],[شماره سند مبنا]],invoice[شماره پیش فاکتور],0))</f>
        <v>1315868000</v>
      </c>
      <c r="K243" s="159">
        <f>bargiri[[#This Row],[مبلغ خالص]]-bargiri[[#This Row],[میزان استهلاک پیش دریافتی]]</f>
        <v>1339072464</v>
      </c>
      <c r="L243" s="160" t="s">
        <v>593</v>
      </c>
      <c r="M243" s="159" t="s">
        <v>593</v>
      </c>
      <c r="N243" s="159">
        <f>IF(bargiri[[#This Row],[مبلغ واریزی]]&lt;&gt;"",bargiri[[#This Row],[مانده مبلغ]]-bargiri[[#This Row],[مبلغ واریزی]],bargiri[[#This Row],[مانده مبلغ]])</f>
        <v>1339072464</v>
      </c>
      <c r="O243" s="159" t="s">
        <v>593</v>
      </c>
      <c r="P243" s="159">
        <f>VLOOKUP(bargiri[[#This Row],[شماره سند مبنا]],invoice[[شماره پیش فاکتور]:[پیش دریافت به ازای هر کیلوگرم]],14,0)</f>
        <v>62900</v>
      </c>
      <c r="Q243" s="159">
        <f>IF(bargiri[[#This Row],[مبلغ ناخالص]]-(bargiri[[#This Row],[نرخ استهلاک]]*bargiri[[#This Row],[مقدار]])&lt;0,0,bargiri[[#This Row],[مبلغ ناخالص]]-(bargiri[[#This Row],[نرخ استهلاک]]*bargiri[[#This Row],[مقدار]]))</f>
        <v>1097714240</v>
      </c>
    </row>
    <row r="244" spans="1:17" s="22" customFormat="1" ht="13.8" x14ac:dyDescent="0.25">
      <c r="A244" s="22">
        <v>1233</v>
      </c>
      <c r="B244" s="22" t="s">
        <v>927</v>
      </c>
      <c r="C244" s="22" t="s">
        <v>910</v>
      </c>
      <c r="D244" s="22" t="s">
        <v>73</v>
      </c>
      <c r="E244" s="158">
        <v>20530</v>
      </c>
      <c r="F244" s="159">
        <v>115372</v>
      </c>
      <c r="G244" s="159">
        <v>2368587160</v>
      </c>
      <c r="H244" s="159">
        <v>236858716</v>
      </c>
      <c r="I244" s="159">
        <v>2605445876</v>
      </c>
      <c r="J244" s="159">
        <f>bargiri[[#This Row],[مقدار]]*INDEX(invoice[پیش دریافت به ازای هر کیلوگرم],MATCH(bargiri[[#This Row],[شماره سند مبنا]],invoice[شماره پیش فاکتور],0))</f>
        <v>1291337000</v>
      </c>
      <c r="K244" s="159">
        <f>bargiri[[#This Row],[مبلغ خالص]]-bargiri[[#This Row],[میزان استهلاک پیش دریافتی]]</f>
        <v>1314108876</v>
      </c>
      <c r="L244" s="160" t="s">
        <v>593</v>
      </c>
      <c r="M244" s="159" t="s">
        <v>593</v>
      </c>
      <c r="N244" s="159">
        <f>IF(bargiri[[#This Row],[مبلغ واریزی]]&lt;&gt;"",bargiri[[#This Row],[مانده مبلغ]]-bargiri[[#This Row],[مبلغ واریزی]],bargiri[[#This Row],[مانده مبلغ]])</f>
        <v>1314108876</v>
      </c>
      <c r="O244" s="159" t="s">
        <v>593</v>
      </c>
      <c r="P244" s="159">
        <f>VLOOKUP(bargiri[[#This Row],[شماره سند مبنا]],invoice[[شماره پیش فاکتور]:[پیش دریافت به ازای هر کیلوگرم]],14,0)</f>
        <v>62900</v>
      </c>
      <c r="Q244" s="159">
        <f>IF(bargiri[[#This Row],[مبلغ ناخالص]]-(bargiri[[#This Row],[نرخ استهلاک]]*bargiri[[#This Row],[مقدار]])&lt;0,0,bargiri[[#This Row],[مبلغ ناخالص]]-(bargiri[[#This Row],[نرخ استهلاک]]*bargiri[[#This Row],[مقدار]]))</f>
        <v>1077250160</v>
      </c>
    </row>
    <row r="245" spans="1:17" s="22" customFormat="1" ht="13.8" x14ac:dyDescent="0.25">
      <c r="A245" s="22">
        <v>1232</v>
      </c>
      <c r="B245" s="22" t="s">
        <v>927</v>
      </c>
      <c r="C245" s="22" t="s">
        <v>910</v>
      </c>
      <c r="D245" s="22" t="s">
        <v>73</v>
      </c>
      <c r="E245" s="158">
        <v>20600</v>
      </c>
      <c r="F245" s="159">
        <v>115372</v>
      </c>
      <c r="G245" s="159">
        <v>2376663200</v>
      </c>
      <c r="H245" s="159">
        <v>237666320</v>
      </c>
      <c r="I245" s="159">
        <v>2614329520</v>
      </c>
      <c r="J245" s="159">
        <f>bargiri[[#This Row],[مقدار]]*INDEX(invoice[پیش دریافت به ازای هر کیلوگرم],MATCH(bargiri[[#This Row],[شماره سند مبنا]],invoice[شماره پیش فاکتور],0))</f>
        <v>1295740000</v>
      </c>
      <c r="K245" s="159">
        <f>bargiri[[#This Row],[مبلغ خالص]]-bargiri[[#This Row],[میزان استهلاک پیش دریافتی]]</f>
        <v>1318589520</v>
      </c>
      <c r="L245" s="160" t="s">
        <v>263</v>
      </c>
      <c r="M245" s="159">
        <v>576320000</v>
      </c>
      <c r="N245" s="159">
        <f>IF(bargiri[[#This Row],[مبلغ واریزی]]&lt;&gt;"",bargiri[[#This Row],[مانده مبلغ]]-bargiri[[#This Row],[مبلغ واریزی]],bargiri[[#This Row],[مانده مبلغ]])</f>
        <v>742269520</v>
      </c>
      <c r="O245" s="159">
        <v>0</v>
      </c>
      <c r="P245" s="159">
        <f>VLOOKUP(bargiri[[#This Row],[شماره سند مبنا]],invoice[[شماره پیش فاکتور]:[پیش دریافت به ازای هر کیلوگرم]],14,0)</f>
        <v>62900</v>
      </c>
      <c r="Q245" s="159">
        <f>IF(bargiri[[#This Row],[مبلغ ناخالص]]-(bargiri[[#This Row],[نرخ استهلاک]]*bargiri[[#This Row],[مقدار]])&lt;0,0,bargiri[[#This Row],[مبلغ ناخالص]]-(bargiri[[#This Row],[نرخ استهلاک]]*bargiri[[#This Row],[مقدار]]))</f>
        <v>1080923200</v>
      </c>
    </row>
    <row r="246" spans="1:17" s="22" customFormat="1" ht="13.8" x14ac:dyDescent="0.25">
      <c r="A246" s="22">
        <v>1231</v>
      </c>
      <c r="B246" s="22" t="s">
        <v>960</v>
      </c>
      <c r="C246" s="22" t="s">
        <v>707</v>
      </c>
      <c r="D246" s="22" t="s">
        <v>40</v>
      </c>
      <c r="E246" s="158">
        <v>4890</v>
      </c>
      <c r="F246" s="159">
        <v>74000</v>
      </c>
      <c r="G246" s="159">
        <v>361860000</v>
      </c>
      <c r="H246" s="159">
        <v>36186000</v>
      </c>
      <c r="I246" s="159">
        <v>398046000</v>
      </c>
      <c r="J246" s="159">
        <f>bargiri[[#This Row],[مقدار]]*INDEX(invoice[پیش دریافت به ازای هر کیلوگرم],MATCH(bargiri[[#This Row],[شماره سند مبنا]],invoice[شماره پیش فاکتور],0))</f>
        <v>59706900</v>
      </c>
      <c r="K246" s="159">
        <f>bargiri[[#This Row],[مبلغ خالص]]-bargiri[[#This Row],[میزان استهلاک پیش دریافتی]]</f>
        <v>338339100</v>
      </c>
      <c r="L246" s="160" t="s">
        <v>387</v>
      </c>
      <c r="M246" s="159">
        <v>1130202500</v>
      </c>
      <c r="N246" s="159">
        <f>IF(bargiri[[#This Row],[مبلغ واریزی]]&lt;&gt;"",bargiri[[#This Row],[مانده مبلغ]]-bargiri[[#This Row],[مبلغ واریزی]],bargiri[[#This Row],[مانده مبلغ]])</f>
        <v>-791863400</v>
      </c>
      <c r="O246" s="159">
        <v>0</v>
      </c>
      <c r="P246" s="159">
        <f>VLOOKUP(bargiri[[#This Row],[شماره سند مبنا]],invoice[[شماره پیش فاکتور]:[پیش دریافت به ازای هر کیلوگرم]],14,0)</f>
        <v>12210</v>
      </c>
      <c r="Q246" s="159">
        <f>IF(bargiri[[#This Row],[مبلغ ناخالص]]-(bargiri[[#This Row],[نرخ استهلاک]]*bargiri[[#This Row],[مقدار]])&lt;0,0,bargiri[[#This Row],[مبلغ ناخالص]]-(bargiri[[#This Row],[نرخ استهلاک]]*bargiri[[#This Row],[مقدار]]))</f>
        <v>302153100</v>
      </c>
    </row>
    <row r="247" spans="1:17" s="22" customFormat="1" ht="13.8" x14ac:dyDescent="0.25">
      <c r="A247" s="22">
        <v>1231</v>
      </c>
      <c r="B247" s="22" t="s">
        <v>960</v>
      </c>
      <c r="C247" s="22" t="s">
        <v>650</v>
      </c>
      <c r="D247" s="22" t="s">
        <v>40</v>
      </c>
      <c r="E247" s="158">
        <v>8820</v>
      </c>
      <c r="F247" s="159">
        <v>83000</v>
      </c>
      <c r="G247" s="159">
        <v>732060000</v>
      </c>
      <c r="H247" s="159">
        <v>73206000</v>
      </c>
      <c r="I247" s="159">
        <v>805266000</v>
      </c>
      <c r="J247" s="159">
        <f>bargiri[[#This Row],[مقدار]]*INDEX(invoice[پیش دریافت به ازای هر کیلوگرم],MATCH(bargiri[[#This Row],[شماره سند مبنا]],invoice[شماره پیش فاکتور],0))</f>
        <v>120789900</v>
      </c>
      <c r="K247" s="159">
        <f>bargiri[[#This Row],[مبلغ خالص]]-bargiri[[#This Row],[میزان استهلاک پیش دریافتی]]</f>
        <v>684476100</v>
      </c>
      <c r="L247" s="160" t="s">
        <v>593</v>
      </c>
      <c r="M247" s="159" t="s">
        <v>593</v>
      </c>
      <c r="N247" s="159">
        <f>IF(bargiri[[#This Row],[مبلغ واریزی]]&lt;&gt;"",bargiri[[#This Row],[مانده مبلغ]]-bargiri[[#This Row],[مبلغ واریزی]],bargiri[[#This Row],[مانده مبلغ]])</f>
        <v>684476100</v>
      </c>
      <c r="O247" s="159" t="s">
        <v>593</v>
      </c>
      <c r="P247" s="159">
        <f>VLOOKUP(bargiri[[#This Row],[شماره سند مبنا]],invoice[[شماره پیش فاکتور]:[پیش دریافت به ازای هر کیلوگرم]],14,0)</f>
        <v>13695</v>
      </c>
      <c r="Q247" s="159">
        <f>IF(bargiri[[#This Row],[مبلغ ناخالص]]-(bargiri[[#This Row],[نرخ استهلاک]]*bargiri[[#This Row],[مقدار]])&lt;0,0,bargiri[[#This Row],[مبلغ ناخالص]]-(bargiri[[#This Row],[نرخ استهلاک]]*bargiri[[#This Row],[مقدار]]))</f>
        <v>611270100</v>
      </c>
    </row>
    <row r="248" spans="1:17" s="22" customFormat="1" ht="13.8" x14ac:dyDescent="0.25">
      <c r="A248" s="22">
        <v>1230</v>
      </c>
      <c r="B248" s="22" t="s">
        <v>960</v>
      </c>
      <c r="C248" s="22" t="s">
        <v>908</v>
      </c>
      <c r="D248" s="22" t="s">
        <v>40</v>
      </c>
      <c r="E248" s="158">
        <v>18050</v>
      </c>
      <c r="F248" s="159">
        <v>167500</v>
      </c>
      <c r="G248" s="159">
        <v>3023375000</v>
      </c>
      <c r="H248" s="159">
        <v>302337500</v>
      </c>
      <c r="I248" s="159">
        <v>3325712500</v>
      </c>
      <c r="J248" s="159">
        <f>bargiri[[#This Row],[مقدار]]*INDEX(invoice[پیش دریافت به ازای هر کیلوگرم],MATCH(bargiri[[#This Row],[شماره سند مبنا]],invoice[شماره پیش فاکتور],0))</f>
        <v>3325712500</v>
      </c>
      <c r="K248" s="159">
        <f>bargiri[[#This Row],[مبلغ خالص]]-bargiri[[#This Row],[میزان استهلاک پیش دریافتی]]</f>
        <v>0</v>
      </c>
      <c r="L248" s="160" t="s">
        <v>593</v>
      </c>
      <c r="M248" s="159" t="s">
        <v>593</v>
      </c>
      <c r="N248" s="159">
        <f>IF(bargiri[[#This Row],[مبلغ واریزی]]&lt;&gt;"",bargiri[[#This Row],[مانده مبلغ]]-bargiri[[#This Row],[مبلغ واریزی]],bargiri[[#This Row],[مانده مبلغ]])</f>
        <v>0</v>
      </c>
      <c r="O248" s="159" t="s">
        <v>593</v>
      </c>
      <c r="P248" s="159">
        <f>VLOOKUP(bargiri[[#This Row],[شماره سند مبنا]],invoice[[شماره پیش فاکتور]:[پیش دریافت به ازای هر کیلوگرم]],14,0)</f>
        <v>184250</v>
      </c>
      <c r="Q248" s="159">
        <f>IF(bargiri[[#This Row],[مبلغ ناخالص]]-(bargiri[[#This Row],[نرخ استهلاک]]*bargiri[[#This Row],[مقدار]])&lt;0,0,bargiri[[#This Row],[مبلغ ناخالص]]-(bargiri[[#This Row],[نرخ استهلاک]]*bargiri[[#This Row],[مقدار]]))</f>
        <v>0</v>
      </c>
    </row>
    <row r="249" spans="1:17" s="22" customFormat="1" ht="13.8" x14ac:dyDescent="0.25">
      <c r="A249" s="22">
        <v>1229</v>
      </c>
      <c r="B249" s="22" t="s">
        <v>961</v>
      </c>
      <c r="C249" s="22" t="s">
        <v>461</v>
      </c>
      <c r="D249" s="22" t="s">
        <v>35</v>
      </c>
      <c r="E249" s="158">
        <v>6200</v>
      </c>
      <c r="F249" s="159">
        <v>142000</v>
      </c>
      <c r="G249" s="159">
        <v>880400000</v>
      </c>
      <c r="H249" s="159">
        <v>88040000</v>
      </c>
      <c r="I249" s="159">
        <v>968440000</v>
      </c>
      <c r="J249" s="159">
        <f>bargiri[[#This Row],[مقدار]]*INDEX(invoice[پیش دریافت به ازای هر کیلوگرم],MATCH(bargiri[[#This Row],[شماره سند مبنا]],invoice[شماره پیش فاکتور],0))</f>
        <v>203473159.90878683</v>
      </c>
      <c r="K249" s="159">
        <f>bargiri[[#This Row],[مبلغ خالص]]-bargiri[[#This Row],[میزان استهلاک پیش دریافتی]]</f>
        <v>764966840.09121323</v>
      </c>
      <c r="L249" s="160" t="s">
        <v>337</v>
      </c>
      <c r="M249" s="159">
        <v>454107500</v>
      </c>
      <c r="N249" s="159">
        <f>IF(bargiri[[#This Row],[مبلغ واریزی]]&lt;&gt;"",bargiri[[#This Row],[مانده مبلغ]]-bargiri[[#This Row],[مبلغ واریزی]],bargiri[[#This Row],[مانده مبلغ]])</f>
        <v>310859340.09121323</v>
      </c>
      <c r="O249" s="159">
        <v>0</v>
      </c>
      <c r="P249" s="159">
        <f>VLOOKUP(bargiri[[#This Row],[شماره سند مبنا]],invoice[[شماره پیش فاکتور]:[پیش دریافت به ازای هر کیلوگرم]],14,0)</f>
        <v>32818.251598191426</v>
      </c>
      <c r="Q249" s="159">
        <f>IF(bargiri[[#This Row],[مبلغ ناخالص]]-(bargiri[[#This Row],[نرخ استهلاک]]*bargiri[[#This Row],[مقدار]])&lt;0,0,bargiri[[#This Row],[مبلغ ناخالص]]-(bargiri[[#This Row],[نرخ استهلاک]]*bargiri[[#This Row],[مقدار]]))</f>
        <v>676926840.09121323</v>
      </c>
    </row>
    <row r="250" spans="1:17" s="22" customFormat="1" ht="13.8" x14ac:dyDescent="0.25">
      <c r="A250" s="22">
        <v>1228</v>
      </c>
      <c r="B250" s="22" t="s">
        <v>961</v>
      </c>
      <c r="C250" s="22" t="s">
        <v>709</v>
      </c>
      <c r="D250" s="22" t="s">
        <v>43</v>
      </c>
      <c r="E250" s="158">
        <v>5460</v>
      </c>
      <c r="F250" s="159">
        <v>111000</v>
      </c>
      <c r="G250" s="159">
        <v>606060000</v>
      </c>
      <c r="H250" s="159">
        <v>60606000</v>
      </c>
      <c r="I250" s="159">
        <v>666666000</v>
      </c>
      <c r="J250" s="159">
        <f>bargiri[[#This Row],[مقدار]]*INDEX(invoice[پیش دریافت به ازای هر کیلوگرم],MATCH(bargiri[[#This Row],[شماره سند مبنا]],invoice[شماره پیش فاکتور],0))</f>
        <v>466666200</v>
      </c>
      <c r="K250" s="159">
        <f>bargiri[[#This Row],[مبلغ خالص]]-bargiri[[#This Row],[میزان استهلاک پیش دریافتی]]</f>
        <v>199999800</v>
      </c>
      <c r="L250" s="160" t="s">
        <v>593</v>
      </c>
      <c r="M250" s="159" t="s">
        <v>593</v>
      </c>
      <c r="N250" s="159">
        <f>IF(bargiri[[#This Row],[مبلغ واریزی]]&lt;&gt;"",bargiri[[#This Row],[مانده مبلغ]]-bargiri[[#This Row],[مبلغ واریزی]],bargiri[[#This Row],[مانده مبلغ]])</f>
        <v>199999800</v>
      </c>
      <c r="O250" s="159" t="s">
        <v>593</v>
      </c>
      <c r="P250" s="159">
        <f>VLOOKUP(bargiri[[#This Row],[شماره سند مبنا]],invoice[[شماره پیش فاکتور]:[پیش دریافت به ازای هر کیلوگرم]],14,0)</f>
        <v>85470</v>
      </c>
      <c r="Q250" s="159">
        <f>IF(bargiri[[#This Row],[مبلغ ناخالص]]-(bargiri[[#This Row],[نرخ استهلاک]]*bargiri[[#This Row],[مقدار]])&lt;0,0,bargiri[[#This Row],[مبلغ ناخالص]]-(bargiri[[#This Row],[نرخ استهلاک]]*bargiri[[#This Row],[مقدار]]))</f>
        <v>139393800</v>
      </c>
    </row>
    <row r="251" spans="1:17" s="22" customFormat="1" ht="13.8" x14ac:dyDescent="0.25">
      <c r="A251" s="22">
        <v>1227</v>
      </c>
      <c r="B251" s="22" t="s">
        <v>962</v>
      </c>
      <c r="C251" s="22" t="s">
        <v>208</v>
      </c>
      <c r="D251" s="22" t="s">
        <v>30</v>
      </c>
      <c r="E251" s="158">
        <v>11400</v>
      </c>
      <c r="F251" s="159">
        <v>89000</v>
      </c>
      <c r="G251" s="159">
        <v>1014600000</v>
      </c>
      <c r="H251" s="159">
        <v>101460000</v>
      </c>
      <c r="I251" s="159">
        <v>1116060000</v>
      </c>
      <c r="J251" s="159">
        <f>bargiri[[#This Row],[مقدار]]*INDEX(invoice[پیش دریافت به ازای هر کیلوگرم],MATCH(bargiri[[#This Row],[شماره سند مبنا]],invoice[شماره پیش فاکتور],0))</f>
        <v>1116060000</v>
      </c>
      <c r="K251" s="159">
        <f>bargiri[[#This Row],[مبلغ خالص]]-bargiri[[#This Row],[میزان استهلاک پیش دریافتی]]</f>
        <v>0</v>
      </c>
      <c r="L251" s="160" t="s">
        <v>593</v>
      </c>
      <c r="M251" s="159" t="s">
        <v>593</v>
      </c>
      <c r="N251" s="159">
        <f>IF(bargiri[[#This Row],[مبلغ واریزی]]&lt;&gt;"",bargiri[[#This Row],[مانده مبلغ]]-bargiri[[#This Row],[مبلغ واریزی]],bargiri[[#This Row],[مانده مبلغ]])</f>
        <v>0</v>
      </c>
      <c r="O251" s="159" t="s">
        <v>593</v>
      </c>
      <c r="P251" s="159">
        <f>VLOOKUP(bargiri[[#This Row],[شماره سند مبنا]],invoice[[شماره پیش فاکتور]:[پیش دریافت به ازای هر کیلوگرم]],14,0)</f>
        <v>97900</v>
      </c>
      <c r="Q251" s="159">
        <f>IF(bargiri[[#This Row],[مبلغ ناخالص]]-(bargiri[[#This Row],[نرخ استهلاک]]*bargiri[[#This Row],[مقدار]])&lt;0,0,bargiri[[#This Row],[مبلغ ناخالص]]-(bargiri[[#This Row],[نرخ استهلاک]]*bargiri[[#This Row],[مقدار]]))</f>
        <v>0</v>
      </c>
    </row>
    <row r="252" spans="1:17" s="22" customFormat="1" ht="13.8" x14ac:dyDescent="0.25">
      <c r="A252" s="22">
        <v>1226</v>
      </c>
      <c r="B252" s="22" t="s">
        <v>962</v>
      </c>
      <c r="C252" s="22" t="s">
        <v>709</v>
      </c>
      <c r="D252" s="22" t="s">
        <v>43</v>
      </c>
      <c r="E252" s="158">
        <v>5600</v>
      </c>
      <c r="F252" s="159">
        <v>111000</v>
      </c>
      <c r="G252" s="159">
        <v>621600000</v>
      </c>
      <c r="H252" s="159">
        <v>62160000</v>
      </c>
      <c r="I252" s="159">
        <v>683760000</v>
      </c>
      <c r="J252" s="159">
        <f>bargiri[[#This Row],[مقدار]]*INDEX(invoice[پیش دریافت به ازای هر کیلوگرم],MATCH(bargiri[[#This Row],[شماره سند مبنا]],invoice[شماره پیش فاکتور],0))</f>
        <v>478632000</v>
      </c>
      <c r="K252" s="159">
        <f>bargiri[[#This Row],[مبلغ خالص]]-bargiri[[#This Row],[میزان استهلاک پیش دریافتی]]</f>
        <v>205128000</v>
      </c>
      <c r="L252" s="160" t="s">
        <v>593</v>
      </c>
      <c r="M252" s="159" t="s">
        <v>593</v>
      </c>
      <c r="N252" s="159">
        <f>IF(bargiri[[#This Row],[مبلغ واریزی]]&lt;&gt;"",bargiri[[#This Row],[مانده مبلغ]]-bargiri[[#This Row],[مبلغ واریزی]],bargiri[[#This Row],[مانده مبلغ]])</f>
        <v>205128000</v>
      </c>
      <c r="O252" s="159" t="s">
        <v>593</v>
      </c>
      <c r="P252" s="159">
        <f>VLOOKUP(bargiri[[#This Row],[شماره سند مبنا]],invoice[[شماره پیش فاکتور]:[پیش دریافت به ازای هر کیلوگرم]],14,0)</f>
        <v>85470</v>
      </c>
      <c r="Q252" s="159">
        <f>IF(bargiri[[#This Row],[مبلغ ناخالص]]-(bargiri[[#This Row],[نرخ استهلاک]]*bargiri[[#This Row],[مقدار]])&lt;0,0,bargiri[[#This Row],[مبلغ ناخالص]]-(bargiri[[#This Row],[نرخ استهلاک]]*bargiri[[#This Row],[مقدار]]))</f>
        <v>142968000</v>
      </c>
    </row>
    <row r="253" spans="1:17" s="22" customFormat="1" ht="13.8" x14ac:dyDescent="0.25">
      <c r="A253" s="22">
        <v>1225</v>
      </c>
      <c r="B253" s="22" t="s">
        <v>962</v>
      </c>
      <c r="C253" s="22" t="s">
        <v>890</v>
      </c>
      <c r="D253" s="22" t="s">
        <v>25</v>
      </c>
      <c r="E253" s="158">
        <v>6230</v>
      </c>
      <c r="F253" s="159">
        <v>167500</v>
      </c>
      <c r="G253" s="159">
        <v>1043525000</v>
      </c>
      <c r="H253" s="159">
        <v>104352500</v>
      </c>
      <c r="I253" s="159">
        <v>1147877500</v>
      </c>
      <c r="J253" s="159">
        <f>bargiri[[#This Row],[مقدار]]*INDEX(invoice[پیش دریافت به ازای هر کیلوگرم],MATCH(bargiri[[#This Row],[شماره سند مبنا]],invoice[شماره پیش فاکتور],0))</f>
        <v>1147877500</v>
      </c>
      <c r="K253" s="159">
        <f>bargiri[[#This Row],[مبلغ خالص]]-bargiri[[#This Row],[میزان استهلاک پیش دریافتی]]</f>
        <v>0</v>
      </c>
      <c r="L253" s="160" t="s">
        <v>593</v>
      </c>
      <c r="M253" s="159" t="s">
        <v>593</v>
      </c>
      <c r="N253" s="159">
        <f>IF(bargiri[[#This Row],[مبلغ واریزی]]&lt;&gt;"",bargiri[[#This Row],[مانده مبلغ]]-bargiri[[#This Row],[مبلغ واریزی]],bargiri[[#This Row],[مانده مبلغ]])</f>
        <v>0</v>
      </c>
      <c r="O253" s="159" t="s">
        <v>593</v>
      </c>
      <c r="P253" s="159">
        <f>VLOOKUP(bargiri[[#This Row],[شماره سند مبنا]],invoice[[شماره پیش فاکتور]:[پیش دریافت به ازای هر کیلوگرم]],14,0)</f>
        <v>184250</v>
      </c>
      <c r="Q253" s="159">
        <f>IF(bargiri[[#This Row],[مبلغ ناخالص]]-(bargiri[[#This Row],[نرخ استهلاک]]*bargiri[[#This Row],[مقدار]])&lt;0,0,bargiri[[#This Row],[مبلغ ناخالص]]-(bargiri[[#This Row],[نرخ استهلاک]]*bargiri[[#This Row],[مقدار]]))</f>
        <v>0</v>
      </c>
    </row>
    <row r="254" spans="1:17" s="22" customFormat="1" ht="13.8" x14ac:dyDescent="0.25">
      <c r="A254" s="22">
        <v>1225</v>
      </c>
      <c r="B254" s="22" t="s">
        <v>962</v>
      </c>
      <c r="C254" s="22" t="s">
        <v>911</v>
      </c>
      <c r="D254" s="22" t="s">
        <v>25</v>
      </c>
      <c r="E254" s="158">
        <v>16560</v>
      </c>
      <c r="F254" s="159">
        <v>167500</v>
      </c>
      <c r="G254" s="159">
        <v>2773800000</v>
      </c>
      <c r="H254" s="159">
        <v>277380000</v>
      </c>
      <c r="I254" s="159">
        <v>3051180000</v>
      </c>
      <c r="J254" s="159">
        <f>bargiri[[#This Row],[مقدار]]*INDEX(invoice[پیش دریافت به ازای هر کیلوگرم],MATCH(bargiri[[#This Row],[شماره سند مبنا]],invoice[شماره پیش فاکتور],0))</f>
        <v>3051180000</v>
      </c>
      <c r="K254" s="159">
        <f>bargiri[[#This Row],[مبلغ خالص]]-bargiri[[#This Row],[میزان استهلاک پیش دریافتی]]</f>
        <v>0</v>
      </c>
      <c r="L254" s="160" t="s">
        <v>593</v>
      </c>
      <c r="M254" s="159" t="s">
        <v>593</v>
      </c>
      <c r="N254" s="159">
        <f>IF(bargiri[[#This Row],[مبلغ واریزی]]&lt;&gt;"",bargiri[[#This Row],[مانده مبلغ]]-bargiri[[#This Row],[مبلغ واریزی]],bargiri[[#This Row],[مانده مبلغ]])</f>
        <v>0</v>
      </c>
      <c r="O254" s="159" t="s">
        <v>593</v>
      </c>
      <c r="P254" s="159">
        <f>VLOOKUP(bargiri[[#This Row],[شماره سند مبنا]],invoice[[شماره پیش فاکتور]:[پیش دریافت به ازای هر کیلوگرم]],14,0)</f>
        <v>184250</v>
      </c>
      <c r="Q254" s="159">
        <f>IF(bargiri[[#This Row],[مبلغ ناخالص]]-(bargiri[[#This Row],[نرخ استهلاک]]*bargiri[[#This Row],[مقدار]])&lt;0,0,bargiri[[#This Row],[مبلغ ناخالص]]-(bargiri[[#This Row],[نرخ استهلاک]]*bargiri[[#This Row],[مقدار]]))</f>
        <v>0</v>
      </c>
    </row>
    <row r="255" spans="1:17" s="22" customFormat="1" ht="13.8" x14ac:dyDescent="0.25">
      <c r="A255" s="22">
        <v>1224</v>
      </c>
      <c r="B255" s="22" t="s">
        <v>962</v>
      </c>
      <c r="C255" s="22" t="s">
        <v>603</v>
      </c>
      <c r="D255" s="22" t="s">
        <v>40</v>
      </c>
      <c r="E255" s="158">
        <v>19980</v>
      </c>
      <c r="F255" s="159">
        <v>142000</v>
      </c>
      <c r="G255" s="159">
        <v>2837160000</v>
      </c>
      <c r="H255" s="159">
        <v>283716000</v>
      </c>
      <c r="I255" s="159">
        <v>3120876000</v>
      </c>
      <c r="J255" s="159">
        <f>bargiri[[#This Row],[مقدار]]*INDEX(invoice[پیش دریافت به ازای هر کیلوگرم],MATCH(bargiri[[#This Row],[شماره سند مبنا]],invoice[شماره پیش فاکتور],0))</f>
        <v>1433786830.0153141</v>
      </c>
      <c r="K255" s="159">
        <f>bargiri[[#This Row],[مبلغ خالص]]-bargiri[[#This Row],[میزان استهلاک پیش دریافتی]]</f>
        <v>1687089169.9846859</v>
      </c>
      <c r="L255" s="160" t="s">
        <v>593</v>
      </c>
      <c r="M255" s="159" t="s">
        <v>593</v>
      </c>
      <c r="N255" s="159">
        <f>IF(bargiri[[#This Row],[مبلغ واریزی]]&lt;&gt;"",bargiri[[#This Row],[مانده مبلغ]]-bargiri[[#This Row],[مبلغ واریزی]],bargiri[[#This Row],[مانده مبلغ]])</f>
        <v>1687089169.9846859</v>
      </c>
      <c r="O255" s="159" t="s">
        <v>593</v>
      </c>
      <c r="P255" s="159">
        <f>VLOOKUP(bargiri[[#This Row],[شماره سند مبنا]],invoice[[شماره پیش فاکتور]:[پیش دریافت به ازای هر کیلوگرم]],14,0)</f>
        <v>71761.102603369072</v>
      </c>
      <c r="Q255" s="159">
        <f>IF(bargiri[[#This Row],[مبلغ ناخالص]]-(bargiri[[#This Row],[نرخ استهلاک]]*bargiri[[#This Row],[مقدار]])&lt;0,0,bargiri[[#This Row],[مبلغ ناخالص]]-(bargiri[[#This Row],[نرخ استهلاک]]*bargiri[[#This Row],[مقدار]]))</f>
        <v>1403373169.9846859</v>
      </c>
    </row>
    <row r="256" spans="1:17" s="22" customFormat="1" ht="13.8" x14ac:dyDescent="0.25">
      <c r="A256" s="22">
        <v>1223</v>
      </c>
      <c r="B256" s="22" t="s">
        <v>962</v>
      </c>
      <c r="C256" s="22" t="s">
        <v>910</v>
      </c>
      <c r="D256" s="22" t="s">
        <v>73</v>
      </c>
      <c r="E256" s="158">
        <v>19970</v>
      </c>
      <c r="F256" s="159">
        <v>115372</v>
      </c>
      <c r="G256" s="159">
        <v>2303978840</v>
      </c>
      <c r="H256" s="159">
        <v>230397884</v>
      </c>
      <c r="I256" s="159">
        <v>2534376724</v>
      </c>
      <c r="J256" s="159">
        <f>bargiri[[#This Row],[مقدار]]*INDEX(invoice[پیش دریافت به ازای هر کیلوگرم],MATCH(bargiri[[#This Row],[شماره سند مبنا]],invoice[شماره پیش فاکتور],0))</f>
        <v>1256113000</v>
      </c>
      <c r="K256" s="159">
        <f>bargiri[[#This Row],[مبلغ خالص]]-bargiri[[#This Row],[میزان استهلاک پیش دریافتی]]</f>
        <v>1278263724</v>
      </c>
      <c r="L256" s="160" t="s">
        <v>593</v>
      </c>
      <c r="M256" s="159" t="s">
        <v>593</v>
      </c>
      <c r="N256" s="159">
        <f>IF(bargiri[[#This Row],[مبلغ واریزی]]&lt;&gt;"",bargiri[[#This Row],[مانده مبلغ]]-bargiri[[#This Row],[مبلغ واریزی]],bargiri[[#This Row],[مانده مبلغ]])</f>
        <v>1278263724</v>
      </c>
      <c r="O256" s="159" t="s">
        <v>593</v>
      </c>
      <c r="P256" s="159">
        <f>VLOOKUP(bargiri[[#This Row],[شماره سند مبنا]],invoice[[شماره پیش فاکتور]:[پیش دریافت به ازای هر کیلوگرم]],14,0)</f>
        <v>62900</v>
      </c>
      <c r="Q256" s="159">
        <f>IF(bargiri[[#This Row],[مبلغ ناخالص]]-(bargiri[[#This Row],[نرخ استهلاک]]*bargiri[[#This Row],[مقدار]])&lt;0,0,bargiri[[#This Row],[مبلغ ناخالص]]-(bargiri[[#This Row],[نرخ استهلاک]]*bargiri[[#This Row],[مقدار]]))</f>
        <v>1047865840</v>
      </c>
    </row>
    <row r="257" spans="1:17" s="22" customFormat="1" ht="13.8" x14ac:dyDescent="0.25">
      <c r="A257" s="22">
        <v>1222</v>
      </c>
      <c r="B257" s="22" t="s">
        <v>962</v>
      </c>
      <c r="C257" s="22" t="s">
        <v>910</v>
      </c>
      <c r="D257" s="22" t="s">
        <v>73</v>
      </c>
      <c r="E257" s="158">
        <v>21570</v>
      </c>
      <c r="F257" s="159">
        <v>115372</v>
      </c>
      <c r="G257" s="159">
        <v>2488574040</v>
      </c>
      <c r="H257" s="159">
        <v>248857404</v>
      </c>
      <c r="I257" s="159">
        <v>2737431444</v>
      </c>
      <c r="J257" s="159">
        <f>bargiri[[#This Row],[مقدار]]*INDEX(invoice[پیش دریافت به ازای هر کیلوگرم],MATCH(bargiri[[#This Row],[شماره سند مبنا]],invoice[شماره پیش فاکتور],0))</f>
        <v>1356753000</v>
      </c>
      <c r="K257" s="159">
        <f>bargiri[[#This Row],[مبلغ خالص]]-bargiri[[#This Row],[میزان استهلاک پیش دریافتی]]</f>
        <v>1380678444</v>
      </c>
      <c r="L257" s="160" t="s">
        <v>593</v>
      </c>
      <c r="M257" s="159" t="s">
        <v>593</v>
      </c>
      <c r="N257" s="159">
        <f>IF(bargiri[[#This Row],[مبلغ واریزی]]&lt;&gt;"",bargiri[[#This Row],[مانده مبلغ]]-bargiri[[#This Row],[مبلغ واریزی]],bargiri[[#This Row],[مانده مبلغ]])</f>
        <v>1380678444</v>
      </c>
      <c r="O257" s="159" t="s">
        <v>593</v>
      </c>
      <c r="P257" s="159">
        <f>VLOOKUP(bargiri[[#This Row],[شماره سند مبنا]],invoice[[شماره پیش فاکتور]:[پیش دریافت به ازای هر کیلوگرم]],14,0)</f>
        <v>62900</v>
      </c>
      <c r="Q257" s="159">
        <f>IF(bargiri[[#This Row],[مبلغ ناخالص]]-(bargiri[[#This Row],[نرخ استهلاک]]*bargiri[[#This Row],[مقدار]])&lt;0,0,bargiri[[#This Row],[مبلغ ناخالص]]-(bargiri[[#This Row],[نرخ استهلاک]]*bargiri[[#This Row],[مقدار]]))</f>
        <v>1131821040</v>
      </c>
    </row>
    <row r="258" spans="1:17" s="22" customFormat="1" ht="13.8" x14ac:dyDescent="0.25">
      <c r="A258" s="22">
        <v>1221</v>
      </c>
      <c r="B258" s="22" t="s">
        <v>962</v>
      </c>
      <c r="C258" s="22" t="s">
        <v>910</v>
      </c>
      <c r="D258" s="22" t="s">
        <v>73</v>
      </c>
      <c r="E258" s="158">
        <v>21130</v>
      </c>
      <c r="F258" s="159">
        <v>115372</v>
      </c>
      <c r="G258" s="159">
        <v>2437810360</v>
      </c>
      <c r="H258" s="159">
        <v>243781036</v>
      </c>
      <c r="I258" s="159">
        <v>2681591396</v>
      </c>
      <c r="J258" s="159">
        <f>bargiri[[#This Row],[مقدار]]*INDEX(invoice[پیش دریافت به ازای هر کیلوگرم],MATCH(bargiri[[#This Row],[شماره سند مبنا]],invoice[شماره پیش فاکتور],0))</f>
        <v>1329077000</v>
      </c>
      <c r="K258" s="159">
        <f>bargiri[[#This Row],[مبلغ خالص]]-bargiri[[#This Row],[میزان استهلاک پیش دریافتی]]</f>
        <v>1352514396</v>
      </c>
      <c r="L258" s="160" t="s">
        <v>593</v>
      </c>
      <c r="M258" s="159" t="s">
        <v>593</v>
      </c>
      <c r="N258" s="159">
        <f>IF(bargiri[[#This Row],[مبلغ واریزی]]&lt;&gt;"",bargiri[[#This Row],[مانده مبلغ]]-bargiri[[#This Row],[مبلغ واریزی]],bargiri[[#This Row],[مانده مبلغ]])</f>
        <v>1352514396</v>
      </c>
      <c r="O258" s="159" t="s">
        <v>593</v>
      </c>
      <c r="P258" s="159">
        <f>VLOOKUP(bargiri[[#This Row],[شماره سند مبنا]],invoice[[شماره پیش فاکتور]:[پیش دریافت به ازای هر کیلوگرم]],14,0)</f>
        <v>62900</v>
      </c>
      <c r="Q258" s="159">
        <f>IF(bargiri[[#This Row],[مبلغ ناخالص]]-(bargiri[[#This Row],[نرخ استهلاک]]*bargiri[[#This Row],[مقدار]])&lt;0,0,bargiri[[#This Row],[مبلغ ناخالص]]-(bargiri[[#This Row],[نرخ استهلاک]]*bargiri[[#This Row],[مقدار]]))</f>
        <v>1108733360</v>
      </c>
    </row>
    <row r="259" spans="1:17" s="22" customFormat="1" ht="13.8" x14ac:dyDescent="0.25">
      <c r="A259" s="22">
        <v>1220</v>
      </c>
      <c r="B259" s="22" t="s">
        <v>962</v>
      </c>
      <c r="C259" s="22" t="s">
        <v>720</v>
      </c>
      <c r="D259" s="22" t="s">
        <v>20</v>
      </c>
      <c r="E259" s="158">
        <v>20270</v>
      </c>
      <c r="F259" s="159">
        <v>105000</v>
      </c>
      <c r="G259" s="159">
        <v>2128350000</v>
      </c>
      <c r="H259" s="159">
        <v>212835000</v>
      </c>
      <c r="I259" s="159">
        <v>2341185000</v>
      </c>
      <c r="J259" s="159">
        <f>bargiri[[#This Row],[مقدار]]*INDEX(invoice[پیش دریافت به ازای هر کیلوگرم],MATCH(bargiri[[#This Row],[شماره سند مبنا]],invoice[شماره پیش فاکتور],0))</f>
        <v>1064175000</v>
      </c>
      <c r="K259" s="159">
        <f>bargiri[[#This Row],[مبلغ خالص]]-bargiri[[#This Row],[میزان استهلاک پیش دریافتی]]</f>
        <v>1277010000</v>
      </c>
      <c r="L259" s="160" t="s">
        <v>593</v>
      </c>
      <c r="M259" s="159" t="s">
        <v>593</v>
      </c>
      <c r="N259" s="159">
        <f>IF(bargiri[[#This Row],[مبلغ واریزی]]&lt;&gt;"",bargiri[[#This Row],[مانده مبلغ]]-bargiri[[#This Row],[مبلغ واریزی]],bargiri[[#This Row],[مانده مبلغ]])</f>
        <v>1277010000</v>
      </c>
      <c r="O259" s="159" t="s">
        <v>593</v>
      </c>
      <c r="P259" s="159">
        <f>VLOOKUP(bargiri[[#This Row],[شماره سند مبنا]],invoice[[شماره پیش فاکتور]:[پیش دریافت به ازای هر کیلوگرم]],14,0)</f>
        <v>52500</v>
      </c>
      <c r="Q259" s="159">
        <f>IF(bargiri[[#This Row],[مبلغ ناخالص]]-(bargiri[[#This Row],[نرخ استهلاک]]*bargiri[[#This Row],[مقدار]])&lt;0,0,bargiri[[#This Row],[مبلغ ناخالص]]-(bargiri[[#This Row],[نرخ استهلاک]]*bargiri[[#This Row],[مقدار]]))</f>
        <v>1064175000</v>
      </c>
    </row>
    <row r="260" spans="1:17" s="22" customFormat="1" ht="13.8" x14ac:dyDescent="0.25">
      <c r="A260" s="22">
        <v>1219</v>
      </c>
      <c r="B260" s="22" t="s">
        <v>924</v>
      </c>
      <c r="C260" s="22" t="s">
        <v>723</v>
      </c>
      <c r="D260" s="22" t="s">
        <v>116</v>
      </c>
      <c r="E260" s="158">
        <v>18140</v>
      </c>
      <c r="F260" s="159">
        <v>105000</v>
      </c>
      <c r="G260" s="159">
        <v>1904700000</v>
      </c>
      <c r="H260" s="159">
        <v>190470000</v>
      </c>
      <c r="I260" s="159">
        <v>2095170000</v>
      </c>
      <c r="J260" s="159">
        <f>bargiri[[#This Row],[مقدار]]*INDEX(invoice[پیش دریافت به ازای هر کیلوگرم],MATCH(bargiri[[#This Row],[شماره سند مبنا]],invoice[شماره پیش فاکتور],0))</f>
        <v>952350000</v>
      </c>
      <c r="K260" s="159">
        <f>bargiri[[#This Row],[مبلغ خالص]]-bargiri[[#This Row],[میزان استهلاک پیش دریافتی]]</f>
        <v>1142820000</v>
      </c>
      <c r="L260" s="160" t="s">
        <v>263</v>
      </c>
      <c r="M260" s="159">
        <v>1482091875</v>
      </c>
      <c r="N260" s="159">
        <f>IF(bargiri[[#This Row],[مبلغ واریزی]]&lt;&gt;"",bargiri[[#This Row],[مانده مبلغ]]-bargiri[[#This Row],[مبلغ واریزی]],bargiri[[#This Row],[مانده مبلغ]])</f>
        <v>-339271875</v>
      </c>
      <c r="O260" s="159">
        <v>0</v>
      </c>
      <c r="P260" s="159">
        <f>VLOOKUP(bargiri[[#This Row],[شماره سند مبنا]],invoice[[شماره پیش فاکتور]:[پیش دریافت به ازای هر کیلوگرم]],14,0)</f>
        <v>52500</v>
      </c>
      <c r="Q260" s="159">
        <f>IF(bargiri[[#This Row],[مبلغ ناخالص]]-(bargiri[[#This Row],[نرخ استهلاک]]*bargiri[[#This Row],[مقدار]])&lt;0,0,bargiri[[#This Row],[مبلغ ناخالص]]-(bargiri[[#This Row],[نرخ استهلاک]]*bargiri[[#This Row],[مقدار]]))</f>
        <v>952350000</v>
      </c>
    </row>
    <row r="261" spans="1:17" s="22" customFormat="1" ht="13.8" x14ac:dyDescent="0.25">
      <c r="A261" s="22">
        <v>1218</v>
      </c>
      <c r="B261" s="22" t="s">
        <v>924</v>
      </c>
      <c r="C261" s="22" t="s">
        <v>709</v>
      </c>
      <c r="D261" s="22" t="s">
        <v>43</v>
      </c>
      <c r="E261" s="158">
        <v>5500</v>
      </c>
      <c r="F261" s="159">
        <v>111000</v>
      </c>
      <c r="G261" s="159">
        <v>610500000</v>
      </c>
      <c r="H261" s="159">
        <v>61050000</v>
      </c>
      <c r="I261" s="159">
        <v>671550000</v>
      </c>
      <c r="J261" s="159">
        <f>bargiri[[#This Row],[مقدار]]*INDEX(invoice[پیش دریافت به ازای هر کیلوگرم],MATCH(bargiri[[#This Row],[شماره سند مبنا]],invoice[شماره پیش فاکتور],0))</f>
        <v>470085000</v>
      </c>
      <c r="K261" s="159">
        <f>bargiri[[#This Row],[مبلغ خالص]]-bargiri[[#This Row],[میزان استهلاک پیش دریافتی]]</f>
        <v>201465000</v>
      </c>
      <c r="L261" s="160" t="s">
        <v>593</v>
      </c>
      <c r="M261" s="159" t="s">
        <v>593</v>
      </c>
      <c r="N261" s="159">
        <f>IF(bargiri[[#This Row],[مبلغ واریزی]]&lt;&gt;"",bargiri[[#This Row],[مانده مبلغ]]-bargiri[[#This Row],[مبلغ واریزی]],bargiri[[#This Row],[مانده مبلغ]])</f>
        <v>201465000</v>
      </c>
      <c r="O261" s="159" t="s">
        <v>593</v>
      </c>
      <c r="P261" s="159">
        <f>VLOOKUP(bargiri[[#This Row],[شماره سند مبنا]],invoice[[شماره پیش فاکتور]:[پیش دریافت به ازای هر کیلوگرم]],14,0)</f>
        <v>85470</v>
      </c>
      <c r="Q261" s="159">
        <f>IF(bargiri[[#This Row],[مبلغ ناخالص]]-(bargiri[[#This Row],[نرخ استهلاک]]*bargiri[[#This Row],[مقدار]])&lt;0,0,bargiri[[#This Row],[مبلغ ناخالص]]-(bargiri[[#This Row],[نرخ استهلاک]]*bargiri[[#This Row],[مقدار]]))</f>
        <v>140415000</v>
      </c>
    </row>
    <row r="262" spans="1:17" s="22" customFormat="1" ht="13.8" x14ac:dyDescent="0.25">
      <c r="A262" s="22">
        <v>1217</v>
      </c>
      <c r="B262" s="22" t="s">
        <v>924</v>
      </c>
      <c r="C262" s="22" t="s">
        <v>720</v>
      </c>
      <c r="D262" s="22" t="s">
        <v>20</v>
      </c>
      <c r="E262" s="158">
        <v>23290</v>
      </c>
      <c r="F262" s="159">
        <v>105000</v>
      </c>
      <c r="G262" s="159">
        <v>2445450000</v>
      </c>
      <c r="H262" s="159">
        <v>244545000</v>
      </c>
      <c r="I262" s="159">
        <v>2689995000</v>
      </c>
      <c r="J262" s="159">
        <f>bargiri[[#This Row],[مقدار]]*INDEX(invoice[پیش دریافت به ازای هر کیلوگرم],MATCH(bargiri[[#This Row],[شماره سند مبنا]],invoice[شماره پیش فاکتور],0))</f>
        <v>1222725000</v>
      </c>
      <c r="K262" s="159">
        <f>bargiri[[#This Row],[مبلغ خالص]]-bargiri[[#This Row],[میزان استهلاک پیش دریافتی]]</f>
        <v>1467270000</v>
      </c>
      <c r="L262" s="160" t="s">
        <v>593</v>
      </c>
      <c r="M262" s="159" t="s">
        <v>593</v>
      </c>
      <c r="N262" s="159">
        <f>IF(bargiri[[#This Row],[مبلغ واریزی]]&lt;&gt;"",bargiri[[#This Row],[مانده مبلغ]]-bargiri[[#This Row],[مبلغ واریزی]],bargiri[[#This Row],[مانده مبلغ]])</f>
        <v>1467270000</v>
      </c>
      <c r="O262" s="159" t="s">
        <v>593</v>
      </c>
      <c r="P262" s="159">
        <f>VLOOKUP(bargiri[[#This Row],[شماره سند مبنا]],invoice[[شماره پیش فاکتور]:[پیش دریافت به ازای هر کیلوگرم]],14,0)</f>
        <v>52500</v>
      </c>
      <c r="Q262" s="159">
        <f>IF(bargiri[[#This Row],[مبلغ ناخالص]]-(bargiri[[#This Row],[نرخ استهلاک]]*bargiri[[#This Row],[مقدار]])&lt;0,0,bargiri[[#This Row],[مبلغ ناخالص]]-(bargiri[[#This Row],[نرخ استهلاک]]*bargiri[[#This Row],[مقدار]]))</f>
        <v>1222725000</v>
      </c>
    </row>
    <row r="263" spans="1:17" s="22" customFormat="1" ht="13.8" x14ac:dyDescent="0.25">
      <c r="A263" s="22">
        <v>1216</v>
      </c>
      <c r="B263" s="22" t="s">
        <v>924</v>
      </c>
      <c r="C263" s="22" t="s">
        <v>745</v>
      </c>
      <c r="D263" s="22" t="s">
        <v>221</v>
      </c>
      <c r="E263" s="158">
        <v>14410</v>
      </c>
      <c r="F263" s="159">
        <v>135000</v>
      </c>
      <c r="G263" s="159">
        <v>1945350000</v>
      </c>
      <c r="H263" s="159">
        <v>194535000</v>
      </c>
      <c r="I263" s="159">
        <v>2139885000</v>
      </c>
      <c r="J263" s="159">
        <f>bargiri[[#This Row],[مقدار]]*INDEX(invoice[پیش دریافت به ازای هر کیلوگرم],MATCH(bargiri[[#This Row],[شماره سند مبنا]],invoice[شماره پیش فاکتور],0))</f>
        <v>320982750</v>
      </c>
      <c r="K263" s="159">
        <f>bargiri[[#This Row],[مبلغ خالص]]-bargiri[[#This Row],[میزان استهلاک پیش دریافتی]]</f>
        <v>1818902250</v>
      </c>
      <c r="L263" s="160" t="s">
        <v>593</v>
      </c>
      <c r="M263" s="159" t="s">
        <v>593</v>
      </c>
      <c r="N263" s="159">
        <f>IF(bargiri[[#This Row],[مبلغ واریزی]]&lt;&gt;"",bargiri[[#This Row],[مانده مبلغ]]-bargiri[[#This Row],[مبلغ واریزی]],bargiri[[#This Row],[مانده مبلغ]])</f>
        <v>1818902250</v>
      </c>
      <c r="O263" s="159" t="s">
        <v>593</v>
      </c>
      <c r="P263" s="159">
        <f>VLOOKUP(bargiri[[#This Row],[شماره سند مبنا]],invoice[[شماره پیش فاکتور]:[پیش دریافت به ازای هر کیلوگرم]],14,0)</f>
        <v>22275</v>
      </c>
      <c r="Q263" s="159">
        <f>IF(bargiri[[#This Row],[مبلغ ناخالص]]-(bargiri[[#This Row],[نرخ استهلاک]]*bargiri[[#This Row],[مقدار]])&lt;0,0,bargiri[[#This Row],[مبلغ ناخالص]]-(bargiri[[#This Row],[نرخ استهلاک]]*bargiri[[#This Row],[مقدار]]))</f>
        <v>1624367250</v>
      </c>
    </row>
    <row r="264" spans="1:17" s="22" customFormat="1" ht="13.8" x14ac:dyDescent="0.25">
      <c r="A264" s="22">
        <v>1215</v>
      </c>
      <c r="B264" s="22" t="s">
        <v>924</v>
      </c>
      <c r="C264" s="22" t="s">
        <v>709</v>
      </c>
      <c r="D264" s="22" t="s">
        <v>43</v>
      </c>
      <c r="E264" s="158">
        <v>5660</v>
      </c>
      <c r="F264" s="159">
        <v>111000</v>
      </c>
      <c r="G264" s="159">
        <v>628260000</v>
      </c>
      <c r="H264" s="159">
        <v>62826000</v>
      </c>
      <c r="I264" s="159">
        <v>691086000</v>
      </c>
      <c r="J264" s="159">
        <f>bargiri[[#This Row],[مقدار]]*INDEX(invoice[پیش دریافت به ازای هر کیلوگرم],MATCH(bargiri[[#This Row],[شماره سند مبنا]],invoice[شماره پیش فاکتور],0))</f>
        <v>483760200</v>
      </c>
      <c r="K264" s="159">
        <f>bargiri[[#This Row],[مبلغ خالص]]-bargiri[[#This Row],[میزان استهلاک پیش دریافتی]]</f>
        <v>207325800</v>
      </c>
      <c r="L264" s="160" t="s">
        <v>151</v>
      </c>
      <c r="M264" s="159">
        <v>1541698125</v>
      </c>
      <c r="N264" s="159">
        <f>IF(bargiri[[#This Row],[مبلغ واریزی]]&lt;&gt;"",bargiri[[#This Row],[مانده مبلغ]]-bargiri[[#This Row],[مبلغ واریزی]],bargiri[[#This Row],[مانده مبلغ]])</f>
        <v>-1334372325</v>
      </c>
      <c r="O264" s="159">
        <v>0</v>
      </c>
      <c r="P264" s="159">
        <f>VLOOKUP(bargiri[[#This Row],[شماره سند مبنا]],invoice[[شماره پیش فاکتور]:[پیش دریافت به ازای هر کیلوگرم]],14,0)</f>
        <v>85470</v>
      </c>
      <c r="Q264" s="159">
        <f>IF(bargiri[[#This Row],[مبلغ ناخالص]]-(bargiri[[#This Row],[نرخ استهلاک]]*bargiri[[#This Row],[مقدار]])&lt;0,0,bargiri[[#This Row],[مبلغ ناخالص]]-(bargiri[[#This Row],[نرخ استهلاک]]*bargiri[[#This Row],[مقدار]]))</f>
        <v>144499800</v>
      </c>
    </row>
    <row r="265" spans="1:17" s="22" customFormat="1" ht="13.8" x14ac:dyDescent="0.25">
      <c r="A265" s="22">
        <v>1214</v>
      </c>
      <c r="B265" s="22" t="s">
        <v>924</v>
      </c>
      <c r="C265" s="22" t="s">
        <v>745</v>
      </c>
      <c r="D265" s="22" t="s">
        <v>221</v>
      </c>
      <c r="E265" s="158">
        <v>14420</v>
      </c>
      <c r="F265" s="159">
        <v>135000</v>
      </c>
      <c r="G265" s="159">
        <v>1946700000</v>
      </c>
      <c r="H265" s="159">
        <v>194670000</v>
      </c>
      <c r="I265" s="159">
        <v>2141370000</v>
      </c>
      <c r="J265" s="159">
        <f>bargiri[[#This Row],[مقدار]]*INDEX(invoice[پیش دریافت به ازای هر کیلوگرم],MATCH(bargiri[[#This Row],[شماره سند مبنا]],invoice[شماره پیش فاکتور],0))</f>
        <v>321205500</v>
      </c>
      <c r="K265" s="159">
        <f>bargiri[[#This Row],[مبلغ خالص]]-bargiri[[#This Row],[میزان استهلاک پیش دریافتی]]</f>
        <v>1820164500</v>
      </c>
      <c r="L265" s="160" t="s">
        <v>337</v>
      </c>
      <c r="M265" s="159">
        <v>455647500</v>
      </c>
      <c r="N265" s="159">
        <f>IF(bargiri[[#This Row],[مبلغ واریزی]]&lt;&gt;"",bargiri[[#This Row],[مانده مبلغ]]-bargiri[[#This Row],[مبلغ واریزی]],bargiri[[#This Row],[مانده مبلغ]])</f>
        <v>1364517000</v>
      </c>
      <c r="O265" s="159">
        <v>0</v>
      </c>
      <c r="P265" s="159">
        <f>VLOOKUP(bargiri[[#This Row],[شماره سند مبنا]],invoice[[شماره پیش فاکتور]:[پیش دریافت به ازای هر کیلوگرم]],14,0)</f>
        <v>22275</v>
      </c>
      <c r="Q265" s="159">
        <f>IF(bargiri[[#This Row],[مبلغ ناخالص]]-(bargiri[[#This Row],[نرخ استهلاک]]*bargiri[[#This Row],[مقدار]])&lt;0,0,bargiri[[#This Row],[مبلغ ناخالص]]-(bargiri[[#This Row],[نرخ استهلاک]]*bargiri[[#This Row],[مقدار]]))</f>
        <v>1625494500</v>
      </c>
    </row>
    <row r="266" spans="1:17" s="22" customFormat="1" ht="13.8" x14ac:dyDescent="0.25">
      <c r="A266" s="22">
        <v>1213</v>
      </c>
      <c r="B266" s="22" t="s">
        <v>924</v>
      </c>
      <c r="C266" s="22" t="s">
        <v>709</v>
      </c>
      <c r="D266" s="22" t="s">
        <v>43</v>
      </c>
      <c r="E266" s="158">
        <v>5620</v>
      </c>
      <c r="F266" s="159">
        <v>111000</v>
      </c>
      <c r="G266" s="159">
        <v>623820000</v>
      </c>
      <c r="H266" s="159">
        <v>62382000</v>
      </c>
      <c r="I266" s="159">
        <v>686202000</v>
      </c>
      <c r="J266" s="159">
        <f>bargiri[[#This Row],[مقدار]]*INDEX(invoice[پیش دریافت به ازای هر کیلوگرم],MATCH(bargiri[[#This Row],[شماره سند مبنا]],invoice[شماره پیش فاکتور],0))</f>
        <v>480341400</v>
      </c>
      <c r="K266" s="159">
        <f>bargiri[[#This Row],[مبلغ خالص]]-bargiri[[#This Row],[میزان استهلاک پیش دریافتی]]</f>
        <v>205860600</v>
      </c>
      <c r="L266" s="160" t="s">
        <v>593</v>
      </c>
      <c r="M266" s="159" t="s">
        <v>593</v>
      </c>
      <c r="N266" s="159">
        <f>IF(bargiri[[#This Row],[مبلغ واریزی]]&lt;&gt;"",bargiri[[#This Row],[مانده مبلغ]]-bargiri[[#This Row],[مبلغ واریزی]],bargiri[[#This Row],[مانده مبلغ]])</f>
        <v>205860600</v>
      </c>
      <c r="O266" s="159" t="s">
        <v>593</v>
      </c>
      <c r="P266" s="159">
        <f>VLOOKUP(bargiri[[#This Row],[شماره سند مبنا]],invoice[[شماره پیش فاکتور]:[پیش دریافت به ازای هر کیلوگرم]],14,0)</f>
        <v>85470</v>
      </c>
      <c r="Q266" s="159">
        <f>IF(bargiri[[#This Row],[مبلغ ناخالص]]-(bargiri[[#This Row],[نرخ استهلاک]]*bargiri[[#This Row],[مقدار]])&lt;0,0,bargiri[[#This Row],[مبلغ ناخالص]]-(bargiri[[#This Row],[نرخ استهلاک]]*bargiri[[#This Row],[مقدار]]))</f>
        <v>143478600</v>
      </c>
    </row>
    <row r="267" spans="1:17" s="22" customFormat="1" ht="13.8" x14ac:dyDescent="0.25">
      <c r="A267" s="22">
        <v>1212</v>
      </c>
      <c r="B267" s="22" t="s">
        <v>963</v>
      </c>
      <c r="C267" s="22" t="s">
        <v>182</v>
      </c>
      <c r="D267" s="22" t="s">
        <v>20</v>
      </c>
      <c r="E267" s="158">
        <v>16905</v>
      </c>
      <c r="F267" s="159">
        <v>86500</v>
      </c>
      <c r="G267" s="159">
        <v>1462282500</v>
      </c>
      <c r="H267" s="159">
        <v>146228250</v>
      </c>
      <c r="I267" s="159">
        <v>1608510750</v>
      </c>
      <c r="J267" s="159">
        <f>bargiri[[#This Row],[مقدار]]*INDEX(invoice[پیش دریافت به ازای هر کیلوگرم],MATCH(bargiri[[#This Row],[شماره سند مبنا]],invoice[شماره پیش فاکتور],0))</f>
        <v>219342375</v>
      </c>
      <c r="K267" s="159">
        <f>bargiri[[#This Row],[مبلغ خالص]]-bargiri[[#This Row],[میزان استهلاک پیش دریافتی]]</f>
        <v>1389168375</v>
      </c>
      <c r="L267" s="160" t="s">
        <v>593</v>
      </c>
      <c r="M267" s="159" t="s">
        <v>593</v>
      </c>
      <c r="N267" s="159">
        <f>IF(bargiri[[#This Row],[مبلغ واریزی]]&lt;&gt;"",bargiri[[#This Row],[مانده مبلغ]]-bargiri[[#This Row],[مبلغ واریزی]],bargiri[[#This Row],[مانده مبلغ]])</f>
        <v>1389168375</v>
      </c>
      <c r="O267" s="159" t="s">
        <v>593</v>
      </c>
      <c r="P267" s="159">
        <f>VLOOKUP(bargiri[[#This Row],[شماره سند مبنا]],invoice[[شماره پیش فاکتور]:[پیش دریافت به ازای هر کیلوگرم]],14,0)</f>
        <v>12975</v>
      </c>
      <c r="Q267" s="159">
        <f>IF(bargiri[[#This Row],[مبلغ ناخالص]]-(bargiri[[#This Row],[نرخ استهلاک]]*bargiri[[#This Row],[مقدار]])&lt;0,0,bargiri[[#This Row],[مبلغ ناخالص]]-(bargiri[[#This Row],[نرخ استهلاک]]*bargiri[[#This Row],[مقدار]]))</f>
        <v>1242940125</v>
      </c>
    </row>
    <row r="268" spans="1:17" s="22" customFormat="1" ht="13.8" x14ac:dyDescent="0.25">
      <c r="A268" s="22">
        <v>1211</v>
      </c>
      <c r="B268" s="22" t="s">
        <v>963</v>
      </c>
      <c r="C268" s="22" t="s">
        <v>616</v>
      </c>
      <c r="D268" s="22" t="s">
        <v>67</v>
      </c>
      <c r="E268" s="158">
        <v>16280</v>
      </c>
      <c r="F268" s="159">
        <v>142000</v>
      </c>
      <c r="G268" s="159">
        <v>2311760000</v>
      </c>
      <c r="H268" s="159">
        <v>231176000</v>
      </c>
      <c r="I268" s="159">
        <v>2542936000</v>
      </c>
      <c r="J268" s="159">
        <f>bargiri[[#This Row],[مقدار]]*INDEX(invoice[پیش دریافت به ازای هر کیلوگرم],MATCH(bargiri[[#This Row],[شماره سند مبنا]],invoice[شماره پیش فاکتور],0))</f>
        <v>381440400</v>
      </c>
      <c r="K268" s="159">
        <f>bargiri[[#This Row],[مبلغ خالص]]-bargiri[[#This Row],[میزان استهلاک پیش دریافتی]]</f>
        <v>2161495600</v>
      </c>
      <c r="L268" s="160" t="s">
        <v>593</v>
      </c>
      <c r="M268" s="159" t="s">
        <v>593</v>
      </c>
      <c r="N268" s="159">
        <f>IF(bargiri[[#This Row],[مبلغ واریزی]]&lt;&gt;"",bargiri[[#This Row],[مانده مبلغ]]-bargiri[[#This Row],[مبلغ واریزی]],bargiri[[#This Row],[مانده مبلغ]])</f>
        <v>2161495600</v>
      </c>
      <c r="O268" s="159" t="s">
        <v>593</v>
      </c>
      <c r="P268" s="159">
        <f>VLOOKUP(bargiri[[#This Row],[شماره سند مبنا]],invoice[[شماره پیش فاکتور]:[پیش دریافت به ازای هر کیلوگرم]],14,0)</f>
        <v>23430</v>
      </c>
      <c r="Q268" s="159">
        <f>IF(bargiri[[#This Row],[مبلغ ناخالص]]-(bargiri[[#This Row],[نرخ استهلاک]]*bargiri[[#This Row],[مقدار]])&lt;0,0,bargiri[[#This Row],[مبلغ ناخالص]]-(bargiri[[#This Row],[نرخ استهلاک]]*bargiri[[#This Row],[مقدار]]))</f>
        <v>1930319600</v>
      </c>
    </row>
    <row r="269" spans="1:17" s="22" customFormat="1" ht="13.8" x14ac:dyDescent="0.25">
      <c r="A269" s="22">
        <v>1210</v>
      </c>
      <c r="B269" s="22" t="s">
        <v>963</v>
      </c>
      <c r="C269" s="22" t="s">
        <v>709</v>
      </c>
      <c r="D269" s="22" t="s">
        <v>43</v>
      </c>
      <c r="E269" s="158">
        <v>5470</v>
      </c>
      <c r="F269" s="159">
        <v>111000</v>
      </c>
      <c r="G269" s="159">
        <v>607170000</v>
      </c>
      <c r="H269" s="159">
        <v>60717000</v>
      </c>
      <c r="I269" s="159">
        <v>667887000</v>
      </c>
      <c r="J269" s="159">
        <f>bargiri[[#This Row],[مقدار]]*INDEX(invoice[پیش دریافت به ازای هر کیلوگرم],MATCH(bargiri[[#This Row],[شماره سند مبنا]],invoice[شماره پیش فاکتور],0))</f>
        <v>467520900</v>
      </c>
      <c r="K269" s="159">
        <f>bargiri[[#This Row],[مبلغ خالص]]-bargiri[[#This Row],[میزان استهلاک پیش دریافتی]]</f>
        <v>200366100</v>
      </c>
      <c r="L269" s="160" t="s">
        <v>593</v>
      </c>
      <c r="M269" s="159" t="s">
        <v>593</v>
      </c>
      <c r="N269" s="159">
        <f>IF(bargiri[[#This Row],[مبلغ واریزی]]&lt;&gt;"",bargiri[[#This Row],[مانده مبلغ]]-bargiri[[#This Row],[مبلغ واریزی]],bargiri[[#This Row],[مانده مبلغ]])</f>
        <v>200366100</v>
      </c>
      <c r="O269" s="159" t="s">
        <v>593</v>
      </c>
      <c r="P269" s="159">
        <f>VLOOKUP(bargiri[[#This Row],[شماره سند مبنا]],invoice[[شماره پیش فاکتور]:[پیش دریافت به ازای هر کیلوگرم]],14,0)</f>
        <v>85470</v>
      </c>
      <c r="Q269" s="159">
        <f>IF(bargiri[[#This Row],[مبلغ ناخالص]]-(bargiri[[#This Row],[نرخ استهلاک]]*bargiri[[#This Row],[مقدار]])&lt;0,0,bargiri[[#This Row],[مبلغ ناخالص]]-(bargiri[[#This Row],[نرخ استهلاک]]*bargiri[[#This Row],[مقدار]]))</f>
        <v>139649100</v>
      </c>
    </row>
    <row r="270" spans="1:17" s="22" customFormat="1" ht="13.8" x14ac:dyDescent="0.25">
      <c r="A270" s="22">
        <v>1209</v>
      </c>
      <c r="B270" s="22" t="s">
        <v>963</v>
      </c>
      <c r="C270" s="22" t="s">
        <v>182</v>
      </c>
      <c r="D270" s="22" t="s">
        <v>20</v>
      </c>
      <c r="E270" s="158">
        <v>18810</v>
      </c>
      <c r="F270" s="159">
        <v>86500</v>
      </c>
      <c r="G270" s="159">
        <v>1627065000</v>
      </c>
      <c r="H270" s="159">
        <v>162706500</v>
      </c>
      <c r="I270" s="159">
        <v>1789771500</v>
      </c>
      <c r="J270" s="159">
        <f>bargiri[[#This Row],[مقدار]]*INDEX(invoice[پیش دریافت به ازای هر کیلوگرم],MATCH(bargiri[[#This Row],[شماره سند مبنا]],invoice[شماره پیش فاکتور],0))</f>
        <v>244059750</v>
      </c>
      <c r="K270" s="159">
        <f>bargiri[[#This Row],[مبلغ خالص]]-bargiri[[#This Row],[میزان استهلاک پیش دریافتی]]</f>
        <v>1545711750</v>
      </c>
      <c r="L270" s="160" t="s">
        <v>593</v>
      </c>
      <c r="M270" s="159" t="s">
        <v>593</v>
      </c>
      <c r="N270" s="159">
        <f>IF(bargiri[[#This Row],[مبلغ واریزی]]&lt;&gt;"",bargiri[[#This Row],[مانده مبلغ]]-bargiri[[#This Row],[مبلغ واریزی]],bargiri[[#This Row],[مانده مبلغ]])</f>
        <v>1545711750</v>
      </c>
      <c r="O270" s="159" t="s">
        <v>593</v>
      </c>
      <c r="P270" s="159">
        <f>VLOOKUP(bargiri[[#This Row],[شماره سند مبنا]],invoice[[شماره پیش فاکتور]:[پیش دریافت به ازای هر کیلوگرم]],14,0)</f>
        <v>12975</v>
      </c>
      <c r="Q270" s="159">
        <f>IF(bargiri[[#This Row],[مبلغ ناخالص]]-(bargiri[[#This Row],[نرخ استهلاک]]*bargiri[[#This Row],[مقدار]])&lt;0,0,bargiri[[#This Row],[مبلغ ناخالص]]-(bargiri[[#This Row],[نرخ استهلاک]]*bargiri[[#This Row],[مقدار]]))</f>
        <v>1383005250</v>
      </c>
    </row>
    <row r="271" spans="1:17" s="22" customFormat="1" ht="13.8" x14ac:dyDescent="0.25">
      <c r="A271" s="22">
        <v>1208</v>
      </c>
      <c r="B271" s="22" t="s">
        <v>964</v>
      </c>
      <c r="C271" s="22" t="s">
        <v>910</v>
      </c>
      <c r="D271" s="22" t="s">
        <v>73</v>
      </c>
      <c r="E271" s="158">
        <v>21160</v>
      </c>
      <c r="F271" s="159">
        <v>115372</v>
      </c>
      <c r="G271" s="159">
        <v>2441271520</v>
      </c>
      <c r="H271" s="159">
        <v>244127152</v>
      </c>
      <c r="I271" s="159">
        <v>2685398672</v>
      </c>
      <c r="J271" s="159">
        <f>bargiri[[#This Row],[مقدار]]*INDEX(invoice[پیش دریافت به ازای هر کیلوگرم],MATCH(bargiri[[#This Row],[شماره سند مبنا]],invoice[شماره پیش فاکتور],0))</f>
        <v>1330964000</v>
      </c>
      <c r="K271" s="159">
        <f>bargiri[[#This Row],[مبلغ خالص]]-bargiri[[#This Row],[میزان استهلاک پیش دریافتی]]</f>
        <v>1354434672</v>
      </c>
      <c r="L271" s="160" t="s">
        <v>260</v>
      </c>
      <c r="M271" s="159">
        <v>1142697500</v>
      </c>
      <c r="N271" s="159">
        <f>IF(bargiri[[#This Row],[مبلغ واریزی]]&lt;&gt;"",bargiri[[#This Row],[مانده مبلغ]]-bargiri[[#This Row],[مبلغ واریزی]],bargiri[[#This Row],[مانده مبلغ]])</f>
        <v>211737172</v>
      </c>
      <c r="O271" s="159">
        <v>0</v>
      </c>
      <c r="P271" s="159">
        <f>VLOOKUP(bargiri[[#This Row],[شماره سند مبنا]],invoice[[شماره پیش فاکتور]:[پیش دریافت به ازای هر کیلوگرم]],14,0)</f>
        <v>62900</v>
      </c>
      <c r="Q271" s="159">
        <f>IF(bargiri[[#This Row],[مبلغ ناخالص]]-(bargiri[[#This Row],[نرخ استهلاک]]*bargiri[[#This Row],[مقدار]])&lt;0,0,bargiri[[#This Row],[مبلغ ناخالص]]-(bargiri[[#This Row],[نرخ استهلاک]]*bargiri[[#This Row],[مقدار]]))</f>
        <v>1110307520</v>
      </c>
    </row>
    <row r="272" spans="1:17" s="22" customFormat="1" ht="13.8" x14ac:dyDescent="0.25">
      <c r="A272" s="22">
        <v>1207</v>
      </c>
      <c r="B272" s="22" t="s">
        <v>921</v>
      </c>
      <c r="C272" s="22" t="s">
        <v>910</v>
      </c>
      <c r="D272" s="22" t="s">
        <v>73</v>
      </c>
      <c r="E272" s="158">
        <v>20060</v>
      </c>
      <c r="F272" s="159">
        <v>115372</v>
      </c>
      <c r="G272" s="159">
        <v>2314362320</v>
      </c>
      <c r="H272" s="159">
        <v>231436232</v>
      </c>
      <c r="I272" s="159">
        <v>2545798552</v>
      </c>
      <c r="J272" s="159">
        <f>bargiri[[#This Row],[مقدار]]*INDEX(invoice[پیش دریافت به ازای هر کیلوگرم],MATCH(bargiri[[#This Row],[شماره سند مبنا]],invoice[شماره پیش فاکتور],0))</f>
        <v>1261774000</v>
      </c>
      <c r="K272" s="159">
        <f>bargiri[[#This Row],[مبلغ خالص]]-bargiri[[#This Row],[میزان استهلاک پیش دریافتی]]</f>
        <v>1284024552</v>
      </c>
      <c r="L272" s="160" t="s">
        <v>62</v>
      </c>
      <c r="M272" s="159">
        <v>1553970000</v>
      </c>
      <c r="N272" s="159">
        <f>IF(bargiri[[#This Row],[مبلغ واریزی]]&lt;&gt;"",bargiri[[#This Row],[مانده مبلغ]]-bargiri[[#This Row],[مبلغ واریزی]],bargiri[[#This Row],[مانده مبلغ]])</f>
        <v>-269945448</v>
      </c>
      <c r="O272" s="159">
        <v>0</v>
      </c>
      <c r="P272" s="159">
        <f>VLOOKUP(bargiri[[#This Row],[شماره سند مبنا]],invoice[[شماره پیش فاکتور]:[پیش دریافت به ازای هر کیلوگرم]],14,0)</f>
        <v>62900</v>
      </c>
      <c r="Q272" s="159">
        <f>IF(bargiri[[#This Row],[مبلغ ناخالص]]-(bargiri[[#This Row],[نرخ استهلاک]]*bargiri[[#This Row],[مقدار]])&lt;0,0,bargiri[[#This Row],[مبلغ ناخالص]]-(bargiri[[#This Row],[نرخ استهلاک]]*bargiri[[#This Row],[مقدار]]))</f>
        <v>1052588320</v>
      </c>
    </row>
    <row r="273" spans="1:17" s="22" customFormat="1" ht="13.8" x14ac:dyDescent="0.25">
      <c r="A273" s="22">
        <v>1206</v>
      </c>
      <c r="B273" s="22" t="s">
        <v>921</v>
      </c>
      <c r="C273" s="22" t="s">
        <v>910</v>
      </c>
      <c r="D273" s="22" t="s">
        <v>73</v>
      </c>
      <c r="E273" s="158">
        <v>20360</v>
      </c>
      <c r="F273" s="159">
        <v>115372</v>
      </c>
      <c r="G273" s="159">
        <v>2348973920</v>
      </c>
      <c r="H273" s="159">
        <v>234897392</v>
      </c>
      <c r="I273" s="159">
        <v>2583871312</v>
      </c>
      <c r="J273" s="159">
        <f>bargiri[[#This Row],[مقدار]]*INDEX(invoice[پیش دریافت به ازای هر کیلوگرم],MATCH(bargiri[[#This Row],[شماره سند مبنا]],invoice[شماره پیش فاکتور],0))</f>
        <v>1280644000</v>
      </c>
      <c r="K273" s="159">
        <f>bargiri[[#This Row],[مبلغ خالص]]-bargiri[[#This Row],[میزان استهلاک پیش دریافتی]]</f>
        <v>1303227312</v>
      </c>
      <c r="L273" s="160" t="s">
        <v>62</v>
      </c>
      <c r="M273" s="159">
        <v>574080000</v>
      </c>
      <c r="N273" s="159">
        <f>IF(bargiri[[#This Row],[مبلغ واریزی]]&lt;&gt;"",bargiri[[#This Row],[مانده مبلغ]]-bargiri[[#This Row],[مبلغ واریزی]],bargiri[[#This Row],[مانده مبلغ]])</f>
        <v>729147312</v>
      </c>
      <c r="O273" s="159">
        <v>0</v>
      </c>
      <c r="P273" s="159">
        <f>VLOOKUP(bargiri[[#This Row],[شماره سند مبنا]],invoice[[شماره پیش فاکتور]:[پیش دریافت به ازای هر کیلوگرم]],14,0)</f>
        <v>62900</v>
      </c>
      <c r="Q273" s="159">
        <f>IF(bargiri[[#This Row],[مبلغ ناخالص]]-(bargiri[[#This Row],[نرخ استهلاک]]*bargiri[[#This Row],[مقدار]])&lt;0,0,bargiri[[#This Row],[مبلغ ناخالص]]-(bargiri[[#This Row],[نرخ استهلاک]]*bargiri[[#This Row],[مقدار]]))</f>
        <v>1068329920</v>
      </c>
    </row>
    <row r="274" spans="1:17" s="22" customFormat="1" ht="13.8" x14ac:dyDescent="0.25">
      <c r="A274" s="22">
        <v>1205</v>
      </c>
      <c r="B274" s="22" t="s">
        <v>965</v>
      </c>
      <c r="C274" s="22" t="s">
        <v>910</v>
      </c>
      <c r="D274" s="22" t="s">
        <v>73</v>
      </c>
      <c r="E274" s="158">
        <v>20580</v>
      </c>
      <c r="F274" s="159">
        <v>115372</v>
      </c>
      <c r="G274" s="159">
        <v>2374355760</v>
      </c>
      <c r="H274" s="159">
        <v>237435576</v>
      </c>
      <c r="I274" s="159">
        <v>2611791336</v>
      </c>
      <c r="J274" s="159">
        <f>bargiri[[#This Row],[مقدار]]*INDEX(invoice[پیش دریافت به ازای هر کیلوگرم],MATCH(bargiri[[#This Row],[شماره سند مبنا]],invoice[شماره پیش فاکتور],0))</f>
        <v>1294482000</v>
      </c>
      <c r="K274" s="159">
        <f>bargiri[[#This Row],[مبلغ خالص]]-bargiri[[#This Row],[میزان استهلاک پیش دریافتی]]</f>
        <v>1317309336</v>
      </c>
      <c r="L274" s="160" t="s">
        <v>593</v>
      </c>
      <c r="M274" s="159" t="s">
        <v>593</v>
      </c>
      <c r="N274" s="159">
        <f>IF(bargiri[[#This Row],[مبلغ واریزی]]&lt;&gt;"",bargiri[[#This Row],[مانده مبلغ]]-bargiri[[#This Row],[مبلغ واریزی]],bargiri[[#This Row],[مانده مبلغ]])</f>
        <v>1317309336</v>
      </c>
      <c r="O274" s="159" t="s">
        <v>593</v>
      </c>
      <c r="P274" s="159">
        <f>VLOOKUP(bargiri[[#This Row],[شماره سند مبنا]],invoice[[شماره پیش فاکتور]:[پیش دریافت به ازای هر کیلوگرم]],14,0)</f>
        <v>62900</v>
      </c>
      <c r="Q274" s="159">
        <f>IF(bargiri[[#This Row],[مبلغ ناخالص]]-(bargiri[[#This Row],[نرخ استهلاک]]*bargiri[[#This Row],[مقدار]])&lt;0,0,bargiri[[#This Row],[مبلغ ناخالص]]-(bargiri[[#This Row],[نرخ استهلاک]]*bargiri[[#This Row],[مقدار]]))</f>
        <v>1079873760</v>
      </c>
    </row>
    <row r="275" spans="1:17" s="22" customFormat="1" ht="13.8" x14ac:dyDescent="0.25">
      <c r="A275" s="22">
        <v>1204</v>
      </c>
      <c r="B275" s="22" t="s">
        <v>965</v>
      </c>
      <c r="C275" s="22" t="s">
        <v>910</v>
      </c>
      <c r="D275" s="22" t="s">
        <v>73</v>
      </c>
      <c r="E275" s="158">
        <v>20570</v>
      </c>
      <c r="F275" s="159">
        <v>115372</v>
      </c>
      <c r="G275" s="159">
        <v>2373202040</v>
      </c>
      <c r="H275" s="159">
        <v>237320204</v>
      </c>
      <c r="I275" s="159">
        <v>2610522244</v>
      </c>
      <c r="J275" s="159">
        <f>bargiri[[#This Row],[مقدار]]*INDEX(invoice[پیش دریافت به ازای هر کیلوگرم],MATCH(bargiri[[#This Row],[شماره سند مبنا]],invoice[شماره پیش فاکتور],0))</f>
        <v>1293853000</v>
      </c>
      <c r="K275" s="159">
        <f>bargiri[[#This Row],[مبلغ خالص]]-bargiri[[#This Row],[میزان استهلاک پیش دریافتی]]</f>
        <v>1316669244</v>
      </c>
      <c r="L275" s="160" t="s">
        <v>62</v>
      </c>
      <c r="M275" s="159">
        <v>581440000</v>
      </c>
      <c r="N275" s="159">
        <f>IF(bargiri[[#This Row],[مبلغ واریزی]]&lt;&gt;"",bargiri[[#This Row],[مانده مبلغ]]-bargiri[[#This Row],[مبلغ واریزی]],bargiri[[#This Row],[مانده مبلغ]])</f>
        <v>735229244</v>
      </c>
      <c r="O275" s="159">
        <v>0</v>
      </c>
      <c r="P275" s="159">
        <f>VLOOKUP(bargiri[[#This Row],[شماره سند مبنا]],invoice[[شماره پیش فاکتور]:[پیش دریافت به ازای هر کیلوگرم]],14,0)</f>
        <v>62900</v>
      </c>
      <c r="Q275" s="159">
        <f>IF(bargiri[[#This Row],[مبلغ ناخالص]]-(bargiri[[#This Row],[نرخ استهلاک]]*bargiri[[#This Row],[مقدار]])&lt;0,0,bargiri[[#This Row],[مبلغ ناخالص]]-(bargiri[[#This Row],[نرخ استهلاک]]*bargiri[[#This Row],[مقدار]]))</f>
        <v>1079349040</v>
      </c>
    </row>
    <row r="276" spans="1:17" s="22" customFormat="1" ht="13.8" x14ac:dyDescent="0.25">
      <c r="A276" s="22">
        <v>1203</v>
      </c>
      <c r="B276" s="22" t="s">
        <v>965</v>
      </c>
      <c r="C276" s="22" t="s">
        <v>910</v>
      </c>
      <c r="D276" s="22" t="s">
        <v>73</v>
      </c>
      <c r="E276" s="158">
        <v>20160</v>
      </c>
      <c r="F276" s="159">
        <v>115372</v>
      </c>
      <c r="G276" s="159">
        <v>2325899520</v>
      </c>
      <c r="H276" s="159">
        <v>232589952</v>
      </c>
      <c r="I276" s="159">
        <v>2558489472</v>
      </c>
      <c r="J276" s="159">
        <f>bargiri[[#This Row],[مقدار]]*INDEX(invoice[پیش دریافت به ازای هر کیلوگرم],MATCH(bargiri[[#This Row],[شماره سند مبنا]],invoice[شماره پیش فاکتور],0))</f>
        <v>1268064000</v>
      </c>
      <c r="K276" s="159">
        <f>bargiri[[#This Row],[مبلغ خالص]]-bargiri[[#This Row],[میزان استهلاک پیش دریافتی]]</f>
        <v>1290425472</v>
      </c>
      <c r="L276" s="160" t="s">
        <v>593</v>
      </c>
      <c r="M276" s="159" t="s">
        <v>593</v>
      </c>
      <c r="N276" s="159">
        <f>IF(bargiri[[#This Row],[مبلغ واریزی]]&lt;&gt;"",bargiri[[#This Row],[مانده مبلغ]]-bargiri[[#This Row],[مبلغ واریزی]],bargiri[[#This Row],[مانده مبلغ]])</f>
        <v>1290425472</v>
      </c>
      <c r="O276" s="159" t="s">
        <v>593</v>
      </c>
      <c r="P276" s="159">
        <f>VLOOKUP(bargiri[[#This Row],[شماره سند مبنا]],invoice[[شماره پیش فاکتور]:[پیش دریافت به ازای هر کیلوگرم]],14,0)</f>
        <v>62900</v>
      </c>
      <c r="Q276" s="159">
        <f>IF(bargiri[[#This Row],[مبلغ ناخالص]]-(bargiri[[#This Row],[نرخ استهلاک]]*bargiri[[#This Row],[مقدار]])&lt;0,0,bargiri[[#This Row],[مبلغ ناخالص]]-(bargiri[[#This Row],[نرخ استهلاک]]*bargiri[[#This Row],[مقدار]]))</f>
        <v>1057835520</v>
      </c>
    </row>
    <row r="277" spans="1:17" s="22" customFormat="1" ht="13.8" x14ac:dyDescent="0.25">
      <c r="A277" s="22">
        <v>1202</v>
      </c>
      <c r="B277" s="22" t="s">
        <v>965</v>
      </c>
      <c r="C277" s="22" t="s">
        <v>910</v>
      </c>
      <c r="D277" s="22" t="s">
        <v>73</v>
      </c>
      <c r="E277" s="158">
        <v>20610</v>
      </c>
      <c r="F277" s="159">
        <v>115372</v>
      </c>
      <c r="G277" s="159">
        <v>2377816920</v>
      </c>
      <c r="H277" s="159">
        <v>237781692</v>
      </c>
      <c r="I277" s="159">
        <v>2615598612</v>
      </c>
      <c r="J277" s="159">
        <f>bargiri[[#This Row],[مقدار]]*INDEX(invoice[پیش دریافت به ازای هر کیلوگرم],MATCH(bargiri[[#This Row],[شماره سند مبنا]],invoice[شماره پیش فاکتور],0))</f>
        <v>1296369000</v>
      </c>
      <c r="K277" s="159">
        <f>bargiri[[#This Row],[مبلغ خالص]]-bargiri[[#This Row],[میزان استهلاک پیش دریافتی]]</f>
        <v>1319229612</v>
      </c>
      <c r="L277" s="160" t="s">
        <v>593</v>
      </c>
      <c r="M277" s="159" t="s">
        <v>593</v>
      </c>
      <c r="N277" s="159">
        <f>IF(bargiri[[#This Row],[مبلغ واریزی]]&lt;&gt;"",bargiri[[#This Row],[مانده مبلغ]]-bargiri[[#This Row],[مبلغ واریزی]],bargiri[[#This Row],[مانده مبلغ]])</f>
        <v>1319229612</v>
      </c>
      <c r="O277" s="159" t="s">
        <v>593</v>
      </c>
      <c r="P277" s="159">
        <f>VLOOKUP(bargiri[[#This Row],[شماره سند مبنا]],invoice[[شماره پیش فاکتور]:[پیش دریافت به ازای هر کیلوگرم]],14,0)</f>
        <v>62900</v>
      </c>
      <c r="Q277" s="159">
        <f>IF(bargiri[[#This Row],[مبلغ ناخالص]]-(bargiri[[#This Row],[نرخ استهلاک]]*bargiri[[#This Row],[مقدار]])&lt;0,0,bargiri[[#This Row],[مبلغ ناخالص]]-(bargiri[[#This Row],[نرخ استهلاک]]*bargiri[[#This Row],[مقدار]]))</f>
        <v>1081447920</v>
      </c>
    </row>
    <row r="278" spans="1:17" s="22" customFormat="1" ht="13.8" x14ac:dyDescent="0.25">
      <c r="A278" s="22">
        <v>1201</v>
      </c>
      <c r="B278" s="22" t="s">
        <v>965</v>
      </c>
      <c r="C278" s="22" t="s">
        <v>910</v>
      </c>
      <c r="D278" s="22" t="s">
        <v>73</v>
      </c>
      <c r="E278" s="158">
        <v>20360</v>
      </c>
      <c r="F278" s="159">
        <v>115372</v>
      </c>
      <c r="G278" s="159">
        <v>2348973920</v>
      </c>
      <c r="H278" s="159">
        <v>234897392</v>
      </c>
      <c r="I278" s="159">
        <v>2583871312</v>
      </c>
      <c r="J278" s="159">
        <f>bargiri[[#This Row],[مقدار]]*INDEX(invoice[پیش دریافت به ازای هر کیلوگرم],MATCH(bargiri[[#This Row],[شماره سند مبنا]],invoice[شماره پیش فاکتور],0))</f>
        <v>1280644000</v>
      </c>
      <c r="K278" s="159">
        <f>bargiri[[#This Row],[مبلغ خالص]]-bargiri[[#This Row],[میزان استهلاک پیش دریافتی]]</f>
        <v>1303227312</v>
      </c>
      <c r="L278" s="160" t="s">
        <v>593</v>
      </c>
      <c r="M278" s="159" t="s">
        <v>593</v>
      </c>
      <c r="N278" s="159">
        <f>IF(bargiri[[#This Row],[مبلغ واریزی]]&lt;&gt;"",bargiri[[#This Row],[مانده مبلغ]]-bargiri[[#This Row],[مبلغ واریزی]],bargiri[[#This Row],[مانده مبلغ]])</f>
        <v>1303227312</v>
      </c>
      <c r="O278" s="159" t="s">
        <v>593</v>
      </c>
      <c r="P278" s="159">
        <f>VLOOKUP(bargiri[[#This Row],[شماره سند مبنا]],invoice[[شماره پیش فاکتور]:[پیش دریافت به ازای هر کیلوگرم]],14,0)</f>
        <v>62900</v>
      </c>
      <c r="Q278" s="159">
        <f>IF(bargiri[[#This Row],[مبلغ ناخالص]]-(bargiri[[#This Row],[نرخ استهلاک]]*bargiri[[#This Row],[مقدار]])&lt;0,0,bargiri[[#This Row],[مبلغ ناخالص]]-(bargiri[[#This Row],[نرخ استهلاک]]*bargiri[[#This Row],[مقدار]]))</f>
        <v>1068329920</v>
      </c>
    </row>
    <row r="279" spans="1:17" s="22" customFormat="1" ht="13.8" x14ac:dyDescent="0.25">
      <c r="A279" s="22">
        <v>1200</v>
      </c>
      <c r="B279" s="22" t="s">
        <v>965</v>
      </c>
      <c r="C279" s="22" t="s">
        <v>910</v>
      </c>
      <c r="D279" s="22" t="s">
        <v>73</v>
      </c>
      <c r="E279" s="158">
        <v>20280</v>
      </c>
      <c r="F279" s="159">
        <v>115372</v>
      </c>
      <c r="G279" s="159">
        <v>2339744160</v>
      </c>
      <c r="H279" s="159">
        <v>233974416</v>
      </c>
      <c r="I279" s="159">
        <v>2573718576</v>
      </c>
      <c r="J279" s="159">
        <f>bargiri[[#This Row],[مقدار]]*INDEX(invoice[پیش دریافت به ازای هر کیلوگرم],MATCH(bargiri[[#This Row],[شماره سند مبنا]],invoice[شماره پیش فاکتور],0))</f>
        <v>1275612000</v>
      </c>
      <c r="K279" s="159">
        <f>bargiri[[#This Row],[مبلغ خالص]]-bargiri[[#This Row],[میزان استهلاک پیش دریافتی]]</f>
        <v>1298106576</v>
      </c>
      <c r="L279" s="160" t="s">
        <v>593</v>
      </c>
      <c r="M279" s="159" t="s">
        <v>593</v>
      </c>
      <c r="N279" s="159">
        <f>IF(bargiri[[#This Row],[مبلغ واریزی]]&lt;&gt;"",bargiri[[#This Row],[مانده مبلغ]]-bargiri[[#This Row],[مبلغ واریزی]],bargiri[[#This Row],[مانده مبلغ]])</f>
        <v>1298106576</v>
      </c>
      <c r="O279" s="159" t="s">
        <v>593</v>
      </c>
      <c r="P279" s="159">
        <f>VLOOKUP(bargiri[[#This Row],[شماره سند مبنا]],invoice[[شماره پیش فاکتور]:[پیش دریافت به ازای هر کیلوگرم]],14,0)</f>
        <v>62900</v>
      </c>
      <c r="Q279" s="159">
        <f>IF(bargiri[[#This Row],[مبلغ ناخالص]]-(bargiri[[#This Row],[نرخ استهلاک]]*bargiri[[#This Row],[مقدار]])&lt;0,0,bargiri[[#This Row],[مبلغ ناخالص]]-(bargiri[[#This Row],[نرخ استهلاک]]*bargiri[[#This Row],[مقدار]]))</f>
        <v>1064132160</v>
      </c>
    </row>
    <row r="280" spans="1:17" s="22" customFormat="1" ht="13.8" x14ac:dyDescent="0.25">
      <c r="A280" s="22">
        <v>1199</v>
      </c>
      <c r="B280" s="22" t="s">
        <v>965</v>
      </c>
      <c r="C280" s="22" t="s">
        <v>910</v>
      </c>
      <c r="D280" s="22" t="s">
        <v>73</v>
      </c>
      <c r="E280" s="158">
        <v>20530</v>
      </c>
      <c r="F280" s="159">
        <v>115372</v>
      </c>
      <c r="G280" s="159">
        <v>2368587160</v>
      </c>
      <c r="H280" s="159">
        <v>236858716</v>
      </c>
      <c r="I280" s="159">
        <v>2605445876</v>
      </c>
      <c r="J280" s="159">
        <f>bargiri[[#This Row],[مقدار]]*INDEX(invoice[پیش دریافت به ازای هر کیلوگرم],MATCH(bargiri[[#This Row],[شماره سند مبنا]],invoice[شماره پیش فاکتور],0))</f>
        <v>1291337000</v>
      </c>
      <c r="K280" s="159">
        <f>bargiri[[#This Row],[مبلغ خالص]]-bargiri[[#This Row],[میزان استهلاک پیش دریافتی]]</f>
        <v>1314108876</v>
      </c>
      <c r="L280" s="160" t="s">
        <v>593</v>
      </c>
      <c r="M280" s="159" t="s">
        <v>593</v>
      </c>
      <c r="N280" s="159">
        <f>IF(bargiri[[#This Row],[مبلغ واریزی]]&lt;&gt;"",bargiri[[#This Row],[مانده مبلغ]]-bargiri[[#This Row],[مبلغ واریزی]],bargiri[[#This Row],[مانده مبلغ]])</f>
        <v>1314108876</v>
      </c>
      <c r="O280" s="159" t="s">
        <v>593</v>
      </c>
      <c r="P280" s="159">
        <f>VLOOKUP(bargiri[[#This Row],[شماره سند مبنا]],invoice[[شماره پیش فاکتور]:[پیش دریافت به ازای هر کیلوگرم]],14,0)</f>
        <v>62900</v>
      </c>
      <c r="Q280" s="159">
        <f>IF(bargiri[[#This Row],[مبلغ ناخالص]]-(bargiri[[#This Row],[نرخ استهلاک]]*bargiri[[#This Row],[مقدار]])&lt;0,0,bargiri[[#This Row],[مبلغ ناخالص]]-(bargiri[[#This Row],[نرخ استهلاک]]*bargiri[[#This Row],[مقدار]]))</f>
        <v>1077250160</v>
      </c>
    </row>
    <row r="281" spans="1:17" s="22" customFormat="1" ht="13.8" x14ac:dyDescent="0.25">
      <c r="A281" s="22">
        <v>1198</v>
      </c>
      <c r="B281" s="22" t="s">
        <v>965</v>
      </c>
      <c r="C281" s="22" t="s">
        <v>910</v>
      </c>
      <c r="D281" s="22" t="s">
        <v>73</v>
      </c>
      <c r="E281" s="158">
        <v>20430</v>
      </c>
      <c r="F281" s="159">
        <v>115372</v>
      </c>
      <c r="G281" s="159">
        <v>2357049960</v>
      </c>
      <c r="H281" s="159">
        <v>235704996</v>
      </c>
      <c r="I281" s="159">
        <v>2592754956</v>
      </c>
      <c r="J281" s="159">
        <f>bargiri[[#This Row],[مقدار]]*INDEX(invoice[پیش دریافت به ازای هر کیلوگرم],MATCH(bargiri[[#This Row],[شماره سند مبنا]],invoice[شماره پیش فاکتور],0))</f>
        <v>1285047000</v>
      </c>
      <c r="K281" s="159">
        <f>bargiri[[#This Row],[مبلغ خالص]]-bargiri[[#This Row],[میزان استهلاک پیش دریافتی]]</f>
        <v>1307707956</v>
      </c>
      <c r="L281" s="160" t="s">
        <v>260</v>
      </c>
      <c r="M281" s="159">
        <v>1120980000</v>
      </c>
      <c r="N281" s="159">
        <f>IF(bargiri[[#This Row],[مبلغ واریزی]]&lt;&gt;"",bargiri[[#This Row],[مانده مبلغ]]-bargiri[[#This Row],[مبلغ واریزی]],bargiri[[#This Row],[مانده مبلغ]])</f>
        <v>186727956</v>
      </c>
      <c r="O281" s="159">
        <v>0</v>
      </c>
      <c r="P281" s="159">
        <f>VLOOKUP(bargiri[[#This Row],[شماره سند مبنا]],invoice[[شماره پیش فاکتور]:[پیش دریافت به ازای هر کیلوگرم]],14,0)</f>
        <v>62900</v>
      </c>
      <c r="Q281" s="159">
        <f>IF(bargiri[[#This Row],[مبلغ ناخالص]]-(bargiri[[#This Row],[نرخ استهلاک]]*bargiri[[#This Row],[مقدار]])&lt;0,0,bargiri[[#This Row],[مبلغ ناخالص]]-(bargiri[[#This Row],[نرخ استهلاک]]*bargiri[[#This Row],[مقدار]]))</f>
        <v>1072002960</v>
      </c>
    </row>
    <row r="282" spans="1:17" s="22" customFormat="1" ht="13.8" x14ac:dyDescent="0.25">
      <c r="A282" s="22">
        <v>1197</v>
      </c>
      <c r="B282" s="22" t="s">
        <v>965</v>
      </c>
      <c r="C282" s="22" t="s">
        <v>910</v>
      </c>
      <c r="D282" s="22" t="s">
        <v>73</v>
      </c>
      <c r="E282" s="158">
        <v>20180</v>
      </c>
      <c r="F282" s="159">
        <v>115372</v>
      </c>
      <c r="G282" s="159">
        <v>2328206960</v>
      </c>
      <c r="H282" s="159">
        <v>232820696</v>
      </c>
      <c r="I282" s="159">
        <v>2561027656</v>
      </c>
      <c r="J282" s="159">
        <f>bargiri[[#This Row],[مقدار]]*INDEX(invoice[پیش دریافت به ازای هر کیلوگرم],MATCH(bargiri[[#This Row],[شماره سند مبنا]],invoice[شماره پیش فاکتور],0))</f>
        <v>1269322000</v>
      </c>
      <c r="K282" s="159">
        <f>bargiri[[#This Row],[مبلغ خالص]]-bargiri[[#This Row],[میزان استهلاک پیش دریافتی]]</f>
        <v>1291705656</v>
      </c>
      <c r="L282" s="160" t="s">
        <v>593</v>
      </c>
      <c r="M282" s="159" t="s">
        <v>593</v>
      </c>
      <c r="N282" s="159">
        <f>IF(bargiri[[#This Row],[مبلغ واریزی]]&lt;&gt;"",bargiri[[#This Row],[مانده مبلغ]]-bargiri[[#This Row],[مبلغ واریزی]],bargiri[[#This Row],[مانده مبلغ]])</f>
        <v>1291705656</v>
      </c>
      <c r="O282" s="159" t="s">
        <v>593</v>
      </c>
      <c r="P282" s="159">
        <f>VLOOKUP(bargiri[[#This Row],[شماره سند مبنا]],invoice[[شماره پیش فاکتور]:[پیش دریافت به ازای هر کیلوگرم]],14,0)</f>
        <v>62900</v>
      </c>
      <c r="Q282" s="159">
        <f>IF(bargiri[[#This Row],[مبلغ ناخالص]]-(bargiri[[#This Row],[نرخ استهلاک]]*bargiri[[#This Row],[مقدار]])&lt;0,0,bargiri[[#This Row],[مبلغ ناخالص]]-(bargiri[[#This Row],[نرخ استهلاک]]*bargiri[[#This Row],[مقدار]]))</f>
        <v>1058884960</v>
      </c>
    </row>
    <row r="283" spans="1:17" s="22" customFormat="1" ht="13.8" x14ac:dyDescent="0.25">
      <c r="A283" s="22">
        <v>1196</v>
      </c>
      <c r="B283" s="22" t="s">
        <v>915</v>
      </c>
      <c r="C283" s="22" t="s">
        <v>910</v>
      </c>
      <c r="D283" s="22" t="s">
        <v>73</v>
      </c>
      <c r="E283" s="158">
        <v>21400</v>
      </c>
      <c r="F283" s="159">
        <v>115372</v>
      </c>
      <c r="G283" s="159">
        <v>2468960800</v>
      </c>
      <c r="H283" s="159">
        <v>246896080</v>
      </c>
      <c r="I283" s="159">
        <v>2715856880</v>
      </c>
      <c r="J283" s="159">
        <f>bargiri[[#This Row],[مقدار]]*INDEX(invoice[پیش دریافت به ازای هر کیلوگرم],MATCH(bargiri[[#This Row],[شماره سند مبنا]],invoice[شماره پیش فاکتور],0))</f>
        <v>1346060000</v>
      </c>
      <c r="K283" s="159">
        <f>bargiri[[#This Row],[مبلغ خالص]]-bargiri[[#This Row],[میزان استهلاک پیش دریافتی]]</f>
        <v>1369796880</v>
      </c>
      <c r="L283" s="160" t="s">
        <v>593</v>
      </c>
      <c r="M283" s="159" t="s">
        <v>593</v>
      </c>
      <c r="N283" s="159">
        <f>IF(bargiri[[#This Row],[مبلغ واریزی]]&lt;&gt;"",bargiri[[#This Row],[مانده مبلغ]]-bargiri[[#This Row],[مبلغ واریزی]],bargiri[[#This Row],[مانده مبلغ]])</f>
        <v>1369796880</v>
      </c>
      <c r="O283" s="159" t="s">
        <v>593</v>
      </c>
      <c r="P283" s="159">
        <f>VLOOKUP(bargiri[[#This Row],[شماره سند مبنا]],invoice[[شماره پیش فاکتور]:[پیش دریافت به ازای هر کیلوگرم]],14,0)</f>
        <v>62900</v>
      </c>
      <c r="Q283" s="159">
        <f>IF(bargiri[[#This Row],[مبلغ ناخالص]]-(bargiri[[#This Row],[نرخ استهلاک]]*bargiri[[#This Row],[مقدار]])&lt;0,0,bargiri[[#This Row],[مبلغ ناخالص]]-(bargiri[[#This Row],[نرخ استهلاک]]*bargiri[[#This Row],[مقدار]]))</f>
        <v>1122900800</v>
      </c>
    </row>
    <row r="284" spans="1:17" s="22" customFormat="1" ht="13.8" x14ac:dyDescent="0.25">
      <c r="A284" s="22">
        <v>1195</v>
      </c>
      <c r="B284" s="22" t="s">
        <v>966</v>
      </c>
      <c r="C284" s="22" t="s">
        <v>910</v>
      </c>
      <c r="D284" s="22" t="s">
        <v>73</v>
      </c>
      <c r="E284" s="158">
        <v>20250</v>
      </c>
      <c r="F284" s="159">
        <v>115372</v>
      </c>
      <c r="G284" s="159">
        <v>2336283000</v>
      </c>
      <c r="H284" s="159">
        <v>233628300</v>
      </c>
      <c r="I284" s="159">
        <v>2569911300</v>
      </c>
      <c r="J284" s="159">
        <f>bargiri[[#This Row],[مقدار]]*INDEX(invoice[پیش دریافت به ازای هر کیلوگرم],MATCH(bargiri[[#This Row],[شماره سند مبنا]],invoice[شماره پیش فاکتور],0))</f>
        <v>1273725000</v>
      </c>
      <c r="K284" s="159">
        <f>bargiri[[#This Row],[مبلغ خالص]]-bargiri[[#This Row],[میزان استهلاک پیش دریافتی]]</f>
        <v>1296186300</v>
      </c>
      <c r="L284" s="160" t="s">
        <v>593</v>
      </c>
      <c r="M284" s="159" t="s">
        <v>593</v>
      </c>
      <c r="N284" s="159">
        <f>IF(bargiri[[#This Row],[مبلغ واریزی]]&lt;&gt;"",bargiri[[#This Row],[مانده مبلغ]]-bargiri[[#This Row],[مبلغ واریزی]],bargiri[[#This Row],[مانده مبلغ]])</f>
        <v>1296186300</v>
      </c>
      <c r="O284" s="159" t="s">
        <v>593</v>
      </c>
      <c r="P284" s="159">
        <f>VLOOKUP(bargiri[[#This Row],[شماره سند مبنا]],invoice[[شماره پیش فاکتور]:[پیش دریافت به ازای هر کیلوگرم]],14,0)</f>
        <v>62900</v>
      </c>
      <c r="Q284" s="159">
        <f>IF(bargiri[[#This Row],[مبلغ ناخالص]]-(bargiri[[#This Row],[نرخ استهلاک]]*bargiri[[#This Row],[مقدار]])&lt;0,0,bargiri[[#This Row],[مبلغ ناخالص]]-(bargiri[[#This Row],[نرخ استهلاک]]*bargiri[[#This Row],[مقدار]]))</f>
        <v>1062558000</v>
      </c>
    </row>
    <row r="285" spans="1:17" s="22" customFormat="1" ht="13.8" x14ac:dyDescent="0.25">
      <c r="A285" s="22">
        <v>1194</v>
      </c>
      <c r="B285" s="22" t="s">
        <v>966</v>
      </c>
      <c r="C285" s="22" t="s">
        <v>909</v>
      </c>
      <c r="D285" s="22" t="s">
        <v>73</v>
      </c>
      <c r="E285" s="158">
        <v>4860</v>
      </c>
      <c r="F285" s="159">
        <v>115372</v>
      </c>
      <c r="G285" s="159">
        <v>560707920</v>
      </c>
      <c r="H285" s="159">
        <v>56070792</v>
      </c>
      <c r="I285" s="159">
        <v>616778712</v>
      </c>
      <c r="J285" s="159">
        <f>bargiri[[#This Row],[مقدار]]*INDEX(invoice[پیش دریافت به ازای هر کیلوگرم],MATCH(bargiri[[#This Row],[شماره سند مبنا]],invoice[شماره پیش فاکتور],0))</f>
        <v>305694000</v>
      </c>
      <c r="K285" s="159">
        <f>bargiri[[#This Row],[مبلغ خالص]]-bargiri[[#This Row],[میزان استهلاک پیش دریافتی]]</f>
        <v>311084712</v>
      </c>
      <c r="L285" s="160" t="s">
        <v>593</v>
      </c>
      <c r="M285" s="159" t="s">
        <v>593</v>
      </c>
      <c r="N285" s="159">
        <f>IF(bargiri[[#This Row],[مبلغ واریزی]]&lt;&gt;"",bargiri[[#This Row],[مانده مبلغ]]-bargiri[[#This Row],[مبلغ واریزی]],bargiri[[#This Row],[مانده مبلغ]])</f>
        <v>311084712</v>
      </c>
      <c r="O285" s="159" t="s">
        <v>593</v>
      </c>
      <c r="P285" s="159">
        <f>VLOOKUP(bargiri[[#This Row],[شماره سند مبنا]],invoice[[شماره پیش فاکتور]:[پیش دریافت به ازای هر کیلوگرم]],14,0)</f>
        <v>62900</v>
      </c>
      <c r="Q285" s="159">
        <f>IF(bargiri[[#This Row],[مبلغ ناخالص]]-(bargiri[[#This Row],[نرخ استهلاک]]*bargiri[[#This Row],[مقدار]])&lt;0,0,bargiri[[#This Row],[مبلغ ناخالص]]-(bargiri[[#This Row],[نرخ استهلاک]]*bargiri[[#This Row],[مقدار]]))</f>
        <v>255013920</v>
      </c>
    </row>
    <row r="286" spans="1:17" s="22" customFormat="1" ht="13.8" x14ac:dyDescent="0.25">
      <c r="A286" s="22">
        <v>1194</v>
      </c>
      <c r="B286" s="22" t="s">
        <v>966</v>
      </c>
      <c r="C286" s="22" t="s">
        <v>910</v>
      </c>
      <c r="D286" s="22" t="s">
        <v>73</v>
      </c>
      <c r="E286" s="158">
        <v>15260</v>
      </c>
      <c r="F286" s="159">
        <v>115372</v>
      </c>
      <c r="G286" s="159">
        <v>1760576720</v>
      </c>
      <c r="H286" s="159">
        <v>176057672</v>
      </c>
      <c r="I286" s="159">
        <v>1936634392</v>
      </c>
      <c r="J286" s="159">
        <f>bargiri[[#This Row],[مقدار]]*INDEX(invoice[پیش دریافت به ازای هر کیلوگرم],MATCH(bargiri[[#This Row],[شماره سند مبنا]],invoice[شماره پیش فاکتور],0))</f>
        <v>959854000</v>
      </c>
      <c r="K286" s="159">
        <f>bargiri[[#This Row],[مبلغ خالص]]-bargiri[[#This Row],[میزان استهلاک پیش دریافتی]]</f>
        <v>976780392</v>
      </c>
      <c r="L286" s="160" t="s">
        <v>593</v>
      </c>
      <c r="M286" s="159" t="s">
        <v>593</v>
      </c>
      <c r="N286" s="159">
        <f>IF(bargiri[[#This Row],[مبلغ واریزی]]&lt;&gt;"",bargiri[[#This Row],[مانده مبلغ]]-bargiri[[#This Row],[مبلغ واریزی]],bargiri[[#This Row],[مانده مبلغ]])</f>
        <v>976780392</v>
      </c>
      <c r="O286" s="159" t="s">
        <v>593</v>
      </c>
      <c r="P286" s="159">
        <f>VLOOKUP(bargiri[[#This Row],[شماره سند مبنا]],invoice[[شماره پیش فاکتور]:[پیش دریافت به ازای هر کیلوگرم]],14,0)</f>
        <v>62900</v>
      </c>
      <c r="Q286" s="159">
        <f>IF(bargiri[[#This Row],[مبلغ ناخالص]]-(bargiri[[#This Row],[نرخ استهلاک]]*bargiri[[#This Row],[مقدار]])&lt;0,0,bargiri[[#This Row],[مبلغ ناخالص]]-(bargiri[[#This Row],[نرخ استهلاک]]*bargiri[[#This Row],[مقدار]]))</f>
        <v>800722720</v>
      </c>
    </row>
    <row r="287" spans="1:17" s="22" customFormat="1" ht="13.8" x14ac:dyDescent="0.25">
      <c r="A287" s="22">
        <v>1193</v>
      </c>
      <c r="B287" s="22" t="s">
        <v>966</v>
      </c>
      <c r="C287" s="22" t="s">
        <v>909</v>
      </c>
      <c r="D287" s="22" t="s">
        <v>73</v>
      </c>
      <c r="E287" s="158">
        <v>20080</v>
      </c>
      <c r="F287" s="159">
        <v>115372</v>
      </c>
      <c r="G287" s="159">
        <v>2316669760</v>
      </c>
      <c r="H287" s="159">
        <v>231666976</v>
      </c>
      <c r="I287" s="159">
        <v>2548336736</v>
      </c>
      <c r="J287" s="159">
        <f>bargiri[[#This Row],[مقدار]]*INDEX(invoice[پیش دریافت به ازای هر کیلوگرم],MATCH(bargiri[[#This Row],[شماره سند مبنا]],invoice[شماره پیش فاکتور],0))</f>
        <v>1263032000</v>
      </c>
      <c r="K287" s="159">
        <f>bargiri[[#This Row],[مبلغ خالص]]-bargiri[[#This Row],[میزان استهلاک پیش دریافتی]]</f>
        <v>1285304736</v>
      </c>
      <c r="L287" s="160" t="s">
        <v>593</v>
      </c>
      <c r="M287" s="159" t="s">
        <v>593</v>
      </c>
      <c r="N287" s="159">
        <f>IF(bargiri[[#This Row],[مبلغ واریزی]]&lt;&gt;"",bargiri[[#This Row],[مانده مبلغ]]-bargiri[[#This Row],[مبلغ واریزی]],bargiri[[#This Row],[مانده مبلغ]])</f>
        <v>1285304736</v>
      </c>
      <c r="O287" s="159" t="s">
        <v>593</v>
      </c>
      <c r="P287" s="159">
        <f>VLOOKUP(bargiri[[#This Row],[شماره سند مبنا]],invoice[[شماره پیش فاکتور]:[پیش دریافت به ازای هر کیلوگرم]],14,0)</f>
        <v>62900</v>
      </c>
      <c r="Q287" s="159">
        <f>IF(bargiri[[#This Row],[مبلغ ناخالص]]-(bargiri[[#This Row],[نرخ استهلاک]]*bargiri[[#This Row],[مقدار]])&lt;0,0,bargiri[[#This Row],[مبلغ ناخالص]]-(bargiri[[#This Row],[نرخ استهلاک]]*bargiri[[#This Row],[مقدار]]))</f>
        <v>1053637760</v>
      </c>
    </row>
    <row r="288" spans="1:17" s="22" customFormat="1" ht="13.8" x14ac:dyDescent="0.25">
      <c r="A288" s="22">
        <v>1192</v>
      </c>
      <c r="B288" s="22" t="s">
        <v>966</v>
      </c>
      <c r="C288" s="22" t="s">
        <v>909</v>
      </c>
      <c r="D288" s="22" t="s">
        <v>73</v>
      </c>
      <c r="E288" s="158">
        <v>20510</v>
      </c>
      <c r="F288" s="159">
        <v>115372</v>
      </c>
      <c r="G288" s="159">
        <v>2366279720</v>
      </c>
      <c r="H288" s="159">
        <v>236627972</v>
      </c>
      <c r="I288" s="159">
        <v>2602907692</v>
      </c>
      <c r="J288" s="159">
        <f>bargiri[[#This Row],[مقدار]]*INDEX(invoice[پیش دریافت به ازای هر کیلوگرم],MATCH(bargiri[[#This Row],[شماره سند مبنا]],invoice[شماره پیش فاکتور],0))</f>
        <v>1290079000</v>
      </c>
      <c r="K288" s="159">
        <f>bargiri[[#This Row],[مبلغ خالص]]-bargiri[[#This Row],[میزان استهلاک پیش دریافتی]]</f>
        <v>1312828692</v>
      </c>
      <c r="L288" s="160" t="s">
        <v>298</v>
      </c>
      <c r="M288" s="159">
        <v>1412317500</v>
      </c>
      <c r="N288" s="159">
        <f>IF(bargiri[[#This Row],[مبلغ واریزی]]&lt;&gt;"",bargiri[[#This Row],[مانده مبلغ]]-bargiri[[#This Row],[مبلغ واریزی]],bargiri[[#This Row],[مانده مبلغ]])</f>
        <v>-99488808</v>
      </c>
      <c r="O288" s="159">
        <v>0</v>
      </c>
      <c r="P288" s="159">
        <f>VLOOKUP(bargiri[[#This Row],[شماره سند مبنا]],invoice[[شماره پیش فاکتور]:[پیش دریافت به ازای هر کیلوگرم]],14,0)</f>
        <v>62900</v>
      </c>
      <c r="Q288" s="159">
        <f>IF(bargiri[[#This Row],[مبلغ ناخالص]]-(bargiri[[#This Row],[نرخ استهلاک]]*bargiri[[#This Row],[مقدار]])&lt;0,0,bargiri[[#This Row],[مبلغ ناخالص]]-(bargiri[[#This Row],[نرخ استهلاک]]*bargiri[[#This Row],[مقدار]]))</f>
        <v>1076200720</v>
      </c>
    </row>
    <row r="289" spans="1:17" s="22" customFormat="1" ht="13.8" x14ac:dyDescent="0.25">
      <c r="A289" s="22">
        <v>1191</v>
      </c>
      <c r="B289" s="22" t="s">
        <v>967</v>
      </c>
      <c r="C289" s="22" t="s">
        <v>909</v>
      </c>
      <c r="D289" s="22" t="s">
        <v>73</v>
      </c>
      <c r="E289" s="158">
        <v>20190</v>
      </c>
      <c r="F289" s="159">
        <v>115372</v>
      </c>
      <c r="G289" s="159">
        <v>2329360680</v>
      </c>
      <c r="H289" s="159">
        <v>232936068</v>
      </c>
      <c r="I289" s="159">
        <v>2562296748</v>
      </c>
      <c r="J289" s="159">
        <f>bargiri[[#This Row],[مقدار]]*INDEX(invoice[پیش دریافت به ازای هر کیلوگرم],MATCH(bargiri[[#This Row],[شماره سند مبنا]],invoice[شماره پیش فاکتور],0))</f>
        <v>1269951000</v>
      </c>
      <c r="K289" s="159">
        <f>bargiri[[#This Row],[مبلغ خالص]]-bargiri[[#This Row],[میزان استهلاک پیش دریافتی]]</f>
        <v>1292345748</v>
      </c>
      <c r="L289" s="160" t="s">
        <v>593</v>
      </c>
      <c r="M289" s="159" t="s">
        <v>593</v>
      </c>
      <c r="N289" s="159">
        <f>IF(bargiri[[#This Row],[مبلغ واریزی]]&lt;&gt;"",bargiri[[#This Row],[مانده مبلغ]]-bargiri[[#This Row],[مبلغ واریزی]],bargiri[[#This Row],[مانده مبلغ]])</f>
        <v>1292345748</v>
      </c>
      <c r="O289" s="159" t="s">
        <v>593</v>
      </c>
      <c r="P289" s="159">
        <f>VLOOKUP(bargiri[[#This Row],[شماره سند مبنا]],invoice[[شماره پیش فاکتور]:[پیش دریافت به ازای هر کیلوگرم]],14,0)</f>
        <v>62900</v>
      </c>
      <c r="Q289" s="159">
        <f>IF(bargiri[[#This Row],[مبلغ ناخالص]]-(bargiri[[#This Row],[نرخ استهلاک]]*bargiri[[#This Row],[مقدار]])&lt;0,0,bargiri[[#This Row],[مبلغ ناخالص]]-(bargiri[[#This Row],[نرخ استهلاک]]*bargiri[[#This Row],[مقدار]]))</f>
        <v>1059409680</v>
      </c>
    </row>
    <row r="290" spans="1:17" s="22" customFormat="1" ht="13.8" x14ac:dyDescent="0.25">
      <c r="A290" s="22">
        <v>1190</v>
      </c>
      <c r="B290" s="22" t="s">
        <v>967</v>
      </c>
      <c r="C290" s="22" t="s">
        <v>909</v>
      </c>
      <c r="D290" s="22" t="s">
        <v>73</v>
      </c>
      <c r="E290" s="158">
        <v>21580</v>
      </c>
      <c r="F290" s="159">
        <v>115372</v>
      </c>
      <c r="G290" s="159">
        <v>2489727760</v>
      </c>
      <c r="H290" s="159">
        <v>248972776</v>
      </c>
      <c r="I290" s="159">
        <v>2738700536</v>
      </c>
      <c r="J290" s="159">
        <f>bargiri[[#This Row],[مقدار]]*INDEX(invoice[پیش دریافت به ازای هر کیلوگرم],MATCH(bargiri[[#This Row],[شماره سند مبنا]],invoice[شماره پیش فاکتور],0))</f>
        <v>1357382000</v>
      </c>
      <c r="K290" s="159">
        <f>bargiri[[#This Row],[مبلغ خالص]]-bargiri[[#This Row],[میزان استهلاک پیش دریافتی]]</f>
        <v>1381318536</v>
      </c>
      <c r="L290" s="160" t="s">
        <v>593</v>
      </c>
      <c r="M290" s="159" t="s">
        <v>593</v>
      </c>
      <c r="N290" s="159">
        <f>IF(bargiri[[#This Row],[مبلغ واریزی]]&lt;&gt;"",bargiri[[#This Row],[مانده مبلغ]]-bargiri[[#This Row],[مبلغ واریزی]],bargiri[[#This Row],[مانده مبلغ]])</f>
        <v>1381318536</v>
      </c>
      <c r="O290" s="159" t="s">
        <v>593</v>
      </c>
      <c r="P290" s="159">
        <f>VLOOKUP(bargiri[[#This Row],[شماره سند مبنا]],invoice[[شماره پیش فاکتور]:[پیش دریافت به ازای هر کیلوگرم]],14,0)</f>
        <v>62900</v>
      </c>
      <c r="Q290" s="159">
        <f>IF(bargiri[[#This Row],[مبلغ ناخالص]]-(bargiri[[#This Row],[نرخ استهلاک]]*bargiri[[#This Row],[مقدار]])&lt;0,0,bargiri[[#This Row],[مبلغ ناخالص]]-(bargiri[[#This Row],[نرخ استهلاک]]*bargiri[[#This Row],[مقدار]]))</f>
        <v>1132345760</v>
      </c>
    </row>
    <row r="291" spans="1:17" s="22" customFormat="1" ht="13.8" x14ac:dyDescent="0.25">
      <c r="A291" s="22">
        <v>1189</v>
      </c>
      <c r="B291" s="22" t="s">
        <v>905</v>
      </c>
      <c r="C291" s="22" t="s">
        <v>909</v>
      </c>
      <c r="D291" s="22" t="s">
        <v>73</v>
      </c>
      <c r="E291" s="158">
        <v>20615</v>
      </c>
      <c r="F291" s="159">
        <v>115372</v>
      </c>
      <c r="G291" s="159">
        <v>2378393780</v>
      </c>
      <c r="H291" s="159">
        <v>237839378</v>
      </c>
      <c r="I291" s="159">
        <v>2616233158</v>
      </c>
      <c r="J291" s="159">
        <f>bargiri[[#This Row],[مقدار]]*INDEX(invoice[پیش دریافت به ازای هر کیلوگرم],MATCH(bargiri[[#This Row],[شماره سند مبنا]],invoice[شماره پیش فاکتور],0))</f>
        <v>1296683500</v>
      </c>
      <c r="K291" s="159">
        <f>bargiri[[#This Row],[مبلغ خالص]]-bargiri[[#This Row],[میزان استهلاک پیش دریافتی]]</f>
        <v>1319549658</v>
      </c>
      <c r="L291" s="160" t="s">
        <v>593</v>
      </c>
      <c r="M291" s="159" t="s">
        <v>593</v>
      </c>
      <c r="N291" s="159">
        <f>IF(bargiri[[#This Row],[مبلغ واریزی]]&lt;&gt;"",bargiri[[#This Row],[مانده مبلغ]]-bargiri[[#This Row],[مبلغ واریزی]],bargiri[[#This Row],[مانده مبلغ]])</f>
        <v>1319549658</v>
      </c>
      <c r="O291" s="159" t="s">
        <v>593</v>
      </c>
      <c r="P291" s="159">
        <f>VLOOKUP(bargiri[[#This Row],[شماره سند مبنا]],invoice[[شماره پیش فاکتور]:[پیش دریافت به ازای هر کیلوگرم]],14,0)</f>
        <v>62900</v>
      </c>
      <c r="Q291" s="159">
        <f>IF(bargiri[[#This Row],[مبلغ ناخالص]]-(bargiri[[#This Row],[نرخ استهلاک]]*bargiri[[#This Row],[مقدار]])&lt;0,0,bargiri[[#This Row],[مبلغ ناخالص]]-(bargiri[[#This Row],[نرخ استهلاک]]*bargiri[[#This Row],[مقدار]]))</f>
        <v>1081710280</v>
      </c>
    </row>
    <row r="292" spans="1:17" s="22" customFormat="1" ht="13.8" x14ac:dyDescent="0.25">
      <c r="A292" s="22">
        <v>1188</v>
      </c>
      <c r="B292" s="22" t="s">
        <v>905</v>
      </c>
      <c r="C292" s="22" t="s">
        <v>909</v>
      </c>
      <c r="D292" s="22" t="s">
        <v>73</v>
      </c>
      <c r="E292" s="158">
        <v>20390</v>
      </c>
      <c r="F292" s="159">
        <v>115372</v>
      </c>
      <c r="G292" s="159">
        <v>2352435080</v>
      </c>
      <c r="H292" s="159">
        <v>235243508</v>
      </c>
      <c r="I292" s="159">
        <v>2587678588</v>
      </c>
      <c r="J292" s="159">
        <f>bargiri[[#This Row],[مقدار]]*INDEX(invoice[پیش دریافت به ازای هر کیلوگرم],MATCH(bargiri[[#This Row],[شماره سند مبنا]],invoice[شماره پیش فاکتور],0))</f>
        <v>1282531000</v>
      </c>
      <c r="K292" s="159">
        <f>bargiri[[#This Row],[مبلغ خالص]]-bargiri[[#This Row],[میزان استهلاک پیش دریافتی]]</f>
        <v>1305147588</v>
      </c>
      <c r="L292" s="160" t="s">
        <v>593</v>
      </c>
      <c r="M292" s="159" t="s">
        <v>593</v>
      </c>
      <c r="N292" s="159">
        <f>IF(bargiri[[#This Row],[مبلغ واریزی]]&lt;&gt;"",bargiri[[#This Row],[مانده مبلغ]]-bargiri[[#This Row],[مبلغ واریزی]],bargiri[[#This Row],[مانده مبلغ]])</f>
        <v>1305147588</v>
      </c>
      <c r="O292" s="159" t="s">
        <v>593</v>
      </c>
      <c r="P292" s="159">
        <f>VLOOKUP(bargiri[[#This Row],[شماره سند مبنا]],invoice[[شماره پیش فاکتور]:[پیش دریافت به ازای هر کیلوگرم]],14,0)</f>
        <v>62900</v>
      </c>
      <c r="Q292" s="159">
        <f>IF(bargiri[[#This Row],[مبلغ ناخالص]]-(bargiri[[#This Row],[نرخ استهلاک]]*bargiri[[#This Row],[مقدار]])&lt;0,0,bargiri[[#This Row],[مبلغ ناخالص]]-(bargiri[[#This Row],[نرخ استهلاک]]*bargiri[[#This Row],[مقدار]]))</f>
        <v>1069904080</v>
      </c>
    </row>
    <row r="293" spans="1:17" s="22" customFormat="1" ht="13.8" x14ac:dyDescent="0.25">
      <c r="A293" s="22">
        <v>1187</v>
      </c>
      <c r="B293" s="22" t="s">
        <v>968</v>
      </c>
      <c r="C293" s="22" t="s">
        <v>909</v>
      </c>
      <c r="D293" s="22" t="s">
        <v>73</v>
      </c>
      <c r="E293" s="158">
        <v>20300</v>
      </c>
      <c r="F293" s="159">
        <v>115372</v>
      </c>
      <c r="G293" s="159">
        <v>2342051600</v>
      </c>
      <c r="H293" s="159">
        <v>234205160</v>
      </c>
      <c r="I293" s="159">
        <v>2576256760</v>
      </c>
      <c r="J293" s="159">
        <f>bargiri[[#This Row],[مقدار]]*INDEX(invoice[پیش دریافت به ازای هر کیلوگرم],MATCH(bargiri[[#This Row],[شماره سند مبنا]],invoice[شماره پیش فاکتور],0))</f>
        <v>1276870000</v>
      </c>
      <c r="K293" s="159">
        <f>bargiri[[#This Row],[مبلغ خالص]]-bargiri[[#This Row],[میزان استهلاک پیش دریافتی]]</f>
        <v>1299386760</v>
      </c>
      <c r="L293" s="160" t="s">
        <v>593</v>
      </c>
      <c r="M293" s="159" t="s">
        <v>593</v>
      </c>
      <c r="N293" s="159">
        <f>IF(bargiri[[#This Row],[مبلغ واریزی]]&lt;&gt;"",bargiri[[#This Row],[مانده مبلغ]]-bargiri[[#This Row],[مبلغ واریزی]],bargiri[[#This Row],[مانده مبلغ]])</f>
        <v>1299386760</v>
      </c>
      <c r="O293" s="159" t="s">
        <v>593</v>
      </c>
      <c r="P293" s="159">
        <f>VLOOKUP(bargiri[[#This Row],[شماره سند مبنا]],invoice[[شماره پیش فاکتور]:[پیش دریافت به ازای هر کیلوگرم]],14,0)</f>
        <v>62900</v>
      </c>
      <c r="Q293" s="159">
        <f>IF(bargiri[[#This Row],[مبلغ ناخالص]]-(bargiri[[#This Row],[نرخ استهلاک]]*bargiri[[#This Row],[مقدار]])&lt;0,0,bargiri[[#This Row],[مبلغ ناخالص]]-(bargiri[[#This Row],[نرخ استهلاک]]*bargiri[[#This Row],[مقدار]]))</f>
        <v>1065181600</v>
      </c>
    </row>
    <row r="294" spans="1:17" s="22" customFormat="1" ht="13.8" x14ac:dyDescent="0.25">
      <c r="A294" s="22">
        <v>1186</v>
      </c>
      <c r="B294" s="22" t="s">
        <v>968</v>
      </c>
      <c r="C294" s="22" t="s">
        <v>909</v>
      </c>
      <c r="D294" s="22" t="s">
        <v>73</v>
      </c>
      <c r="E294" s="158">
        <v>20675</v>
      </c>
      <c r="F294" s="159">
        <v>115372</v>
      </c>
      <c r="G294" s="159">
        <v>2385316100</v>
      </c>
      <c r="H294" s="159">
        <v>238531610</v>
      </c>
      <c r="I294" s="159">
        <v>2623847710</v>
      </c>
      <c r="J294" s="159">
        <f>bargiri[[#This Row],[مقدار]]*INDEX(invoice[پیش دریافت به ازای هر کیلوگرم],MATCH(bargiri[[#This Row],[شماره سند مبنا]],invoice[شماره پیش فاکتور],0))</f>
        <v>1300457500</v>
      </c>
      <c r="K294" s="159">
        <f>bargiri[[#This Row],[مبلغ خالص]]-bargiri[[#This Row],[میزان استهلاک پیش دریافتی]]</f>
        <v>1323390210</v>
      </c>
      <c r="L294" s="160" t="s">
        <v>593</v>
      </c>
      <c r="M294" s="159" t="s">
        <v>593</v>
      </c>
      <c r="N294" s="159">
        <f>IF(bargiri[[#This Row],[مبلغ واریزی]]&lt;&gt;"",bargiri[[#This Row],[مانده مبلغ]]-bargiri[[#This Row],[مبلغ واریزی]],bargiri[[#This Row],[مانده مبلغ]])</f>
        <v>1323390210</v>
      </c>
      <c r="O294" s="159" t="s">
        <v>593</v>
      </c>
      <c r="P294" s="159">
        <f>VLOOKUP(bargiri[[#This Row],[شماره سند مبنا]],invoice[[شماره پیش فاکتور]:[پیش دریافت به ازای هر کیلوگرم]],14,0)</f>
        <v>62900</v>
      </c>
      <c r="Q294" s="159">
        <f>IF(bargiri[[#This Row],[مبلغ ناخالص]]-(bargiri[[#This Row],[نرخ استهلاک]]*bargiri[[#This Row],[مقدار]])&lt;0,0,bargiri[[#This Row],[مبلغ ناخالص]]-(bargiri[[#This Row],[نرخ استهلاک]]*bargiri[[#This Row],[مقدار]]))</f>
        <v>1084858600</v>
      </c>
    </row>
    <row r="295" spans="1:17" s="22" customFormat="1" ht="13.8" x14ac:dyDescent="0.25">
      <c r="A295" s="22">
        <v>1185</v>
      </c>
      <c r="B295" s="22" t="s">
        <v>969</v>
      </c>
      <c r="C295" s="22" t="s">
        <v>909</v>
      </c>
      <c r="D295" s="22" t="s">
        <v>73</v>
      </c>
      <c r="E295" s="158">
        <v>20465</v>
      </c>
      <c r="F295" s="159">
        <v>115372</v>
      </c>
      <c r="G295" s="159">
        <v>2361087980</v>
      </c>
      <c r="H295" s="159">
        <v>236108798</v>
      </c>
      <c r="I295" s="159">
        <v>2597196778</v>
      </c>
      <c r="J295" s="159">
        <f>bargiri[[#This Row],[مقدار]]*INDEX(invoice[پیش دریافت به ازای هر کیلوگرم],MATCH(bargiri[[#This Row],[شماره سند مبنا]],invoice[شماره پیش فاکتور],0))</f>
        <v>1287248500</v>
      </c>
      <c r="K295" s="159">
        <f>bargiri[[#This Row],[مبلغ خالص]]-bargiri[[#This Row],[میزان استهلاک پیش دریافتی]]</f>
        <v>1309948278</v>
      </c>
      <c r="L295" s="160" t="s">
        <v>593</v>
      </c>
      <c r="M295" s="159" t="s">
        <v>593</v>
      </c>
      <c r="N295" s="159">
        <f>IF(bargiri[[#This Row],[مبلغ واریزی]]&lt;&gt;"",bargiri[[#This Row],[مانده مبلغ]]-bargiri[[#This Row],[مبلغ واریزی]],bargiri[[#This Row],[مانده مبلغ]])</f>
        <v>1309948278</v>
      </c>
      <c r="O295" s="159" t="s">
        <v>593</v>
      </c>
      <c r="P295" s="159">
        <f>VLOOKUP(bargiri[[#This Row],[شماره سند مبنا]],invoice[[شماره پیش فاکتور]:[پیش دریافت به ازای هر کیلوگرم]],14,0)</f>
        <v>62900</v>
      </c>
      <c r="Q295" s="159">
        <f>IF(bargiri[[#This Row],[مبلغ ناخالص]]-(bargiri[[#This Row],[نرخ استهلاک]]*bargiri[[#This Row],[مقدار]])&lt;0,0,bargiri[[#This Row],[مبلغ ناخالص]]-(bargiri[[#This Row],[نرخ استهلاک]]*bargiri[[#This Row],[مقدار]]))</f>
        <v>1073839480</v>
      </c>
    </row>
    <row r="296" spans="1:17" s="22" customFormat="1" ht="13.8" x14ac:dyDescent="0.25">
      <c r="A296" s="22">
        <v>1184</v>
      </c>
      <c r="B296" s="22" t="s">
        <v>969</v>
      </c>
      <c r="C296" s="22" t="s">
        <v>909</v>
      </c>
      <c r="D296" s="22" t="s">
        <v>73</v>
      </c>
      <c r="E296" s="158">
        <v>20660</v>
      </c>
      <c r="F296" s="159">
        <v>115372</v>
      </c>
      <c r="G296" s="159">
        <v>2383585520</v>
      </c>
      <c r="H296" s="159">
        <v>238358552</v>
      </c>
      <c r="I296" s="159">
        <v>2621944072</v>
      </c>
      <c r="J296" s="159">
        <f>bargiri[[#This Row],[مقدار]]*INDEX(invoice[پیش دریافت به ازای هر کیلوگرم],MATCH(bargiri[[#This Row],[شماره سند مبنا]],invoice[شماره پیش فاکتور],0))</f>
        <v>1299514000</v>
      </c>
      <c r="K296" s="159">
        <f>bargiri[[#This Row],[مبلغ خالص]]-bargiri[[#This Row],[میزان استهلاک پیش دریافتی]]</f>
        <v>1322430072</v>
      </c>
      <c r="L296" s="160" t="s">
        <v>314</v>
      </c>
      <c r="M296" s="159">
        <v>1130500000</v>
      </c>
      <c r="N296" s="159">
        <f>IF(bargiri[[#This Row],[مبلغ واریزی]]&lt;&gt;"",bargiri[[#This Row],[مانده مبلغ]]-bargiri[[#This Row],[مبلغ واریزی]],bargiri[[#This Row],[مانده مبلغ]])</f>
        <v>191930072</v>
      </c>
      <c r="O296" s="159">
        <v>0</v>
      </c>
      <c r="P296" s="159">
        <f>VLOOKUP(bargiri[[#This Row],[شماره سند مبنا]],invoice[[شماره پیش فاکتور]:[پیش دریافت به ازای هر کیلوگرم]],14,0)</f>
        <v>62900</v>
      </c>
      <c r="Q296" s="159">
        <f>IF(bargiri[[#This Row],[مبلغ ناخالص]]-(bargiri[[#This Row],[نرخ استهلاک]]*bargiri[[#This Row],[مقدار]])&lt;0,0,bargiri[[#This Row],[مبلغ ناخالص]]-(bargiri[[#This Row],[نرخ استهلاک]]*bargiri[[#This Row],[مقدار]]))</f>
        <v>1084071520</v>
      </c>
    </row>
    <row r="297" spans="1:17" s="22" customFormat="1" ht="13.8" x14ac:dyDescent="0.25">
      <c r="A297" s="22">
        <v>1183</v>
      </c>
      <c r="B297" s="22" t="s">
        <v>969</v>
      </c>
      <c r="C297" s="22" t="s">
        <v>909</v>
      </c>
      <c r="D297" s="22" t="s">
        <v>73</v>
      </c>
      <c r="E297" s="158">
        <v>20470</v>
      </c>
      <c r="F297" s="159">
        <v>115372</v>
      </c>
      <c r="G297" s="159">
        <v>2361664840</v>
      </c>
      <c r="H297" s="159">
        <v>236166484</v>
      </c>
      <c r="I297" s="159">
        <v>2597831324</v>
      </c>
      <c r="J297" s="159">
        <f>bargiri[[#This Row],[مقدار]]*INDEX(invoice[پیش دریافت به ازای هر کیلوگرم],MATCH(bargiri[[#This Row],[شماره سند مبنا]],invoice[شماره پیش فاکتور],0))</f>
        <v>1287563000</v>
      </c>
      <c r="K297" s="159">
        <f>bargiri[[#This Row],[مبلغ خالص]]-bargiri[[#This Row],[میزان استهلاک پیش دریافتی]]</f>
        <v>1310268324</v>
      </c>
      <c r="L297" s="160" t="s">
        <v>593</v>
      </c>
      <c r="M297" s="159" t="s">
        <v>593</v>
      </c>
      <c r="N297" s="159">
        <f>IF(bargiri[[#This Row],[مبلغ واریزی]]&lt;&gt;"",bargiri[[#This Row],[مانده مبلغ]]-bargiri[[#This Row],[مبلغ واریزی]],bargiri[[#This Row],[مانده مبلغ]])</f>
        <v>1310268324</v>
      </c>
      <c r="O297" s="159" t="s">
        <v>593</v>
      </c>
      <c r="P297" s="159">
        <f>VLOOKUP(bargiri[[#This Row],[شماره سند مبنا]],invoice[[شماره پیش فاکتور]:[پیش دریافت به ازای هر کیلوگرم]],14,0)</f>
        <v>62900</v>
      </c>
      <c r="Q297" s="159">
        <f>IF(bargiri[[#This Row],[مبلغ ناخالص]]-(bargiri[[#This Row],[نرخ استهلاک]]*bargiri[[#This Row],[مقدار]])&lt;0,0,bargiri[[#This Row],[مبلغ ناخالص]]-(bargiri[[#This Row],[نرخ استهلاک]]*bargiri[[#This Row],[مقدار]]))</f>
        <v>1074101840</v>
      </c>
    </row>
    <row r="298" spans="1:17" s="22" customFormat="1" ht="13.8" x14ac:dyDescent="0.25">
      <c r="A298" s="22">
        <v>1182</v>
      </c>
      <c r="B298" s="22" t="s">
        <v>969</v>
      </c>
      <c r="C298" s="22" t="s">
        <v>909</v>
      </c>
      <c r="D298" s="22" t="s">
        <v>73</v>
      </c>
      <c r="E298" s="158">
        <v>20240</v>
      </c>
      <c r="F298" s="159">
        <v>115372</v>
      </c>
      <c r="G298" s="159">
        <v>2335129280</v>
      </c>
      <c r="H298" s="159">
        <v>233512928</v>
      </c>
      <c r="I298" s="159">
        <v>2568642208</v>
      </c>
      <c r="J298" s="159">
        <f>bargiri[[#This Row],[مقدار]]*INDEX(invoice[پیش دریافت به ازای هر کیلوگرم],MATCH(bargiri[[#This Row],[شماره سند مبنا]],invoice[شماره پیش فاکتور],0))</f>
        <v>1273096000</v>
      </c>
      <c r="K298" s="159">
        <f>bargiri[[#This Row],[مبلغ خالص]]-bargiri[[#This Row],[میزان استهلاک پیش دریافتی]]</f>
        <v>1295546208</v>
      </c>
      <c r="L298" s="160" t="s">
        <v>593</v>
      </c>
      <c r="M298" s="159" t="s">
        <v>593</v>
      </c>
      <c r="N298" s="159">
        <f>IF(bargiri[[#This Row],[مبلغ واریزی]]&lt;&gt;"",bargiri[[#This Row],[مانده مبلغ]]-bargiri[[#This Row],[مبلغ واریزی]],bargiri[[#This Row],[مانده مبلغ]])</f>
        <v>1295546208</v>
      </c>
      <c r="O298" s="159" t="s">
        <v>593</v>
      </c>
      <c r="P298" s="159">
        <f>VLOOKUP(bargiri[[#This Row],[شماره سند مبنا]],invoice[[شماره پیش فاکتور]:[پیش دریافت به ازای هر کیلوگرم]],14,0)</f>
        <v>62900</v>
      </c>
      <c r="Q298" s="159">
        <f>IF(bargiri[[#This Row],[مبلغ ناخالص]]-(bargiri[[#This Row],[نرخ استهلاک]]*bargiri[[#This Row],[مقدار]])&lt;0,0,bargiri[[#This Row],[مبلغ ناخالص]]-(bargiri[[#This Row],[نرخ استهلاک]]*bargiri[[#This Row],[مقدار]]))</f>
        <v>1062033280</v>
      </c>
    </row>
    <row r="299" spans="1:17" s="22" customFormat="1" ht="13.8" x14ac:dyDescent="0.25">
      <c r="A299" s="22">
        <v>1181</v>
      </c>
      <c r="B299" s="22" t="s">
        <v>969</v>
      </c>
      <c r="C299" s="22" t="s">
        <v>909</v>
      </c>
      <c r="D299" s="22" t="s">
        <v>73</v>
      </c>
      <c r="E299" s="158">
        <v>20580</v>
      </c>
      <c r="F299" s="159">
        <v>115372</v>
      </c>
      <c r="G299" s="159">
        <v>2374355760</v>
      </c>
      <c r="H299" s="159">
        <v>237435576</v>
      </c>
      <c r="I299" s="159">
        <v>2611791336</v>
      </c>
      <c r="J299" s="159">
        <f>bargiri[[#This Row],[مقدار]]*INDEX(invoice[پیش دریافت به ازای هر کیلوگرم],MATCH(bargiri[[#This Row],[شماره سند مبنا]],invoice[شماره پیش فاکتور],0))</f>
        <v>1294482000</v>
      </c>
      <c r="K299" s="159">
        <f>bargiri[[#This Row],[مبلغ خالص]]-bargiri[[#This Row],[میزان استهلاک پیش دریافتی]]</f>
        <v>1317309336</v>
      </c>
      <c r="L299" s="160" t="s">
        <v>593</v>
      </c>
      <c r="M299" s="159" t="s">
        <v>593</v>
      </c>
      <c r="N299" s="159">
        <f>IF(bargiri[[#This Row],[مبلغ واریزی]]&lt;&gt;"",bargiri[[#This Row],[مانده مبلغ]]-bargiri[[#This Row],[مبلغ واریزی]],bargiri[[#This Row],[مانده مبلغ]])</f>
        <v>1317309336</v>
      </c>
      <c r="O299" s="159" t="s">
        <v>593</v>
      </c>
      <c r="P299" s="159">
        <f>VLOOKUP(bargiri[[#This Row],[شماره سند مبنا]],invoice[[شماره پیش فاکتور]:[پیش دریافت به ازای هر کیلوگرم]],14,0)</f>
        <v>62900</v>
      </c>
      <c r="Q299" s="159">
        <f>IF(bargiri[[#This Row],[مبلغ ناخالص]]-(bargiri[[#This Row],[نرخ استهلاک]]*bargiri[[#This Row],[مقدار]])&lt;0,0,bargiri[[#This Row],[مبلغ ناخالص]]-(bargiri[[#This Row],[نرخ استهلاک]]*bargiri[[#This Row],[مقدار]]))</f>
        <v>1079873760</v>
      </c>
    </row>
    <row r="300" spans="1:17" s="22" customFormat="1" ht="13.8" x14ac:dyDescent="0.25">
      <c r="A300" s="22">
        <v>1180</v>
      </c>
      <c r="B300" s="22" t="s">
        <v>969</v>
      </c>
      <c r="C300" s="22" t="s">
        <v>909</v>
      </c>
      <c r="D300" s="22" t="s">
        <v>73</v>
      </c>
      <c r="E300" s="158">
        <v>20220</v>
      </c>
      <c r="F300" s="159">
        <v>115372</v>
      </c>
      <c r="G300" s="159">
        <v>2332821840</v>
      </c>
      <c r="H300" s="159">
        <v>233282184</v>
      </c>
      <c r="I300" s="159">
        <v>2566104024</v>
      </c>
      <c r="J300" s="159">
        <f>bargiri[[#This Row],[مقدار]]*INDEX(invoice[پیش دریافت به ازای هر کیلوگرم],MATCH(bargiri[[#This Row],[شماره سند مبنا]],invoice[شماره پیش فاکتور],0))</f>
        <v>1271838000</v>
      </c>
      <c r="K300" s="159">
        <f>bargiri[[#This Row],[مبلغ خالص]]-bargiri[[#This Row],[میزان استهلاک پیش دریافتی]]</f>
        <v>1294266024</v>
      </c>
      <c r="L300" s="160" t="s">
        <v>593</v>
      </c>
      <c r="M300" s="159" t="s">
        <v>593</v>
      </c>
      <c r="N300" s="159">
        <f>IF(bargiri[[#This Row],[مبلغ واریزی]]&lt;&gt;"",bargiri[[#This Row],[مانده مبلغ]]-bargiri[[#This Row],[مبلغ واریزی]],bargiri[[#This Row],[مانده مبلغ]])</f>
        <v>1294266024</v>
      </c>
      <c r="O300" s="159" t="s">
        <v>593</v>
      </c>
      <c r="P300" s="159">
        <f>VLOOKUP(bargiri[[#This Row],[شماره سند مبنا]],invoice[[شماره پیش فاکتور]:[پیش دریافت به ازای هر کیلوگرم]],14,0)</f>
        <v>62900</v>
      </c>
      <c r="Q300" s="159">
        <f>IF(bargiri[[#This Row],[مبلغ ناخالص]]-(bargiri[[#This Row],[نرخ استهلاک]]*bargiri[[#This Row],[مقدار]])&lt;0,0,bargiri[[#This Row],[مبلغ ناخالص]]-(bargiri[[#This Row],[نرخ استهلاک]]*bargiri[[#This Row],[مقدار]]))</f>
        <v>1060983840</v>
      </c>
    </row>
    <row r="301" spans="1:17" s="22" customFormat="1" ht="13.8" x14ac:dyDescent="0.25">
      <c r="A301" s="22">
        <v>1179</v>
      </c>
      <c r="B301" s="22" t="s">
        <v>970</v>
      </c>
      <c r="C301" s="22" t="s">
        <v>909</v>
      </c>
      <c r="D301" s="22" t="s">
        <v>73</v>
      </c>
      <c r="E301" s="158">
        <v>20510</v>
      </c>
      <c r="F301" s="159">
        <v>115372</v>
      </c>
      <c r="G301" s="159">
        <v>2366279720</v>
      </c>
      <c r="H301" s="159">
        <v>236627972</v>
      </c>
      <c r="I301" s="159">
        <v>2602907692</v>
      </c>
      <c r="J301" s="159">
        <f>bargiri[[#This Row],[مقدار]]*INDEX(invoice[پیش دریافت به ازای هر کیلوگرم],MATCH(bargiri[[#This Row],[شماره سند مبنا]],invoice[شماره پیش فاکتور],0))</f>
        <v>1290079000</v>
      </c>
      <c r="K301" s="159">
        <f>bargiri[[#This Row],[مبلغ خالص]]-bargiri[[#This Row],[میزان استهلاک پیش دریافتی]]</f>
        <v>1312828692</v>
      </c>
      <c r="L301" s="160" t="s">
        <v>593</v>
      </c>
      <c r="M301" s="159" t="s">
        <v>593</v>
      </c>
      <c r="N301" s="159">
        <f>IF(bargiri[[#This Row],[مبلغ واریزی]]&lt;&gt;"",bargiri[[#This Row],[مانده مبلغ]]-bargiri[[#This Row],[مبلغ واریزی]],bargiri[[#This Row],[مانده مبلغ]])</f>
        <v>1312828692</v>
      </c>
      <c r="O301" s="159" t="s">
        <v>593</v>
      </c>
      <c r="P301" s="159">
        <f>VLOOKUP(bargiri[[#This Row],[شماره سند مبنا]],invoice[[شماره پیش فاکتور]:[پیش دریافت به ازای هر کیلوگرم]],14,0)</f>
        <v>62900</v>
      </c>
      <c r="Q301" s="159">
        <f>IF(bargiri[[#This Row],[مبلغ ناخالص]]-(bargiri[[#This Row],[نرخ استهلاک]]*bargiri[[#This Row],[مقدار]])&lt;0,0,bargiri[[#This Row],[مبلغ ناخالص]]-(bargiri[[#This Row],[نرخ استهلاک]]*bargiri[[#This Row],[مقدار]]))</f>
        <v>1076200720</v>
      </c>
    </row>
    <row r="302" spans="1:17" s="22" customFormat="1" ht="13.8" x14ac:dyDescent="0.25">
      <c r="A302" s="22">
        <v>1178</v>
      </c>
      <c r="B302" s="22" t="s">
        <v>970</v>
      </c>
      <c r="C302" s="22" t="s">
        <v>909</v>
      </c>
      <c r="D302" s="22" t="s">
        <v>73</v>
      </c>
      <c r="E302" s="158">
        <v>20490</v>
      </c>
      <c r="F302" s="159">
        <v>115372</v>
      </c>
      <c r="G302" s="159">
        <v>2363972280</v>
      </c>
      <c r="H302" s="159">
        <v>236397228</v>
      </c>
      <c r="I302" s="159">
        <v>2600369508</v>
      </c>
      <c r="J302" s="159">
        <f>bargiri[[#This Row],[مقدار]]*INDEX(invoice[پیش دریافت به ازای هر کیلوگرم],MATCH(bargiri[[#This Row],[شماره سند مبنا]],invoice[شماره پیش فاکتور],0))</f>
        <v>1288821000</v>
      </c>
      <c r="K302" s="159">
        <f>bargiri[[#This Row],[مبلغ خالص]]-bargiri[[#This Row],[میزان استهلاک پیش دریافتی]]</f>
        <v>1311548508</v>
      </c>
      <c r="L302" s="160" t="s">
        <v>190</v>
      </c>
      <c r="M302" s="159">
        <v>1133177500</v>
      </c>
      <c r="N302" s="159">
        <f>IF(bargiri[[#This Row],[مبلغ واریزی]]&lt;&gt;"",bargiri[[#This Row],[مانده مبلغ]]-bargiri[[#This Row],[مبلغ واریزی]],bargiri[[#This Row],[مانده مبلغ]])</f>
        <v>178371008</v>
      </c>
      <c r="O302" s="159">
        <v>0</v>
      </c>
      <c r="P302" s="159">
        <f>VLOOKUP(bargiri[[#This Row],[شماره سند مبنا]],invoice[[شماره پیش فاکتور]:[پیش دریافت به ازای هر کیلوگرم]],14,0)</f>
        <v>62900</v>
      </c>
      <c r="Q302" s="159">
        <f>IF(bargiri[[#This Row],[مبلغ ناخالص]]-(bargiri[[#This Row],[نرخ استهلاک]]*bargiri[[#This Row],[مقدار]])&lt;0,0,bargiri[[#This Row],[مبلغ ناخالص]]-(bargiri[[#This Row],[نرخ استهلاک]]*bargiri[[#This Row],[مقدار]]))</f>
        <v>1075151280</v>
      </c>
    </row>
    <row r="303" spans="1:17" s="22" customFormat="1" ht="13.8" x14ac:dyDescent="0.25">
      <c r="A303" s="22">
        <v>1177</v>
      </c>
      <c r="B303" s="22" t="s">
        <v>971</v>
      </c>
      <c r="C303" s="22" t="s">
        <v>909</v>
      </c>
      <c r="D303" s="22" t="s">
        <v>73</v>
      </c>
      <c r="E303" s="158">
        <v>21180</v>
      </c>
      <c r="F303" s="159">
        <v>115372</v>
      </c>
      <c r="G303" s="159">
        <v>2443578960</v>
      </c>
      <c r="H303" s="159">
        <v>244357896</v>
      </c>
      <c r="I303" s="159">
        <v>2687936856</v>
      </c>
      <c r="J303" s="159">
        <f>bargiri[[#This Row],[مقدار]]*INDEX(invoice[پیش دریافت به ازای هر کیلوگرم],MATCH(bargiri[[#This Row],[شماره سند مبنا]],invoice[شماره پیش فاکتور],0))</f>
        <v>1332222000</v>
      </c>
      <c r="K303" s="159">
        <f>bargiri[[#This Row],[مبلغ خالص]]-bargiri[[#This Row],[میزان استهلاک پیش دریافتی]]</f>
        <v>1355714856</v>
      </c>
      <c r="L303" s="160" t="s">
        <v>593</v>
      </c>
      <c r="M303" s="159" t="s">
        <v>593</v>
      </c>
      <c r="N303" s="159">
        <f>IF(bargiri[[#This Row],[مبلغ واریزی]]&lt;&gt;"",bargiri[[#This Row],[مانده مبلغ]]-bargiri[[#This Row],[مبلغ واریزی]],bargiri[[#This Row],[مانده مبلغ]])</f>
        <v>1355714856</v>
      </c>
      <c r="O303" s="159" t="s">
        <v>593</v>
      </c>
      <c r="P303" s="159">
        <f>VLOOKUP(bargiri[[#This Row],[شماره سند مبنا]],invoice[[شماره پیش فاکتور]:[پیش دریافت به ازای هر کیلوگرم]],14,0)</f>
        <v>62900</v>
      </c>
      <c r="Q303" s="159">
        <f>IF(bargiri[[#This Row],[مبلغ ناخالص]]-(bargiri[[#This Row],[نرخ استهلاک]]*bargiri[[#This Row],[مقدار]])&lt;0,0,bargiri[[#This Row],[مبلغ ناخالص]]-(bargiri[[#This Row],[نرخ استهلاک]]*bargiri[[#This Row],[مقدار]]))</f>
        <v>1111356960</v>
      </c>
    </row>
    <row r="304" spans="1:17" s="22" customFormat="1" ht="13.8" x14ac:dyDescent="0.25">
      <c r="A304" s="22">
        <v>1176</v>
      </c>
      <c r="B304" s="22" t="s">
        <v>971</v>
      </c>
      <c r="C304" s="22" t="s">
        <v>909</v>
      </c>
      <c r="D304" s="22" t="s">
        <v>73</v>
      </c>
      <c r="E304" s="158">
        <v>20460</v>
      </c>
      <c r="F304" s="159">
        <v>115372</v>
      </c>
      <c r="G304" s="159">
        <v>2360511120</v>
      </c>
      <c r="H304" s="159">
        <v>236051112</v>
      </c>
      <c r="I304" s="159">
        <v>2596562232</v>
      </c>
      <c r="J304" s="159">
        <f>bargiri[[#This Row],[مقدار]]*INDEX(invoice[پیش دریافت به ازای هر کیلوگرم],MATCH(bargiri[[#This Row],[شماره سند مبنا]],invoice[شماره پیش فاکتور],0))</f>
        <v>1286934000</v>
      </c>
      <c r="K304" s="159">
        <f>bargiri[[#This Row],[مبلغ خالص]]-bargiri[[#This Row],[میزان استهلاک پیش دریافتی]]</f>
        <v>1309628232</v>
      </c>
      <c r="L304" s="160" t="s">
        <v>593</v>
      </c>
      <c r="M304" s="159" t="s">
        <v>593</v>
      </c>
      <c r="N304" s="159">
        <f>IF(bargiri[[#This Row],[مبلغ واریزی]]&lt;&gt;"",bargiri[[#This Row],[مانده مبلغ]]-bargiri[[#This Row],[مبلغ واریزی]],bargiri[[#This Row],[مانده مبلغ]])</f>
        <v>1309628232</v>
      </c>
      <c r="O304" s="159" t="s">
        <v>593</v>
      </c>
      <c r="P304" s="159">
        <f>VLOOKUP(bargiri[[#This Row],[شماره سند مبنا]],invoice[[شماره پیش فاکتور]:[پیش دریافت به ازای هر کیلوگرم]],14,0)</f>
        <v>62900</v>
      </c>
      <c r="Q304" s="159">
        <f>IF(bargiri[[#This Row],[مبلغ ناخالص]]-(bargiri[[#This Row],[نرخ استهلاک]]*bargiri[[#This Row],[مقدار]])&lt;0,0,bargiri[[#This Row],[مبلغ ناخالص]]-(bargiri[[#This Row],[نرخ استهلاک]]*bargiri[[#This Row],[مقدار]]))</f>
        <v>1073577120</v>
      </c>
    </row>
    <row r="305" spans="1:17" s="22" customFormat="1" ht="13.8" x14ac:dyDescent="0.25">
      <c r="A305" s="22">
        <v>1175</v>
      </c>
      <c r="B305" s="22" t="s">
        <v>971</v>
      </c>
      <c r="C305" s="22" t="s">
        <v>909</v>
      </c>
      <c r="D305" s="22" t="s">
        <v>73</v>
      </c>
      <c r="E305" s="158">
        <v>20915</v>
      </c>
      <c r="F305" s="159">
        <v>115372</v>
      </c>
      <c r="G305" s="159">
        <v>2413005380</v>
      </c>
      <c r="H305" s="159">
        <v>241300538</v>
      </c>
      <c r="I305" s="159">
        <v>2654305918</v>
      </c>
      <c r="J305" s="159">
        <f>bargiri[[#This Row],[مقدار]]*INDEX(invoice[پیش دریافت به ازای هر کیلوگرم],MATCH(bargiri[[#This Row],[شماره سند مبنا]],invoice[شماره پیش فاکتور],0))</f>
        <v>1315553500</v>
      </c>
      <c r="K305" s="159">
        <f>bargiri[[#This Row],[مبلغ خالص]]-bargiri[[#This Row],[میزان استهلاک پیش دریافتی]]</f>
        <v>1338752418</v>
      </c>
      <c r="L305" s="160" t="s">
        <v>311</v>
      </c>
      <c r="M305" s="159">
        <v>1112650000</v>
      </c>
      <c r="N305" s="159">
        <f>IF(bargiri[[#This Row],[مبلغ واریزی]]&lt;&gt;"",bargiri[[#This Row],[مانده مبلغ]]-bargiri[[#This Row],[مبلغ واریزی]],bargiri[[#This Row],[مانده مبلغ]])</f>
        <v>226102418</v>
      </c>
      <c r="O305" s="159" t="s">
        <v>386</v>
      </c>
      <c r="P305" s="159">
        <f>VLOOKUP(bargiri[[#This Row],[شماره سند مبنا]],invoice[[شماره پیش فاکتور]:[پیش دریافت به ازای هر کیلوگرم]],14,0)</f>
        <v>62900</v>
      </c>
      <c r="Q305" s="159">
        <f>IF(bargiri[[#This Row],[مبلغ ناخالص]]-(bargiri[[#This Row],[نرخ استهلاک]]*bargiri[[#This Row],[مقدار]])&lt;0,0,bargiri[[#This Row],[مبلغ ناخالص]]-(bargiri[[#This Row],[نرخ استهلاک]]*bargiri[[#This Row],[مقدار]]))</f>
        <v>1097451880</v>
      </c>
    </row>
    <row r="306" spans="1:17" s="22" customFormat="1" ht="13.8" x14ac:dyDescent="0.25">
      <c r="A306" s="22">
        <v>1174</v>
      </c>
      <c r="B306" s="22" t="s">
        <v>971</v>
      </c>
      <c r="C306" s="22" t="s">
        <v>909</v>
      </c>
      <c r="D306" s="22" t="s">
        <v>73</v>
      </c>
      <c r="E306" s="158">
        <v>21100</v>
      </c>
      <c r="F306" s="159">
        <v>115372</v>
      </c>
      <c r="G306" s="159">
        <v>2434349200</v>
      </c>
      <c r="H306" s="159">
        <v>243434920</v>
      </c>
      <c r="I306" s="159">
        <v>2677784120</v>
      </c>
      <c r="J306" s="159">
        <f>bargiri[[#This Row],[مقدار]]*INDEX(invoice[پیش دریافت به ازای هر کیلوگرم],MATCH(bargiri[[#This Row],[شماره سند مبنا]],invoice[شماره پیش فاکتور],0))</f>
        <v>1327190000</v>
      </c>
      <c r="K306" s="159">
        <f>bargiri[[#This Row],[مبلغ خالص]]-bargiri[[#This Row],[میزان استهلاک پیش دریافتی]]</f>
        <v>1350594120</v>
      </c>
      <c r="L306" s="160" t="s">
        <v>313</v>
      </c>
      <c r="M306" s="159">
        <v>377492500</v>
      </c>
      <c r="N306" s="159">
        <f>IF(bargiri[[#This Row],[مبلغ واریزی]]&lt;&gt;"",bargiri[[#This Row],[مانده مبلغ]]-bargiri[[#This Row],[مبلغ واریزی]],bargiri[[#This Row],[مانده مبلغ]])</f>
        <v>973101620</v>
      </c>
      <c r="O306" s="159">
        <v>0</v>
      </c>
      <c r="P306" s="159">
        <f>VLOOKUP(bargiri[[#This Row],[شماره سند مبنا]],invoice[[شماره پیش فاکتور]:[پیش دریافت به ازای هر کیلوگرم]],14,0)</f>
        <v>62900</v>
      </c>
      <c r="Q306" s="159">
        <f>IF(bargiri[[#This Row],[مبلغ ناخالص]]-(bargiri[[#This Row],[نرخ استهلاک]]*bargiri[[#This Row],[مقدار]])&lt;0,0,bargiri[[#This Row],[مبلغ ناخالص]]-(bargiri[[#This Row],[نرخ استهلاک]]*bargiri[[#This Row],[مقدار]]))</f>
        <v>1107159200</v>
      </c>
    </row>
    <row r="307" spans="1:17" s="22" customFormat="1" ht="13.8" x14ac:dyDescent="0.25">
      <c r="A307" s="22">
        <v>1173</v>
      </c>
      <c r="B307" s="22" t="s">
        <v>971</v>
      </c>
      <c r="C307" s="22" t="s">
        <v>909</v>
      </c>
      <c r="D307" s="22" t="s">
        <v>73</v>
      </c>
      <c r="E307" s="158">
        <v>21055</v>
      </c>
      <c r="F307" s="159">
        <v>115372</v>
      </c>
      <c r="G307" s="159">
        <v>2429157460</v>
      </c>
      <c r="H307" s="159">
        <v>242915746</v>
      </c>
      <c r="I307" s="159">
        <v>2672073206</v>
      </c>
      <c r="J307" s="159">
        <f>bargiri[[#This Row],[مقدار]]*INDEX(invoice[پیش دریافت به ازای هر کیلوگرم],MATCH(bargiri[[#This Row],[شماره سند مبنا]],invoice[شماره پیش فاکتور],0))</f>
        <v>1324359500</v>
      </c>
      <c r="K307" s="159">
        <f>bargiri[[#This Row],[مبلغ خالص]]-bargiri[[#This Row],[میزان استهلاک پیش دریافتی]]</f>
        <v>1347713706</v>
      </c>
      <c r="L307" s="160" t="s">
        <v>311</v>
      </c>
      <c r="M307" s="159">
        <v>1132285000</v>
      </c>
      <c r="N307" s="159">
        <f>IF(bargiri[[#This Row],[مبلغ واریزی]]&lt;&gt;"",bargiri[[#This Row],[مانده مبلغ]]-bargiri[[#This Row],[مبلغ واریزی]],bargiri[[#This Row],[مانده مبلغ]])</f>
        <v>215428706</v>
      </c>
      <c r="O307" s="159">
        <v>0</v>
      </c>
      <c r="P307" s="159">
        <f>VLOOKUP(bargiri[[#This Row],[شماره سند مبنا]],invoice[[شماره پیش فاکتور]:[پیش دریافت به ازای هر کیلوگرم]],14,0)</f>
        <v>62900</v>
      </c>
      <c r="Q307" s="159">
        <f>IF(bargiri[[#This Row],[مبلغ ناخالص]]-(bargiri[[#This Row],[نرخ استهلاک]]*bargiri[[#This Row],[مقدار]])&lt;0,0,bargiri[[#This Row],[مبلغ ناخالص]]-(bargiri[[#This Row],[نرخ استهلاک]]*bargiri[[#This Row],[مقدار]]))</f>
        <v>1104797960</v>
      </c>
    </row>
    <row r="308" spans="1:17" s="22" customFormat="1" ht="13.8" x14ac:dyDescent="0.25">
      <c r="A308" s="22">
        <v>1172</v>
      </c>
      <c r="B308" s="22" t="s">
        <v>972</v>
      </c>
      <c r="C308" s="22" t="s">
        <v>909</v>
      </c>
      <c r="D308" s="22" t="s">
        <v>73</v>
      </c>
      <c r="E308" s="158">
        <v>20850</v>
      </c>
      <c r="F308" s="159">
        <v>115372</v>
      </c>
      <c r="G308" s="159">
        <v>2405506200</v>
      </c>
      <c r="H308" s="159">
        <v>240550620</v>
      </c>
      <c r="I308" s="159">
        <v>2646056820</v>
      </c>
      <c r="J308" s="159">
        <f>bargiri[[#This Row],[مقدار]]*INDEX(invoice[پیش دریافت به ازای هر کیلوگرم],MATCH(bargiri[[#This Row],[شماره سند مبنا]],invoice[شماره پیش فاکتور],0))</f>
        <v>1311465000</v>
      </c>
      <c r="K308" s="159">
        <f>bargiri[[#This Row],[مبلغ خالص]]-bargiri[[#This Row],[میزان استهلاک پیش دریافتی]]</f>
        <v>1334591820</v>
      </c>
      <c r="L308" s="160" t="s">
        <v>593</v>
      </c>
      <c r="M308" s="159" t="s">
        <v>593</v>
      </c>
      <c r="N308" s="159">
        <f>IF(bargiri[[#This Row],[مبلغ واریزی]]&lt;&gt;"",bargiri[[#This Row],[مانده مبلغ]]-bargiri[[#This Row],[مبلغ واریزی]],bargiri[[#This Row],[مانده مبلغ]])</f>
        <v>1334591820</v>
      </c>
      <c r="O308" s="159" t="s">
        <v>593</v>
      </c>
      <c r="P308" s="159">
        <f>VLOOKUP(bargiri[[#This Row],[شماره سند مبنا]],invoice[[شماره پیش فاکتور]:[پیش دریافت به ازای هر کیلوگرم]],14,0)</f>
        <v>62900</v>
      </c>
      <c r="Q308" s="159">
        <f>IF(bargiri[[#This Row],[مبلغ ناخالص]]-(bargiri[[#This Row],[نرخ استهلاک]]*bargiri[[#This Row],[مقدار]])&lt;0,0,bargiri[[#This Row],[مبلغ ناخالص]]-(bargiri[[#This Row],[نرخ استهلاک]]*bargiri[[#This Row],[مقدار]]))</f>
        <v>1094041200</v>
      </c>
    </row>
    <row r="309" spans="1:17" s="22" customFormat="1" ht="13.8" x14ac:dyDescent="0.25">
      <c r="A309" s="22">
        <v>1171</v>
      </c>
      <c r="B309" s="22" t="s">
        <v>972</v>
      </c>
      <c r="C309" s="22" t="s">
        <v>909</v>
      </c>
      <c r="D309" s="22" t="s">
        <v>73</v>
      </c>
      <c r="E309" s="158">
        <v>20815</v>
      </c>
      <c r="F309" s="159">
        <v>115372</v>
      </c>
      <c r="G309" s="159">
        <v>2401468180</v>
      </c>
      <c r="H309" s="159">
        <v>240146818</v>
      </c>
      <c r="I309" s="159">
        <v>2641614998</v>
      </c>
      <c r="J309" s="159">
        <f>bargiri[[#This Row],[مقدار]]*INDEX(invoice[پیش دریافت به ازای هر کیلوگرم],MATCH(bargiri[[#This Row],[شماره سند مبنا]],invoice[شماره پیش فاکتور],0))</f>
        <v>1309263500</v>
      </c>
      <c r="K309" s="159">
        <f>bargiri[[#This Row],[مبلغ خالص]]-bargiri[[#This Row],[میزان استهلاک پیش دریافتی]]</f>
        <v>1332351498</v>
      </c>
      <c r="L309" s="160" t="s">
        <v>593</v>
      </c>
      <c r="M309" s="159" t="s">
        <v>593</v>
      </c>
      <c r="N309" s="159">
        <f>IF(bargiri[[#This Row],[مبلغ واریزی]]&lt;&gt;"",bargiri[[#This Row],[مانده مبلغ]]-bargiri[[#This Row],[مبلغ واریزی]],bargiri[[#This Row],[مانده مبلغ]])</f>
        <v>1332351498</v>
      </c>
      <c r="O309" s="159" t="s">
        <v>593</v>
      </c>
      <c r="P309" s="159">
        <f>VLOOKUP(bargiri[[#This Row],[شماره سند مبنا]],invoice[[شماره پیش فاکتور]:[پیش دریافت به ازای هر کیلوگرم]],14,0)</f>
        <v>62900</v>
      </c>
      <c r="Q309" s="159">
        <f>IF(bargiri[[#This Row],[مبلغ ناخالص]]-(bargiri[[#This Row],[نرخ استهلاک]]*bargiri[[#This Row],[مقدار]])&lt;0,0,bargiri[[#This Row],[مبلغ ناخالص]]-(bargiri[[#This Row],[نرخ استهلاک]]*bargiri[[#This Row],[مقدار]]))</f>
        <v>1092204680</v>
      </c>
    </row>
    <row r="310" spans="1:17" s="22" customFormat="1" ht="13.8" x14ac:dyDescent="0.25">
      <c r="A310" s="22">
        <v>1170</v>
      </c>
      <c r="B310" s="22" t="s">
        <v>972</v>
      </c>
      <c r="C310" s="22" t="s">
        <v>909</v>
      </c>
      <c r="D310" s="22" t="s">
        <v>73</v>
      </c>
      <c r="E310" s="158">
        <v>20790</v>
      </c>
      <c r="F310" s="159">
        <v>115372</v>
      </c>
      <c r="G310" s="159">
        <v>2398583880</v>
      </c>
      <c r="H310" s="159">
        <v>239858388</v>
      </c>
      <c r="I310" s="159">
        <v>2638442268</v>
      </c>
      <c r="J310" s="159">
        <f>bargiri[[#This Row],[مقدار]]*INDEX(invoice[پیش دریافت به ازای هر کیلوگرم],MATCH(bargiri[[#This Row],[شماره سند مبنا]],invoice[شماره پیش فاکتور],0))</f>
        <v>1307691000</v>
      </c>
      <c r="K310" s="159">
        <f>bargiri[[#This Row],[مبلغ خالص]]-bargiri[[#This Row],[میزان استهلاک پیش دریافتی]]</f>
        <v>1330751268</v>
      </c>
      <c r="L310" s="160" t="s">
        <v>296</v>
      </c>
      <c r="M310" s="159">
        <v>1130500000</v>
      </c>
      <c r="N310" s="159">
        <f>IF(bargiri[[#This Row],[مبلغ واریزی]]&lt;&gt;"",bargiri[[#This Row],[مانده مبلغ]]-bargiri[[#This Row],[مبلغ واریزی]],bargiri[[#This Row],[مانده مبلغ]])</f>
        <v>200251268</v>
      </c>
      <c r="O310" s="159" t="s">
        <v>385</v>
      </c>
      <c r="P310" s="159">
        <f>VLOOKUP(bargiri[[#This Row],[شماره سند مبنا]],invoice[[شماره پیش فاکتور]:[پیش دریافت به ازای هر کیلوگرم]],14,0)</f>
        <v>62900</v>
      </c>
      <c r="Q310" s="159">
        <f>IF(bargiri[[#This Row],[مبلغ ناخالص]]-(bargiri[[#This Row],[نرخ استهلاک]]*bargiri[[#This Row],[مقدار]])&lt;0,0,bargiri[[#This Row],[مبلغ ناخالص]]-(bargiri[[#This Row],[نرخ استهلاک]]*bargiri[[#This Row],[مقدار]]))</f>
        <v>1090892880</v>
      </c>
    </row>
    <row r="311" spans="1:17" s="22" customFormat="1" ht="13.8" x14ac:dyDescent="0.25">
      <c r="A311" s="22">
        <v>1169</v>
      </c>
      <c r="B311" s="22" t="s">
        <v>973</v>
      </c>
      <c r="C311" s="22" t="s">
        <v>709</v>
      </c>
      <c r="D311" s="22" t="s">
        <v>43</v>
      </c>
      <c r="E311" s="158">
        <v>5380</v>
      </c>
      <c r="F311" s="159">
        <v>111000</v>
      </c>
      <c r="G311" s="159">
        <v>597180000</v>
      </c>
      <c r="H311" s="159">
        <v>59718000</v>
      </c>
      <c r="I311" s="159">
        <v>656898000</v>
      </c>
      <c r="J311" s="159">
        <f>bargiri[[#This Row],[مقدار]]*INDEX(invoice[پیش دریافت به ازای هر کیلوگرم],MATCH(bargiri[[#This Row],[شماره سند مبنا]],invoice[شماره پیش فاکتور],0))</f>
        <v>459828600</v>
      </c>
      <c r="K311" s="159">
        <f>bargiri[[#This Row],[مبلغ خالص]]-bargiri[[#This Row],[میزان استهلاک پیش دریافتی]]</f>
        <v>197069400</v>
      </c>
      <c r="L311" s="160" t="s">
        <v>593</v>
      </c>
      <c r="M311" s="159" t="s">
        <v>593</v>
      </c>
      <c r="N311" s="159">
        <f>IF(bargiri[[#This Row],[مبلغ واریزی]]&lt;&gt;"",bargiri[[#This Row],[مانده مبلغ]]-bargiri[[#This Row],[مبلغ واریزی]],bargiri[[#This Row],[مانده مبلغ]])</f>
        <v>197069400</v>
      </c>
      <c r="O311" s="159" t="s">
        <v>593</v>
      </c>
      <c r="P311" s="159">
        <f>VLOOKUP(bargiri[[#This Row],[شماره سند مبنا]],invoice[[شماره پیش فاکتور]:[پیش دریافت به ازای هر کیلوگرم]],14,0)</f>
        <v>85470</v>
      </c>
      <c r="Q311" s="159">
        <f>IF(bargiri[[#This Row],[مبلغ ناخالص]]-(bargiri[[#This Row],[نرخ استهلاک]]*bargiri[[#This Row],[مقدار]])&lt;0,0,bargiri[[#This Row],[مبلغ ناخالص]]-(bargiri[[#This Row],[نرخ استهلاک]]*bargiri[[#This Row],[مقدار]]))</f>
        <v>137351400</v>
      </c>
    </row>
    <row r="312" spans="1:17" s="22" customFormat="1" ht="13.8" x14ac:dyDescent="0.25">
      <c r="A312" s="22">
        <v>1168</v>
      </c>
      <c r="B312" s="22" t="s">
        <v>973</v>
      </c>
      <c r="C312" s="22" t="s">
        <v>189</v>
      </c>
      <c r="D312" s="22" t="s">
        <v>173</v>
      </c>
      <c r="E312" s="158">
        <v>22790</v>
      </c>
      <c r="F312" s="159">
        <v>75000</v>
      </c>
      <c r="G312" s="159">
        <v>1709250000</v>
      </c>
      <c r="H312" s="159">
        <v>170925000</v>
      </c>
      <c r="I312" s="159">
        <v>1880175000</v>
      </c>
      <c r="J312" s="159">
        <f>bargiri[[#This Row],[مقدار]]*INDEX(invoice[پیش دریافت به ازای هر کیلوگرم],MATCH(bargiri[[#This Row],[شماره سند مبنا]],invoice[شماره پیش فاکتور],0))</f>
        <v>282026250</v>
      </c>
      <c r="K312" s="159">
        <f>bargiri[[#This Row],[مبلغ خالص]]-bargiri[[#This Row],[میزان استهلاک پیش دریافتی]]</f>
        <v>1598148750</v>
      </c>
      <c r="L312" s="160" t="s">
        <v>296</v>
      </c>
      <c r="M312" s="159">
        <v>442365000</v>
      </c>
      <c r="N312" s="159">
        <f>IF(bargiri[[#This Row],[مبلغ واریزی]]&lt;&gt;"",bargiri[[#This Row],[مانده مبلغ]]-bargiri[[#This Row],[مبلغ واریزی]],bargiri[[#This Row],[مانده مبلغ]])</f>
        <v>1155783750</v>
      </c>
      <c r="O312" s="159">
        <v>0</v>
      </c>
      <c r="P312" s="159">
        <f>VLOOKUP(bargiri[[#This Row],[شماره سند مبنا]],invoice[[شماره پیش فاکتور]:[پیش دریافت به ازای هر کیلوگرم]],14,0)</f>
        <v>12375</v>
      </c>
      <c r="Q312" s="159">
        <f>IF(bargiri[[#This Row],[مبلغ ناخالص]]-(bargiri[[#This Row],[نرخ استهلاک]]*bargiri[[#This Row],[مقدار]])&lt;0,0,bargiri[[#This Row],[مبلغ ناخالص]]-(bargiri[[#This Row],[نرخ استهلاک]]*bargiri[[#This Row],[مقدار]]))</f>
        <v>1427223750</v>
      </c>
    </row>
    <row r="313" spans="1:17" s="22" customFormat="1" ht="13.8" x14ac:dyDescent="0.25">
      <c r="A313" s="22">
        <v>1167</v>
      </c>
      <c r="B313" s="22" t="s">
        <v>973</v>
      </c>
      <c r="C313" s="22" t="s">
        <v>461</v>
      </c>
      <c r="D313" s="22" t="s">
        <v>35</v>
      </c>
      <c r="E313" s="158">
        <v>18980</v>
      </c>
      <c r="F313" s="159">
        <v>142000</v>
      </c>
      <c r="G313" s="159">
        <v>2695160000</v>
      </c>
      <c r="H313" s="159">
        <v>269516000</v>
      </c>
      <c r="I313" s="159">
        <v>2964676000</v>
      </c>
      <c r="J313" s="159">
        <f>bargiri[[#This Row],[مقدار]]*INDEX(invoice[پیش دریافت به ازای هر کیلوگرم],MATCH(bargiri[[#This Row],[شماره سند مبنا]],invoice[شماره پیش فاکتور],0))</f>
        <v>622890415.33367324</v>
      </c>
      <c r="K313" s="159">
        <f>bargiri[[#This Row],[مبلغ خالص]]-bargiri[[#This Row],[میزان استهلاک پیش دریافتی]]</f>
        <v>2341785584.6663265</v>
      </c>
      <c r="L313" s="160" t="s">
        <v>593</v>
      </c>
      <c r="M313" s="159" t="s">
        <v>593</v>
      </c>
      <c r="N313" s="159">
        <f>IF(bargiri[[#This Row],[مبلغ واریزی]]&lt;&gt;"",bargiri[[#This Row],[مانده مبلغ]]-bargiri[[#This Row],[مبلغ واریزی]],bargiri[[#This Row],[مانده مبلغ]])</f>
        <v>2341785584.6663265</v>
      </c>
      <c r="O313" s="159" t="s">
        <v>593</v>
      </c>
      <c r="P313" s="159">
        <f>VLOOKUP(bargiri[[#This Row],[شماره سند مبنا]],invoice[[شماره پیش فاکتور]:[پیش دریافت به ازای هر کیلوگرم]],14,0)</f>
        <v>32818.251598191426</v>
      </c>
      <c r="Q313" s="159">
        <f>IF(bargiri[[#This Row],[مبلغ ناخالص]]-(bargiri[[#This Row],[نرخ استهلاک]]*bargiri[[#This Row],[مقدار]])&lt;0,0,bargiri[[#This Row],[مبلغ ناخالص]]-(bargiri[[#This Row],[نرخ استهلاک]]*bargiri[[#This Row],[مقدار]]))</f>
        <v>2072269584.6663268</v>
      </c>
    </row>
    <row r="314" spans="1:17" s="22" customFormat="1" ht="13.8" x14ac:dyDescent="0.25">
      <c r="A314" s="22">
        <v>1166</v>
      </c>
      <c r="B314" s="22" t="s">
        <v>973</v>
      </c>
      <c r="C314" s="22" t="s">
        <v>709</v>
      </c>
      <c r="D314" s="22" t="s">
        <v>43</v>
      </c>
      <c r="E314" s="158">
        <v>5750</v>
      </c>
      <c r="F314" s="159">
        <v>111000</v>
      </c>
      <c r="G314" s="159">
        <v>638250000</v>
      </c>
      <c r="H314" s="159">
        <v>63825000</v>
      </c>
      <c r="I314" s="159">
        <v>702075000</v>
      </c>
      <c r="J314" s="159">
        <f>bargiri[[#This Row],[مقدار]]*INDEX(invoice[پیش دریافت به ازای هر کیلوگرم],MATCH(bargiri[[#This Row],[شماره سند مبنا]],invoice[شماره پیش فاکتور],0))</f>
        <v>491452500</v>
      </c>
      <c r="K314" s="159">
        <f>bargiri[[#This Row],[مبلغ خالص]]-bargiri[[#This Row],[میزان استهلاک پیش دریافتی]]</f>
        <v>210622500</v>
      </c>
      <c r="L314" s="160" t="s">
        <v>593</v>
      </c>
      <c r="M314" s="159" t="s">
        <v>593</v>
      </c>
      <c r="N314" s="159">
        <f>IF(bargiri[[#This Row],[مبلغ واریزی]]&lt;&gt;"",bargiri[[#This Row],[مانده مبلغ]]-bargiri[[#This Row],[مبلغ واریزی]],bargiri[[#This Row],[مانده مبلغ]])</f>
        <v>210622500</v>
      </c>
      <c r="O314" s="159" t="s">
        <v>593</v>
      </c>
      <c r="P314" s="159">
        <f>VLOOKUP(bargiri[[#This Row],[شماره سند مبنا]],invoice[[شماره پیش فاکتور]:[پیش دریافت به ازای هر کیلوگرم]],14,0)</f>
        <v>85470</v>
      </c>
      <c r="Q314" s="159">
        <f>IF(bargiri[[#This Row],[مبلغ ناخالص]]-(bargiri[[#This Row],[نرخ استهلاک]]*bargiri[[#This Row],[مقدار]])&lt;0,0,bargiri[[#This Row],[مبلغ ناخالص]]-(bargiri[[#This Row],[نرخ استهلاک]]*bargiri[[#This Row],[مقدار]]))</f>
        <v>146797500</v>
      </c>
    </row>
    <row r="315" spans="1:17" s="22" customFormat="1" ht="13.8" x14ac:dyDescent="0.25">
      <c r="A315" s="22">
        <v>1165</v>
      </c>
      <c r="B315" s="22" t="s">
        <v>973</v>
      </c>
      <c r="C315" s="22" t="s">
        <v>754</v>
      </c>
      <c r="D315" s="22" t="s">
        <v>17</v>
      </c>
      <c r="E315" s="158">
        <v>23560</v>
      </c>
      <c r="F315" s="159">
        <v>120000</v>
      </c>
      <c r="G315" s="159">
        <v>2827200000</v>
      </c>
      <c r="H315" s="159">
        <v>282720000</v>
      </c>
      <c r="I315" s="159">
        <v>3109920000</v>
      </c>
      <c r="J315" s="159">
        <f>bargiri[[#This Row],[مقدار]]*INDEX(invoice[پیش دریافت به ازای هر کیلوگرم],MATCH(bargiri[[#This Row],[شماره سند مبنا]],invoice[شماره پیش فاکتور],0))</f>
        <v>466488000</v>
      </c>
      <c r="K315" s="159">
        <f>bargiri[[#This Row],[مبلغ خالص]]-bargiri[[#This Row],[میزان استهلاک پیش دریافتی]]</f>
        <v>2643432000</v>
      </c>
      <c r="L315" s="160" t="s">
        <v>593</v>
      </c>
      <c r="M315" s="159" t="s">
        <v>593</v>
      </c>
      <c r="N315" s="159">
        <f>IF(bargiri[[#This Row],[مبلغ واریزی]]&lt;&gt;"",bargiri[[#This Row],[مانده مبلغ]]-bargiri[[#This Row],[مبلغ واریزی]],bargiri[[#This Row],[مانده مبلغ]])</f>
        <v>2643432000</v>
      </c>
      <c r="O315" s="159" t="s">
        <v>593</v>
      </c>
      <c r="P315" s="159">
        <f>VLOOKUP(bargiri[[#This Row],[شماره سند مبنا]],invoice[[شماره پیش فاکتور]:[پیش دریافت به ازای هر کیلوگرم]],14,0)</f>
        <v>19800</v>
      </c>
      <c r="Q315" s="159">
        <f>IF(bargiri[[#This Row],[مبلغ ناخالص]]-(bargiri[[#This Row],[نرخ استهلاک]]*bargiri[[#This Row],[مقدار]])&lt;0,0,bargiri[[#This Row],[مبلغ ناخالص]]-(bargiri[[#This Row],[نرخ استهلاک]]*bargiri[[#This Row],[مقدار]]))</f>
        <v>2360712000</v>
      </c>
    </row>
    <row r="316" spans="1:17" s="22" customFormat="1" ht="13.8" x14ac:dyDescent="0.25">
      <c r="A316" s="22">
        <v>1164</v>
      </c>
      <c r="B316" s="22" t="s">
        <v>974</v>
      </c>
      <c r="C316" s="22" t="s">
        <v>757</v>
      </c>
      <c r="D316" s="22" t="s">
        <v>70</v>
      </c>
      <c r="E316" s="158">
        <v>20310</v>
      </c>
      <c r="F316" s="159">
        <v>120000</v>
      </c>
      <c r="G316" s="159">
        <v>2437200000</v>
      </c>
      <c r="H316" s="159">
        <v>243720000</v>
      </c>
      <c r="I316" s="159">
        <v>2680920000</v>
      </c>
      <c r="J316" s="159">
        <f>bargiri[[#This Row],[مقدار]]*INDEX(invoice[پیش دریافت به ازای هر کیلوگرم],MATCH(bargiri[[#This Row],[شماره سند مبنا]],invoice[شماره پیش فاکتور],0))</f>
        <v>3267137883.0083566</v>
      </c>
      <c r="K316" s="159">
        <f>bargiri[[#This Row],[مبلغ خالص]]-bargiri[[#This Row],[میزان استهلاک پیش دریافتی]]</f>
        <v>-586217883.00835657</v>
      </c>
      <c r="L316" s="160" t="s">
        <v>296</v>
      </c>
      <c r="M316" s="159">
        <v>1396188750</v>
      </c>
      <c r="N316" s="159">
        <f>IF(bargiri[[#This Row],[مبلغ واریزی]]&lt;&gt;"",bargiri[[#This Row],[مانده مبلغ]]-bargiri[[#This Row],[مبلغ واریزی]],bargiri[[#This Row],[مانده مبلغ]])</f>
        <v>-1982406633.0083566</v>
      </c>
      <c r="O316" s="159">
        <v>0</v>
      </c>
      <c r="P316" s="159">
        <f>VLOOKUP(bargiri[[#This Row],[شماره سند مبنا]],invoice[[شماره پیش فاکتور]:[پیش دریافت به ازای هر کیلوگرم]],14,0)</f>
        <v>160863.50974930363</v>
      </c>
      <c r="Q316" s="159">
        <f>IF(bargiri[[#This Row],[مبلغ ناخالص]]-(bargiri[[#This Row],[نرخ استهلاک]]*bargiri[[#This Row],[مقدار]])&lt;0,0,bargiri[[#This Row],[مبلغ ناخالص]]-(bargiri[[#This Row],[نرخ استهلاک]]*bargiri[[#This Row],[مقدار]]))</f>
        <v>0</v>
      </c>
    </row>
    <row r="317" spans="1:17" s="22" customFormat="1" ht="13.8" x14ac:dyDescent="0.25">
      <c r="A317" s="22">
        <v>1163</v>
      </c>
      <c r="B317" s="22" t="s">
        <v>964</v>
      </c>
      <c r="C317" s="22" t="s">
        <v>908</v>
      </c>
      <c r="D317" s="22" t="s">
        <v>40</v>
      </c>
      <c r="E317" s="158">
        <v>7360</v>
      </c>
      <c r="F317" s="159">
        <v>167500</v>
      </c>
      <c r="G317" s="159">
        <v>1232800000</v>
      </c>
      <c r="H317" s="159">
        <v>123280000</v>
      </c>
      <c r="I317" s="159">
        <v>1356080000</v>
      </c>
      <c r="J317" s="159">
        <f>bargiri[[#This Row],[مقدار]]*INDEX(invoice[پیش دریافت به ازای هر کیلوگرم],MATCH(bargiri[[#This Row],[شماره سند مبنا]],invoice[شماره پیش فاکتور],0))</f>
        <v>1356080000</v>
      </c>
      <c r="K317" s="159">
        <f>bargiri[[#This Row],[مبلغ خالص]]-bargiri[[#This Row],[میزان استهلاک پیش دریافتی]]</f>
        <v>0</v>
      </c>
      <c r="L317" s="160" t="s">
        <v>593</v>
      </c>
      <c r="M317" s="159" t="s">
        <v>593</v>
      </c>
      <c r="N317" s="159">
        <f>IF(bargiri[[#This Row],[مبلغ واریزی]]&lt;&gt;"",bargiri[[#This Row],[مانده مبلغ]]-bargiri[[#This Row],[مبلغ واریزی]],bargiri[[#This Row],[مانده مبلغ]])</f>
        <v>0</v>
      </c>
      <c r="O317" s="159" t="s">
        <v>593</v>
      </c>
      <c r="P317" s="159">
        <f>VLOOKUP(bargiri[[#This Row],[شماره سند مبنا]],invoice[[شماره پیش فاکتور]:[پیش دریافت به ازای هر کیلوگرم]],14,0)</f>
        <v>184250</v>
      </c>
      <c r="Q317" s="159">
        <f>IF(bargiri[[#This Row],[مبلغ ناخالص]]-(bargiri[[#This Row],[نرخ استهلاک]]*bargiri[[#This Row],[مقدار]])&lt;0,0,bargiri[[#This Row],[مبلغ ناخالص]]-(bargiri[[#This Row],[نرخ استهلاک]]*bargiri[[#This Row],[مقدار]]))</f>
        <v>0</v>
      </c>
    </row>
    <row r="318" spans="1:17" s="22" customFormat="1" ht="13.8" x14ac:dyDescent="0.25">
      <c r="A318" s="22">
        <v>1163</v>
      </c>
      <c r="B318" s="22" t="s">
        <v>964</v>
      </c>
      <c r="C318" s="22" t="s">
        <v>889</v>
      </c>
      <c r="D318" s="22" t="s">
        <v>40</v>
      </c>
      <c r="E318" s="158">
        <v>11390</v>
      </c>
      <c r="F318" s="159">
        <v>167500</v>
      </c>
      <c r="G318" s="159">
        <v>1907825000</v>
      </c>
      <c r="H318" s="159">
        <v>190782500</v>
      </c>
      <c r="I318" s="159">
        <v>2098607500</v>
      </c>
      <c r="J318" s="159">
        <f>bargiri[[#This Row],[مقدار]]*INDEX(invoice[پیش دریافت به ازای هر کیلوگرم],MATCH(bargiri[[#This Row],[شماره سند مبنا]],invoice[شماره پیش فاکتور],0))</f>
        <v>2098607500</v>
      </c>
      <c r="K318" s="159">
        <f>bargiri[[#This Row],[مبلغ خالص]]-bargiri[[#This Row],[میزان استهلاک پیش دریافتی]]</f>
        <v>0</v>
      </c>
      <c r="L318" s="160" t="s">
        <v>593</v>
      </c>
      <c r="M318" s="159" t="s">
        <v>593</v>
      </c>
      <c r="N318" s="159">
        <f>IF(bargiri[[#This Row],[مبلغ واریزی]]&lt;&gt;"",bargiri[[#This Row],[مانده مبلغ]]-bargiri[[#This Row],[مبلغ واریزی]],bargiri[[#This Row],[مانده مبلغ]])</f>
        <v>0</v>
      </c>
      <c r="O318" s="159" t="s">
        <v>593</v>
      </c>
      <c r="P318" s="159">
        <f>VLOOKUP(bargiri[[#This Row],[شماره سند مبنا]],invoice[[شماره پیش فاکتور]:[پیش دریافت به ازای هر کیلوگرم]],14,0)</f>
        <v>184250</v>
      </c>
      <c r="Q318" s="159">
        <f>IF(bargiri[[#This Row],[مبلغ ناخالص]]-(bargiri[[#This Row],[نرخ استهلاک]]*bargiri[[#This Row],[مقدار]])&lt;0,0,bargiri[[#This Row],[مبلغ ناخالص]]-(bargiri[[#This Row],[نرخ استهلاک]]*bargiri[[#This Row],[مقدار]]))</f>
        <v>0</v>
      </c>
    </row>
    <row r="319" spans="1:17" s="22" customFormat="1" ht="13.8" x14ac:dyDescent="0.25">
      <c r="A319" s="22">
        <v>1162</v>
      </c>
      <c r="B319" s="22" t="s">
        <v>921</v>
      </c>
      <c r="C319" s="22" t="s">
        <v>461</v>
      </c>
      <c r="D319" s="22" t="s">
        <v>35</v>
      </c>
      <c r="E319" s="158">
        <v>19810</v>
      </c>
      <c r="F319" s="159">
        <v>142000</v>
      </c>
      <c r="G319" s="159">
        <v>2813020000</v>
      </c>
      <c r="H319" s="159">
        <v>281302000</v>
      </c>
      <c r="I319" s="159">
        <v>3094322000</v>
      </c>
      <c r="J319" s="159">
        <f>bargiri[[#This Row],[مقدار]]*INDEX(invoice[پیش دریافت به ازای هر کیلوگرم],MATCH(bargiri[[#This Row],[شماره سند مبنا]],invoice[شماره پیش فاکتور],0))</f>
        <v>650129564.1601721</v>
      </c>
      <c r="K319" s="159">
        <f>bargiri[[#This Row],[مبلغ خالص]]-bargiri[[#This Row],[میزان استهلاک پیش دریافتی]]</f>
        <v>2444192435.839828</v>
      </c>
      <c r="L319" s="160" t="s">
        <v>593</v>
      </c>
      <c r="M319" s="159" t="s">
        <v>593</v>
      </c>
      <c r="N319" s="159">
        <f>IF(bargiri[[#This Row],[مبلغ واریزی]]&lt;&gt;"",bargiri[[#This Row],[مانده مبلغ]]-bargiri[[#This Row],[مبلغ واریزی]],bargiri[[#This Row],[مانده مبلغ]])</f>
        <v>2444192435.839828</v>
      </c>
      <c r="O319" s="159" t="s">
        <v>593</v>
      </c>
      <c r="P319" s="159">
        <f>VLOOKUP(bargiri[[#This Row],[شماره سند مبنا]],invoice[[شماره پیش فاکتور]:[پیش دریافت به ازای هر کیلوگرم]],14,0)</f>
        <v>32818.251598191426</v>
      </c>
      <c r="Q319" s="159">
        <f>IF(bargiri[[#This Row],[مبلغ ناخالص]]-(bargiri[[#This Row],[نرخ استهلاک]]*bargiri[[#This Row],[مقدار]])&lt;0,0,bargiri[[#This Row],[مبلغ ناخالص]]-(bargiri[[#This Row],[نرخ استهلاک]]*bargiri[[#This Row],[مقدار]]))</f>
        <v>2162890435.839828</v>
      </c>
    </row>
    <row r="320" spans="1:17" s="22" customFormat="1" ht="13.8" x14ac:dyDescent="0.25">
      <c r="A320" s="22">
        <v>1161</v>
      </c>
      <c r="B320" s="22" t="s">
        <v>921</v>
      </c>
      <c r="C320" s="22" t="s">
        <v>709</v>
      </c>
      <c r="D320" s="22" t="s">
        <v>43</v>
      </c>
      <c r="E320" s="158">
        <v>5490</v>
      </c>
      <c r="F320" s="159">
        <v>111000</v>
      </c>
      <c r="G320" s="159">
        <v>609390000</v>
      </c>
      <c r="H320" s="159">
        <v>60939000</v>
      </c>
      <c r="I320" s="159">
        <v>670329000</v>
      </c>
      <c r="J320" s="159">
        <f>bargiri[[#This Row],[مقدار]]*INDEX(invoice[پیش دریافت به ازای هر کیلوگرم],MATCH(bargiri[[#This Row],[شماره سند مبنا]],invoice[شماره پیش فاکتور],0))</f>
        <v>469230300</v>
      </c>
      <c r="K320" s="159">
        <f>bargiri[[#This Row],[مبلغ خالص]]-bargiri[[#This Row],[میزان استهلاک پیش دریافتی]]</f>
        <v>201098700</v>
      </c>
      <c r="L320" s="160" t="s">
        <v>593</v>
      </c>
      <c r="M320" s="159" t="s">
        <v>593</v>
      </c>
      <c r="N320" s="159">
        <f>IF(bargiri[[#This Row],[مبلغ واریزی]]&lt;&gt;"",bargiri[[#This Row],[مانده مبلغ]]-bargiri[[#This Row],[مبلغ واریزی]],bargiri[[#This Row],[مانده مبلغ]])</f>
        <v>201098700</v>
      </c>
      <c r="O320" s="159" t="s">
        <v>593</v>
      </c>
      <c r="P320" s="159">
        <f>VLOOKUP(bargiri[[#This Row],[شماره سند مبنا]],invoice[[شماره پیش فاکتور]:[پیش دریافت به ازای هر کیلوگرم]],14,0)</f>
        <v>85470</v>
      </c>
      <c r="Q320" s="159">
        <f>IF(bargiri[[#This Row],[مبلغ ناخالص]]-(bargiri[[#This Row],[نرخ استهلاک]]*bargiri[[#This Row],[مقدار]])&lt;0,0,bargiri[[#This Row],[مبلغ ناخالص]]-(bargiri[[#This Row],[نرخ استهلاک]]*bargiri[[#This Row],[مقدار]]))</f>
        <v>140159700</v>
      </c>
    </row>
    <row r="321" spans="1:17" s="22" customFormat="1" ht="13.8" x14ac:dyDescent="0.25">
      <c r="A321" s="22">
        <v>1160</v>
      </c>
      <c r="B321" s="22" t="s">
        <v>921</v>
      </c>
      <c r="C321" s="22" t="s">
        <v>741</v>
      </c>
      <c r="D321" s="22" t="s">
        <v>25</v>
      </c>
      <c r="E321" s="158">
        <v>9110</v>
      </c>
      <c r="F321" s="159">
        <v>167500</v>
      </c>
      <c r="G321" s="159">
        <v>1525925000</v>
      </c>
      <c r="H321" s="159">
        <v>152592500</v>
      </c>
      <c r="I321" s="159">
        <v>1678517500</v>
      </c>
      <c r="J321" s="159">
        <f>bargiri[[#This Row],[مقدار]]*INDEX(invoice[پیش دریافت به ازای هر کیلوگرم],MATCH(bargiri[[#This Row],[شماره سند مبنا]],invoice[شماره پیش فاکتور],0))</f>
        <v>1678517500</v>
      </c>
      <c r="K321" s="159">
        <f>bargiri[[#This Row],[مبلغ خالص]]-bargiri[[#This Row],[میزان استهلاک پیش دریافتی]]</f>
        <v>0</v>
      </c>
      <c r="L321" s="160" t="s">
        <v>593</v>
      </c>
      <c r="M321" s="159" t="s">
        <v>593</v>
      </c>
      <c r="N321" s="159">
        <f>IF(bargiri[[#This Row],[مبلغ واریزی]]&lt;&gt;"",bargiri[[#This Row],[مانده مبلغ]]-bargiri[[#This Row],[مبلغ واریزی]],bargiri[[#This Row],[مانده مبلغ]])</f>
        <v>0</v>
      </c>
      <c r="O321" s="159" t="s">
        <v>593</v>
      </c>
      <c r="P321" s="159">
        <f>VLOOKUP(bargiri[[#This Row],[شماره سند مبنا]],invoice[[شماره پیش فاکتور]:[پیش دریافت به ازای هر کیلوگرم]],14,0)</f>
        <v>184250</v>
      </c>
      <c r="Q321" s="159">
        <f>IF(bargiri[[#This Row],[مبلغ ناخالص]]-(bargiri[[#This Row],[نرخ استهلاک]]*bargiri[[#This Row],[مقدار]])&lt;0,0,bargiri[[#This Row],[مبلغ ناخالص]]-(bargiri[[#This Row],[نرخ استهلاک]]*bargiri[[#This Row],[مقدار]]))</f>
        <v>0</v>
      </c>
    </row>
    <row r="322" spans="1:17" s="22" customFormat="1" ht="13.8" x14ac:dyDescent="0.25">
      <c r="A322" s="22">
        <v>1160</v>
      </c>
      <c r="B322" s="22" t="s">
        <v>921</v>
      </c>
      <c r="C322" s="22" t="s">
        <v>890</v>
      </c>
      <c r="D322" s="22" t="s">
        <v>25</v>
      </c>
      <c r="E322" s="158">
        <v>13770</v>
      </c>
      <c r="F322" s="159">
        <v>167500</v>
      </c>
      <c r="G322" s="159">
        <v>2306475000</v>
      </c>
      <c r="H322" s="159">
        <v>230647500</v>
      </c>
      <c r="I322" s="159">
        <v>2537122500</v>
      </c>
      <c r="J322" s="159">
        <f>bargiri[[#This Row],[مقدار]]*INDEX(invoice[پیش دریافت به ازای هر کیلوگرم],MATCH(bargiri[[#This Row],[شماره سند مبنا]],invoice[شماره پیش فاکتور],0))</f>
        <v>2537122500</v>
      </c>
      <c r="K322" s="159">
        <f>bargiri[[#This Row],[مبلغ خالص]]-bargiri[[#This Row],[میزان استهلاک پیش دریافتی]]</f>
        <v>0</v>
      </c>
      <c r="L322" s="160" t="s">
        <v>593</v>
      </c>
      <c r="M322" s="159" t="s">
        <v>593</v>
      </c>
      <c r="N322" s="159">
        <f>IF(bargiri[[#This Row],[مبلغ واریزی]]&lt;&gt;"",bargiri[[#This Row],[مانده مبلغ]]-bargiri[[#This Row],[مبلغ واریزی]],bargiri[[#This Row],[مانده مبلغ]])</f>
        <v>0</v>
      </c>
      <c r="O322" s="159" t="s">
        <v>593</v>
      </c>
      <c r="P322" s="159">
        <f>VLOOKUP(bargiri[[#This Row],[شماره سند مبنا]],invoice[[شماره پیش فاکتور]:[پیش دریافت به ازای هر کیلوگرم]],14,0)</f>
        <v>184250</v>
      </c>
      <c r="Q322" s="159">
        <f>IF(bargiri[[#This Row],[مبلغ ناخالص]]-(bargiri[[#This Row],[نرخ استهلاک]]*bargiri[[#This Row],[مقدار]])&lt;0,0,bargiri[[#This Row],[مبلغ ناخالص]]-(bargiri[[#This Row],[نرخ استهلاک]]*bargiri[[#This Row],[مقدار]]))</f>
        <v>0</v>
      </c>
    </row>
    <row r="323" spans="1:17" s="22" customFormat="1" ht="13.8" x14ac:dyDescent="0.25">
      <c r="A323" s="22">
        <v>1159</v>
      </c>
      <c r="B323" s="22" t="s">
        <v>921</v>
      </c>
      <c r="C323" s="22" t="s">
        <v>463</v>
      </c>
      <c r="D323" s="22" t="s">
        <v>207</v>
      </c>
      <c r="E323" s="158">
        <v>6720</v>
      </c>
      <c r="F323" s="159">
        <v>142000</v>
      </c>
      <c r="G323" s="159">
        <v>954240000</v>
      </c>
      <c r="H323" s="159">
        <v>95424000</v>
      </c>
      <c r="I323" s="159">
        <v>1049664000</v>
      </c>
      <c r="J323" s="159">
        <f>bargiri[[#This Row],[مقدار]]*INDEX(invoice[پیش دریافت به ازای هر کیلوگرم],MATCH(bargiri[[#This Row],[شماره سند مبنا]],invoice[شماره پیش فاکتور],0))</f>
        <v>202316504.48548812</v>
      </c>
      <c r="K323" s="159">
        <f>bargiri[[#This Row],[مبلغ خالص]]-bargiri[[#This Row],[میزان استهلاک پیش دریافتی]]</f>
        <v>847347495.51451182</v>
      </c>
      <c r="L323" s="160" t="s">
        <v>593</v>
      </c>
      <c r="M323" s="159" t="s">
        <v>593</v>
      </c>
      <c r="N323" s="159">
        <f>IF(bargiri[[#This Row],[مبلغ واریزی]]&lt;&gt;"",bargiri[[#This Row],[مانده مبلغ]]-bargiri[[#This Row],[مبلغ واریزی]],bargiri[[#This Row],[مانده مبلغ]])</f>
        <v>847347495.51451182</v>
      </c>
      <c r="O323" s="159" t="s">
        <v>593</v>
      </c>
      <c r="P323" s="159">
        <f>VLOOKUP(bargiri[[#This Row],[شماره سند مبنا]],invoice[[شماره پیش فاکتور]:[پیش دریافت به ازای هر کیلوگرم]],14,0)</f>
        <v>30106.622691292876</v>
      </c>
      <c r="Q323" s="159">
        <f>IF(bargiri[[#This Row],[مبلغ ناخالص]]-(bargiri[[#This Row],[نرخ استهلاک]]*bargiri[[#This Row],[مقدار]])&lt;0,0,bargiri[[#This Row],[مبلغ ناخالص]]-(bargiri[[#This Row],[نرخ استهلاک]]*bargiri[[#This Row],[مقدار]]))</f>
        <v>751923495.51451182</v>
      </c>
    </row>
    <row r="324" spans="1:17" s="22" customFormat="1" ht="13.8" x14ac:dyDescent="0.25">
      <c r="A324" s="22">
        <v>1158</v>
      </c>
      <c r="B324" s="22" t="s">
        <v>919</v>
      </c>
      <c r="C324" s="22" t="s">
        <v>709</v>
      </c>
      <c r="D324" s="22" t="s">
        <v>43</v>
      </c>
      <c r="E324" s="158">
        <v>3890</v>
      </c>
      <c r="F324" s="159">
        <v>111000</v>
      </c>
      <c r="G324" s="159">
        <v>431790000</v>
      </c>
      <c r="H324" s="159">
        <v>43179000</v>
      </c>
      <c r="I324" s="159">
        <v>474969000</v>
      </c>
      <c r="J324" s="159">
        <f>bargiri[[#This Row],[مقدار]]*INDEX(invoice[پیش دریافت به ازای هر کیلوگرم],MATCH(bargiri[[#This Row],[شماره سند مبنا]],invoice[شماره پیش فاکتور],0))</f>
        <v>332478300</v>
      </c>
      <c r="K324" s="159">
        <f>bargiri[[#This Row],[مبلغ خالص]]-bargiri[[#This Row],[میزان استهلاک پیش دریافتی]]</f>
        <v>142490700</v>
      </c>
      <c r="L324" s="160" t="s">
        <v>593</v>
      </c>
      <c r="M324" s="159" t="s">
        <v>593</v>
      </c>
      <c r="N324" s="159">
        <f>IF(bargiri[[#This Row],[مبلغ واریزی]]&lt;&gt;"",bargiri[[#This Row],[مانده مبلغ]]-bargiri[[#This Row],[مبلغ واریزی]],bargiri[[#This Row],[مانده مبلغ]])</f>
        <v>142490700</v>
      </c>
      <c r="O324" s="159" t="s">
        <v>593</v>
      </c>
      <c r="P324" s="159">
        <f>VLOOKUP(bargiri[[#This Row],[شماره سند مبنا]],invoice[[شماره پیش فاکتور]:[پیش دریافت به ازای هر کیلوگرم]],14,0)</f>
        <v>85470</v>
      </c>
      <c r="Q324" s="159">
        <f>IF(bargiri[[#This Row],[مبلغ ناخالص]]-(bargiri[[#This Row],[نرخ استهلاک]]*bargiri[[#This Row],[مقدار]])&lt;0,0,bargiri[[#This Row],[مبلغ ناخالص]]-(bargiri[[#This Row],[نرخ استهلاک]]*bargiri[[#This Row],[مقدار]]))</f>
        <v>99311700</v>
      </c>
    </row>
    <row r="325" spans="1:17" s="22" customFormat="1" ht="13.8" x14ac:dyDescent="0.25">
      <c r="A325" s="22">
        <v>1157</v>
      </c>
      <c r="B325" s="22" t="s">
        <v>919</v>
      </c>
      <c r="C325" s="22" t="s">
        <v>602</v>
      </c>
      <c r="D325" s="22" t="s">
        <v>30</v>
      </c>
      <c r="E325" s="158">
        <v>11920</v>
      </c>
      <c r="F325" s="159">
        <v>142000</v>
      </c>
      <c r="G325" s="159">
        <v>1692640000</v>
      </c>
      <c r="H325" s="159">
        <v>169264000</v>
      </c>
      <c r="I325" s="159">
        <v>1861904000</v>
      </c>
      <c r="J325" s="159">
        <f>bargiri[[#This Row],[مقدار]]*INDEX(invoice[پیش دریافت به ازای هر کیلوگرم],MATCH(bargiri[[#This Row],[شماره سند مبنا]],invoice[شماره پیش فاکتور],0))</f>
        <v>1348786919.1762393</v>
      </c>
      <c r="K325" s="159">
        <f>bargiri[[#This Row],[مبلغ خالص]]-bargiri[[#This Row],[میزان استهلاک پیش دریافتی]]</f>
        <v>513117080.82376075</v>
      </c>
      <c r="L325" s="160" t="s">
        <v>593</v>
      </c>
      <c r="M325" s="159" t="s">
        <v>593</v>
      </c>
      <c r="N325" s="159">
        <f>IF(bargiri[[#This Row],[مبلغ واریزی]]&lt;&gt;"",bargiri[[#This Row],[مانده مبلغ]]-bargiri[[#This Row],[مبلغ واریزی]],bargiri[[#This Row],[مانده مبلغ]])</f>
        <v>513117080.82376075</v>
      </c>
      <c r="O325" s="159" t="s">
        <v>593</v>
      </c>
      <c r="P325" s="159">
        <f>VLOOKUP(bargiri[[#This Row],[شماره سند مبنا]],invoice[[شماره پیش فاکتور]:[پیش دریافت به ازای هر کیلوگرم]],14,0)</f>
        <v>113153.2650315637</v>
      </c>
      <c r="Q325" s="159">
        <f>IF(bargiri[[#This Row],[مبلغ ناخالص]]-(bargiri[[#This Row],[نرخ استهلاک]]*bargiri[[#This Row],[مقدار]])&lt;0,0,bargiri[[#This Row],[مبلغ ناخالص]]-(bargiri[[#This Row],[نرخ استهلاک]]*bargiri[[#This Row],[مقدار]]))</f>
        <v>343853080.82376075</v>
      </c>
    </row>
    <row r="326" spans="1:17" s="22" customFormat="1" ht="13.8" x14ac:dyDescent="0.25">
      <c r="A326" s="22">
        <v>1156</v>
      </c>
      <c r="B326" s="22" t="s">
        <v>965</v>
      </c>
      <c r="C326" s="22" t="s">
        <v>748</v>
      </c>
      <c r="D326" s="22" t="s">
        <v>67</v>
      </c>
      <c r="E326" s="158">
        <v>21190</v>
      </c>
      <c r="F326" s="159">
        <v>167500</v>
      </c>
      <c r="G326" s="159">
        <v>3549325000</v>
      </c>
      <c r="H326" s="159">
        <v>354932500</v>
      </c>
      <c r="I326" s="159">
        <v>3904257500</v>
      </c>
      <c r="J326" s="159">
        <f>bargiri[[#This Row],[مقدار]]*INDEX(invoice[پیش دریافت به ازای هر کیلوگرم],MATCH(bargiri[[#This Row],[شماره سند مبنا]],invoice[شماره پیش فاکتور],0))</f>
        <v>3904257500</v>
      </c>
      <c r="K326" s="159">
        <f>bargiri[[#This Row],[مبلغ خالص]]-bargiri[[#This Row],[میزان استهلاک پیش دریافتی]]</f>
        <v>0</v>
      </c>
      <c r="L326" s="160" t="s">
        <v>593</v>
      </c>
      <c r="M326" s="159" t="s">
        <v>593</v>
      </c>
      <c r="N326" s="159">
        <f>IF(bargiri[[#This Row],[مبلغ واریزی]]&lt;&gt;"",bargiri[[#This Row],[مانده مبلغ]]-bargiri[[#This Row],[مبلغ واریزی]],bargiri[[#This Row],[مانده مبلغ]])</f>
        <v>0</v>
      </c>
      <c r="O326" s="159" t="s">
        <v>593</v>
      </c>
      <c r="P326" s="159">
        <f>VLOOKUP(bargiri[[#This Row],[شماره سند مبنا]],invoice[[شماره پیش فاکتور]:[پیش دریافت به ازای هر کیلوگرم]],14,0)</f>
        <v>184250</v>
      </c>
      <c r="Q326" s="159">
        <f>IF(bargiri[[#This Row],[مبلغ ناخالص]]-(bargiri[[#This Row],[نرخ استهلاک]]*bargiri[[#This Row],[مقدار]])&lt;0,0,bargiri[[#This Row],[مبلغ ناخالص]]-(bargiri[[#This Row],[نرخ استهلاک]]*bargiri[[#This Row],[مقدار]]))</f>
        <v>0</v>
      </c>
    </row>
    <row r="327" spans="1:17" s="22" customFormat="1" ht="13.8" x14ac:dyDescent="0.25">
      <c r="A327" s="22">
        <v>1155</v>
      </c>
      <c r="B327" s="22" t="s">
        <v>965</v>
      </c>
      <c r="C327" s="22" t="s">
        <v>461</v>
      </c>
      <c r="D327" s="22" t="s">
        <v>35</v>
      </c>
      <c r="E327" s="158">
        <v>19880</v>
      </c>
      <c r="F327" s="159">
        <v>142000</v>
      </c>
      <c r="G327" s="159">
        <v>2822960000</v>
      </c>
      <c r="H327" s="159">
        <v>282296000</v>
      </c>
      <c r="I327" s="159">
        <v>3105256000</v>
      </c>
      <c r="J327" s="159">
        <f>bargiri[[#This Row],[مقدار]]*INDEX(invoice[پیش دریافت به ازای هر کیلوگرم],MATCH(bargiri[[#This Row],[شماره سند مبنا]],invoice[شماره پیش فاکتور],0))</f>
        <v>652426841.77204549</v>
      </c>
      <c r="K327" s="159">
        <f>bargiri[[#This Row],[مبلغ خالص]]-bargiri[[#This Row],[میزان استهلاک پیش دریافتی]]</f>
        <v>2452829158.2279544</v>
      </c>
      <c r="L327" s="160" t="s">
        <v>296</v>
      </c>
      <c r="M327" s="159">
        <v>1136747500</v>
      </c>
      <c r="N327" s="159">
        <f>IF(bargiri[[#This Row],[مبلغ واریزی]]&lt;&gt;"",bargiri[[#This Row],[مانده مبلغ]]-bargiri[[#This Row],[مبلغ واریزی]],bargiri[[#This Row],[مانده مبلغ]])</f>
        <v>1316081658.2279544</v>
      </c>
      <c r="O327" s="159">
        <v>0</v>
      </c>
      <c r="P327" s="159">
        <f>VLOOKUP(bargiri[[#This Row],[شماره سند مبنا]],invoice[[شماره پیش فاکتور]:[پیش دریافت به ازای هر کیلوگرم]],14,0)</f>
        <v>32818.251598191426</v>
      </c>
      <c r="Q327" s="159">
        <f>IF(bargiri[[#This Row],[مبلغ ناخالص]]-(bargiri[[#This Row],[نرخ استهلاک]]*bargiri[[#This Row],[مقدار]])&lt;0,0,bargiri[[#This Row],[مبلغ ناخالص]]-(bargiri[[#This Row],[نرخ استهلاک]]*bargiri[[#This Row],[مقدار]]))</f>
        <v>2170533158.2279544</v>
      </c>
    </row>
    <row r="328" spans="1:17" s="22" customFormat="1" ht="13.8" x14ac:dyDescent="0.25">
      <c r="A328" s="22">
        <v>1154</v>
      </c>
      <c r="B328" s="22" t="s">
        <v>965</v>
      </c>
      <c r="C328" s="22" t="s">
        <v>456</v>
      </c>
      <c r="D328" s="22" t="s">
        <v>213</v>
      </c>
      <c r="E328" s="158">
        <v>7320</v>
      </c>
      <c r="F328" s="159">
        <v>142000</v>
      </c>
      <c r="G328" s="159">
        <v>1039440000</v>
      </c>
      <c r="H328" s="159">
        <v>103944000</v>
      </c>
      <c r="I328" s="159">
        <v>1143384000</v>
      </c>
      <c r="J328" s="159">
        <f>bargiri[[#This Row],[مقدار]]*INDEX(invoice[پیش دریافت به ازای هر کیلوگرم],MATCH(bargiri[[#This Row],[شماره سند مبنا]],invoice[شماره پیش فاکتور],0))</f>
        <v>868621495.58068264</v>
      </c>
      <c r="K328" s="159">
        <f>bargiri[[#This Row],[مبلغ خالص]]-bargiri[[#This Row],[میزان استهلاک پیش دریافتی]]</f>
        <v>274762504.41931736</v>
      </c>
      <c r="L328" s="160" t="s">
        <v>400</v>
      </c>
      <c r="M328" s="159">
        <v>1475780625</v>
      </c>
      <c r="N328" s="159">
        <f>IF(bargiri[[#This Row],[مبلغ واریزی]]&lt;&gt;"",bargiri[[#This Row],[مانده مبلغ]]-bargiri[[#This Row],[مبلغ واریزی]],bargiri[[#This Row],[مانده مبلغ]])</f>
        <v>-1201018120.5806828</v>
      </c>
      <c r="O328" s="159">
        <v>0</v>
      </c>
      <c r="P328" s="159">
        <f>VLOOKUP(bargiri[[#This Row],[شماره سند مبنا]],invoice[[شماره پیش فاکتور]:[پیش دریافت به ازای هر کیلوگرم]],14,0)</f>
        <v>118664.13874053041</v>
      </c>
      <c r="Q328" s="159">
        <f>IF(bargiri[[#This Row],[مبلغ ناخالص]]-(bargiri[[#This Row],[نرخ استهلاک]]*bargiri[[#This Row],[مقدار]])&lt;0,0,bargiri[[#This Row],[مبلغ ناخالص]]-(bargiri[[#This Row],[نرخ استهلاک]]*bargiri[[#This Row],[مقدار]]))</f>
        <v>170818504.41931736</v>
      </c>
    </row>
    <row r="329" spans="1:17" s="22" customFormat="1" ht="13.8" x14ac:dyDescent="0.25">
      <c r="A329" s="22">
        <v>1153</v>
      </c>
      <c r="B329" s="22" t="s">
        <v>965</v>
      </c>
      <c r="C329" s="22" t="s">
        <v>745</v>
      </c>
      <c r="D329" s="22" t="s">
        <v>221</v>
      </c>
      <c r="E329" s="158">
        <v>14560</v>
      </c>
      <c r="F329" s="159">
        <v>135000</v>
      </c>
      <c r="G329" s="159">
        <v>1965600000</v>
      </c>
      <c r="H329" s="159">
        <v>196560000</v>
      </c>
      <c r="I329" s="159">
        <v>2162160000</v>
      </c>
      <c r="J329" s="159">
        <f>bargiri[[#This Row],[مقدار]]*INDEX(invoice[پیش دریافت به ازای هر کیلوگرم],MATCH(bargiri[[#This Row],[شماره سند مبنا]],invoice[شماره پیش فاکتور],0))</f>
        <v>324324000</v>
      </c>
      <c r="K329" s="159">
        <f>bargiri[[#This Row],[مبلغ خالص]]-bargiri[[#This Row],[میزان استهلاک پیش دریافتی]]</f>
        <v>1837836000</v>
      </c>
      <c r="L329" s="160" t="s">
        <v>201</v>
      </c>
      <c r="M329" s="159">
        <v>1124252500</v>
      </c>
      <c r="N329" s="159">
        <f>IF(bargiri[[#This Row],[مبلغ واریزی]]&lt;&gt;"",bargiri[[#This Row],[مانده مبلغ]]-bargiri[[#This Row],[مبلغ واریزی]],bargiri[[#This Row],[مانده مبلغ]])</f>
        <v>713583500</v>
      </c>
      <c r="O329" s="159">
        <v>0</v>
      </c>
      <c r="P329" s="159">
        <f>VLOOKUP(bargiri[[#This Row],[شماره سند مبنا]],invoice[[شماره پیش فاکتور]:[پیش دریافت به ازای هر کیلوگرم]],14,0)</f>
        <v>22275</v>
      </c>
      <c r="Q329" s="159">
        <f>IF(bargiri[[#This Row],[مبلغ ناخالص]]-(bargiri[[#This Row],[نرخ استهلاک]]*bargiri[[#This Row],[مقدار]])&lt;0,0,bargiri[[#This Row],[مبلغ ناخالص]]-(bargiri[[#This Row],[نرخ استهلاک]]*bargiri[[#This Row],[مقدار]]))</f>
        <v>1641276000</v>
      </c>
    </row>
    <row r="330" spans="1:17" s="22" customFormat="1" ht="13.8" x14ac:dyDescent="0.25">
      <c r="A330" s="22">
        <v>1152</v>
      </c>
      <c r="B330" s="22" t="s">
        <v>965</v>
      </c>
      <c r="C330" s="22" t="s">
        <v>182</v>
      </c>
      <c r="D330" s="22" t="s">
        <v>20</v>
      </c>
      <c r="E330" s="158">
        <v>18770</v>
      </c>
      <c r="F330" s="159">
        <v>86500</v>
      </c>
      <c r="G330" s="159">
        <v>1623605000</v>
      </c>
      <c r="H330" s="159">
        <v>162360500</v>
      </c>
      <c r="I330" s="159">
        <v>1785965500</v>
      </c>
      <c r="J330" s="159">
        <f>bargiri[[#This Row],[مقدار]]*INDEX(invoice[پیش دریافت به ازای هر کیلوگرم],MATCH(bargiri[[#This Row],[شماره سند مبنا]],invoice[شماره پیش فاکتور],0))</f>
        <v>243540750</v>
      </c>
      <c r="K330" s="159">
        <f>bargiri[[#This Row],[مبلغ خالص]]-bargiri[[#This Row],[میزان استهلاک پیش دریافتی]]</f>
        <v>1542424750</v>
      </c>
      <c r="L330" s="160" t="s">
        <v>201</v>
      </c>
      <c r="M330" s="159">
        <v>571520000</v>
      </c>
      <c r="N330" s="159">
        <f>IF(bargiri[[#This Row],[مبلغ واریزی]]&lt;&gt;"",bargiri[[#This Row],[مانده مبلغ]]-bargiri[[#This Row],[مبلغ واریزی]],bargiri[[#This Row],[مانده مبلغ]])</f>
        <v>970904750</v>
      </c>
      <c r="O330" s="159">
        <v>0</v>
      </c>
      <c r="P330" s="159">
        <f>VLOOKUP(bargiri[[#This Row],[شماره سند مبنا]],invoice[[شماره پیش فاکتور]:[پیش دریافت به ازای هر کیلوگرم]],14,0)</f>
        <v>12975</v>
      </c>
      <c r="Q330" s="159">
        <f>IF(bargiri[[#This Row],[مبلغ ناخالص]]-(bargiri[[#This Row],[نرخ استهلاک]]*bargiri[[#This Row],[مقدار]])&lt;0,0,bargiri[[#This Row],[مبلغ ناخالص]]-(bargiri[[#This Row],[نرخ استهلاک]]*bargiri[[#This Row],[مقدار]]))</f>
        <v>1380064250</v>
      </c>
    </row>
    <row r="331" spans="1:17" s="22" customFormat="1" ht="13.8" x14ac:dyDescent="0.25">
      <c r="A331" s="22">
        <v>1151</v>
      </c>
      <c r="B331" s="22" t="s">
        <v>975</v>
      </c>
      <c r="C331" s="22" t="s">
        <v>208</v>
      </c>
      <c r="D331" s="22" t="s">
        <v>30</v>
      </c>
      <c r="E331" s="158">
        <v>11650</v>
      </c>
      <c r="F331" s="159">
        <v>89000</v>
      </c>
      <c r="G331" s="159">
        <v>1036850000</v>
      </c>
      <c r="H331" s="159">
        <v>103685000</v>
      </c>
      <c r="I331" s="159">
        <v>1140535000</v>
      </c>
      <c r="J331" s="159">
        <f>bargiri[[#This Row],[مقدار]]*INDEX(invoice[پیش دریافت به ازای هر کیلوگرم],MATCH(bargiri[[#This Row],[شماره سند مبنا]],invoice[شماره پیش فاکتور],0))</f>
        <v>1140535000</v>
      </c>
      <c r="K331" s="159">
        <f>bargiri[[#This Row],[مبلغ خالص]]-bargiri[[#This Row],[میزان استهلاک پیش دریافتی]]</f>
        <v>0</v>
      </c>
      <c r="L331" s="160" t="s">
        <v>593</v>
      </c>
      <c r="M331" s="159" t="s">
        <v>593</v>
      </c>
      <c r="N331" s="159">
        <f>IF(bargiri[[#This Row],[مبلغ واریزی]]&lt;&gt;"",bargiri[[#This Row],[مانده مبلغ]]-bargiri[[#This Row],[مبلغ واریزی]],bargiri[[#This Row],[مانده مبلغ]])</f>
        <v>0</v>
      </c>
      <c r="O331" s="159" t="s">
        <v>593</v>
      </c>
      <c r="P331" s="159">
        <f>VLOOKUP(bargiri[[#This Row],[شماره سند مبنا]],invoice[[شماره پیش فاکتور]:[پیش دریافت به ازای هر کیلوگرم]],14,0)</f>
        <v>97900</v>
      </c>
      <c r="Q331" s="159">
        <f>IF(bargiri[[#This Row],[مبلغ ناخالص]]-(bargiri[[#This Row],[نرخ استهلاک]]*bargiri[[#This Row],[مقدار]])&lt;0,0,bargiri[[#This Row],[مبلغ ناخالص]]-(bargiri[[#This Row],[نرخ استهلاک]]*bargiri[[#This Row],[مقدار]]))</f>
        <v>0</v>
      </c>
    </row>
    <row r="332" spans="1:17" s="22" customFormat="1" ht="13.8" x14ac:dyDescent="0.25">
      <c r="A332" s="22">
        <v>1150</v>
      </c>
      <c r="B332" s="22" t="s">
        <v>975</v>
      </c>
      <c r="C332" s="22" t="s">
        <v>709</v>
      </c>
      <c r="D332" s="22" t="s">
        <v>43</v>
      </c>
      <c r="E332" s="158">
        <v>17930</v>
      </c>
      <c r="F332" s="159">
        <v>111000</v>
      </c>
      <c r="G332" s="159">
        <v>1990230000</v>
      </c>
      <c r="H332" s="159">
        <v>199023000</v>
      </c>
      <c r="I332" s="159">
        <v>2189253000</v>
      </c>
      <c r="J332" s="159">
        <f>bargiri[[#This Row],[مقدار]]*INDEX(invoice[پیش دریافت به ازای هر کیلوگرم],MATCH(bargiri[[#This Row],[شماره سند مبنا]],invoice[شماره پیش فاکتور],0))</f>
        <v>1532477100</v>
      </c>
      <c r="K332" s="159">
        <f>bargiri[[#This Row],[مبلغ خالص]]-bargiri[[#This Row],[میزان استهلاک پیش دریافتی]]</f>
        <v>656775900</v>
      </c>
      <c r="L332" s="160" t="s">
        <v>593</v>
      </c>
      <c r="M332" s="159" t="s">
        <v>593</v>
      </c>
      <c r="N332" s="159">
        <f>IF(bargiri[[#This Row],[مبلغ واریزی]]&lt;&gt;"",bargiri[[#This Row],[مانده مبلغ]]-bargiri[[#This Row],[مبلغ واریزی]],bargiri[[#This Row],[مانده مبلغ]])</f>
        <v>656775900</v>
      </c>
      <c r="O332" s="159" t="s">
        <v>593</v>
      </c>
      <c r="P332" s="159">
        <f>VLOOKUP(bargiri[[#This Row],[شماره سند مبنا]],invoice[[شماره پیش فاکتور]:[پیش دریافت به ازای هر کیلوگرم]],14,0)</f>
        <v>85470</v>
      </c>
      <c r="Q332" s="159">
        <f>IF(bargiri[[#This Row],[مبلغ ناخالص]]-(bargiri[[#This Row],[نرخ استهلاک]]*bargiri[[#This Row],[مقدار]])&lt;0,0,bargiri[[#This Row],[مبلغ ناخالص]]-(bargiri[[#This Row],[نرخ استهلاک]]*bargiri[[#This Row],[مقدار]]))</f>
        <v>457752900</v>
      </c>
    </row>
    <row r="333" spans="1:17" s="22" customFormat="1" ht="13.8" x14ac:dyDescent="0.25">
      <c r="A333" s="22">
        <v>1149</v>
      </c>
      <c r="B333" s="22" t="s">
        <v>975</v>
      </c>
      <c r="C333" s="22" t="s">
        <v>458</v>
      </c>
      <c r="D333" s="22" t="s">
        <v>156</v>
      </c>
      <c r="E333" s="158">
        <v>23140</v>
      </c>
      <c r="F333" s="159">
        <v>142000</v>
      </c>
      <c r="G333" s="159">
        <v>3285880000</v>
      </c>
      <c r="H333" s="159">
        <v>328588000</v>
      </c>
      <c r="I333" s="159">
        <v>3614468000</v>
      </c>
      <c r="J333" s="159">
        <f>bargiri[[#This Row],[مقدار]]*INDEX(invoice[پیش دریافت به ازای هر کیلوگرم],MATCH(bargiri[[#This Row],[شماره سند مبنا]],invoice[شماره پیش فاکتور],0))</f>
        <v>653623982.80053842</v>
      </c>
      <c r="K333" s="159">
        <f>bargiri[[#This Row],[مبلغ خالص]]-bargiri[[#This Row],[میزان استهلاک پیش دریافتی]]</f>
        <v>2960844017.1994615</v>
      </c>
      <c r="L333" s="160" t="s">
        <v>593</v>
      </c>
      <c r="M333" s="159" t="s">
        <v>593</v>
      </c>
      <c r="N333" s="159">
        <f>IF(bargiri[[#This Row],[مبلغ واریزی]]&lt;&gt;"",bargiri[[#This Row],[مانده مبلغ]]-bargiri[[#This Row],[مبلغ واریزی]],bargiri[[#This Row],[مانده مبلغ]])</f>
        <v>2960844017.1994615</v>
      </c>
      <c r="O333" s="159" t="s">
        <v>593</v>
      </c>
      <c r="P333" s="159">
        <f>VLOOKUP(bargiri[[#This Row],[شماره سند مبنا]],invoice[[شماره پیش فاکتور]:[پیش دریافت به ازای هر کیلوگرم]],14,0)</f>
        <v>28246.498824569509</v>
      </c>
      <c r="Q333" s="159">
        <f>IF(bargiri[[#This Row],[مبلغ ناخالص]]-(bargiri[[#This Row],[نرخ استهلاک]]*bargiri[[#This Row],[مقدار]])&lt;0,0,bargiri[[#This Row],[مبلغ ناخالص]]-(bargiri[[#This Row],[نرخ استهلاک]]*bargiri[[#This Row],[مقدار]]))</f>
        <v>2632256017.1994615</v>
      </c>
    </row>
    <row r="334" spans="1:17" s="22" customFormat="1" ht="13.8" x14ac:dyDescent="0.25">
      <c r="A334" s="22">
        <v>1148</v>
      </c>
      <c r="B334" s="22" t="s">
        <v>976</v>
      </c>
      <c r="C334" s="22" t="s">
        <v>461</v>
      </c>
      <c r="D334" s="22" t="s">
        <v>35</v>
      </c>
      <c r="E334" s="158">
        <v>20110</v>
      </c>
      <c r="F334" s="159">
        <v>142000</v>
      </c>
      <c r="G334" s="159">
        <v>2855620000</v>
      </c>
      <c r="H334" s="159">
        <v>285562000</v>
      </c>
      <c r="I334" s="159">
        <v>3141182000</v>
      </c>
      <c r="J334" s="159">
        <f>bargiri[[#This Row],[مقدار]]*INDEX(invoice[پیش دریافت به ازای هر کیلوگرم],MATCH(bargiri[[#This Row],[شماره سند مبنا]],invoice[شماره پیش فاکتور],0))</f>
        <v>659975039.6396296</v>
      </c>
      <c r="K334" s="159">
        <f>bargiri[[#This Row],[مبلغ خالص]]-bargiri[[#This Row],[میزان استهلاک پیش دریافتی]]</f>
        <v>2481206960.3603706</v>
      </c>
      <c r="L334" s="160" t="s">
        <v>192</v>
      </c>
      <c r="M334" s="159">
        <v>1129310000</v>
      </c>
      <c r="N334" s="159">
        <f>IF(bargiri[[#This Row],[مبلغ واریزی]]&lt;&gt;"",bargiri[[#This Row],[مانده مبلغ]]-bargiri[[#This Row],[مبلغ واریزی]],bargiri[[#This Row],[مانده مبلغ]])</f>
        <v>1351896960.3603706</v>
      </c>
      <c r="O334" s="159">
        <v>0</v>
      </c>
      <c r="P334" s="159">
        <f>VLOOKUP(bargiri[[#This Row],[شماره سند مبنا]],invoice[[شماره پیش فاکتور]:[پیش دریافت به ازای هر کیلوگرم]],14,0)</f>
        <v>32818.251598191426</v>
      </c>
      <c r="Q334" s="159">
        <f>IF(bargiri[[#This Row],[مبلغ ناخالص]]-(bargiri[[#This Row],[نرخ استهلاک]]*bargiri[[#This Row],[مقدار]])&lt;0,0,bargiri[[#This Row],[مبلغ ناخالص]]-(bargiri[[#This Row],[نرخ استهلاک]]*bargiri[[#This Row],[مقدار]]))</f>
        <v>2195644960.3603706</v>
      </c>
    </row>
    <row r="335" spans="1:17" s="22" customFormat="1" ht="13.8" x14ac:dyDescent="0.25">
      <c r="A335" s="22">
        <v>1147</v>
      </c>
      <c r="B335" s="22" t="s">
        <v>977</v>
      </c>
      <c r="C335" s="22" t="s">
        <v>757</v>
      </c>
      <c r="D335" s="22" t="s">
        <v>70</v>
      </c>
      <c r="E335" s="158">
        <v>20240</v>
      </c>
      <c r="F335" s="159">
        <v>0</v>
      </c>
      <c r="G335" s="159">
        <v>0</v>
      </c>
      <c r="H335" s="159">
        <v>0</v>
      </c>
      <c r="I335" s="159">
        <v>0</v>
      </c>
      <c r="J335" s="159">
        <f>bargiri[[#This Row],[مقدار]]*INDEX(invoice[پیش دریافت به ازای هر کیلوگرم],MATCH(bargiri[[#This Row],[شماره سند مبنا]],invoice[شماره پیش فاکتور],0))</f>
        <v>3255877437.3259053</v>
      </c>
      <c r="K335" s="159">
        <f>bargiri[[#This Row],[مبلغ خالص]]-bargiri[[#This Row],[میزان استهلاک پیش دریافتی]]</f>
        <v>-3255877437.3259053</v>
      </c>
      <c r="L335" s="160" t="s">
        <v>372</v>
      </c>
      <c r="M335" s="159">
        <v>1092126750</v>
      </c>
      <c r="N335" s="159">
        <f>IF(bargiri[[#This Row],[مبلغ واریزی]]&lt;&gt;"",bargiri[[#This Row],[مانده مبلغ]]-bargiri[[#This Row],[مبلغ واریزی]],bargiri[[#This Row],[مانده مبلغ]])</f>
        <v>-4348004187.3259048</v>
      </c>
      <c r="O335" s="159">
        <v>0</v>
      </c>
      <c r="P335" s="159">
        <f>VLOOKUP(bargiri[[#This Row],[شماره سند مبنا]],invoice[[شماره پیش فاکتور]:[پیش دریافت به ازای هر کیلوگرم]],14,0)</f>
        <v>160863.50974930363</v>
      </c>
      <c r="Q335" s="159">
        <f>IF(bargiri[[#This Row],[مبلغ ناخالص]]-(bargiri[[#This Row],[نرخ استهلاک]]*bargiri[[#This Row],[مقدار]])&lt;0,0,bargiri[[#This Row],[مبلغ ناخالص]]-(bargiri[[#This Row],[نرخ استهلاک]]*bargiri[[#This Row],[مقدار]]))</f>
        <v>0</v>
      </c>
    </row>
    <row r="336" spans="1:17" s="22" customFormat="1" ht="13.8" x14ac:dyDescent="0.25">
      <c r="A336" s="22">
        <v>1146</v>
      </c>
      <c r="B336" s="22" t="s">
        <v>977</v>
      </c>
      <c r="C336" s="22" t="s">
        <v>752</v>
      </c>
      <c r="D336" s="22" t="s">
        <v>40</v>
      </c>
      <c r="E336" s="158">
        <v>5330</v>
      </c>
      <c r="F336" s="159">
        <v>79520</v>
      </c>
      <c r="G336" s="159">
        <v>423841600</v>
      </c>
      <c r="H336" s="159">
        <v>42384160</v>
      </c>
      <c r="I336" s="159">
        <v>466225760</v>
      </c>
      <c r="J336" s="159">
        <f>bargiri[[#This Row],[مقدار]]*INDEX(invoice[پیش دریافت به ازای هر کیلوگرم],MATCH(bargiri[[#This Row],[شماره سند مبنا]],invoice[شماره پیش فاکتور],0))</f>
        <v>69933864</v>
      </c>
      <c r="K336" s="159">
        <f>bargiri[[#This Row],[مبلغ خالص]]-bargiri[[#This Row],[میزان استهلاک پیش دریافتی]]</f>
        <v>396291896</v>
      </c>
      <c r="L336" s="160" t="s">
        <v>593</v>
      </c>
      <c r="M336" s="159" t="s">
        <v>593</v>
      </c>
      <c r="N336" s="159">
        <f>IF(bargiri[[#This Row],[مبلغ واریزی]]&lt;&gt;"",bargiri[[#This Row],[مانده مبلغ]]-bargiri[[#This Row],[مبلغ واریزی]],bargiri[[#This Row],[مانده مبلغ]])</f>
        <v>396291896</v>
      </c>
      <c r="O336" s="159" t="s">
        <v>593</v>
      </c>
      <c r="P336" s="159">
        <f>VLOOKUP(bargiri[[#This Row],[شماره سند مبنا]],invoice[[شماره پیش فاکتور]:[پیش دریافت به ازای هر کیلوگرم]],14,0)</f>
        <v>13120.8</v>
      </c>
      <c r="Q336" s="159">
        <f>IF(bargiri[[#This Row],[مبلغ ناخالص]]-(bargiri[[#This Row],[نرخ استهلاک]]*bargiri[[#This Row],[مقدار]])&lt;0,0,bargiri[[#This Row],[مبلغ ناخالص]]-(bargiri[[#This Row],[نرخ استهلاک]]*bargiri[[#This Row],[مقدار]]))</f>
        <v>353907736</v>
      </c>
    </row>
    <row r="337" spans="1:17" s="22" customFormat="1" ht="13.8" x14ac:dyDescent="0.25">
      <c r="A337" s="22">
        <v>1146</v>
      </c>
      <c r="B337" s="22" t="s">
        <v>977</v>
      </c>
      <c r="C337" s="22" t="s">
        <v>707</v>
      </c>
      <c r="D337" s="22" t="s">
        <v>40</v>
      </c>
      <c r="E337" s="158">
        <v>15110</v>
      </c>
      <c r="F337" s="159">
        <v>74000</v>
      </c>
      <c r="G337" s="159">
        <v>1118140000</v>
      </c>
      <c r="H337" s="159">
        <v>111814000</v>
      </c>
      <c r="I337" s="159">
        <v>1229954000</v>
      </c>
      <c r="J337" s="159">
        <f>bargiri[[#This Row],[مقدار]]*INDEX(invoice[پیش دریافت به ازای هر کیلوگرم],MATCH(bargiri[[#This Row],[شماره سند مبنا]],invoice[شماره پیش فاکتور],0))</f>
        <v>184493100</v>
      </c>
      <c r="K337" s="159">
        <f>bargiri[[#This Row],[مبلغ خالص]]-bargiri[[#This Row],[میزان استهلاک پیش دریافتی]]</f>
        <v>1045460900</v>
      </c>
      <c r="L337" s="160" t="s">
        <v>593</v>
      </c>
      <c r="M337" s="159" t="s">
        <v>593</v>
      </c>
      <c r="N337" s="159">
        <f>IF(bargiri[[#This Row],[مبلغ واریزی]]&lt;&gt;"",bargiri[[#This Row],[مانده مبلغ]]-bargiri[[#This Row],[مبلغ واریزی]],bargiri[[#This Row],[مانده مبلغ]])</f>
        <v>1045460900</v>
      </c>
      <c r="O337" s="159" t="s">
        <v>593</v>
      </c>
      <c r="P337" s="159">
        <f>VLOOKUP(bargiri[[#This Row],[شماره سند مبنا]],invoice[[شماره پیش فاکتور]:[پیش دریافت به ازای هر کیلوگرم]],14,0)</f>
        <v>12210</v>
      </c>
      <c r="Q337" s="159">
        <f>IF(bargiri[[#This Row],[مبلغ ناخالص]]-(bargiri[[#This Row],[نرخ استهلاک]]*bargiri[[#This Row],[مقدار]])&lt;0,0,bargiri[[#This Row],[مبلغ ناخالص]]-(bargiri[[#This Row],[نرخ استهلاک]]*bargiri[[#This Row],[مقدار]]))</f>
        <v>933646900</v>
      </c>
    </row>
    <row r="338" spans="1:17" s="22" customFormat="1" ht="13.8" x14ac:dyDescent="0.25">
      <c r="A338" s="22">
        <v>1145</v>
      </c>
      <c r="B338" s="22" t="s">
        <v>978</v>
      </c>
      <c r="C338" s="22" t="s">
        <v>182</v>
      </c>
      <c r="D338" s="22" t="s">
        <v>20</v>
      </c>
      <c r="E338" s="158">
        <v>22100</v>
      </c>
      <c r="F338" s="159">
        <v>86500</v>
      </c>
      <c r="G338" s="159">
        <v>1911650000</v>
      </c>
      <c r="H338" s="159">
        <v>191165000</v>
      </c>
      <c r="I338" s="159">
        <v>2102815000</v>
      </c>
      <c r="J338" s="159">
        <f>bargiri[[#This Row],[مقدار]]*INDEX(invoice[پیش دریافت به ازای هر کیلوگرم],MATCH(bargiri[[#This Row],[شماره سند مبنا]],invoice[شماره پیش فاکتور],0))</f>
        <v>286747500</v>
      </c>
      <c r="K338" s="159">
        <f>bargiri[[#This Row],[مبلغ خالص]]-bargiri[[#This Row],[میزان استهلاک پیش دریافتی]]</f>
        <v>1816067500</v>
      </c>
      <c r="L338" s="160" t="s">
        <v>593</v>
      </c>
      <c r="M338" s="159" t="s">
        <v>593</v>
      </c>
      <c r="N338" s="159">
        <f>IF(bargiri[[#This Row],[مبلغ واریزی]]&lt;&gt;"",bargiri[[#This Row],[مانده مبلغ]]-bargiri[[#This Row],[مبلغ واریزی]],bargiri[[#This Row],[مانده مبلغ]])</f>
        <v>1816067500</v>
      </c>
      <c r="O338" s="159" t="s">
        <v>593</v>
      </c>
      <c r="P338" s="159">
        <f>VLOOKUP(bargiri[[#This Row],[شماره سند مبنا]],invoice[[شماره پیش فاکتور]:[پیش دریافت به ازای هر کیلوگرم]],14,0)</f>
        <v>12975</v>
      </c>
      <c r="Q338" s="159">
        <f>IF(bargiri[[#This Row],[مبلغ ناخالص]]-(bargiri[[#This Row],[نرخ استهلاک]]*bargiri[[#This Row],[مقدار]])&lt;0,0,bargiri[[#This Row],[مبلغ ناخالص]]-(bargiri[[#This Row],[نرخ استهلاک]]*bargiri[[#This Row],[مقدار]]))</f>
        <v>1624902500</v>
      </c>
    </row>
    <row r="339" spans="1:17" s="22" customFormat="1" ht="13.8" x14ac:dyDescent="0.25">
      <c r="A339" s="22">
        <v>1144</v>
      </c>
      <c r="B339" s="22" t="s">
        <v>978</v>
      </c>
      <c r="C339" s="22" t="s">
        <v>456</v>
      </c>
      <c r="D339" s="22" t="s">
        <v>213</v>
      </c>
      <c r="E339" s="158">
        <v>7560</v>
      </c>
      <c r="F339" s="159">
        <v>142000</v>
      </c>
      <c r="G339" s="159">
        <v>1073520000</v>
      </c>
      <c r="H339" s="159">
        <v>107352000</v>
      </c>
      <c r="I339" s="159">
        <v>1180872000</v>
      </c>
      <c r="J339" s="159">
        <f>bargiri[[#This Row],[مقدار]]*INDEX(invoice[پیش دریافت به ازای هر کیلوگرم],MATCH(bargiri[[#This Row],[شماره سند مبنا]],invoice[شماره پیش فاکتور],0))</f>
        <v>897100888.87840986</v>
      </c>
      <c r="K339" s="159">
        <f>bargiri[[#This Row],[مبلغ خالص]]-bargiri[[#This Row],[میزان استهلاک پیش دریافتی]]</f>
        <v>283771111.12159014</v>
      </c>
      <c r="L339" s="160" t="s">
        <v>593</v>
      </c>
      <c r="M339" s="159" t="s">
        <v>593</v>
      </c>
      <c r="N339" s="159">
        <f>IF(bargiri[[#This Row],[مبلغ واریزی]]&lt;&gt;"",bargiri[[#This Row],[مانده مبلغ]]-bargiri[[#This Row],[مبلغ واریزی]],bargiri[[#This Row],[مانده مبلغ]])</f>
        <v>283771111.12159014</v>
      </c>
      <c r="O339" s="159" t="s">
        <v>593</v>
      </c>
      <c r="P339" s="159">
        <f>VLOOKUP(bargiri[[#This Row],[شماره سند مبنا]],invoice[[شماره پیش فاکتور]:[پیش دریافت به ازای هر کیلوگرم]],14,0)</f>
        <v>118664.13874053041</v>
      </c>
      <c r="Q339" s="159">
        <f>IF(bargiri[[#This Row],[مبلغ ناخالص]]-(bargiri[[#This Row],[نرخ استهلاک]]*bargiri[[#This Row],[مقدار]])&lt;0,0,bargiri[[#This Row],[مبلغ ناخالص]]-(bargiri[[#This Row],[نرخ استهلاک]]*bargiri[[#This Row],[مقدار]]))</f>
        <v>176419111.12159014</v>
      </c>
    </row>
    <row r="340" spans="1:17" s="22" customFormat="1" ht="13.8" x14ac:dyDescent="0.25">
      <c r="A340" s="22">
        <v>1143</v>
      </c>
      <c r="B340" s="22" t="s">
        <v>978</v>
      </c>
      <c r="C340" s="22" t="s">
        <v>709</v>
      </c>
      <c r="D340" s="22" t="s">
        <v>43</v>
      </c>
      <c r="E340" s="158">
        <v>4560</v>
      </c>
      <c r="F340" s="159">
        <v>111000</v>
      </c>
      <c r="G340" s="159">
        <v>506160000</v>
      </c>
      <c r="H340" s="159">
        <v>50616000</v>
      </c>
      <c r="I340" s="159">
        <v>556776000</v>
      </c>
      <c r="J340" s="159">
        <f>bargiri[[#This Row],[مقدار]]*INDEX(invoice[پیش دریافت به ازای هر کیلوگرم],MATCH(bargiri[[#This Row],[شماره سند مبنا]],invoice[شماره پیش فاکتور],0))</f>
        <v>389743200</v>
      </c>
      <c r="K340" s="159">
        <f>bargiri[[#This Row],[مبلغ خالص]]-bargiri[[#This Row],[میزان استهلاک پیش دریافتی]]</f>
        <v>167032800</v>
      </c>
      <c r="L340" s="160" t="s">
        <v>593</v>
      </c>
      <c r="M340" s="159" t="s">
        <v>593</v>
      </c>
      <c r="N340" s="159">
        <f>IF(bargiri[[#This Row],[مبلغ واریزی]]&lt;&gt;"",bargiri[[#This Row],[مانده مبلغ]]-bargiri[[#This Row],[مبلغ واریزی]],bargiri[[#This Row],[مانده مبلغ]])</f>
        <v>167032800</v>
      </c>
      <c r="O340" s="159" t="s">
        <v>593</v>
      </c>
      <c r="P340" s="159">
        <f>VLOOKUP(bargiri[[#This Row],[شماره سند مبنا]],invoice[[شماره پیش فاکتور]:[پیش دریافت به ازای هر کیلوگرم]],14,0)</f>
        <v>85470</v>
      </c>
      <c r="Q340" s="159">
        <f>IF(bargiri[[#This Row],[مبلغ ناخالص]]-(bargiri[[#This Row],[نرخ استهلاک]]*bargiri[[#This Row],[مقدار]])&lt;0,0,bargiri[[#This Row],[مبلغ ناخالص]]-(bargiri[[#This Row],[نرخ استهلاک]]*bargiri[[#This Row],[مقدار]]))</f>
        <v>116416800</v>
      </c>
    </row>
    <row r="341" spans="1:17" s="22" customFormat="1" ht="13.8" x14ac:dyDescent="0.25">
      <c r="A341" s="22">
        <v>1142</v>
      </c>
      <c r="B341" s="22" t="s">
        <v>978</v>
      </c>
      <c r="C341" s="22" t="s">
        <v>709</v>
      </c>
      <c r="D341" s="22" t="s">
        <v>43</v>
      </c>
      <c r="E341" s="158">
        <v>22300</v>
      </c>
      <c r="F341" s="159">
        <v>111000</v>
      </c>
      <c r="G341" s="159">
        <v>2475300000</v>
      </c>
      <c r="H341" s="159">
        <v>247530000</v>
      </c>
      <c r="I341" s="159">
        <v>2722830000</v>
      </c>
      <c r="J341" s="159">
        <f>bargiri[[#This Row],[مقدار]]*INDEX(invoice[پیش دریافت به ازای هر کیلوگرم],MATCH(bargiri[[#This Row],[شماره سند مبنا]],invoice[شماره پیش فاکتور],0))</f>
        <v>1905981000</v>
      </c>
      <c r="K341" s="159">
        <f>bargiri[[#This Row],[مبلغ خالص]]-bargiri[[#This Row],[میزان استهلاک پیش دریافتی]]</f>
        <v>816849000</v>
      </c>
      <c r="L341" s="160" t="s">
        <v>250</v>
      </c>
      <c r="M341" s="159">
        <v>1393383750</v>
      </c>
      <c r="N341" s="159">
        <f>IF(bargiri[[#This Row],[مبلغ واریزی]]&lt;&gt;"",bargiri[[#This Row],[مانده مبلغ]]-bargiri[[#This Row],[مبلغ واریزی]],bargiri[[#This Row],[مانده مبلغ]])</f>
        <v>-576534750</v>
      </c>
      <c r="O341" s="159">
        <v>0</v>
      </c>
      <c r="P341" s="159">
        <f>VLOOKUP(bargiri[[#This Row],[شماره سند مبنا]],invoice[[شماره پیش فاکتور]:[پیش دریافت به ازای هر کیلوگرم]],14,0)</f>
        <v>85470</v>
      </c>
      <c r="Q341" s="159">
        <f>IF(bargiri[[#This Row],[مبلغ ناخالص]]-(bargiri[[#This Row],[نرخ استهلاک]]*bargiri[[#This Row],[مقدار]])&lt;0,0,bargiri[[#This Row],[مبلغ ناخالص]]-(bargiri[[#This Row],[نرخ استهلاک]]*bargiri[[#This Row],[مقدار]]))</f>
        <v>569319000</v>
      </c>
    </row>
    <row r="342" spans="1:17" s="22" customFormat="1" ht="13.8" x14ac:dyDescent="0.25">
      <c r="A342" s="22">
        <v>1141</v>
      </c>
      <c r="B342" s="22" t="s">
        <v>978</v>
      </c>
      <c r="C342" s="22" t="s">
        <v>461</v>
      </c>
      <c r="D342" s="22" t="s">
        <v>35</v>
      </c>
      <c r="E342" s="158">
        <v>7810</v>
      </c>
      <c r="F342" s="159">
        <v>142000</v>
      </c>
      <c r="G342" s="159">
        <v>1109020000</v>
      </c>
      <c r="H342" s="159">
        <v>110902000</v>
      </c>
      <c r="I342" s="159">
        <v>1219922000</v>
      </c>
      <c r="J342" s="159">
        <f>bargiri[[#This Row],[مقدار]]*INDEX(invoice[پیش دریافت به ازای هر کیلوگرم],MATCH(bargiri[[#This Row],[شماره سند مبنا]],invoice[شماره پیش فاکتور],0))</f>
        <v>256310544.98187503</v>
      </c>
      <c r="K342" s="159">
        <f>bargiri[[#This Row],[مبلغ خالص]]-bargiri[[#This Row],[میزان استهلاک پیش دریافتی]]</f>
        <v>963611455.01812494</v>
      </c>
      <c r="L342" s="160" t="s">
        <v>593</v>
      </c>
      <c r="M342" s="159" t="s">
        <v>593</v>
      </c>
      <c r="N342" s="159">
        <f>IF(bargiri[[#This Row],[مبلغ واریزی]]&lt;&gt;"",bargiri[[#This Row],[مانده مبلغ]]-bargiri[[#This Row],[مبلغ واریزی]],bargiri[[#This Row],[مانده مبلغ]])</f>
        <v>963611455.01812494</v>
      </c>
      <c r="O342" s="159" t="s">
        <v>593</v>
      </c>
      <c r="P342" s="159">
        <f>VLOOKUP(bargiri[[#This Row],[شماره سند مبنا]],invoice[[شماره پیش فاکتور]:[پیش دریافت به ازای هر کیلوگرم]],14,0)</f>
        <v>32818.251598191426</v>
      </c>
      <c r="Q342" s="159">
        <f>IF(bargiri[[#This Row],[مبلغ ناخالص]]-(bargiri[[#This Row],[نرخ استهلاک]]*bargiri[[#This Row],[مقدار]])&lt;0,0,bargiri[[#This Row],[مبلغ ناخالص]]-(bargiri[[#This Row],[نرخ استهلاک]]*bargiri[[#This Row],[مقدار]]))</f>
        <v>852709455.01812494</v>
      </c>
    </row>
    <row r="343" spans="1:17" s="22" customFormat="1" ht="13.8" x14ac:dyDescent="0.25">
      <c r="A343" s="22">
        <v>1140</v>
      </c>
      <c r="B343" s="22" t="s">
        <v>978</v>
      </c>
      <c r="C343" s="22" t="s">
        <v>463</v>
      </c>
      <c r="D343" s="22" t="s">
        <v>207</v>
      </c>
      <c r="E343" s="158">
        <v>6710</v>
      </c>
      <c r="F343" s="159">
        <v>142000</v>
      </c>
      <c r="G343" s="159">
        <v>952820000</v>
      </c>
      <c r="H343" s="159">
        <v>95282000</v>
      </c>
      <c r="I343" s="159">
        <v>1048102000</v>
      </c>
      <c r="J343" s="159">
        <f>bargiri[[#This Row],[مقدار]]*INDEX(invoice[پیش دریافت به ازای هر کیلوگرم],MATCH(bargiri[[#This Row],[شماره سند مبنا]],invoice[شماره پیش فاکتور],0))</f>
        <v>202015438.2585752</v>
      </c>
      <c r="K343" s="159">
        <f>bargiri[[#This Row],[مبلغ خالص]]-bargiri[[#This Row],[میزان استهلاک پیش دریافتی]]</f>
        <v>846086561.7414248</v>
      </c>
      <c r="L343" s="160" t="s">
        <v>593</v>
      </c>
      <c r="M343" s="159" t="s">
        <v>593</v>
      </c>
      <c r="N343" s="159">
        <f>IF(bargiri[[#This Row],[مبلغ واریزی]]&lt;&gt;"",bargiri[[#This Row],[مانده مبلغ]]-bargiri[[#This Row],[مبلغ واریزی]],bargiri[[#This Row],[مانده مبلغ]])</f>
        <v>846086561.7414248</v>
      </c>
      <c r="O343" s="159" t="s">
        <v>593</v>
      </c>
      <c r="P343" s="159">
        <f>VLOOKUP(bargiri[[#This Row],[شماره سند مبنا]],invoice[[شماره پیش فاکتور]:[پیش دریافت به ازای هر کیلوگرم]],14,0)</f>
        <v>30106.622691292876</v>
      </c>
      <c r="Q343" s="159">
        <f>IF(bargiri[[#This Row],[مبلغ ناخالص]]-(bargiri[[#This Row],[نرخ استهلاک]]*bargiri[[#This Row],[مقدار]])&lt;0,0,bargiri[[#This Row],[مبلغ ناخالص]]-(bargiri[[#This Row],[نرخ استهلاک]]*bargiri[[#This Row],[مقدار]]))</f>
        <v>750804561.7414248</v>
      </c>
    </row>
    <row r="344" spans="1:17" s="22" customFormat="1" ht="13.8" x14ac:dyDescent="0.25">
      <c r="A344" s="22">
        <v>1139</v>
      </c>
      <c r="B344" s="22" t="s">
        <v>966</v>
      </c>
      <c r="C344" s="22" t="s">
        <v>644</v>
      </c>
      <c r="D344" s="22" t="s">
        <v>67</v>
      </c>
      <c r="E344" s="158">
        <v>21520</v>
      </c>
      <c r="F344" s="159">
        <v>95000</v>
      </c>
      <c r="G344" s="159">
        <v>2044400000</v>
      </c>
      <c r="H344" s="159">
        <v>204440000</v>
      </c>
      <c r="I344" s="159">
        <v>2248840000</v>
      </c>
      <c r="J344" s="159">
        <f>bargiri[[#This Row],[مقدار]]*INDEX(invoice[پیش دریافت به ازای هر کیلوگرم],MATCH(bargiri[[#This Row],[شماره سند مبنا]],invoice[شماره پیش فاکتور],0))</f>
        <v>654332060.21831238</v>
      </c>
      <c r="K344" s="159">
        <f>bargiri[[#This Row],[مبلغ خالص]]-bargiri[[#This Row],[میزان استهلاک پیش دریافتی]]</f>
        <v>1594507939.7816877</v>
      </c>
      <c r="L344" s="160" t="s">
        <v>372</v>
      </c>
      <c r="M344" s="159">
        <v>49227750</v>
      </c>
      <c r="N344" s="159">
        <f>IF(bargiri[[#This Row],[مبلغ واریزی]]&lt;&gt;"",bargiri[[#This Row],[مانده مبلغ]]-bargiri[[#This Row],[مبلغ واریزی]],bargiri[[#This Row],[مانده مبلغ]])</f>
        <v>1545280189.7816877</v>
      </c>
      <c r="O344" s="159">
        <v>0</v>
      </c>
      <c r="P344" s="159">
        <f>VLOOKUP(bargiri[[#This Row],[شماره سند مبنا]],invoice[[شماره پیش فاکتور]:[پیش دریافت به ازای هر کیلوگرم]],14,0)</f>
        <v>30405.764880033101</v>
      </c>
      <c r="Q344" s="159">
        <f>IF(bargiri[[#This Row],[مبلغ ناخالص]]-(bargiri[[#This Row],[نرخ استهلاک]]*bargiri[[#This Row],[مقدار]])&lt;0,0,bargiri[[#This Row],[مبلغ ناخالص]]-(bargiri[[#This Row],[نرخ استهلاک]]*bargiri[[#This Row],[مقدار]]))</f>
        <v>1390067939.7816877</v>
      </c>
    </row>
    <row r="345" spans="1:17" s="22" customFormat="1" ht="13.8" x14ac:dyDescent="0.25">
      <c r="A345" s="22">
        <v>1138</v>
      </c>
      <c r="B345" s="22" t="s">
        <v>966</v>
      </c>
      <c r="C345" s="22" t="s">
        <v>182</v>
      </c>
      <c r="D345" s="22" t="s">
        <v>20</v>
      </c>
      <c r="E345" s="158">
        <v>23000</v>
      </c>
      <c r="F345" s="159">
        <v>86500</v>
      </c>
      <c r="G345" s="159">
        <v>1989500000</v>
      </c>
      <c r="H345" s="159">
        <v>198950000</v>
      </c>
      <c r="I345" s="159">
        <v>2188450000</v>
      </c>
      <c r="J345" s="159">
        <f>bargiri[[#This Row],[مقدار]]*INDEX(invoice[پیش دریافت به ازای هر کیلوگرم],MATCH(bargiri[[#This Row],[شماره سند مبنا]],invoice[شماره پیش فاکتور],0))</f>
        <v>298425000</v>
      </c>
      <c r="K345" s="159">
        <f>bargiri[[#This Row],[مبلغ خالص]]-bargiri[[#This Row],[میزان استهلاک پیش دریافتی]]</f>
        <v>1890025000</v>
      </c>
      <c r="L345" s="160" t="s">
        <v>593</v>
      </c>
      <c r="M345" s="159" t="s">
        <v>593</v>
      </c>
      <c r="N345" s="159">
        <f>IF(bargiri[[#This Row],[مبلغ واریزی]]&lt;&gt;"",bargiri[[#This Row],[مانده مبلغ]]-bargiri[[#This Row],[مبلغ واریزی]],bargiri[[#This Row],[مانده مبلغ]])</f>
        <v>1890025000</v>
      </c>
      <c r="O345" s="159" t="s">
        <v>593</v>
      </c>
      <c r="P345" s="159">
        <f>VLOOKUP(bargiri[[#This Row],[شماره سند مبنا]],invoice[[شماره پیش فاکتور]:[پیش دریافت به ازای هر کیلوگرم]],14,0)</f>
        <v>12975</v>
      </c>
      <c r="Q345" s="159">
        <f>IF(bargiri[[#This Row],[مبلغ ناخالص]]-(bargiri[[#This Row],[نرخ استهلاک]]*bargiri[[#This Row],[مقدار]])&lt;0,0,bargiri[[#This Row],[مبلغ ناخالص]]-(bargiri[[#This Row],[نرخ استهلاک]]*bargiri[[#This Row],[مقدار]]))</f>
        <v>1691075000</v>
      </c>
    </row>
    <row r="346" spans="1:17" s="22" customFormat="1" ht="13.8" x14ac:dyDescent="0.25">
      <c r="A346" s="22">
        <v>1137</v>
      </c>
      <c r="B346" s="22" t="s">
        <v>913</v>
      </c>
      <c r="C346" s="22" t="s">
        <v>616</v>
      </c>
      <c r="D346" s="22" t="s">
        <v>67</v>
      </c>
      <c r="E346" s="158">
        <v>20280</v>
      </c>
      <c r="F346" s="159">
        <v>142000</v>
      </c>
      <c r="G346" s="159">
        <v>2879760000</v>
      </c>
      <c r="H346" s="159">
        <v>287976000</v>
      </c>
      <c r="I346" s="159">
        <v>3167736000</v>
      </c>
      <c r="J346" s="159">
        <f>bargiri[[#This Row],[مقدار]]*INDEX(invoice[پیش دریافت به ازای هر کیلوگرم],MATCH(bargiri[[#This Row],[شماره سند مبنا]],invoice[شماره پیش فاکتور],0))</f>
        <v>475160400</v>
      </c>
      <c r="K346" s="159">
        <f>bargiri[[#This Row],[مبلغ خالص]]-bargiri[[#This Row],[میزان استهلاک پیش دریافتی]]</f>
        <v>2692575600</v>
      </c>
      <c r="L346" s="160" t="s">
        <v>201</v>
      </c>
      <c r="M346" s="159">
        <v>569920000</v>
      </c>
      <c r="N346" s="159">
        <f>IF(bargiri[[#This Row],[مبلغ واریزی]]&lt;&gt;"",bargiri[[#This Row],[مانده مبلغ]]-bargiri[[#This Row],[مبلغ واریزی]],bargiri[[#This Row],[مانده مبلغ]])</f>
        <v>2122655600</v>
      </c>
      <c r="O346" s="159">
        <v>0</v>
      </c>
      <c r="P346" s="159">
        <f>VLOOKUP(bargiri[[#This Row],[شماره سند مبنا]],invoice[[شماره پیش فاکتور]:[پیش دریافت به ازای هر کیلوگرم]],14,0)</f>
        <v>23430</v>
      </c>
      <c r="Q346" s="159">
        <f>IF(bargiri[[#This Row],[مبلغ ناخالص]]-(bargiri[[#This Row],[نرخ استهلاک]]*bargiri[[#This Row],[مقدار]])&lt;0,0,bargiri[[#This Row],[مبلغ ناخالص]]-(bargiri[[#This Row],[نرخ استهلاک]]*bargiri[[#This Row],[مقدار]]))</f>
        <v>2404599600</v>
      </c>
    </row>
    <row r="347" spans="1:17" s="22" customFormat="1" ht="13.8" x14ac:dyDescent="0.25">
      <c r="A347" s="22">
        <v>1136</v>
      </c>
      <c r="B347" s="22" t="s">
        <v>913</v>
      </c>
      <c r="C347" s="22" t="s">
        <v>708</v>
      </c>
      <c r="D347" s="22" t="s">
        <v>25</v>
      </c>
      <c r="E347" s="158">
        <v>13150</v>
      </c>
      <c r="F347" s="159">
        <v>87991</v>
      </c>
      <c r="G347" s="159">
        <v>1157081650</v>
      </c>
      <c r="H347" s="159">
        <v>115708165</v>
      </c>
      <c r="I347" s="159">
        <v>1272789815</v>
      </c>
      <c r="J347" s="159">
        <f>bargiri[[#This Row],[مقدار]]*INDEX(invoice[پیش دریافت به ازای هر کیلوگرم],MATCH(bargiri[[#This Row],[شماره سند مبنا]],invoice[شماره پیش فاکتور],0))</f>
        <v>190918472.25</v>
      </c>
      <c r="K347" s="159">
        <f>bargiri[[#This Row],[مبلغ خالص]]-bargiri[[#This Row],[میزان استهلاک پیش دریافتی]]</f>
        <v>1081871342.75</v>
      </c>
      <c r="L347" s="160" t="s">
        <v>593</v>
      </c>
      <c r="M347" s="159" t="s">
        <v>593</v>
      </c>
      <c r="N347" s="159">
        <f>IF(bargiri[[#This Row],[مبلغ واریزی]]&lt;&gt;"",bargiri[[#This Row],[مانده مبلغ]]-bargiri[[#This Row],[مبلغ واریزی]],bargiri[[#This Row],[مانده مبلغ]])</f>
        <v>1081871342.75</v>
      </c>
      <c r="O347" s="159" t="s">
        <v>593</v>
      </c>
      <c r="P347" s="159">
        <f>VLOOKUP(bargiri[[#This Row],[شماره سند مبنا]],invoice[[شماره پیش فاکتور]:[پیش دریافت به ازای هر کیلوگرم]],14,0)</f>
        <v>14518.514999999999</v>
      </c>
      <c r="Q347" s="159">
        <f>IF(bargiri[[#This Row],[مبلغ ناخالص]]-(bargiri[[#This Row],[نرخ استهلاک]]*bargiri[[#This Row],[مقدار]])&lt;0,0,bargiri[[#This Row],[مبلغ ناخالص]]-(bargiri[[#This Row],[نرخ استهلاک]]*bargiri[[#This Row],[مقدار]]))</f>
        <v>966163177.75</v>
      </c>
    </row>
    <row r="348" spans="1:17" s="22" customFormat="1" ht="13.8" x14ac:dyDescent="0.25">
      <c r="A348" s="22">
        <v>1136</v>
      </c>
      <c r="B348" s="22" t="s">
        <v>913</v>
      </c>
      <c r="C348" s="22" t="s">
        <v>601</v>
      </c>
      <c r="D348" s="22" t="s">
        <v>25</v>
      </c>
      <c r="E348" s="158">
        <v>7870</v>
      </c>
      <c r="F348" s="159">
        <v>142000</v>
      </c>
      <c r="G348" s="159">
        <v>1117540000</v>
      </c>
      <c r="H348" s="159">
        <v>111754000</v>
      </c>
      <c r="I348" s="159">
        <v>1229294000</v>
      </c>
      <c r="J348" s="159">
        <f>bargiri[[#This Row],[مقدار]]*INDEX(invoice[پیش دریافت به ازای هر کیلوگرم],MATCH(bargiri[[#This Row],[شماره سند مبنا]],invoice[شماره پیش فاکتور],0))</f>
        <v>184394100</v>
      </c>
      <c r="K348" s="159">
        <f>bargiri[[#This Row],[مبلغ خالص]]-bargiri[[#This Row],[میزان استهلاک پیش دریافتی]]</f>
        <v>1044899900</v>
      </c>
      <c r="L348" s="160" t="s">
        <v>593</v>
      </c>
      <c r="M348" s="159" t="s">
        <v>593</v>
      </c>
      <c r="N348" s="159">
        <f>IF(bargiri[[#This Row],[مبلغ واریزی]]&lt;&gt;"",bargiri[[#This Row],[مانده مبلغ]]-bargiri[[#This Row],[مبلغ واریزی]],bargiri[[#This Row],[مانده مبلغ]])</f>
        <v>1044899900</v>
      </c>
      <c r="O348" s="159" t="s">
        <v>593</v>
      </c>
      <c r="P348" s="159">
        <f>VLOOKUP(bargiri[[#This Row],[شماره سند مبنا]],invoice[[شماره پیش فاکتور]:[پیش دریافت به ازای هر کیلوگرم]],14,0)</f>
        <v>23430</v>
      </c>
      <c r="Q348" s="159">
        <f>IF(bargiri[[#This Row],[مبلغ ناخالص]]-(bargiri[[#This Row],[نرخ استهلاک]]*bargiri[[#This Row],[مقدار]])&lt;0,0,bargiri[[#This Row],[مبلغ ناخالص]]-(bargiri[[#This Row],[نرخ استهلاک]]*bargiri[[#This Row],[مقدار]]))</f>
        <v>933145900</v>
      </c>
    </row>
    <row r="349" spans="1:17" s="22" customFormat="1" ht="13.8" x14ac:dyDescent="0.25">
      <c r="A349" s="22">
        <v>1135</v>
      </c>
      <c r="B349" s="22" t="s">
        <v>913</v>
      </c>
      <c r="C349" s="22" t="s">
        <v>745</v>
      </c>
      <c r="D349" s="22" t="s">
        <v>221</v>
      </c>
      <c r="E349" s="158">
        <v>14410</v>
      </c>
      <c r="F349" s="159">
        <v>135000</v>
      </c>
      <c r="G349" s="159">
        <v>1945350000</v>
      </c>
      <c r="H349" s="159">
        <v>194535000</v>
      </c>
      <c r="I349" s="159">
        <v>2139885000</v>
      </c>
      <c r="J349" s="159">
        <f>bargiri[[#This Row],[مقدار]]*INDEX(invoice[پیش دریافت به ازای هر کیلوگرم],MATCH(bargiri[[#This Row],[شماره سند مبنا]],invoice[شماره پیش فاکتور],0))</f>
        <v>320982750</v>
      </c>
      <c r="K349" s="159">
        <f>bargiri[[#This Row],[مبلغ خالص]]-bargiri[[#This Row],[میزان استهلاک پیش دریافتی]]</f>
        <v>1818902250</v>
      </c>
      <c r="L349" s="160" t="s">
        <v>593</v>
      </c>
      <c r="M349" s="159" t="s">
        <v>593</v>
      </c>
      <c r="N349" s="159">
        <f>IF(bargiri[[#This Row],[مبلغ واریزی]]&lt;&gt;"",bargiri[[#This Row],[مانده مبلغ]]-bargiri[[#This Row],[مبلغ واریزی]],bargiri[[#This Row],[مانده مبلغ]])</f>
        <v>1818902250</v>
      </c>
      <c r="O349" s="159" t="s">
        <v>593</v>
      </c>
      <c r="P349" s="159">
        <f>VLOOKUP(bargiri[[#This Row],[شماره سند مبنا]],invoice[[شماره پیش فاکتور]:[پیش دریافت به ازای هر کیلوگرم]],14,0)</f>
        <v>22275</v>
      </c>
      <c r="Q349" s="159">
        <f>IF(bargiri[[#This Row],[مبلغ ناخالص]]-(bargiri[[#This Row],[نرخ استهلاک]]*bargiri[[#This Row],[مقدار]])&lt;0,0,bargiri[[#This Row],[مبلغ ناخالص]]-(bargiri[[#This Row],[نرخ استهلاک]]*bargiri[[#This Row],[مقدار]]))</f>
        <v>1624367250</v>
      </c>
    </row>
    <row r="350" spans="1:17" s="22" customFormat="1" ht="13.8" x14ac:dyDescent="0.25">
      <c r="A350" s="22">
        <v>1134</v>
      </c>
      <c r="B350" s="22" t="s">
        <v>913</v>
      </c>
      <c r="C350" s="22" t="s">
        <v>745</v>
      </c>
      <c r="D350" s="22" t="s">
        <v>221</v>
      </c>
      <c r="E350" s="158">
        <v>14500</v>
      </c>
      <c r="F350" s="159">
        <v>135000</v>
      </c>
      <c r="G350" s="159">
        <v>1957500000</v>
      </c>
      <c r="H350" s="159">
        <v>195750000</v>
      </c>
      <c r="I350" s="159">
        <v>2153250000</v>
      </c>
      <c r="J350" s="159">
        <f>bargiri[[#This Row],[مقدار]]*INDEX(invoice[پیش دریافت به ازای هر کیلوگرم],MATCH(bargiri[[#This Row],[شماره سند مبنا]],invoice[شماره پیش فاکتور],0))</f>
        <v>322987500</v>
      </c>
      <c r="K350" s="159">
        <f>bargiri[[#This Row],[مبلغ خالص]]-bargiri[[#This Row],[میزان استهلاک پیش دریافتی]]</f>
        <v>1830262500</v>
      </c>
      <c r="L350" s="160" t="s">
        <v>163</v>
      </c>
      <c r="M350" s="159">
        <v>453915000</v>
      </c>
      <c r="N350" s="159">
        <f>IF(bargiri[[#This Row],[مبلغ واریزی]]&lt;&gt;"",bargiri[[#This Row],[مانده مبلغ]]-bargiri[[#This Row],[مبلغ واریزی]],bargiri[[#This Row],[مانده مبلغ]])</f>
        <v>1376347500</v>
      </c>
      <c r="O350" s="159">
        <v>0</v>
      </c>
      <c r="P350" s="159">
        <f>VLOOKUP(bargiri[[#This Row],[شماره سند مبنا]],invoice[[شماره پیش فاکتور]:[پیش دریافت به ازای هر کیلوگرم]],14,0)</f>
        <v>22275</v>
      </c>
      <c r="Q350" s="159">
        <f>IF(bargiri[[#This Row],[مبلغ ناخالص]]-(bargiri[[#This Row],[نرخ استهلاک]]*bargiri[[#This Row],[مقدار]])&lt;0,0,bargiri[[#This Row],[مبلغ ناخالص]]-(bargiri[[#This Row],[نرخ استهلاک]]*bargiri[[#This Row],[مقدار]]))</f>
        <v>1634512500</v>
      </c>
    </row>
    <row r="351" spans="1:17" s="22" customFormat="1" ht="13.8" x14ac:dyDescent="0.25">
      <c r="A351" s="22">
        <v>1133</v>
      </c>
      <c r="B351" s="22" t="s">
        <v>979</v>
      </c>
      <c r="C351" s="22" t="s">
        <v>461</v>
      </c>
      <c r="D351" s="22" t="s">
        <v>35</v>
      </c>
      <c r="E351" s="158">
        <v>7580</v>
      </c>
      <c r="F351" s="159">
        <v>142000</v>
      </c>
      <c r="G351" s="159">
        <v>1076360000</v>
      </c>
      <c r="H351" s="159">
        <v>107636000</v>
      </c>
      <c r="I351" s="159">
        <v>1183996000</v>
      </c>
      <c r="J351" s="159">
        <f>bargiri[[#This Row],[مقدار]]*INDEX(invoice[پیش دریافت به ازای هر کیلوگرم],MATCH(bargiri[[#This Row],[شماره سند مبنا]],invoice[شماره پیش فاکتور],0))</f>
        <v>248762347.11429101</v>
      </c>
      <c r="K351" s="159">
        <f>bargiri[[#This Row],[مبلغ خالص]]-bargiri[[#This Row],[میزان استهلاک پیش دریافتی]]</f>
        <v>935233652.88570905</v>
      </c>
      <c r="L351" s="160" t="s">
        <v>593</v>
      </c>
      <c r="M351" s="159" t="s">
        <v>593</v>
      </c>
      <c r="N351" s="159">
        <f>IF(bargiri[[#This Row],[مبلغ واریزی]]&lt;&gt;"",bargiri[[#This Row],[مانده مبلغ]]-bargiri[[#This Row],[مبلغ واریزی]],bargiri[[#This Row],[مانده مبلغ]])</f>
        <v>935233652.88570905</v>
      </c>
      <c r="O351" s="159" t="s">
        <v>593</v>
      </c>
      <c r="P351" s="159">
        <f>VLOOKUP(bargiri[[#This Row],[شماره سند مبنا]],invoice[[شماره پیش فاکتور]:[پیش دریافت به ازای هر کیلوگرم]],14,0)</f>
        <v>32818.251598191426</v>
      </c>
      <c r="Q351" s="159">
        <f>IF(bargiri[[#This Row],[مبلغ ناخالص]]-(bargiri[[#This Row],[نرخ استهلاک]]*bargiri[[#This Row],[مقدار]])&lt;0,0,bargiri[[#This Row],[مبلغ ناخالص]]-(bargiri[[#This Row],[نرخ استهلاک]]*bargiri[[#This Row],[مقدار]]))</f>
        <v>827597652.88570905</v>
      </c>
    </row>
    <row r="352" spans="1:17" s="22" customFormat="1" ht="13.8" x14ac:dyDescent="0.25">
      <c r="A352" s="22">
        <v>1132</v>
      </c>
      <c r="B352" s="22" t="s">
        <v>979</v>
      </c>
      <c r="C352" s="22" t="s">
        <v>709</v>
      </c>
      <c r="D352" s="22" t="s">
        <v>43</v>
      </c>
      <c r="E352" s="158">
        <v>8830</v>
      </c>
      <c r="F352" s="159">
        <v>111000</v>
      </c>
      <c r="G352" s="159">
        <v>980130000</v>
      </c>
      <c r="H352" s="159">
        <v>98013000</v>
      </c>
      <c r="I352" s="159">
        <v>1078143000</v>
      </c>
      <c r="J352" s="159">
        <f>bargiri[[#This Row],[مقدار]]*INDEX(invoice[پیش دریافت به ازای هر کیلوگرم],MATCH(bargiri[[#This Row],[شماره سند مبنا]],invoice[شماره پیش فاکتور],0))</f>
        <v>754700100</v>
      </c>
      <c r="K352" s="159">
        <f>bargiri[[#This Row],[مبلغ خالص]]-bargiri[[#This Row],[میزان استهلاک پیش دریافتی]]</f>
        <v>323442900</v>
      </c>
      <c r="L352" s="160" t="s">
        <v>593</v>
      </c>
      <c r="M352" s="159" t="s">
        <v>593</v>
      </c>
      <c r="N352" s="159">
        <f>IF(bargiri[[#This Row],[مبلغ واریزی]]&lt;&gt;"",bargiri[[#This Row],[مانده مبلغ]]-bargiri[[#This Row],[مبلغ واریزی]],bargiri[[#This Row],[مانده مبلغ]])</f>
        <v>323442900</v>
      </c>
      <c r="O352" s="159" t="s">
        <v>593</v>
      </c>
      <c r="P352" s="159">
        <f>VLOOKUP(bargiri[[#This Row],[شماره سند مبنا]],invoice[[شماره پیش فاکتور]:[پیش دریافت به ازای هر کیلوگرم]],14,0)</f>
        <v>85470</v>
      </c>
      <c r="Q352" s="159">
        <f>IF(bargiri[[#This Row],[مبلغ ناخالص]]-(bargiri[[#This Row],[نرخ استهلاک]]*bargiri[[#This Row],[مقدار]])&lt;0,0,bargiri[[#This Row],[مبلغ ناخالص]]-(bargiri[[#This Row],[نرخ استهلاک]]*bargiri[[#This Row],[مقدار]]))</f>
        <v>225429900</v>
      </c>
    </row>
    <row r="353" spans="1:17" s="22" customFormat="1" ht="13.8" x14ac:dyDescent="0.25">
      <c r="A353" s="22">
        <v>1131</v>
      </c>
      <c r="B353" s="22" t="s">
        <v>979</v>
      </c>
      <c r="C353" s="22" t="s">
        <v>605</v>
      </c>
      <c r="D353" s="22" t="s">
        <v>70</v>
      </c>
      <c r="E353" s="158">
        <v>20260</v>
      </c>
      <c r="F353" s="159">
        <v>142000</v>
      </c>
      <c r="G353" s="159">
        <v>2876920000</v>
      </c>
      <c r="H353" s="159">
        <v>287692000</v>
      </c>
      <c r="I353" s="159">
        <v>3164612000</v>
      </c>
      <c r="J353" s="159">
        <f>bargiri[[#This Row],[مقدار]]*INDEX(invoice[پیش دریافت به ازای هر کیلوگرم],MATCH(bargiri[[#This Row],[شماره سند مبنا]],invoice[شماره پیش فاکتور],0))</f>
        <v>474691800</v>
      </c>
      <c r="K353" s="159">
        <f>bargiri[[#This Row],[مبلغ خالص]]-bargiri[[#This Row],[میزان استهلاک پیش دریافتی]]</f>
        <v>2689920200</v>
      </c>
      <c r="L353" s="160" t="s">
        <v>296</v>
      </c>
      <c r="M353" s="159">
        <v>1543451250</v>
      </c>
      <c r="N353" s="159">
        <f>IF(bargiri[[#This Row],[مبلغ واریزی]]&lt;&gt;"",bargiri[[#This Row],[مانده مبلغ]]-bargiri[[#This Row],[مبلغ واریزی]],bargiri[[#This Row],[مانده مبلغ]])</f>
        <v>1146468950</v>
      </c>
      <c r="O353" s="159">
        <v>0</v>
      </c>
      <c r="P353" s="159">
        <f>VLOOKUP(bargiri[[#This Row],[شماره سند مبنا]],invoice[[شماره پیش فاکتور]:[پیش دریافت به ازای هر کیلوگرم]],14,0)</f>
        <v>23430</v>
      </c>
      <c r="Q353" s="159">
        <f>IF(bargiri[[#This Row],[مبلغ ناخالص]]-(bargiri[[#This Row],[نرخ استهلاک]]*bargiri[[#This Row],[مقدار]])&lt;0,0,bargiri[[#This Row],[مبلغ ناخالص]]-(bargiri[[#This Row],[نرخ استهلاک]]*bargiri[[#This Row],[مقدار]]))</f>
        <v>2402228200</v>
      </c>
    </row>
    <row r="354" spans="1:17" s="22" customFormat="1" ht="13.8" x14ac:dyDescent="0.25">
      <c r="A354" s="22">
        <v>1130</v>
      </c>
      <c r="B354" s="22" t="s">
        <v>979</v>
      </c>
      <c r="C354" s="22" t="s">
        <v>709</v>
      </c>
      <c r="D354" s="22" t="s">
        <v>43</v>
      </c>
      <c r="E354" s="158">
        <v>22240</v>
      </c>
      <c r="F354" s="159">
        <v>111000</v>
      </c>
      <c r="G354" s="159">
        <v>2468640000</v>
      </c>
      <c r="H354" s="159">
        <v>246864000</v>
      </c>
      <c r="I354" s="159">
        <v>2715504000</v>
      </c>
      <c r="J354" s="159">
        <f>bargiri[[#This Row],[مقدار]]*INDEX(invoice[پیش دریافت به ازای هر کیلوگرم],MATCH(bargiri[[#This Row],[شماره سند مبنا]],invoice[شماره پیش فاکتور],0))</f>
        <v>1900852800</v>
      </c>
      <c r="K354" s="159">
        <f>bargiri[[#This Row],[مبلغ خالص]]-bargiri[[#This Row],[میزان استهلاک پیش دریافتی]]</f>
        <v>814651200</v>
      </c>
      <c r="L354" s="160" t="s">
        <v>201</v>
      </c>
      <c r="M354" s="159">
        <v>1133772500</v>
      </c>
      <c r="N354" s="159">
        <f>IF(bargiri[[#This Row],[مبلغ واریزی]]&lt;&gt;"",bargiri[[#This Row],[مانده مبلغ]]-bargiri[[#This Row],[مبلغ واریزی]],bargiri[[#This Row],[مانده مبلغ]])</f>
        <v>-319121300</v>
      </c>
      <c r="O354" s="159">
        <v>0</v>
      </c>
      <c r="P354" s="159">
        <f>VLOOKUP(bargiri[[#This Row],[شماره سند مبنا]],invoice[[شماره پیش فاکتور]:[پیش دریافت به ازای هر کیلوگرم]],14,0)</f>
        <v>85470</v>
      </c>
      <c r="Q354" s="159">
        <f>IF(bargiri[[#This Row],[مبلغ ناخالص]]-(bargiri[[#This Row],[نرخ استهلاک]]*bargiri[[#This Row],[مقدار]])&lt;0,0,bargiri[[#This Row],[مبلغ ناخالص]]-(bargiri[[#This Row],[نرخ استهلاک]]*bargiri[[#This Row],[مقدار]]))</f>
        <v>567787200</v>
      </c>
    </row>
    <row r="355" spans="1:17" s="22" customFormat="1" ht="13.8" x14ac:dyDescent="0.25">
      <c r="A355" s="22">
        <v>1129</v>
      </c>
      <c r="B355" s="22" t="s">
        <v>979</v>
      </c>
      <c r="C355" s="22" t="s">
        <v>709</v>
      </c>
      <c r="D355" s="22" t="s">
        <v>43</v>
      </c>
      <c r="E355" s="158">
        <v>5580</v>
      </c>
      <c r="F355" s="159">
        <v>111000</v>
      </c>
      <c r="G355" s="159">
        <v>619380000</v>
      </c>
      <c r="H355" s="159">
        <v>61938000</v>
      </c>
      <c r="I355" s="159">
        <v>681318000</v>
      </c>
      <c r="J355" s="159">
        <f>bargiri[[#This Row],[مقدار]]*INDEX(invoice[پیش دریافت به ازای هر کیلوگرم],MATCH(bargiri[[#This Row],[شماره سند مبنا]],invoice[شماره پیش فاکتور],0))</f>
        <v>476922600</v>
      </c>
      <c r="K355" s="159">
        <f>bargiri[[#This Row],[مبلغ خالص]]-bargiri[[#This Row],[میزان استهلاک پیش دریافتی]]</f>
        <v>204395400</v>
      </c>
      <c r="L355" s="160" t="s">
        <v>593</v>
      </c>
      <c r="M355" s="159" t="s">
        <v>593</v>
      </c>
      <c r="N355" s="159">
        <f>IF(bargiri[[#This Row],[مبلغ واریزی]]&lt;&gt;"",bargiri[[#This Row],[مانده مبلغ]]-bargiri[[#This Row],[مبلغ واریزی]],bargiri[[#This Row],[مانده مبلغ]])</f>
        <v>204395400</v>
      </c>
      <c r="O355" s="159" t="s">
        <v>593</v>
      </c>
      <c r="P355" s="159">
        <f>VLOOKUP(bargiri[[#This Row],[شماره سند مبنا]],invoice[[شماره پیش فاکتور]:[پیش دریافت به ازای هر کیلوگرم]],14,0)</f>
        <v>85470</v>
      </c>
      <c r="Q355" s="159">
        <f>IF(bargiri[[#This Row],[مبلغ ناخالص]]-(bargiri[[#This Row],[نرخ استهلاک]]*bargiri[[#This Row],[مقدار]])&lt;0,0,bargiri[[#This Row],[مبلغ ناخالص]]-(bargiri[[#This Row],[نرخ استهلاک]]*bargiri[[#This Row],[مقدار]]))</f>
        <v>142457400</v>
      </c>
    </row>
    <row r="356" spans="1:17" s="22" customFormat="1" ht="13.8" x14ac:dyDescent="0.25">
      <c r="A356" s="22">
        <v>1128</v>
      </c>
      <c r="B356" s="22" t="s">
        <v>967</v>
      </c>
      <c r="C356" s="22" t="s">
        <v>709</v>
      </c>
      <c r="D356" s="22" t="s">
        <v>43</v>
      </c>
      <c r="E356" s="158">
        <v>5630</v>
      </c>
      <c r="F356" s="159">
        <v>111000</v>
      </c>
      <c r="G356" s="159">
        <v>624930000</v>
      </c>
      <c r="H356" s="159">
        <v>62493000</v>
      </c>
      <c r="I356" s="159">
        <v>687423000</v>
      </c>
      <c r="J356" s="159">
        <f>bargiri[[#This Row],[مقدار]]*INDEX(invoice[پیش دریافت به ازای هر کیلوگرم],MATCH(bargiri[[#This Row],[شماره سند مبنا]],invoice[شماره پیش فاکتور],0))</f>
        <v>481196100</v>
      </c>
      <c r="K356" s="159">
        <f>bargiri[[#This Row],[مبلغ خالص]]-bargiri[[#This Row],[میزان استهلاک پیش دریافتی]]</f>
        <v>206226900</v>
      </c>
      <c r="L356" s="160" t="s">
        <v>190</v>
      </c>
      <c r="M356" s="159">
        <v>1133177500</v>
      </c>
      <c r="N356" s="159">
        <f>IF(bargiri[[#This Row],[مبلغ واریزی]]&lt;&gt;"",bargiri[[#This Row],[مانده مبلغ]]-bargiri[[#This Row],[مبلغ واریزی]],bargiri[[#This Row],[مانده مبلغ]])</f>
        <v>-926950600</v>
      </c>
      <c r="O356" s="159">
        <v>0</v>
      </c>
      <c r="P356" s="159">
        <f>VLOOKUP(bargiri[[#This Row],[شماره سند مبنا]],invoice[[شماره پیش فاکتور]:[پیش دریافت به ازای هر کیلوگرم]],14,0)</f>
        <v>85470</v>
      </c>
      <c r="Q356" s="159">
        <f>IF(bargiri[[#This Row],[مبلغ ناخالص]]-(bargiri[[#This Row],[نرخ استهلاک]]*bargiri[[#This Row],[مقدار]])&lt;0,0,bargiri[[#This Row],[مبلغ ناخالص]]-(bargiri[[#This Row],[نرخ استهلاک]]*bargiri[[#This Row],[مقدار]]))</f>
        <v>143733900</v>
      </c>
    </row>
    <row r="357" spans="1:17" s="22" customFormat="1" ht="13.8" x14ac:dyDescent="0.25">
      <c r="A357" s="22">
        <v>1127</v>
      </c>
      <c r="B357" s="22" t="s">
        <v>967</v>
      </c>
      <c r="C357" s="22" t="s">
        <v>461</v>
      </c>
      <c r="D357" s="22" t="s">
        <v>35</v>
      </c>
      <c r="E357" s="158">
        <v>7270</v>
      </c>
      <c r="F357" s="159">
        <v>142000</v>
      </c>
      <c r="G357" s="159">
        <v>1032340000</v>
      </c>
      <c r="H357" s="159">
        <v>103234000</v>
      </c>
      <c r="I357" s="159">
        <v>1135574000</v>
      </c>
      <c r="J357" s="159">
        <f>bargiri[[#This Row],[مقدار]]*INDEX(invoice[پیش دریافت به ازای هر کیلوگرم],MATCH(bargiri[[#This Row],[شماره سند مبنا]],invoice[شماره پیش فاکتور],0))</f>
        <v>238588689.11885166</v>
      </c>
      <c r="K357" s="159">
        <f>bargiri[[#This Row],[مبلغ خالص]]-bargiri[[#This Row],[میزان استهلاک پیش دریافتی]]</f>
        <v>896985310.88114834</v>
      </c>
      <c r="L357" s="160" t="s">
        <v>593</v>
      </c>
      <c r="M357" s="159" t="s">
        <v>593</v>
      </c>
      <c r="N357" s="159">
        <f>IF(bargiri[[#This Row],[مبلغ واریزی]]&lt;&gt;"",bargiri[[#This Row],[مانده مبلغ]]-bargiri[[#This Row],[مبلغ واریزی]],bargiri[[#This Row],[مانده مبلغ]])</f>
        <v>896985310.88114834</v>
      </c>
      <c r="O357" s="159" t="s">
        <v>593</v>
      </c>
      <c r="P357" s="159">
        <f>VLOOKUP(bargiri[[#This Row],[شماره سند مبنا]],invoice[[شماره پیش فاکتور]:[پیش دریافت به ازای هر کیلوگرم]],14,0)</f>
        <v>32818.251598191426</v>
      </c>
      <c r="Q357" s="159">
        <f>IF(bargiri[[#This Row],[مبلغ ناخالص]]-(bargiri[[#This Row],[نرخ استهلاک]]*bargiri[[#This Row],[مقدار]])&lt;0,0,bargiri[[#This Row],[مبلغ ناخالص]]-(bargiri[[#This Row],[نرخ استهلاک]]*bargiri[[#This Row],[مقدار]]))</f>
        <v>793751310.88114834</v>
      </c>
    </row>
    <row r="358" spans="1:17" s="22" customFormat="1" ht="13.8" x14ac:dyDescent="0.25">
      <c r="A358" s="22">
        <v>1126</v>
      </c>
      <c r="B358" s="22" t="s">
        <v>967</v>
      </c>
      <c r="C358" s="22" t="s">
        <v>456</v>
      </c>
      <c r="D358" s="22" t="s">
        <v>213</v>
      </c>
      <c r="E358" s="158">
        <v>7030</v>
      </c>
      <c r="F358" s="159">
        <v>142000</v>
      </c>
      <c r="G358" s="159">
        <v>998260000</v>
      </c>
      <c r="H358" s="159">
        <v>99826000</v>
      </c>
      <c r="I358" s="159">
        <v>1098086000</v>
      </c>
      <c r="J358" s="159">
        <f>bargiri[[#This Row],[مقدار]]*INDEX(invoice[پیش دریافت به ازای هر کیلوگرم],MATCH(bargiri[[#This Row],[شماره سند مبنا]],invoice[شماره پیش فاکتور],0))</f>
        <v>834208895.34592879</v>
      </c>
      <c r="K358" s="159">
        <f>bargiri[[#This Row],[مبلغ خالص]]-bargiri[[#This Row],[میزان استهلاک پیش دریافتی]]</f>
        <v>263877104.65407121</v>
      </c>
      <c r="L358" s="160" t="s">
        <v>593</v>
      </c>
      <c r="M358" s="159" t="s">
        <v>593</v>
      </c>
      <c r="N358" s="159">
        <f>IF(bargiri[[#This Row],[مبلغ واریزی]]&lt;&gt;"",bargiri[[#This Row],[مانده مبلغ]]-bargiri[[#This Row],[مبلغ واریزی]],bargiri[[#This Row],[مانده مبلغ]])</f>
        <v>263877104.65407121</v>
      </c>
      <c r="O358" s="159" t="s">
        <v>593</v>
      </c>
      <c r="P358" s="159">
        <f>VLOOKUP(bargiri[[#This Row],[شماره سند مبنا]],invoice[[شماره پیش فاکتور]:[پیش دریافت به ازای هر کیلوگرم]],14,0)</f>
        <v>118664.13874053041</v>
      </c>
      <c r="Q358" s="159">
        <f>IF(bargiri[[#This Row],[مبلغ ناخالص]]-(bargiri[[#This Row],[نرخ استهلاک]]*bargiri[[#This Row],[مقدار]])&lt;0,0,bargiri[[#This Row],[مبلغ ناخالص]]-(bargiri[[#This Row],[نرخ استهلاک]]*bargiri[[#This Row],[مقدار]]))</f>
        <v>164051104.65407121</v>
      </c>
    </row>
    <row r="359" spans="1:17" s="22" customFormat="1" ht="13.8" x14ac:dyDescent="0.25">
      <c r="A359" s="22">
        <v>1125</v>
      </c>
      <c r="B359" s="22" t="s">
        <v>906</v>
      </c>
      <c r="C359" s="22" t="s">
        <v>709</v>
      </c>
      <c r="D359" s="22" t="s">
        <v>43</v>
      </c>
      <c r="E359" s="158">
        <v>22280</v>
      </c>
      <c r="F359" s="159">
        <v>111000</v>
      </c>
      <c r="G359" s="159">
        <v>2473080000</v>
      </c>
      <c r="H359" s="159">
        <v>247308000</v>
      </c>
      <c r="I359" s="159">
        <v>2720388000</v>
      </c>
      <c r="J359" s="159">
        <f>bargiri[[#This Row],[مقدار]]*INDEX(invoice[پیش دریافت به ازای هر کیلوگرم],MATCH(bargiri[[#This Row],[شماره سند مبنا]],invoice[شماره پیش فاکتور],0))</f>
        <v>1904271600</v>
      </c>
      <c r="K359" s="159">
        <f>bargiri[[#This Row],[مبلغ خالص]]-bargiri[[#This Row],[میزان استهلاک پیش دریافتی]]</f>
        <v>816116400</v>
      </c>
      <c r="L359" s="160" t="s">
        <v>593</v>
      </c>
      <c r="M359" s="159" t="s">
        <v>593</v>
      </c>
      <c r="N359" s="159">
        <f>IF(bargiri[[#This Row],[مبلغ واریزی]]&lt;&gt;"",bargiri[[#This Row],[مانده مبلغ]]-bargiri[[#This Row],[مبلغ واریزی]],bargiri[[#This Row],[مانده مبلغ]])</f>
        <v>816116400</v>
      </c>
      <c r="O359" s="159" t="s">
        <v>593</v>
      </c>
      <c r="P359" s="159">
        <f>VLOOKUP(bargiri[[#This Row],[شماره سند مبنا]],invoice[[شماره پیش فاکتور]:[پیش دریافت به ازای هر کیلوگرم]],14,0)</f>
        <v>85470</v>
      </c>
      <c r="Q359" s="159">
        <f>IF(bargiri[[#This Row],[مبلغ ناخالص]]-(bargiri[[#This Row],[نرخ استهلاک]]*bargiri[[#This Row],[مقدار]])&lt;0,0,bargiri[[#This Row],[مبلغ ناخالص]]-(bargiri[[#This Row],[نرخ استهلاک]]*bargiri[[#This Row],[مقدار]]))</f>
        <v>568808400</v>
      </c>
    </row>
    <row r="360" spans="1:17" s="22" customFormat="1" ht="13.8" x14ac:dyDescent="0.25">
      <c r="A360" s="22">
        <v>1124</v>
      </c>
      <c r="B360" s="22" t="s">
        <v>906</v>
      </c>
      <c r="C360" s="22" t="s">
        <v>682</v>
      </c>
      <c r="D360" s="22" t="s">
        <v>219</v>
      </c>
      <c r="E360" s="158">
        <v>18090</v>
      </c>
      <c r="F360" s="159">
        <v>167500</v>
      </c>
      <c r="G360" s="159">
        <v>3030075000</v>
      </c>
      <c r="H360" s="159">
        <v>303007500</v>
      </c>
      <c r="I360" s="159">
        <v>3333082500</v>
      </c>
      <c r="J360" s="159">
        <f>bargiri[[#This Row],[مقدار]]*INDEX(invoice[پیش دریافت به ازای هر کیلوگرم],MATCH(bargiri[[#This Row],[شماره سند مبنا]],invoice[شماره پیش فاکتور],0))</f>
        <v>3333082500</v>
      </c>
      <c r="K360" s="159">
        <f>bargiri[[#This Row],[مبلغ خالص]]-bargiri[[#This Row],[میزان استهلاک پیش دریافتی]]</f>
        <v>0</v>
      </c>
      <c r="L360" s="160" t="s">
        <v>593</v>
      </c>
      <c r="M360" s="159" t="s">
        <v>593</v>
      </c>
      <c r="N360" s="159">
        <f>IF(bargiri[[#This Row],[مبلغ واریزی]]&lt;&gt;"",bargiri[[#This Row],[مانده مبلغ]]-bargiri[[#This Row],[مبلغ واریزی]],bargiri[[#This Row],[مانده مبلغ]])</f>
        <v>0</v>
      </c>
      <c r="O360" s="159" t="s">
        <v>593</v>
      </c>
      <c r="P360" s="159">
        <f>VLOOKUP(bargiri[[#This Row],[شماره سند مبنا]],invoice[[شماره پیش فاکتور]:[پیش دریافت به ازای هر کیلوگرم]],14,0)</f>
        <v>184250</v>
      </c>
      <c r="Q360" s="159">
        <f>IF(bargiri[[#This Row],[مبلغ ناخالص]]-(bargiri[[#This Row],[نرخ استهلاک]]*bargiri[[#This Row],[مقدار]])&lt;0,0,bargiri[[#This Row],[مبلغ ناخالص]]-(bargiri[[#This Row],[نرخ استهلاک]]*bargiri[[#This Row],[مقدار]]))</f>
        <v>0</v>
      </c>
    </row>
    <row r="361" spans="1:17" s="22" customFormat="1" ht="13.8" x14ac:dyDescent="0.25">
      <c r="A361" s="22">
        <v>1123</v>
      </c>
      <c r="B361" s="22" t="s">
        <v>906</v>
      </c>
      <c r="C361" s="22" t="s">
        <v>461</v>
      </c>
      <c r="D361" s="22" t="s">
        <v>35</v>
      </c>
      <c r="E361" s="158">
        <v>20055</v>
      </c>
      <c r="F361" s="159">
        <v>142000</v>
      </c>
      <c r="G361" s="159">
        <v>2847810000</v>
      </c>
      <c r="H361" s="159">
        <v>284781000</v>
      </c>
      <c r="I361" s="159">
        <v>3132591000</v>
      </c>
      <c r="J361" s="159">
        <f>bargiri[[#This Row],[مقدار]]*INDEX(invoice[پیش دریافت به ازای هر کیلوگرم],MATCH(bargiri[[#This Row],[شماره سند مبنا]],invoice[شماره پیش فاکتور],0))</f>
        <v>658170035.80172908</v>
      </c>
      <c r="K361" s="159">
        <f>bargiri[[#This Row],[مبلغ خالص]]-bargiri[[#This Row],[میزان استهلاک پیش دریافتی]]</f>
        <v>2474420964.1982708</v>
      </c>
      <c r="L361" s="160" t="s">
        <v>254</v>
      </c>
      <c r="M361" s="159">
        <v>1069810000</v>
      </c>
      <c r="N361" s="159">
        <f>IF(bargiri[[#This Row],[مبلغ واریزی]]&lt;&gt;"",bargiri[[#This Row],[مانده مبلغ]]-bargiri[[#This Row],[مبلغ واریزی]],bargiri[[#This Row],[مانده مبلغ]])</f>
        <v>1404610964.1982708</v>
      </c>
      <c r="O361" s="159">
        <v>0</v>
      </c>
      <c r="P361" s="159">
        <f>VLOOKUP(bargiri[[#This Row],[شماره سند مبنا]],invoice[[شماره پیش فاکتور]:[پیش دریافت به ازای هر کیلوگرم]],14,0)</f>
        <v>32818.251598191426</v>
      </c>
      <c r="Q361" s="159">
        <f>IF(bargiri[[#This Row],[مبلغ ناخالص]]-(bargiri[[#This Row],[نرخ استهلاک]]*bargiri[[#This Row],[مقدار]])&lt;0,0,bargiri[[#This Row],[مبلغ ناخالص]]-(bargiri[[#This Row],[نرخ استهلاک]]*bargiri[[#This Row],[مقدار]]))</f>
        <v>2189639964.1982708</v>
      </c>
    </row>
    <row r="362" spans="1:17" s="22" customFormat="1" ht="13.8" x14ac:dyDescent="0.25">
      <c r="A362" s="22">
        <v>1122</v>
      </c>
      <c r="B362" s="22" t="s">
        <v>906</v>
      </c>
      <c r="C362" s="22" t="s">
        <v>709</v>
      </c>
      <c r="D362" s="22" t="s">
        <v>43</v>
      </c>
      <c r="E362" s="158">
        <v>16230</v>
      </c>
      <c r="F362" s="159">
        <v>111000</v>
      </c>
      <c r="G362" s="159">
        <v>1801530000</v>
      </c>
      <c r="H362" s="159">
        <v>180153000</v>
      </c>
      <c r="I362" s="159">
        <v>1981683000</v>
      </c>
      <c r="J362" s="159">
        <f>bargiri[[#This Row],[مقدار]]*INDEX(invoice[پیش دریافت به ازای هر کیلوگرم],MATCH(bargiri[[#This Row],[شماره سند مبنا]],invoice[شماره پیش فاکتور],0))</f>
        <v>1387178100</v>
      </c>
      <c r="K362" s="159">
        <f>bargiri[[#This Row],[مبلغ خالص]]-bargiri[[#This Row],[میزان استهلاک پیش دریافتی]]</f>
        <v>594504900</v>
      </c>
      <c r="L362" s="160" t="s">
        <v>593</v>
      </c>
      <c r="M362" s="159" t="s">
        <v>593</v>
      </c>
      <c r="N362" s="159">
        <f>IF(bargiri[[#This Row],[مبلغ واریزی]]&lt;&gt;"",bargiri[[#This Row],[مانده مبلغ]]-bargiri[[#This Row],[مبلغ واریزی]],bargiri[[#This Row],[مانده مبلغ]])</f>
        <v>594504900</v>
      </c>
      <c r="O362" s="159" t="s">
        <v>593</v>
      </c>
      <c r="P362" s="159">
        <f>VLOOKUP(bargiri[[#This Row],[شماره سند مبنا]],invoice[[شماره پیش فاکتور]:[پیش دریافت به ازای هر کیلوگرم]],14,0)</f>
        <v>85470</v>
      </c>
      <c r="Q362" s="159">
        <f>IF(bargiri[[#This Row],[مبلغ ناخالص]]-(bargiri[[#This Row],[نرخ استهلاک]]*bargiri[[#This Row],[مقدار]])&lt;0,0,bargiri[[#This Row],[مبلغ ناخالص]]-(bargiri[[#This Row],[نرخ استهلاک]]*bargiri[[#This Row],[مقدار]]))</f>
        <v>414351900</v>
      </c>
    </row>
    <row r="363" spans="1:17" s="22" customFormat="1" ht="13.8" x14ac:dyDescent="0.25">
      <c r="A363" s="22">
        <v>1121</v>
      </c>
      <c r="B363" s="22" t="s">
        <v>906</v>
      </c>
      <c r="C363" s="22" t="s">
        <v>463</v>
      </c>
      <c r="D363" s="22" t="s">
        <v>207</v>
      </c>
      <c r="E363" s="158">
        <v>6525</v>
      </c>
      <c r="F363" s="159">
        <v>142000</v>
      </c>
      <c r="G363" s="159">
        <v>926550000</v>
      </c>
      <c r="H363" s="159">
        <v>92655000</v>
      </c>
      <c r="I363" s="159">
        <v>1019205000</v>
      </c>
      <c r="J363" s="159">
        <f>bargiri[[#This Row],[مقدار]]*INDEX(invoice[پیش دریافت به ازای هر کیلوگرم],MATCH(bargiri[[#This Row],[شماره سند مبنا]],invoice[شماره پیش فاکتور],0))</f>
        <v>196445713.06068602</v>
      </c>
      <c r="K363" s="159">
        <f>bargiri[[#This Row],[مبلغ خالص]]-bargiri[[#This Row],[میزان استهلاک پیش دریافتی]]</f>
        <v>822759286.93931401</v>
      </c>
      <c r="L363" s="160" t="s">
        <v>593</v>
      </c>
      <c r="M363" s="159" t="s">
        <v>593</v>
      </c>
      <c r="N363" s="159">
        <f>IF(bargiri[[#This Row],[مبلغ واریزی]]&lt;&gt;"",bargiri[[#This Row],[مانده مبلغ]]-bargiri[[#This Row],[مبلغ واریزی]],bargiri[[#This Row],[مانده مبلغ]])</f>
        <v>822759286.93931401</v>
      </c>
      <c r="O363" s="159" t="s">
        <v>593</v>
      </c>
      <c r="P363" s="159">
        <f>VLOOKUP(bargiri[[#This Row],[شماره سند مبنا]],invoice[[شماره پیش فاکتور]:[پیش دریافت به ازای هر کیلوگرم]],14,0)</f>
        <v>30106.622691292876</v>
      </c>
      <c r="Q363" s="159">
        <f>IF(bargiri[[#This Row],[مبلغ ناخالص]]-(bargiri[[#This Row],[نرخ استهلاک]]*bargiri[[#This Row],[مقدار]])&lt;0,0,bargiri[[#This Row],[مبلغ ناخالص]]-(bargiri[[#This Row],[نرخ استهلاک]]*bargiri[[#This Row],[مقدار]]))</f>
        <v>730104286.93931401</v>
      </c>
    </row>
    <row r="364" spans="1:17" s="22" customFormat="1" ht="13.8" x14ac:dyDescent="0.25">
      <c r="A364" s="22">
        <v>1120</v>
      </c>
      <c r="B364" s="22" t="s">
        <v>905</v>
      </c>
      <c r="C364" s="22" t="s">
        <v>889</v>
      </c>
      <c r="D364" s="22" t="s">
        <v>40</v>
      </c>
      <c r="E364" s="158">
        <v>18270</v>
      </c>
      <c r="F364" s="159">
        <v>167500</v>
      </c>
      <c r="G364" s="159">
        <v>3060225000</v>
      </c>
      <c r="H364" s="159">
        <v>306022500</v>
      </c>
      <c r="I364" s="159">
        <v>3366247500</v>
      </c>
      <c r="J364" s="159">
        <f>bargiri[[#This Row],[مقدار]]*INDEX(invoice[پیش دریافت به ازای هر کیلوگرم],MATCH(bargiri[[#This Row],[شماره سند مبنا]],invoice[شماره پیش فاکتور],0))</f>
        <v>3366247500</v>
      </c>
      <c r="K364" s="159">
        <f>bargiri[[#This Row],[مبلغ خالص]]-bargiri[[#This Row],[میزان استهلاک پیش دریافتی]]</f>
        <v>0</v>
      </c>
      <c r="L364" s="160" t="s">
        <v>210</v>
      </c>
      <c r="M364" s="159">
        <v>576000000</v>
      </c>
      <c r="N364" s="159">
        <f>IF(bargiri[[#This Row],[مبلغ واریزی]]&lt;&gt;"",bargiri[[#This Row],[مانده مبلغ]]-bargiri[[#This Row],[مبلغ واریزی]],bargiri[[#This Row],[مانده مبلغ]])</f>
        <v>-576000000</v>
      </c>
      <c r="O364" s="159">
        <v>0</v>
      </c>
      <c r="P364" s="159">
        <f>VLOOKUP(bargiri[[#This Row],[شماره سند مبنا]],invoice[[شماره پیش فاکتور]:[پیش دریافت به ازای هر کیلوگرم]],14,0)</f>
        <v>184250</v>
      </c>
      <c r="Q364" s="159">
        <f>IF(bargiri[[#This Row],[مبلغ ناخالص]]-(bargiri[[#This Row],[نرخ استهلاک]]*bargiri[[#This Row],[مقدار]])&lt;0,0,bargiri[[#This Row],[مبلغ ناخالص]]-(bargiri[[#This Row],[نرخ استهلاک]]*bargiri[[#This Row],[مقدار]]))</f>
        <v>0</v>
      </c>
    </row>
    <row r="365" spans="1:17" s="22" customFormat="1" ht="13.8" x14ac:dyDescent="0.25">
      <c r="A365" s="22">
        <v>1119</v>
      </c>
      <c r="B365" s="22" t="s">
        <v>905</v>
      </c>
      <c r="C365" s="22" t="s">
        <v>741</v>
      </c>
      <c r="D365" s="22" t="s">
        <v>25</v>
      </c>
      <c r="E365" s="158">
        <v>22820</v>
      </c>
      <c r="F365" s="159">
        <v>167500</v>
      </c>
      <c r="G365" s="159">
        <v>3822350000</v>
      </c>
      <c r="H365" s="159">
        <v>382235000</v>
      </c>
      <c r="I365" s="159">
        <v>4204585000</v>
      </c>
      <c r="J365" s="159">
        <f>bargiri[[#This Row],[مقدار]]*INDEX(invoice[پیش دریافت به ازای هر کیلوگرم],MATCH(bargiri[[#This Row],[شماره سند مبنا]],invoice[شماره پیش فاکتور],0))</f>
        <v>4204585000</v>
      </c>
      <c r="K365" s="159">
        <f>bargiri[[#This Row],[مبلغ خالص]]-bargiri[[#This Row],[میزان استهلاک پیش دریافتی]]</f>
        <v>0</v>
      </c>
      <c r="L365" s="160" t="s">
        <v>593</v>
      </c>
      <c r="M365" s="159" t="s">
        <v>593</v>
      </c>
      <c r="N365" s="159">
        <f>IF(bargiri[[#This Row],[مبلغ واریزی]]&lt;&gt;"",bargiri[[#This Row],[مانده مبلغ]]-bargiri[[#This Row],[مبلغ واریزی]],bargiri[[#This Row],[مانده مبلغ]])</f>
        <v>0</v>
      </c>
      <c r="O365" s="159" t="s">
        <v>593</v>
      </c>
      <c r="P365" s="159">
        <f>VLOOKUP(bargiri[[#This Row],[شماره سند مبنا]],invoice[[شماره پیش فاکتور]:[پیش دریافت به ازای هر کیلوگرم]],14,0)</f>
        <v>184250</v>
      </c>
      <c r="Q365" s="159">
        <f>IF(bargiri[[#This Row],[مبلغ ناخالص]]-(bargiri[[#This Row],[نرخ استهلاک]]*bargiri[[#This Row],[مقدار]])&lt;0,0,bargiri[[#This Row],[مبلغ ناخالص]]-(bargiri[[#This Row],[نرخ استهلاک]]*bargiri[[#This Row],[مقدار]]))</f>
        <v>0</v>
      </c>
    </row>
    <row r="366" spans="1:17" s="22" customFormat="1" ht="13.8" x14ac:dyDescent="0.25">
      <c r="A366" s="22">
        <v>1118</v>
      </c>
      <c r="B366" s="22" t="s">
        <v>905</v>
      </c>
      <c r="C366" s="22" t="s">
        <v>742</v>
      </c>
      <c r="D366" s="22" t="s">
        <v>67</v>
      </c>
      <c r="E366" s="158">
        <v>3365</v>
      </c>
      <c r="F366" s="159">
        <v>167500</v>
      </c>
      <c r="G366" s="159">
        <v>563637500</v>
      </c>
      <c r="H366" s="159">
        <v>56363750</v>
      </c>
      <c r="I366" s="159">
        <v>620001250</v>
      </c>
      <c r="J366" s="159">
        <f>bargiri[[#This Row],[مقدار]]*INDEX(invoice[پیش دریافت به ازای هر کیلوگرم],MATCH(bargiri[[#This Row],[شماره سند مبنا]],invoice[شماره پیش فاکتور],0))</f>
        <v>620001250</v>
      </c>
      <c r="K366" s="159">
        <f>bargiri[[#This Row],[مبلغ خالص]]-bargiri[[#This Row],[میزان استهلاک پیش دریافتی]]</f>
        <v>0</v>
      </c>
      <c r="L366" s="160" t="s">
        <v>593</v>
      </c>
      <c r="M366" s="159" t="s">
        <v>593</v>
      </c>
      <c r="N366" s="159">
        <f>IF(bargiri[[#This Row],[مبلغ واریزی]]&lt;&gt;"",bargiri[[#This Row],[مانده مبلغ]]-bargiri[[#This Row],[مبلغ واریزی]],bargiri[[#This Row],[مانده مبلغ]])</f>
        <v>0</v>
      </c>
      <c r="O366" s="159" t="s">
        <v>593</v>
      </c>
      <c r="P366" s="159">
        <f>VLOOKUP(bargiri[[#This Row],[شماره سند مبنا]],invoice[[شماره پیش فاکتور]:[پیش دریافت به ازای هر کیلوگرم]],14,0)</f>
        <v>184250</v>
      </c>
      <c r="Q366" s="159">
        <f>IF(bargiri[[#This Row],[مبلغ ناخالص]]-(bargiri[[#This Row],[نرخ استهلاک]]*bargiri[[#This Row],[مقدار]])&lt;0,0,bargiri[[#This Row],[مبلغ ناخالص]]-(bargiri[[#This Row],[نرخ استهلاک]]*bargiri[[#This Row],[مقدار]]))</f>
        <v>0</v>
      </c>
    </row>
    <row r="367" spans="1:17" s="22" customFormat="1" ht="13.8" x14ac:dyDescent="0.25">
      <c r="A367" s="22">
        <v>1118</v>
      </c>
      <c r="B367" s="22" t="s">
        <v>905</v>
      </c>
      <c r="C367" s="22" t="s">
        <v>748</v>
      </c>
      <c r="D367" s="22" t="s">
        <v>67</v>
      </c>
      <c r="E367" s="158">
        <v>17875</v>
      </c>
      <c r="F367" s="159">
        <v>167500</v>
      </c>
      <c r="G367" s="159">
        <v>2994062500</v>
      </c>
      <c r="H367" s="159">
        <v>299406250</v>
      </c>
      <c r="I367" s="159">
        <v>3293468750</v>
      </c>
      <c r="J367" s="159">
        <f>bargiri[[#This Row],[مقدار]]*INDEX(invoice[پیش دریافت به ازای هر کیلوگرم],MATCH(bargiri[[#This Row],[شماره سند مبنا]],invoice[شماره پیش فاکتور],0))</f>
        <v>3293468750</v>
      </c>
      <c r="K367" s="159">
        <f>bargiri[[#This Row],[مبلغ خالص]]-bargiri[[#This Row],[میزان استهلاک پیش دریافتی]]</f>
        <v>0</v>
      </c>
      <c r="L367" s="160" t="s">
        <v>593</v>
      </c>
      <c r="M367" s="159" t="s">
        <v>593</v>
      </c>
      <c r="N367" s="159">
        <f>IF(bargiri[[#This Row],[مبلغ واریزی]]&lt;&gt;"",bargiri[[#This Row],[مانده مبلغ]]-bargiri[[#This Row],[مبلغ واریزی]],bargiri[[#This Row],[مانده مبلغ]])</f>
        <v>0</v>
      </c>
      <c r="O367" s="159" t="s">
        <v>593</v>
      </c>
      <c r="P367" s="159">
        <f>VLOOKUP(bargiri[[#This Row],[شماره سند مبنا]],invoice[[شماره پیش فاکتور]:[پیش دریافت به ازای هر کیلوگرم]],14,0)</f>
        <v>184250</v>
      </c>
      <c r="Q367" s="159">
        <f>IF(bargiri[[#This Row],[مبلغ ناخالص]]-(bargiri[[#This Row],[نرخ استهلاک]]*bargiri[[#This Row],[مقدار]])&lt;0,0,bargiri[[#This Row],[مبلغ ناخالص]]-(bargiri[[#This Row],[نرخ استهلاک]]*bargiri[[#This Row],[مقدار]]))</f>
        <v>0</v>
      </c>
    </row>
    <row r="368" spans="1:17" s="22" customFormat="1" ht="13.8" x14ac:dyDescent="0.25">
      <c r="A368" s="22">
        <v>1117</v>
      </c>
      <c r="B368" s="22" t="s">
        <v>968</v>
      </c>
      <c r="C368" s="22" t="s">
        <v>602</v>
      </c>
      <c r="D368" s="22" t="s">
        <v>30</v>
      </c>
      <c r="E368" s="158">
        <v>11580</v>
      </c>
      <c r="F368" s="159">
        <v>142000</v>
      </c>
      <c r="G368" s="159">
        <v>1644360000</v>
      </c>
      <c r="H368" s="159">
        <v>164436000</v>
      </c>
      <c r="I368" s="159">
        <v>1808796000</v>
      </c>
      <c r="J368" s="159">
        <f>bargiri[[#This Row],[مقدار]]*INDEX(invoice[پیش دریافت به ازای هر کیلوگرم],MATCH(bargiri[[#This Row],[شماره سند مبنا]],invoice[شماره پیش فاکتور],0))</f>
        <v>1310314809.0655077</v>
      </c>
      <c r="K368" s="159">
        <f>bargiri[[#This Row],[مبلغ خالص]]-bargiri[[#This Row],[میزان استهلاک پیش دریافتی]]</f>
        <v>498481190.93449235</v>
      </c>
      <c r="L368" s="160" t="s">
        <v>160</v>
      </c>
      <c r="M368" s="159">
        <v>1088850000</v>
      </c>
      <c r="N368" s="159">
        <f>IF(bargiri[[#This Row],[مبلغ واریزی]]&lt;&gt;"",bargiri[[#This Row],[مانده مبلغ]]-bargiri[[#This Row],[مبلغ واریزی]],bargiri[[#This Row],[مانده مبلغ]])</f>
        <v>-590368809.06550765</v>
      </c>
      <c r="O368" s="159">
        <v>0</v>
      </c>
      <c r="P368" s="159">
        <f>VLOOKUP(bargiri[[#This Row],[شماره سند مبنا]],invoice[[شماره پیش فاکتور]:[پیش دریافت به ازای هر کیلوگرم]],14,0)</f>
        <v>113153.2650315637</v>
      </c>
      <c r="Q368" s="159">
        <f>IF(bargiri[[#This Row],[مبلغ ناخالص]]-(bargiri[[#This Row],[نرخ استهلاک]]*bargiri[[#This Row],[مقدار]])&lt;0,0,bargiri[[#This Row],[مبلغ ناخالص]]-(bargiri[[#This Row],[نرخ استهلاک]]*bargiri[[#This Row],[مقدار]]))</f>
        <v>334045190.93449235</v>
      </c>
    </row>
    <row r="369" spans="1:17" s="22" customFormat="1" ht="13.8" x14ac:dyDescent="0.25">
      <c r="A369" s="22">
        <v>1116</v>
      </c>
      <c r="B369" s="22" t="s">
        <v>968</v>
      </c>
      <c r="C369" s="22" t="s">
        <v>189</v>
      </c>
      <c r="D369" s="22" t="s">
        <v>173</v>
      </c>
      <c r="E369" s="158">
        <v>23245</v>
      </c>
      <c r="F369" s="159">
        <v>75000</v>
      </c>
      <c r="G369" s="159">
        <v>1743375000</v>
      </c>
      <c r="H369" s="159">
        <v>174337500</v>
      </c>
      <c r="I369" s="159">
        <v>1917712500</v>
      </c>
      <c r="J369" s="159">
        <f>bargiri[[#This Row],[مقدار]]*INDEX(invoice[پیش دریافت به ازای هر کیلوگرم],MATCH(bargiri[[#This Row],[شماره سند مبنا]],invoice[شماره پیش فاکتور],0))</f>
        <v>287656875</v>
      </c>
      <c r="K369" s="159">
        <f>bargiri[[#This Row],[مبلغ خالص]]-bargiri[[#This Row],[میزان استهلاک پیش دریافتی]]</f>
        <v>1630055625</v>
      </c>
      <c r="L369" s="160" t="s">
        <v>198</v>
      </c>
      <c r="M369" s="159">
        <v>1364281875</v>
      </c>
      <c r="N369" s="159">
        <f>IF(bargiri[[#This Row],[مبلغ واریزی]]&lt;&gt;"",bargiri[[#This Row],[مانده مبلغ]]-bargiri[[#This Row],[مبلغ واریزی]],bargiri[[#This Row],[مانده مبلغ]])</f>
        <v>265773750</v>
      </c>
      <c r="O369" s="159">
        <v>0</v>
      </c>
      <c r="P369" s="159">
        <f>VLOOKUP(bargiri[[#This Row],[شماره سند مبنا]],invoice[[شماره پیش فاکتور]:[پیش دریافت به ازای هر کیلوگرم]],14,0)</f>
        <v>12375</v>
      </c>
      <c r="Q369" s="159">
        <f>IF(bargiri[[#This Row],[مبلغ ناخالص]]-(bargiri[[#This Row],[نرخ استهلاک]]*bargiri[[#This Row],[مقدار]])&lt;0,0,bargiri[[#This Row],[مبلغ ناخالص]]-(bargiri[[#This Row],[نرخ استهلاک]]*bargiri[[#This Row],[مقدار]]))</f>
        <v>1455718125</v>
      </c>
    </row>
    <row r="370" spans="1:17" s="22" customFormat="1" ht="13.8" x14ac:dyDescent="0.25">
      <c r="A370" s="22">
        <v>1115</v>
      </c>
      <c r="B370" s="22" t="s">
        <v>968</v>
      </c>
      <c r="C370" s="22" t="s">
        <v>754</v>
      </c>
      <c r="D370" s="22" t="s">
        <v>17</v>
      </c>
      <c r="E370" s="158">
        <v>21115</v>
      </c>
      <c r="F370" s="159">
        <v>120000</v>
      </c>
      <c r="G370" s="159">
        <v>2533800000</v>
      </c>
      <c r="H370" s="159">
        <v>253380000</v>
      </c>
      <c r="I370" s="159">
        <v>2787180000</v>
      </c>
      <c r="J370" s="159">
        <f>bargiri[[#This Row],[مقدار]]*INDEX(invoice[پیش دریافت به ازای هر کیلوگرم],MATCH(bargiri[[#This Row],[شماره سند مبنا]],invoice[شماره پیش فاکتور],0))</f>
        <v>418077000</v>
      </c>
      <c r="K370" s="159">
        <f>bargiri[[#This Row],[مبلغ خالص]]-bargiri[[#This Row],[میزان استهلاک پیش دریافتی]]</f>
        <v>2369103000</v>
      </c>
      <c r="L370" s="160" t="s">
        <v>334</v>
      </c>
      <c r="M370" s="159">
        <v>17017000</v>
      </c>
      <c r="N370" s="159">
        <f>IF(bargiri[[#This Row],[مبلغ واریزی]]&lt;&gt;"",bargiri[[#This Row],[مانده مبلغ]]-bargiri[[#This Row],[مبلغ واریزی]],bargiri[[#This Row],[مانده مبلغ]])</f>
        <v>2352086000</v>
      </c>
      <c r="O370" s="159" t="s">
        <v>346</v>
      </c>
      <c r="P370" s="159">
        <f>VLOOKUP(bargiri[[#This Row],[شماره سند مبنا]],invoice[[شماره پیش فاکتور]:[پیش دریافت به ازای هر کیلوگرم]],14,0)</f>
        <v>19800</v>
      </c>
      <c r="Q370" s="159">
        <f>IF(bargiri[[#This Row],[مبلغ ناخالص]]-(bargiri[[#This Row],[نرخ استهلاک]]*bargiri[[#This Row],[مقدار]])&lt;0,0,bargiri[[#This Row],[مبلغ ناخالص]]-(bargiri[[#This Row],[نرخ استهلاک]]*bargiri[[#This Row],[مقدار]]))</f>
        <v>2115723000</v>
      </c>
    </row>
    <row r="371" spans="1:17" s="22" customFormat="1" ht="13.8" x14ac:dyDescent="0.25">
      <c r="A371" s="22">
        <v>1114</v>
      </c>
      <c r="B371" s="22" t="s">
        <v>968</v>
      </c>
      <c r="C371" s="22" t="s">
        <v>458</v>
      </c>
      <c r="D371" s="22" t="s">
        <v>156</v>
      </c>
      <c r="E371" s="158">
        <v>22235</v>
      </c>
      <c r="F371" s="159">
        <v>142000</v>
      </c>
      <c r="G371" s="159">
        <v>3157370000</v>
      </c>
      <c r="H371" s="159">
        <v>315737000</v>
      </c>
      <c r="I371" s="159">
        <v>3473107000</v>
      </c>
      <c r="J371" s="159">
        <f>bargiri[[#This Row],[مقدار]]*INDEX(invoice[پیش دریافت به ازای هر کیلوگرم],MATCH(bargiri[[#This Row],[شماره سند مبنا]],invoice[شماره پیش فاکتور],0))</f>
        <v>628060901.36430299</v>
      </c>
      <c r="K371" s="159">
        <f>bargiri[[#This Row],[مبلغ خالص]]-bargiri[[#This Row],[میزان استهلاک پیش دریافتی]]</f>
        <v>2845046098.6356969</v>
      </c>
      <c r="L371" s="160" t="s">
        <v>593</v>
      </c>
      <c r="M371" s="159" t="s">
        <v>593</v>
      </c>
      <c r="N371" s="159">
        <f>IF(bargiri[[#This Row],[مبلغ واریزی]]&lt;&gt;"",bargiri[[#This Row],[مانده مبلغ]]-bargiri[[#This Row],[مبلغ واریزی]],bargiri[[#This Row],[مانده مبلغ]])</f>
        <v>2845046098.6356969</v>
      </c>
      <c r="O371" s="159" t="s">
        <v>593</v>
      </c>
      <c r="P371" s="159">
        <f>VLOOKUP(bargiri[[#This Row],[شماره سند مبنا]],invoice[[شماره پیش فاکتور]:[پیش دریافت به ازای هر کیلوگرم]],14,0)</f>
        <v>28246.498824569509</v>
      </c>
      <c r="Q371" s="159">
        <f>IF(bargiri[[#This Row],[مبلغ ناخالص]]-(bargiri[[#This Row],[نرخ استهلاک]]*bargiri[[#This Row],[مقدار]])&lt;0,0,bargiri[[#This Row],[مبلغ ناخالص]]-(bargiri[[#This Row],[نرخ استهلاک]]*bargiri[[#This Row],[مقدار]]))</f>
        <v>2529309098.6356969</v>
      </c>
    </row>
    <row r="372" spans="1:17" s="22" customFormat="1" ht="13.8" x14ac:dyDescent="0.25">
      <c r="A372" s="22">
        <v>1113</v>
      </c>
      <c r="B372" s="22" t="s">
        <v>968</v>
      </c>
      <c r="C372" s="22" t="s">
        <v>709</v>
      </c>
      <c r="D372" s="22" t="s">
        <v>43</v>
      </c>
      <c r="E372" s="158">
        <v>22290</v>
      </c>
      <c r="F372" s="159">
        <v>111000</v>
      </c>
      <c r="G372" s="159">
        <v>2474190000</v>
      </c>
      <c r="H372" s="159">
        <v>247419000</v>
      </c>
      <c r="I372" s="159">
        <v>2721609000</v>
      </c>
      <c r="J372" s="159">
        <f>bargiri[[#This Row],[مقدار]]*INDEX(invoice[پیش دریافت به ازای هر کیلوگرم],MATCH(bargiri[[#This Row],[شماره سند مبنا]],invoice[شماره پیش فاکتور],0))</f>
        <v>1905126300</v>
      </c>
      <c r="K372" s="159">
        <f>bargiri[[#This Row],[مبلغ خالص]]-bargiri[[#This Row],[میزان استهلاک پیش دریافتی]]</f>
        <v>816482700</v>
      </c>
      <c r="L372" s="160" t="s">
        <v>593</v>
      </c>
      <c r="M372" s="159" t="s">
        <v>593</v>
      </c>
      <c r="N372" s="159">
        <f>IF(bargiri[[#This Row],[مبلغ واریزی]]&lt;&gt;"",bargiri[[#This Row],[مانده مبلغ]]-bargiri[[#This Row],[مبلغ واریزی]],bargiri[[#This Row],[مانده مبلغ]])</f>
        <v>816482700</v>
      </c>
      <c r="O372" s="159" t="s">
        <v>593</v>
      </c>
      <c r="P372" s="159">
        <f>VLOOKUP(bargiri[[#This Row],[شماره سند مبنا]],invoice[[شماره پیش فاکتور]:[پیش دریافت به ازای هر کیلوگرم]],14,0)</f>
        <v>85470</v>
      </c>
      <c r="Q372" s="159">
        <f>IF(bargiri[[#This Row],[مبلغ ناخالص]]-(bargiri[[#This Row],[نرخ استهلاک]]*bargiri[[#This Row],[مقدار]])&lt;0,0,bargiri[[#This Row],[مبلغ ناخالص]]-(bargiri[[#This Row],[نرخ استهلاک]]*bargiri[[#This Row],[مقدار]]))</f>
        <v>569063700</v>
      </c>
    </row>
    <row r="373" spans="1:17" s="22" customFormat="1" ht="13.8" x14ac:dyDescent="0.25">
      <c r="A373" s="22">
        <v>1112</v>
      </c>
      <c r="B373" s="22" t="s">
        <v>968</v>
      </c>
      <c r="C373" s="22" t="s">
        <v>182</v>
      </c>
      <c r="D373" s="22" t="s">
        <v>20</v>
      </c>
      <c r="E373" s="158">
        <v>20530</v>
      </c>
      <c r="F373" s="159">
        <v>86500</v>
      </c>
      <c r="G373" s="159">
        <v>1775845000</v>
      </c>
      <c r="H373" s="159">
        <v>177584500</v>
      </c>
      <c r="I373" s="159">
        <v>1953429500</v>
      </c>
      <c r="J373" s="159">
        <f>bargiri[[#This Row],[مقدار]]*INDEX(invoice[پیش دریافت به ازای هر کیلوگرم],MATCH(bargiri[[#This Row],[شماره سند مبنا]],invoice[شماره پیش فاکتور],0))</f>
        <v>266376750</v>
      </c>
      <c r="K373" s="159">
        <f>bargiri[[#This Row],[مبلغ خالص]]-bargiri[[#This Row],[میزان استهلاک پیش دریافتی]]</f>
        <v>1687052750</v>
      </c>
      <c r="L373" s="160" t="s">
        <v>593</v>
      </c>
      <c r="M373" s="159" t="s">
        <v>593</v>
      </c>
      <c r="N373" s="159">
        <f>IF(bargiri[[#This Row],[مبلغ واریزی]]&lt;&gt;"",bargiri[[#This Row],[مانده مبلغ]]-bargiri[[#This Row],[مبلغ واریزی]],bargiri[[#This Row],[مانده مبلغ]])</f>
        <v>1687052750</v>
      </c>
      <c r="O373" s="159" t="s">
        <v>593</v>
      </c>
      <c r="P373" s="159">
        <f>VLOOKUP(bargiri[[#This Row],[شماره سند مبنا]],invoice[[شماره پیش فاکتور]:[پیش دریافت به ازای هر کیلوگرم]],14,0)</f>
        <v>12975</v>
      </c>
      <c r="Q373" s="159">
        <f>IF(bargiri[[#This Row],[مبلغ ناخالص]]-(bargiri[[#This Row],[نرخ استهلاک]]*bargiri[[#This Row],[مقدار]])&lt;0,0,bargiri[[#This Row],[مبلغ ناخالص]]-(bargiri[[#This Row],[نرخ استهلاک]]*bargiri[[#This Row],[مقدار]]))</f>
        <v>1509468250</v>
      </c>
    </row>
    <row r="374" spans="1:17" s="22" customFormat="1" ht="13.8" x14ac:dyDescent="0.25">
      <c r="A374" s="22">
        <v>1111</v>
      </c>
      <c r="B374" s="22" t="s">
        <v>901</v>
      </c>
      <c r="C374" s="22" t="s">
        <v>709</v>
      </c>
      <c r="D374" s="22" t="s">
        <v>43</v>
      </c>
      <c r="E374" s="158">
        <v>22210</v>
      </c>
      <c r="F374" s="159">
        <v>111000</v>
      </c>
      <c r="G374" s="159">
        <v>2465310000</v>
      </c>
      <c r="H374" s="159">
        <v>246531000</v>
      </c>
      <c r="I374" s="159">
        <v>2711841000</v>
      </c>
      <c r="J374" s="159">
        <f>bargiri[[#This Row],[مقدار]]*INDEX(invoice[پیش دریافت به ازای هر کیلوگرم],MATCH(bargiri[[#This Row],[شماره سند مبنا]],invoice[شماره پیش فاکتور],0))</f>
        <v>1898288700</v>
      </c>
      <c r="K374" s="159">
        <f>bargiri[[#This Row],[مبلغ خالص]]-bargiri[[#This Row],[میزان استهلاک پیش دریافتی]]</f>
        <v>813552300</v>
      </c>
      <c r="L374" s="160" t="s">
        <v>163</v>
      </c>
      <c r="M374" s="159">
        <v>439092500</v>
      </c>
      <c r="N374" s="159">
        <f>IF(bargiri[[#This Row],[مبلغ واریزی]]&lt;&gt;"",bargiri[[#This Row],[مانده مبلغ]]-bargiri[[#This Row],[مبلغ واریزی]],bargiri[[#This Row],[مانده مبلغ]])</f>
        <v>374459800</v>
      </c>
      <c r="O374" s="159">
        <v>0</v>
      </c>
      <c r="P374" s="159">
        <f>VLOOKUP(bargiri[[#This Row],[شماره سند مبنا]],invoice[[شماره پیش فاکتور]:[پیش دریافت به ازای هر کیلوگرم]],14,0)</f>
        <v>85470</v>
      </c>
      <c r="Q374" s="159">
        <f>IF(bargiri[[#This Row],[مبلغ ناخالص]]-(bargiri[[#This Row],[نرخ استهلاک]]*bargiri[[#This Row],[مقدار]])&lt;0,0,bargiri[[#This Row],[مبلغ ناخالص]]-(bargiri[[#This Row],[نرخ استهلاک]]*bargiri[[#This Row],[مقدار]]))</f>
        <v>567021300</v>
      </c>
    </row>
    <row r="375" spans="1:17" s="22" customFormat="1" ht="13.8" x14ac:dyDescent="0.25">
      <c r="A375" s="22">
        <v>1110</v>
      </c>
      <c r="B375" s="22" t="s">
        <v>901</v>
      </c>
      <c r="C375" s="22" t="s">
        <v>647</v>
      </c>
      <c r="D375" s="22" t="s">
        <v>67</v>
      </c>
      <c r="E375" s="158">
        <v>12770</v>
      </c>
      <c r="F375" s="159">
        <v>83000</v>
      </c>
      <c r="G375" s="159">
        <v>1059910000</v>
      </c>
      <c r="H375" s="159">
        <v>105991000</v>
      </c>
      <c r="I375" s="159">
        <v>1165901000</v>
      </c>
      <c r="J375" s="159">
        <f>bargiri[[#This Row],[مقدار]]*INDEX(invoice[پیش دریافت به ازای هر کیلوگرم],MATCH(bargiri[[#This Row],[شماره سند مبنا]],invoice[شماره پیش فاکتور],0))</f>
        <v>174885150</v>
      </c>
      <c r="K375" s="159">
        <f>bargiri[[#This Row],[مبلغ خالص]]-bargiri[[#This Row],[میزان استهلاک پیش دریافتی]]</f>
        <v>991015850</v>
      </c>
      <c r="L375" s="160" t="s">
        <v>334</v>
      </c>
      <c r="M375" s="159">
        <v>1100331375</v>
      </c>
      <c r="N375" s="159">
        <f>IF(bargiri[[#This Row],[مبلغ واریزی]]&lt;&gt;"",bargiri[[#This Row],[مانده مبلغ]]-bargiri[[#This Row],[مبلغ واریزی]],bargiri[[#This Row],[مانده مبلغ]])</f>
        <v>-109315525</v>
      </c>
      <c r="O375" s="159">
        <v>0</v>
      </c>
      <c r="P375" s="159">
        <f>VLOOKUP(bargiri[[#This Row],[شماره سند مبنا]],invoice[[شماره پیش فاکتور]:[پیش دریافت به ازای هر کیلوگرم]],14,0)</f>
        <v>13695</v>
      </c>
      <c r="Q375" s="159">
        <f>IF(bargiri[[#This Row],[مبلغ ناخالص]]-(bargiri[[#This Row],[نرخ استهلاک]]*bargiri[[#This Row],[مقدار]])&lt;0,0,bargiri[[#This Row],[مبلغ ناخالص]]-(bargiri[[#This Row],[نرخ استهلاک]]*bargiri[[#This Row],[مقدار]]))</f>
        <v>885024850</v>
      </c>
    </row>
    <row r="376" spans="1:17" s="22" customFormat="1" ht="13.8" x14ac:dyDescent="0.25">
      <c r="A376" s="22">
        <v>1110</v>
      </c>
      <c r="B376" s="22" t="s">
        <v>901</v>
      </c>
      <c r="C376" s="22" t="s">
        <v>644</v>
      </c>
      <c r="D376" s="22" t="s">
        <v>67</v>
      </c>
      <c r="E376" s="158">
        <v>7525</v>
      </c>
      <c r="F376" s="159">
        <v>95000</v>
      </c>
      <c r="G376" s="159">
        <v>714875000</v>
      </c>
      <c r="H376" s="159">
        <v>71487500</v>
      </c>
      <c r="I376" s="159">
        <v>786362500</v>
      </c>
      <c r="J376" s="159">
        <f>bargiri[[#This Row],[مقدار]]*INDEX(invoice[پیش دریافت به ازای هر کیلوگرم],MATCH(bargiri[[#This Row],[شماره سند مبنا]],invoice[شماره پیش فاکتور],0))</f>
        <v>228803380.72224909</v>
      </c>
      <c r="K376" s="159">
        <f>bargiri[[#This Row],[مبلغ خالص]]-bargiri[[#This Row],[میزان استهلاک پیش دریافتی]]</f>
        <v>557559119.27775097</v>
      </c>
      <c r="L376" s="160" t="s">
        <v>593</v>
      </c>
      <c r="M376" s="159" t="s">
        <v>593</v>
      </c>
      <c r="N376" s="159">
        <f>IF(bargiri[[#This Row],[مبلغ واریزی]]&lt;&gt;"",bargiri[[#This Row],[مانده مبلغ]]-bargiri[[#This Row],[مبلغ واریزی]],bargiri[[#This Row],[مانده مبلغ]])</f>
        <v>557559119.27775097</v>
      </c>
      <c r="O376" s="159" t="s">
        <v>593</v>
      </c>
      <c r="P376" s="159">
        <f>VLOOKUP(bargiri[[#This Row],[شماره سند مبنا]],invoice[[شماره پیش فاکتور]:[پیش دریافت به ازای هر کیلوگرم]],14,0)</f>
        <v>30405.764880033101</v>
      </c>
      <c r="Q376" s="159">
        <f>IF(bargiri[[#This Row],[مبلغ ناخالص]]-(bargiri[[#This Row],[نرخ استهلاک]]*bargiri[[#This Row],[مقدار]])&lt;0,0,bargiri[[#This Row],[مبلغ ناخالص]]-(bargiri[[#This Row],[نرخ استهلاک]]*bargiri[[#This Row],[مقدار]]))</f>
        <v>486071619.27775091</v>
      </c>
    </row>
    <row r="377" spans="1:17" s="22" customFormat="1" ht="13.8" x14ac:dyDescent="0.25">
      <c r="A377" s="22">
        <v>1109</v>
      </c>
      <c r="B377" s="22" t="s">
        <v>901</v>
      </c>
      <c r="C377" s="22" t="s">
        <v>745</v>
      </c>
      <c r="D377" s="22" t="s">
        <v>221</v>
      </c>
      <c r="E377" s="158">
        <v>14655</v>
      </c>
      <c r="F377" s="159">
        <v>135000</v>
      </c>
      <c r="G377" s="159">
        <v>1978425000</v>
      </c>
      <c r="H377" s="159">
        <v>197842500</v>
      </c>
      <c r="I377" s="159">
        <v>2176267500</v>
      </c>
      <c r="J377" s="159">
        <f>bargiri[[#This Row],[مقدار]]*INDEX(invoice[پیش دریافت به ازای هر کیلوگرم],MATCH(bargiri[[#This Row],[شماره سند مبنا]],invoice[شماره پیش فاکتور],0))</f>
        <v>326440125</v>
      </c>
      <c r="K377" s="159">
        <f>bargiri[[#This Row],[مبلغ خالص]]-bargiri[[#This Row],[میزان استهلاک پیش دریافتی]]</f>
        <v>1849827375</v>
      </c>
      <c r="L377" s="160" t="s">
        <v>593</v>
      </c>
      <c r="M377" s="159" t="s">
        <v>593</v>
      </c>
      <c r="N377" s="159">
        <f>IF(bargiri[[#This Row],[مبلغ واریزی]]&lt;&gt;"",bargiri[[#This Row],[مانده مبلغ]]-bargiri[[#This Row],[مبلغ واریزی]],bargiri[[#This Row],[مانده مبلغ]])</f>
        <v>1849827375</v>
      </c>
      <c r="O377" s="159" t="s">
        <v>593</v>
      </c>
      <c r="P377" s="159">
        <f>VLOOKUP(bargiri[[#This Row],[شماره سند مبنا]],invoice[[شماره پیش فاکتور]:[پیش دریافت به ازای هر کیلوگرم]],14,0)</f>
        <v>22275</v>
      </c>
      <c r="Q377" s="159">
        <f>IF(bargiri[[#This Row],[مبلغ ناخالص]]-(bargiri[[#This Row],[نرخ استهلاک]]*bargiri[[#This Row],[مقدار]])&lt;0,0,bargiri[[#This Row],[مبلغ ناخالص]]-(bargiri[[#This Row],[نرخ استهلاک]]*bargiri[[#This Row],[مقدار]]))</f>
        <v>1651984875</v>
      </c>
    </row>
    <row r="378" spans="1:17" s="22" customFormat="1" ht="13.8" x14ac:dyDescent="0.25">
      <c r="A378" s="22">
        <v>1108</v>
      </c>
      <c r="B378" s="22" t="s">
        <v>901</v>
      </c>
      <c r="C378" s="22" t="s">
        <v>607</v>
      </c>
      <c r="D378" s="22" t="s">
        <v>180</v>
      </c>
      <c r="E378" s="158">
        <v>7295</v>
      </c>
      <c r="F378" s="159">
        <v>142000</v>
      </c>
      <c r="G378" s="159">
        <v>1035890000</v>
      </c>
      <c r="H378" s="159">
        <v>103589000</v>
      </c>
      <c r="I378" s="159">
        <v>1139479000</v>
      </c>
      <c r="J378" s="159">
        <f>bargiri[[#This Row],[مقدار]]*INDEX(invoice[پیش دریافت به ازای هر کیلوگرم],MATCH(bargiri[[#This Row],[شماره سند مبنا]],invoice[شماره پیش فاکتور],0))</f>
        <v>544549063.68367016</v>
      </c>
      <c r="K378" s="159">
        <f>bargiri[[#This Row],[مبلغ خالص]]-bargiri[[#This Row],[میزان استهلاک پیش دریافتی]]</f>
        <v>594929936.31632984</v>
      </c>
      <c r="L378" s="160" t="s">
        <v>593</v>
      </c>
      <c r="M378" s="159" t="s">
        <v>593</v>
      </c>
      <c r="N378" s="159">
        <f>IF(bargiri[[#This Row],[مبلغ واریزی]]&lt;&gt;"",bargiri[[#This Row],[مانده مبلغ]]-bargiri[[#This Row],[مبلغ واریزی]],bargiri[[#This Row],[مانده مبلغ]])</f>
        <v>594929936.31632984</v>
      </c>
      <c r="O378" s="159" t="s">
        <v>593</v>
      </c>
      <c r="P378" s="159">
        <f>VLOOKUP(bargiri[[#This Row],[شماره سند مبنا]],invoice[[شماره پیش فاکتور]:[پیش دریافت به ازای هر کیلوگرم]],14,0)</f>
        <v>74646.890155403729</v>
      </c>
      <c r="Q378" s="159">
        <f>IF(bargiri[[#This Row],[مبلغ ناخالص]]-(bargiri[[#This Row],[نرخ استهلاک]]*bargiri[[#This Row],[مقدار]])&lt;0,0,bargiri[[#This Row],[مبلغ ناخالص]]-(bargiri[[#This Row],[نرخ استهلاک]]*bargiri[[#This Row],[مقدار]]))</f>
        <v>491340936.31632984</v>
      </c>
    </row>
    <row r="379" spans="1:17" s="22" customFormat="1" ht="13.8" x14ac:dyDescent="0.25">
      <c r="A379" s="22">
        <v>1107</v>
      </c>
      <c r="B379" s="22" t="s">
        <v>980</v>
      </c>
      <c r="C379" s="22" t="s">
        <v>182</v>
      </c>
      <c r="D379" s="22" t="s">
        <v>20</v>
      </c>
      <c r="E379" s="158">
        <v>20650</v>
      </c>
      <c r="F379" s="159">
        <v>86500</v>
      </c>
      <c r="G379" s="159">
        <v>1786225000</v>
      </c>
      <c r="H379" s="159">
        <v>178622500</v>
      </c>
      <c r="I379" s="159">
        <v>1964847500</v>
      </c>
      <c r="J379" s="159">
        <f>bargiri[[#This Row],[مقدار]]*INDEX(invoice[پیش دریافت به ازای هر کیلوگرم],MATCH(bargiri[[#This Row],[شماره سند مبنا]],invoice[شماره پیش فاکتور],0))</f>
        <v>267933750</v>
      </c>
      <c r="K379" s="159">
        <f>bargiri[[#This Row],[مبلغ خالص]]-bargiri[[#This Row],[میزان استهلاک پیش دریافتی]]</f>
        <v>1696913750</v>
      </c>
      <c r="L379" s="160" t="s">
        <v>334</v>
      </c>
      <c r="M379" s="159">
        <v>1153813375</v>
      </c>
      <c r="N379" s="159">
        <f>IF(bargiri[[#This Row],[مبلغ واریزی]]&lt;&gt;"",bargiri[[#This Row],[مانده مبلغ]]-bargiri[[#This Row],[مبلغ واریزی]],bargiri[[#This Row],[مانده مبلغ]])</f>
        <v>543100375</v>
      </c>
      <c r="O379" s="159">
        <v>0</v>
      </c>
      <c r="P379" s="159">
        <f>VLOOKUP(bargiri[[#This Row],[شماره سند مبنا]],invoice[[شماره پیش فاکتور]:[پیش دریافت به ازای هر کیلوگرم]],14,0)</f>
        <v>12975</v>
      </c>
      <c r="Q379" s="159">
        <f>IF(bargiri[[#This Row],[مبلغ ناخالص]]-(bargiri[[#This Row],[نرخ استهلاک]]*bargiri[[#This Row],[مقدار]])&lt;0,0,bargiri[[#This Row],[مبلغ ناخالص]]-(bargiri[[#This Row],[نرخ استهلاک]]*bargiri[[#This Row],[مقدار]]))</f>
        <v>1518291250</v>
      </c>
    </row>
    <row r="380" spans="1:17" s="22" customFormat="1" ht="13.8" x14ac:dyDescent="0.25">
      <c r="A380" s="22">
        <v>1106</v>
      </c>
      <c r="B380" s="22" t="s">
        <v>981</v>
      </c>
      <c r="C380" s="22" t="s">
        <v>456</v>
      </c>
      <c r="D380" s="22" t="s">
        <v>213</v>
      </c>
      <c r="E380" s="158">
        <v>19970</v>
      </c>
      <c r="F380" s="159">
        <v>142000</v>
      </c>
      <c r="G380" s="159">
        <v>2835740000</v>
      </c>
      <c r="H380" s="159">
        <v>283574000</v>
      </c>
      <c r="I380" s="159">
        <v>3119314000</v>
      </c>
      <c r="J380" s="159">
        <f>bargiri[[#This Row],[مقدار]]*INDEX(invoice[پیش دریافت به ازای هر کیلوگرم],MATCH(bargiri[[#This Row],[شماره سند مبنا]],invoice[شماره پیش فاکتور],0))</f>
        <v>2369722850.6483922</v>
      </c>
      <c r="K380" s="159">
        <f>bargiri[[#This Row],[مبلغ خالص]]-bargiri[[#This Row],[میزان استهلاک پیش دریافتی]]</f>
        <v>749591149.3516078</v>
      </c>
      <c r="L380" s="160" t="s">
        <v>593</v>
      </c>
      <c r="M380" s="159" t="s">
        <v>593</v>
      </c>
      <c r="N380" s="159">
        <f>IF(bargiri[[#This Row],[مبلغ واریزی]]&lt;&gt;"",bargiri[[#This Row],[مانده مبلغ]]-bargiri[[#This Row],[مبلغ واریزی]],bargiri[[#This Row],[مانده مبلغ]])</f>
        <v>749591149.3516078</v>
      </c>
      <c r="O380" s="159" t="s">
        <v>593</v>
      </c>
      <c r="P380" s="159">
        <f>VLOOKUP(bargiri[[#This Row],[شماره سند مبنا]],invoice[[شماره پیش فاکتور]:[پیش دریافت به ازای هر کیلوگرم]],14,0)</f>
        <v>118664.13874053041</v>
      </c>
      <c r="Q380" s="159">
        <f>IF(bargiri[[#This Row],[مبلغ ناخالص]]-(bargiri[[#This Row],[نرخ استهلاک]]*bargiri[[#This Row],[مقدار]])&lt;0,0,bargiri[[#This Row],[مبلغ ناخالص]]-(bargiri[[#This Row],[نرخ استهلاک]]*bargiri[[#This Row],[مقدار]]))</f>
        <v>466017149.3516078</v>
      </c>
    </row>
    <row r="381" spans="1:17" s="22" customFormat="1" ht="13.8" x14ac:dyDescent="0.25">
      <c r="A381" s="22">
        <v>1105</v>
      </c>
      <c r="B381" s="22" t="s">
        <v>970</v>
      </c>
      <c r="C381" s="22" t="s">
        <v>461</v>
      </c>
      <c r="D381" s="22" t="s">
        <v>35</v>
      </c>
      <c r="E381" s="158">
        <v>19925</v>
      </c>
      <c r="F381" s="159">
        <v>142000</v>
      </c>
      <c r="G381" s="159">
        <v>2829350000</v>
      </c>
      <c r="H381" s="159">
        <v>282935000</v>
      </c>
      <c r="I381" s="159">
        <v>3112285000</v>
      </c>
      <c r="J381" s="159">
        <f>bargiri[[#This Row],[مقدار]]*INDEX(invoice[پیش دریافت به ازای هر کیلوگرم],MATCH(bargiri[[#This Row],[شماره سند مبنا]],invoice[شماره پیش فاکتور],0))</f>
        <v>653903663.0939641</v>
      </c>
      <c r="K381" s="159">
        <f>bargiri[[#This Row],[مبلغ خالص]]-bargiri[[#This Row],[میزان استهلاک پیش دریافتی]]</f>
        <v>2458381336.9060359</v>
      </c>
      <c r="L381" s="160" t="s">
        <v>593</v>
      </c>
      <c r="M381" s="159" t="s">
        <v>593</v>
      </c>
      <c r="N381" s="159">
        <f>IF(bargiri[[#This Row],[مبلغ واریزی]]&lt;&gt;"",bargiri[[#This Row],[مانده مبلغ]]-bargiri[[#This Row],[مبلغ واریزی]],bargiri[[#This Row],[مانده مبلغ]])</f>
        <v>2458381336.9060359</v>
      </c>
      <c r="O381" s="159" t="s">
        <v>593</v>
      </c>
      <c r="P381" s="159">
        <f>VLOOKUP(bargiri[[#This Row],[شماره سند مبنا]],invoice[[شماره پیش فاکتور]:[پیش دریافت به ازای هر کیلوگرم]],14,0)</f>
        <v>32818.251598191426</v>
      </c>
      <c r="Q381" s="159">
        <f>IF(bargiri[[#This Row],[مبلغ ناخالص]]-(bargiri[[#This Row],[نرخ استهلاک]]*bargiri[[#This Row],[مقدار]])&lt;0,0,bargiri[[#This Row],[مبلغ ناخالص]]-(bargiri[[#This Row],[نرخ استهلاک]]*bargiri[[#This Row],[مقدار]]))</f>
        <v>2175446336.9060359</v>
      </c>
    </row>
    <row r="382" spans="1:17" s="22" customFormat="1" ht="13.8" x14ac:dyDescent="0.25">
      <c r="A382" s="22">
        <v>1104</v>
      </c>
      <c r="B382" s="22" t="s">
        <v>970</v>
      </c>
      <c r="C382" s="22" t="s">
        <v>757</v>
      </c>
      <c r="D382" s="22" t="s">
        <v>70</v>
      </c>
      <c r="E382" s="158">
        <v>20225</v>
      </c>
      <c r="F382" s="159">
        <v>120000</v>
      </c>
      <c r="G382" s="159">
        <v>2427000000</v>
      </c>
      <c r="H382" s="159">
        <v>242700000</v>
      </c>
      <c r="I382" s="159">
        <v>2669700000</v>
      </c>
      <c r="J382" s="159">
        <f>bargiri[[#This Row],[مقدار]]*INDEX(invoice[پیش دریافت به ازای هر کیلوگرم],MATCH(bargiri[[#This Row],[شماره سند مبنا]],invoice[شماره پیش فاکتور],0))</f>
        <v>3253464484.679666</v>
      </c>
      <c r="K382" s="159">
        <f>bargiri[[#This Row],[مبلغ خالص]]-bargiri[[#This Row],[میزان استهلاک پیش دریافتی]]</f>
        <v>-583764484.67966604</v>
      </c>
      <c r="L382" s="160" t="s">
        <v>210</v>
      </c>
      <c r="M382" s="159">
        <v>514560000</v>
      </c>
      <c r="N382" s="159">
        <f>IF(bargiri[[#This Row],[مبلغ واریزی]]&lt;&gt;"",bargiri[[#This Row],[مانده مبلغ]]-bargiri[[#This Row],[مبلغ واریزی]],bargiri[[#This Row],[مانده مبلغ]])</f>
        <v>-1098324484.679666</v>
      </c>
      <c r="O382" s="159">
        <v>0</v>
      </c>
      <c r="P382" s="159">
        <f>VLOOKUP(bargiri[[#This Row],[شماره سند مبنا]],invoice[[شماره پیش فاکتور]:[پیش دریافت به ازای هر کیلوگرم]],14,0)</f>
        <v>160863.50974930363</v>
      </c>
      <c r="Q382" s="159">
        <f>IF(bargiri[[#This Row],[مبلغ ناخالص]]-(bargiri[[#This Row],[نرخ استهلاک]]*bargiri[[#This Row],[مقدار]])&lt;0,0,bargiri[[#This Row],[مبلغ ناخالص]]-(bargiri[[#This Row],[نرخ استهلاک]]*bargiri[[#This Row],[مقدار]]))</f>
        <v>0</v>
      </c>
    </row>
    <row r="383" spans="1:17" s="22" customFormat="1" ht="13.8" x14ac:dyDescent="0.25">
      <c r="A383" s="22">
        <v>1103</v>
      </c>
      <c r="B383" s="22" t="s">
        <v>900</v>
      </c>
      <c r="C383" s="22" t="s">
        <v>754</v>
      </c>
      <c r="D383" s="22" t="s">
        <v>17</v>
      </c>
      <c r="E383" s="158">
        <v>23190</v>
      </c>
      <c r="F383" s="159">
        <v>120000</v>
      </c>
      <c r="G383" s="159">
        <v>2782800000</v>
      </c>
      <c r="H383" s="159">
        <v>278280000</v>
      </c>
      <c r="I383" s="159">
        <v>3061080000</v>
      </c>
      <c r="J383" s="159">
        <f>bargiri[[#This Row],[مقدار]]*INDEX(invoice[پیش دریافت به ازای هر کیلوگرم],MATCH(bargiri[[#This Row],[شماره سند مبنا]],invoice[شماره پیش فاکتور],0))</f>
        <v>459162000</v>
      </c>
      <c r="K383" s="159">
        <f>bargiri[[#This Row],[مبلغ خالص]]-bargiri[[#This Row],[میزان استهلاک پیش دریافتی]]</f>
        <v>2601918000</v>
      </c>
      <c r="L383" s="160" t="s">
        <v>593</v>
      </c>
      <c r="M383" s="159" t="s">
        <v>593</v>
      </c>
      <c r="N383" s="159">
        <f>IF(bargiri[[#This Row],[مبلغ واریزی]]&lt;&gt;"",bargiri[[#This Row],[مانده مبلغ]]-bargiri[[#This Row],[مبلغ واریزی]],bargiri[[#This Row],[مانده مبلغ]])</f>
        <v>2601918000</v>
      </c>
      <c r="O383" s="159" t="s">
        <v>593</v>
      </c>
      <c r="P383" s="159">
        <f>VLOOKUP(bargiri[[#This Row],[شماره سند مبنا]],invoice[[شماره پیش فاکتور]:[پیش دریافت به ازای هر کیلوگرم]],14,0)</f>
        <v>19800</v>
      </c>
      <c r="Q383" s="159">
        <f>IF(bargiri[[#This Row],[مبلغ ناخالص]]-(bargiri[[#This Row],[نرخ استهلاک]]*bargiri[[#This Row],[مقدار]])&lt;0,0,bargiri[[#This Row],[مبلغ ناخالص]]-(bargiri[[#This Row],[نرخ استهلاک]]*bargiri[[#This Row],[مقدار]]))</f>
        <v>2323638000</v>
      </c>
    </row>
    <row r="384" spans="1:17" s="22" customFormat="1" ht="13.8" x14ac:dyDescent="0.25">
      <c r="A384" s="22">
        <v>1102</v>
      </c>
      <c r="B384" s="22" t="s">
        <v>900</v>
      </c>
      <c r="C384" s="22" t="s">
        <v>461</v>
      </c>
      <c r="D384" s="22" t="s">
        <v>35</v>
      </c>
      <c r="E384" s="158">
        <v>7335</v>
      </c>
      <c r="F384" s="159">
        <v>142000</v>
      </c>
      <c r="G384" s="159">
        <v>1041570000</v>
      </c>
      <c r="H384" s="159">
        <v>104157000</v>
      </c>
      <c r="I384" s="159">
        <v>1145727000</v>
      </c>
      <c r="J384" s="159">
        <f>bargiri[[#This Row],[مقدار]]*INDEX(invoice[پیش دریافت به ازای هر کیلوگرم],MATCH(bargiri[[#This Row],[شماره سند مبنا]],invoice[شماره پیش فاکتور],0))</f>
        <v>240721875.47273409</v>
      </c>
      <c r="K384" s="159">
        <f>bargiri[[#This Row],[مبلغ خالص]]-bargiri[[#This Row],[میزان استهلاک پیش دریافتی]]</f>
        <v>905005124.52726591</v>
      </c>
      <c r="L384" s="160" t="s">
        <v>593</v>
      </c>
      <c r="M384" s="159" t="s">
        <v>593</v>
      </c>
      <c r="N384" s="159">
        <f>IF(bargiri[[#This Row],[مبلغ واریزی]]&lt;&gt;"",bargiri[[#This Row],[مانده مبلغ]]-bargiri[[#This Row],[مبلغ واریزی]],bargiri[[#This Row],[مانده مبلغ]])</f>
        <v>905005124.52726591</v>
      </c>
      <c r="O384" s="159" t="s">
        <v>593</v>
      </c>
      <c r="P384" s="159">
        <f>VLOOKUP(bargiri[[#This Row],[شماره سند مبنا]],invoice[[شماره پیش فاکتور]:[پیش دریافت به ازای هر کیلوگرم]],14,0)</f>
        <v>32818.251598191426</v>
      </c>
      <c r="Q384" s="159">
        <f>IF(bargiri[[#This Row],[مبلغ ناخالص]]-(bargiri[[#This Row],[نرخ استهلاک]]*bargiri[[#This Row],[مقدار]])&lt;0,0,bargiri[[#This Row],[مبلغ ناخالص]]-(bargiri[[#This Row],[نرخ استهلاک]]*bargiri[[#This Row],[مقدار]]))</f>
        <v>800848124.52726591</v>
      </c>
    </row>
    <row r="385" spans="1:17" s="22" customFormat="1" ht="13.8" x14ac:dyDescent="0.25">
      <c r="A385" s="22">
        <v>1101</v>
      </c>
      <c r="B385" s="22" t="s">
        <v>900</v>
      </c>
      <c r="C385" s="22" t="s">
        <v>463</v>
      </c>
      <c r="D385" s="22" t="s">
        <v>207</v>
      </c>
      <c r="E385" s="158">
        <v>6775</v>
      </c>
      <c r="F385" s="159">
        <v>142000</v>
      </c>
      <c r="G385" s="159">
        <v>962050000</v>
      </c>
      <c r="H385" s="159">
        <v>96205000</v>
      </c>
      <c r="I385" s="159">
        <v>1058255000</v>
      </c>
      <c r="J385" s="159">
        <f>bargiri[[#This Row],[مقدار]]*INDEX(invoice[پیش دریافت به ازای هر کیلوگرم],MATCH(bargiri[[#This Row],[شماره سند مبنا]],invoice[شماره پیش فاکتور],0))</f>
        <v>203972368.73350924</v>
      </c>
      <c r="K385" s="159">
        <f>bargiri[[#This Row],[مبلغ خالص]]-bargiri[[#This Row],[میزان استهلاک پیش دریافتی]]</f>
        <v>854282631.2664907</v>
      </c>
      <c r="L385" s="160" t="s">
        <v>200</v>
      </c>
      <c r="M385" s="159">
        <v>572160000</v>
      </c>
      <c r="N385" s="159">
        <f>IF(bargiri[[#This Row],[مبلغ واریزی]]&lt;&gt;"",bargiri[[#This Row],[مانده مبلغ]]-bargiri[[#This Row],[مبلغ واریزی]],bargiri[[#This Row],[مانده مبلغ]])</f>
        <v>282122631.2664907</v>
      </c>
      <c r="O385" s="159">
        <v>0</v>
      </c>
      <c r="P385" s="159">
        <f>VLOOKUP(bargiri[[#This Row],[شماره سند مبنا]],invoice[[شماره پیش فاکتور]:[پیش دریافت به ازای هر کیلوگرم]],14,0)</f>
        <v>30106.622691292876</v>
      </c>
      <c r="Q385" s="159">
        <f>IF(bargiri[[#This Row],[مبلغ ناخالص]]-(bargiri[[#This Row],[نرخ استهلاک]]*bargiri[[#This Row],[مقدار]])&lt;0,0,bargiri[[#This Row],[مبلغ ناخالص]]-(bargiri[[#This Row],[نرخ استهلاک]]*bargiri[[#This Row],[مقدار]]))</f>
        <v>758077631.2664907</v>
      </c>
    </row>
    <row r="386" spans="1:17" s="22" customFormat="1" ht="13.8" x14ac:dyDescent="0.25">
      <c r="A386" s="22">
        <v>1100</v>
      </c>
      <c r="B386" s="22" t="s">
        <v>900</v>
      </c>
      <c r="C386" s="22" t="s">
        <v>754</v>
      </c>
      <c r="D386" s="22" t="s">
        <v>17</v>
      </c>
      <c r="E386" s="158">
        <v>23370</v>
      </c>
      <c r="F386" s="159">
        <v>120000</v>
      </c>
      <c r="G386" s="159">
        <v>2804400000</v>
      </c>
      <c r="H386" s="159">
        <v>280440000</v>
      </c>
      <c r="I386" s="159">
        <v>3084840000</v>
      </c>
      <c r="J386" s="159">
        <f>bargiri[[#This Row],[مقدار]]*INDEX(invoice[پیش دریافت به ازای هر کیلوگرم],MATCH(bargiri[[#This Row],[شماره سند مبنا]],invoice[شماره پیش فاکتور],0))</f>
        <v>462726000</v>
      </c>
      <c r="K386" s="159">
        <f>bargiri[[#This Row],[مبلغ خالص]]-bargiri[[#This Row],[میزان استهلاک پیش دریافتی]]</f>
        <v>2622114000</v>
      </c>
      <c r="L386" s="160" t="s">
        <v>593</v>
      </c>
      <c r="M386" s="159" t="s">
        <v>593</v>
      </c>
      <c r="N386" s="159">
        <f>IF(bargiri[[#This Row],[مبلغ واریزی]]&lt;&gt;"",bargiri[[#This Row],[مانده مبلغ]]-bargiri[[#This Row],[مبلغ واریزی]],bargiri[[#This Row],[مانده مبلغ]])</f>
        <v>2622114000</v>
      </c>
      <c r="O386" s="159" t="s">
        <v>593</v>
      </c>
      <c r="P386" s="159">
        <f>VLOOKUP(bargiri[[#This Row],[شماره سند مبنا]],invoice[[شماره پیش فاکتور]:[پیش دریافت به ازای هر کیلوگرم]],14,0)</f>
        <v>19800</v>
      </c>
      <c r="Q386" s="159">
        <f>IF(bargiri[[#This Row],[مبلغ ناخالص]]-(bargiri[[#This Row],[نرخ استهلاک]]*bargiri[[#This Row],[مقدار]])&lt;0,0,bargiri[[#This Row],[مبلغ ناخالص]]-(bargiri[[#This Row],[نرخ استهلاک]]*bargiri[[#This Row],[مقدار]]))</f>
        <v>2341674000</v>
      </c>
    </row>
    <row r="387" spans="1:17" s="22" customFormat="1" ht="13.8" x14ac:dyDescent="0.25">
      <c r="A387" s="22">
        <v>1099</v>
      </c>
      <c r="B387" s="22" t="s">
        <v>898</v>
      </c>
      <c r="C387" s="22" t="s">
        <v>709</v>
      </c>
      <c r="D387" s="22" t="s">
        <v>43</v>
      </c>
      <c r="E387" s="158">
        <v>12100</v>
      </c>
      <c r="F387" s="159">
        <v>111000</v>
      </c>
      <c r="G387" s="159">
        <v>1343100000</v>
      </c>
      <c r="H387" s="159">
        <v>134310000</v>
      </c>
      <c r="I387" s="159">
        <v>1477410000</v>
      </c>
      <c r="J387" s="159">
        <f>bargiri[[#This Row],[مقدار]]*INDEX(invoice[پیش دریافت به ازای هر کیلوگرم],MATCH(bargiri[[#This Row],[شماره سند مبنا]],invoice[شماره پیش فاکتور],0))</f>
        <v>1034187000</v>
      </c>
      <c r="K387" s="159">
        <f>bargiri[[#This Row],[مبلغ خالص]]-bargiri[[#This Row],[میزان استهلاک پیش دریافتی]]</f>
        <v>443223000</v>
      </c>
      <c r="L387" s="160" t="s">
        <v>160</v>
      </c>
      <c r="M387" s="159">
        <v>1127525000</v>
      </c>
      <c r="N387" s="159">
        <f>IF(bargiri[[#This Row],[مبلغ واریزی]]&lt;&gt;"",bargiri[[#This Row],[مانده مبلغ]]-bargiri[[#This Row],[مبلغ واریزی]],bargiri[[#This Row],[مانده مبلغ]])</f>
        <v>-684302000</v>
      </c>
      <c r="O387" s="159">
        <v>0</v>
      </c>
      <c r="P387" s="159">
        <f>VLOOKUP(bargiri[[#This Row],[شماره سند مبنا]],invoice[[شماره پیش فاکتور]:[پیش دریافت به ازای هر کیلوگرم]],14,0)</f>
        <v>85470</v>
      </c>
      <c r="Q387" s="159">
        <f>IF(bargiri[[#This Row],[مبلغ ناخالص]]-(bargiri[[#This Row],[نرخ استهلاک]]*bargiri[[#This Row],[مقدار]])&lt;0,0,bargiri[[#This Row],[مبلغ ناخالص]]-(bargiri[[#This Row],[نرخ استهلاک]]*bargiri[[#This Row],[مقدار]]))</f>
        <v>308913000</v>
      </c>
    </row>
    <row r="388" spans="1:17" s="22" customFormat="1" ht="13.8" x14ac:dyDescent="0.25">
      <c r="A388" s="22">
        <v>1098</v>
      </c>
      <c r="B388" s="22" t="s">
        <v>898</v>
      </c>
      <c r="C388" s="22" t="s">
        <v>456</v>
      </c>
      <c r="D388" s="22" t="s">
        <v>213</v>
      </c>
      <c r="E388" s="158">
        <v>20090</v>
      </c>
      <c r="F388" s="159">
        <v>142000</v>
      </c>
      <c r="G388" s="159">
        <v>2852780000</v>
      </c>
      <c r="H388" s="159">
        <v>285278000</v>
      </c>
      <c r="I388" s="159">
        <v>3138058000</v>
      </c>
      <c r="J388" s="159">
        <f>bargiri[[#This Row],[مقدار]]*INDEX(invoice[پیش دریافت به ازای هر کیلوگرم],MATCH(bargiri[[#This Row],[شماره سند مبنا]],invoice[شماره پیش فاکتور],0))</f>
        <v>2383962547.297256</v>
      </c>
      <c r="K388" s="159">
        <f>bargiri[[#This Row],[مبلغ خالص]]-bargiri[[#This Row],[میزان استهلاک پیش دریافتی]]</f>
        <v>754095452.70274401</v>
      </c>
      <c r="L388" s="160" t="s">
        <v>593</v>
      </c>
      <c r="M388" s="159" t="s">
        <v>593</v>
      </c>
      <c r="N388" s="159">
        <f>IF(bargiri[[#This Row],[مبلغ واریزی]]&lt;&gt;"",bargiri[[#This Row],[مانده مبلغ]]-bargiri[[#This Row],[مبلغ واریزی]],bargiri[[#This Row],[مانده مبلغ]])</f>
        <v>754095452.70274401</v>
      </c>
      <c r="O388" s="159" t="s">
        <v>593</v>
      </c>
      <c r="P388" s="159">
        <f>VLOOKUP(bargiri[[#This Row],[شماره سند مبنا]],invoice[[شماره پیش فاکتور]:[پیش دریافت به ازای هر کیلوگرم]],14,0)</f>
        <v>118664.13874053041</v>
      </c>
      <c r="Q388" s="159">
        <f>IF(bargiri[[#This Row],[مبلغ ناخالص]]-(bargiri[[#This Row],[نرخ استهلاک]]*bargiri[[#This Row],[مقدار]])&lt;0,0,bargiri[[#This Row],[مبلغ ناخالص]]-(bargiri[[#This Row],[نرخ استهلاک]]*bargiri[[#This Row],[مقدار]]))</f>
        <v>468817452.70274401</v>
      </c>
    </row>
    <row r="389" spans="1:17" s="22" customFormat="1" ht="13.8" x14ac:dyDescent="0.25">
      <c r="A389" s="22">
        <v>1097</v>
      </c>
      <c r="B389" s="22" t="s">
        <v>898</v>
      </c>
      <c r="C389" s="22" t="s">
        <v>752</v>
      </c>
      <c r="D389" s="22" t="s">
        <v>40</v>
      </c>
      <c r="E389" s="158">
        <v>18270</v>
      </c>
      <c r="F389" s="159">
        <v>79520</v>
      </c>
      <c r="G389" s="159">
        <v>1452830400</v>
      </c>
      <c r="H389" s="159">
        <v>145283040</v>
      </c>
      <c r="I389" s="159">
        <v>1598113440</v>
      </c>
      <c r="J389" s="159">
        <f>bargiri[[#This Row],[مقدار]]*INDEX(invoice[پیش دریافت به ازای هر کیلوگرم],MATCH(bargiri[[#This Row],[شماره سند مبنا]],invoice[شماره پیش فاکتور],0))</f>
        <v>239717016</v>
      </c>
      <c r="K389" s="159">
        <f>bargiri[[#This Row],[مبلغ خالص]]-bargiri[[#This Row],[میزان استهلاک پیش دریافتی]]</f>
        <v>1358396424</v>
      </c>
      <c r="L389" s="160" t="s">
        <v>198</v>
      </c>
      <c r="M389" s="159">
        <v>1404253125</v>
      </c>
      <c r="N389" s="159">
        <f>IF(bargiri[[#This Row],[مبلغ واریزی]]&lt;&gt;"",bargiri[[#This Row],[مانده مبلغ]]-bargiri[[#This Row],[مبلغ واریزی]],bargiri[[#This Row],[مانده مبلغ]])</f>
        <v>-45856701</v>
      </c>
      <c r="O389" s="159">
        <v>0</v>
      </c>
      <c r="P389" s="159">
        <f>VLOOKUP(bargiri[[#This Row],[شماره سند مبنا]],invoice[[شماره پیش فاکتور]:[پیش دریافت به ازای هر کیلوگرم]],14,0)</f>
        <v>13120.8</v>
      </c>
      <c r="Q389" s="159">
        <f>IF(bargiri[[#This Row],[مبلغ ناخالص]]-(bargiri[[#This Row],[نرخ استهلاک]]*bargiri[[#This Row],[مقدار]])&lt;0,0,bargiri[[#This Row],[مبلغ ناخالص]]-(bargiri[[#This Row],[نرخ استهلاک]]*bargiri[[#This Row],[مقدار]]))</f>
        <v>1213113384</v>
      </c>
    </row>
    <row r="390" spans="1:17" s="22" customFormat="1" ht="13.8" x14ac:dyDescent="0.25">
      <c r="A390" s="22">
        <v>1096</v>
      </c>
      <c r="B390" s="22" t="s">
        <v>898</v>
      </c>
      <c r="C390" s="22" t="s">
        <v>208</v>
      </c>
      <c r="D390" s="22" t="s">
        <v>30</v>
      </c>
      <c r="E390" s="158">
        <v>11630</v>
      </c>
      <c r="F390" s="159">
        <v>89000</v>
      </c>
      <c r="G390" s="159">
        <v>1035070000</v>
      </c>
      <c r="H390" s="159">
        <v>103507000</v>
      </c>
      <c r="I390" s="159">
        <v>1138577000</v>
      </c>
      <c r="J390" s="159">
        <f>bargiri[[#This Row],[مقدار]]*INDEX(invoice[پیش دریافت به ازای هر کیلوگرم],MATCH(bargiri[[#This Row],[شماره سند مبنا]],invoice[شماره پیش فاکتور],0))</f>
        <v>1138577000</v>
      </c>
      <c r="K390" s="159">
        <f>bargiri[[#This Row],[مبلغ خالص]]-bargiri[[#This Row],[میزان استهلاک پیش دریافتی]]</f>
        <v>0</v>
      </c>
      <c r="L390" s="160" t="s">
        <v>200</v>
      </c>
      <c r="M390" s="159">
        <v>324160000</v>
      </c>
      <c r="N390" s="159">
        <f>IF(bargiri[[#This Row],[مبلغ واریزی]]&lt;&gt;"",bargiri[[#This Row],[مانده مبلغ]]-bargiri[[#This Row],[مبلغ واریزی]],bargiri[[#This Row],[مانده مبلغ]])</f>
        <v>-324160000</v>
      </c>
      <c r="O390" s="159">
        <v>0</v>
      </c>
      <c r="P390" s="159">
        <f>VLOOKUP(bargiri[[#This Row],[شماره سند مبنا]],invoice[[شماره پیش فاکتور]:[پیش دریافت به ازای هر کیلوگرم]],14,0)</f>
        <v>97900</v>
      </c>
      <c r="Q390" s="159">
        <f>IF(bargiri[[#This Row],[مبلغ ناخالص]]-(bargiri[[#This Row],[نرخ استهلاک]]*bargiri[[#This Row],[مقدار]])&lt;0,0,bargiri[[#This Row],[مبلغ ناخالص]]-(bargiri[[#This Row],[نرخ استهلاک]]*bargiri[[#This Row],[مقدار]]))</f>
        <v>0</v>
      </c>
    </row>
    <row r="391" spans="1:17" s="22" customFormat="1" ht="13.8" x14ac:dyDescent="0.25">
      <c r="A391" s="22">
        <v>1095</v>
      </c>
      <c r="B391" s="22" t="s">
        <v>898</v>
      </c>
      <c r="C391" s="22" t="s">
        <v>182</v>
      </c>
      <c r="D391" s="22" t="s">
        <v>20</v>
      </c>
      <c r="E391" s="158">
        <v>22125</v>
      </c>
      <c r="F391" s="159">
        <v>86500</v>
      </c>
      <c r="G391" s="159">
        <v>1913812500</v>
      </c>
      <c r="H391" s="159">
        <v>191381250</v>
      </c>
      <c r="I391" s="159">
        <v>2105193750</v>
      </c>
      <c r="J391" s="159">
        <f>bargiri[[#This Row],[مقدار]]*INDEX(invoice[پیش دریافت به ازای هر کیلوگرم],MATCH(bargiri[[#This Row],[شماره سند مبنا]],invoice[شماره پیش فاکتور],0))</f>
        <v>287071875</v>
      </c>
      <c r="K391" s="159">
        <f>bargiri[[#This Row],[مبلغ خالص]]-bargiri[[#This Row],[میزان استهلاک پیش دریافتی]]</f>
        <v>1818121875</v>
      </c>
      <c r="L391" s="160" t="s">
        <v>593</v>
      </c>
      <c r="M391" s="159" t="s">
        <v>593</v>
      </c>
      <c r="N391" s="159">
        <f>IF(bargiri[[#This Row],[مبلغ واریزی]]&lt;&gt;"",bargiri[[#This Row],[مانده مبلغ]]-bargiri[[#This Row],[مبلغ واریزی]],bargiri[[#This Row],[مانده مبلغ]])</f>
        <v>1818121875</v>
      </c>
      <c r="O391" s="159" t="s">
        <v>593</v>
      </c>
      <c r="P391" s="159">
        <f>VLOOKUP(bargiri[[#This Row],[شماره سند مبنا]],invoice[[شماره پیش فاکتور]:[پیش دریافت به ازای هر کیلوگرم]],14,0)</f>
        <v>12975</v>
      </c>
      <c r="Q391" s="159">
        <f>IF(bargiri[[#This Row],[مبلغ ناخالص]]-(bargiri[[#This Row],[نرخ استهلاک]]*bargiri[[#This Row],[مقدار]])&lt;0,0,bargiri[[#This Row],[مبلغ ناخالص]]-(bargiri[[#This Row],[نرخ استهلاک]]*bargiri[[#This Row],[مقدار]]))</f>
        <v>1626740625</v>
      </c>
    </row>
    <row r="392" spans="1:17" s="22" customFormat="1" ht="13.8" x14ac:dyDescent="0.25">
      <c r="A392" s="22">
        <v>1094</v>
      </c>
      <c r="B392" s="22" t="s">
        <v>982</v>
      </c>
      <c r="C392" s="22" t="s">
        <v>461</v>
      </c>
      <c r="D392" s="22" t="s">
        <v>35</v>
      </c>
      <c r="E392" s="158">
        <v>7530</v>
      </c>
      <c r="F392" s="159">
        <v>142000</v>
      </c>
      <c r="G392" s="159">
        <v>1069260000</v>
      </c>
      <c r="H392" s="159">
        <v>106926000</v>
      </c>
      <c r="I392" s="159">
        <v>1176186000</v>
      </c>
      <c r="J392" s="159">
        <f>bargiri[[#This Row],[مقدار]]*INDEX(invoice[پیش دریافت به ازای هر کیلوگرم],MATCH(bargiri[[#This Row],[شماره سند مبنا]],invoice[شماره پیش فاکتور],0))</f>
        <v>247121434.53438145</v>
      </c>
      <c r="K392" s="159">
        <f>bargiri[[#This Row],[مبلغ خالص]]-bargiri[[#This Row],[میزان استهلاک پیش دریافتی]]</f>
        <v>929064565.46561861</v>
      </c>
      <c r="L392" s="160" t="s">
        <v>294</v>
      </c>
      <c r="M392" s="159">
        <v>1401798750</v>
      </c>
      <c r="N392" s="159">
        <f>IF(bargiri[[#This Row],[مبلغ واریزی]]&lt;&gt;"",bargiri[[#This Row],[مانده مبلغ]]-bargiri[[#This Row],[مبلغ واریزی]],bargiri[[#This Row],[مانده مبلغ]])</f>
        <v>-472734184.53438139</v>
      </c>
      <c r="O392" s="159">
        <v>0</v>
      </c>
      <c r="P392" s="159">
        <f>VLOOKUP(bargiri[[#This Row],[شماره سند مبنا]],invoice[[شماره پیش فاکتور]:[پیش دریافت به ازای هر کیلوگرم]],14,0)</f>
        <v>32818.251598191426</v>
      </c>
      <c r="Q392" s="159">
        <f>IF(bargiri[[#This Row],[مبلغ ناخالص]]-(bargiri[[#This Row],[نرخ استهلاک]]*bargiri[[#This Row],[مقدار]])&lt;0,0,bargiri[[#This Row],[مبلغ ناخالص]]-(bargiri[[#This Row],[نرخ استهلاک]]*bargiri[[#This Row],[مقدار]]))</f>
        <v>822138565.46561861</v>
      </c>
    </row>
    <row r="393" spans="1:17" s="22" customFormat="1" ht="13.8" x14ac:dyDescent="0.25">
      <c r="A393" s="22">
        <v>1093</v>
      </c>
      <c r="B393" s="22" t="s">
        <v>982</v>
      </c>
      <c r="C393" s="22" t="s">
        <v>745</v>
      </c>
      <c r="D393" s="22" t="s">
        <v>221</v>
      </c>
      <c r="E393" s="158">
        <v>14510</v>
      </c>
      <c r="F393" s="159">
        <v>135000</v>
      </c>
      <c r="G393" s="159">
        <v>1958850000</v>
      </c>
      <c r="H393" s="159">
        <v>195885000</v>
      </c>
      <c r="I393" s="159">
        <v>2154735000</v>
      </c>
      <c r="J393" s="159">
        <f>bargiri[[#This Row],[مقدار]]*INDEX(invoice[پیش دریافت به ازای هر کیلوگرم],MATCH(bargiri[[#This Row],[شماره سند مبنا]],invoice[شماره پیش فاکتور],0))</f>
        <v>323210250</v>
      </c>
      <c r="K393" s="159">
        <f>bargiri[[#This Row],[مبلغ خالص]]-bargiri[[#This Row],[میزان استهلاک پیش دریافتی]]</f>
        <v>1831524750</v>
      </c>
      <c r="L393" s="160" t="s">
        <v>593</v>
      </c>
      <c r="M393" s="159" t="s">
        <v>593</v>
      </c>
      <c r="N393" s="159">
        <f>IF(bargiri[[#This Row],[مبلغ واریزی]]&lt;&gt;"",bargiri[[#This Row],[مانده مبلغ]]-bargiri[[#This Row],[مبلغ واریزی]],bargiri[[#This Row],[مانده مبلغ]])</f>
        <v>1831524750</v>
      </c>
      <c r="O393" s="159" t="s">
        <v>593</v>
      </c>
      <c r="P393" s="159">
        <f>VLOOKUP(bargiri[[#This Row],[شماره سند مبنا]],invoice[[شماره پیش فاکتور]:[پیش دریافت به ازای هر کیلوگرم]],14,0)</f>
        <v>22275</v>
      </c>
      <c r="Q393" s="159">
        <f>IF(bargiri[[#This Row],[مبلغ ناخالص]]-(bargiri[[#This Row],[نرخ استهلاک]]*bargiri[[#This Row],[مقدار]])&lt;0,0,bargiri[[#This Row],[مبلغ ناخالص]]-(bargiri[[#This Row],[نرخ استهلاک]]*bargiri[[#This Row],[مقدار]]))</f>
        <v>1635639750</v>
      </c>
    </row>
    <row r="394" spans="1:17" s="22" customFormat="1" ht="13.8" x14ac:dyDescent="0.25">
      <c r="A394" s="22">
        <v>1092</v>
      </c>
      <c r="B394" s="22" t="s">
        <v>982</v>
      </c>
      <c r="C394" s="22" t="s">
        <v>463</v>
      </c>
      <c r="D394" s="22" t="s">
        <v>207</v>
      </c>
      <c r="E394" s="158">
        <v>6750</v>
      </c>
      <c r="F394" s="159">
        <v>142000</v>
      </c>
      <c r="G394" s="159">
        <v>958500000</v>
      </c>
      <c r="H394" s="159">
        <v>95850000</v>
      </c>
      <c r="I394" s="159">
        <v>1054350000</v>
      </c>
      <c r="J394" s="159">
        <f>bargiri[[#This Row],[مقدار]]*INDEX(invoice[پیش دریافت به ازای هر کیلوگرم],MATCH(bargiri[[#This Row],[شماره سند مبنا]],invoice[شماره پیش فاکتور],0))</f>
        <v>203219703.16622692</v>
      </c>
      <c r="K394" s="159">
        <f>bargiri[[#This Row],[مبلغ خالص]]-bargiri[[#This Row],[میزان استهلاک پیش دریافتی]]</f>
        <v>851130296.83377314</v>
      </c>
      <c r="L394" s="160" t="s">
        <v>593</v>
      </c>
      <c r="M394" s="159" t="s">
        <v>593</v>
      </c>
      <c r="N394" s="159">
        <f>IF(bargiri[[#This Row],[مبلغ واریزی]]&lt;&gt;"",bargiri[[#This Row],[مانده مبلغ]]-bargiri[[#This Row],[مبلغ واریزی]],bargiri[[#This Row],[مانده مبلغ]])</f>
        <v>851130296.83377314</v>
      </c>
      <c r="O394" s="159" t="s">
        <v>593</v>
      </c>
      <c r="P394" s="159">
        <f>VLOOKUP(bargiri[[#This Row],[شماره سند مبنا]],invoice[[شماره پیش فاکتور]:[پیش دریافت به ازای هر کیلوگرم]],14,0)</f>
        <v>30106.622691292876</v>
      </c>
      <c r="Q394" s="159">
        <f>IF(bargiri[[#This Row],[مبلغ ناخالص]]-(bargiri[[#This Row],[نرخ استهلاک]]*bargiri[[#This Row],[مقدار]])&lt;0,0,bargiri[[#This Row],[مبلغ ناخالص]]-(bargiri[[#This Row],[نرخ استهلاک]]*bargiri[[#This Row],[مقدار]]))</f>
        <v>755280296.83377314</v>
      </c>
    </row>
    <row r="395" spans="1:17" s="22" customFormat="1" ht="13.8" x14ac:dyDescent="0.25">
      <c r="A395" s="22">
        <v>1091</v>
      </c>
      <c r="B395" s="22" t="s">
        <v>897</v>
      </c>
      <c r="C395" s="22" t="s">
        <v>458</v>
      </c>
      <c r="D395" s="22" t="s">
        <v>156</v>
      </c>
      <c r="E395" s="158">
        <v>13435</v>
      </c>
      <c r="F395" s="159">
        <v>142000</v>
      </c>
      <c r="G395" s="159">
        <v>1907770000</v>
      </c>
      <c r="H395" s="159">
        <v>190777000</v>
      </c>
      <c r="I395" s="159">
        <v>2098547000</v>
      </c>
      <c r="J395" s="159">
        <f>bargiri[[#This Row],[مقدار]]*INDEX(invoice[پیش دریافت به ازای هر کیلوگرم],MATCH(bargiri[[#This Row],[شماره سند مبنا]],invoice[شماره پیش فاکتور],0))</f>
        <v>379491711.70809138</v>
      </c>
      <c r="K395" s="159">
        <f>bargiri[[#This Row],[مبلغ خالص]]-bargiri[[#This Row],[میزان استهلاک پیش دریافتی]]</f>
        <v>1719055288.2919087</v>
      </c>
      <c r="L395" s="160" t="s">
        <v>593</v>
      </c>
      <c r="M395" s="159" t="s">
        <v>593</v>
      </c>
      <c r="N395" s="159">
        <f>IF(bargiri[[#This Row],[مبلغ واریزی]]&lt;&gt;"",bargiri[[#This Row],[مانده مبلغ]]-bargiri[[#This Row],[مبلغ واریزی]],bargiri[[#This Row],[مانده مبلغ]])</f>
        <v>1719055288.2919087</v>
      </c>
      <c r="O395" s="159" t="s">
        <v>593</v>
      </c>
      <c r="P395" s="159">
        <f>VLOOKUP(bargiri[[#This Row],[شماره سند مبنا]],invoice[[شماره پیش فاکتور]:[پیش دریافت به ازای هر کیلوگرم]],14,0)</f>
        <v>28246.498824569509</v>
      </c>
      <c r="Q395" s="159">
        <f>IF(bargiri[[#This Row],[مبلغ ناخالص]]-(bargiri[[#This Row],[نرخ استهلاک]]*bargiri[[#This Row],[مقدار]])&lt;0,0,bargiri[[#This Row],[مبلغ ناخالص]]-(bargiri[[#This Row],[نرخ استهلاک]]*bargiri[[#This Row],[مقدار]]))</f>
        <v>1528278288.2919087</v>
      </c>
    </row>
    <row r="396" spans="1:17" s="22" customFormat="1" ht="13.8" x14ac:dyDescent="0.25">
      <c r="A396" s="22">
        <v>1090</v>
      </c>
      <c r="B396" s="22" t="s">
        <v>897</v>
      </c>
      <c r="C396" s="22" t="s">
        <v>616</v>
      </c>
      <c r="D396" s="22" t="s">
        <v>67</v>
      </c>
      <c r="E396" s="158">
        <v>20910</v>
      </c>
      <c r="F396" s="159">
        <v>142000</v>
      </c>
      <c r="G396" s="159">
        <v>2969220000</v>
      </c>
      <c r="H396" s="159">
        <v>296922000</v>
      </c>
      <c r="I396" s="159">
        <v>3266142000</v>
      </c>
      <c r="J396" s="159">
        <f>bargiri[[#This Row],[مقدار]]*INDEX(invoice[پیش دریافت به ازای هر کیلوگرم],MATCH(bargiri[[#This Row],[شماره سند مبنا]],invoice[شماره پیش فاکتور],0))</f>
        <v>489921300</v>
      </c>
      <c r="K396" s="159">
        <f>bargiri[[#This Row],[مبلغ خالص]]-bargiri[[#This Row],[میزان استهلاک پیش دریافتی]]</f>
        <v>2776220700</v>
      </c>
      <c r="L396" s="160" t="s">
        <v>593</v>
      </c>
      <c r="M396" s="159" t="s">
        <v>593</v>
      </c>
      <c r="N396" s="159">
        <f>IF(bargiri[[#This Row],[مبلغ واریزی]]&lt;&gt;"",bargiri[[#This Row],[مانده مبلغ]]-bargiri[[#This Row],[مبلغ واریزی]],bargiri[[#This Row],[مانده مبلغ]])</f>
        <v>2776220700</v>
      </c>
      <c r="O396" s="159" t="s">
        <v>593</v>
      </c>
      <c r="P396" s="159">
        <f>VLOOKUP(bargiri[[#This Row],[شماره سند مبنا]],invoice[[شماره پیش فاکتور]:[پیش دریافت به ازای هر کیلوگرم]],14,0)</f>
        <v>23430</v>
      </c>
      <c r="Q396" s="159">
        <f>IF(bargiri[[#This Row],[مبلغ ناخالص]]-(bargiri[[#This Row],[نرخ استهلاک]]*bargiri[[#This Row],[مقدار]])&lt;0,0,bargiri[[#This Row],[مبلغ ناخالص]]-(bargiri[[#This Row],[نرخ استهلاک]]*bargiri[[#This Row],[مقدار]]))</f>
        <v>2479298700</v>
      </c>
    </row>
    <row r="397" spans="1:17" s="22" customFormat="1" ht="13.8" x14ac:dyDescent="0.25">
      <c r="A397" s="22">
        <v>1089</v>
      </c>
      <c r="B397" s="22" t="s">
        <v>897</v>
      </c>
      <c r="C397" s="22" t="s">
        <v>709</v>
      </c>
      <c r="D397" s="22" t="s">
        <v>43</v>
      </c>
      <c r="E397" s="158">
        <v>16815</v>
      </c>
      <c r="F397" s="159">
        <v>111000</v>
      </c>
      <c r="G397" s="159">
        <v>1866465000</v>
      </c>
      <c r="H397" s="159">
        <v>186646500</v>
      </c>
      <c r="I397" s="159">
        <v>2053111500</v>
      </c>
      <c r="J397" s="159">
        <f>bargiri[[#This Row],[مقدار]]*INDEX(invoice[پیش دریافت به ازای هر کیلوگرم],MATCH(bargiri[[#This Row],[شماره سند مبنا]],invoice[شماره پیش فاکتور],0))</f>
        <v>1437178050</v>
      </c>
      <c r="K397" s="159">
        <f>bargiri[[#This Row],[مبلغ خالص]]-bargiri[[#This Row],[میزان استهلاک پیش دریافتی]]</f>
        <v>615933450</v>
      </c>
      <c r="L397" s="160" t="s">
        <v>593</v>
      </c>
      <c r="M397" s="159" t="s">
        <v>593</v>
      </c>
      <c r="N397" s="159">
        <f>IF(bargiri[[#This Row],[مبلغ واریزی]]&lt;&gt;"",bargiri[[#This Row],[مانده مبلغ]]-bargiri[[#This Row],[مبلغ واریزی]],bargiri[[#This Row],[مانده مبلغ]])</f>
        <v>615933450</v>
      </c>
      <c r="O397" s="159" t="s">
        <v>593</v>
      </c>
      <c r="P397" s="159">
        <f>VLOOKUP(bargiri[[#This Row],[شماره سند مبنا]],invoice[[شماره پیش فاکتور]:[پیش دریافت به ازای هر کیلوگرم]],14,0)</f>
        <v>85470</v>
      </c>
      <c r="Q397" s="159">
        <f>IF(bargiri[[#This Row],[مبلغ ناخالص]]-(bargiri[[#This Row],[نرخ استهلاک]]*bargiri[[#This Row],[مقدار]])&lt;0,0,bargiri[[#This Row],[مبلغ ناخالص]]-(bargiri[[#This Row],[نرخ استهلاک]]*bargiri[[#This Row],[مقدار]]))</f>
        <v>429286950</v>
      </c>
    </row>
    <row r="398" spans="1:17" s="22" customFormat="1" ht="13.8" x14ac:dyDescent="0.25">
      <c r="A398" s="22">
        <v>1088</v>
      </c>
      <c r="B398" s="22" t="s">
        <v>983</v>
      </c>
      <c r="C398" s="22" t="s">
        <v>615</v>
      </c>
      <c r="D398" s="22" t="s">
        <v>25</v>
      </c>
      <c r="E398" s="158">
        <v>15870</v>
      </c>
      <c r="F398" s="159">
        <v>75000</v>
      </c>
      <c r="G398" s="159">
        <v>1190250000</v>
      </c>
      <c r="H398" s="159">
        <v>119025000</v>
      </c>
      <c r="I398" s="159">
        <v>1309275000</v>
      </c>
      <c r="J398" s="159">
        <f>bargiri[[#This Row],[مقدار]]*INDEX(invoice[پیش دریافت به ازای هر کیلوگرم],MATCH(bargiri[[#This Row],[شماره سند مبنا]],invoice[شماره پیش فاکتور],0))</f>
        <v>196391250.00000003</v>
      </c>
      <c r="K398" s="159">
        <f>bargiri[[#This Row],[مبلغ خالص]]-bargiri[[#This Row],[میزان استهلاک پیش دریافتی]]</f>
        <v>1112883750</v>
      </c>
      <c r="L398" s="160" t="s">
        <v>163</v>
      </c>
      <c r="M398" s="159">
        <v>311657500</v>
      </c>
      <c r="N398" s="159">
        <f>IF(bargiri[[#This Row],[مبلغ واریزی]]&lt;&gt;"",bargiri[[#This Row],[مانده مبلغ]]-bargiri[[#This Row],[مبلغ واریزی]],bargiri[[#This Row],[مانده مبلغ]])</f>
        <v>801226250</v>
      </c>
      <c r="O398" s="159">
        <v>0</v>
      </c>
      <c r="P398" s="159">
        <f>VLOOKUP(bargiri[[#This Row],[شماره سند مبنا]],invoice[[شماره پیش فاکتور]:[پیش دریافت به ازای هر کیلوگرم]],14,0)</f>
        <v>12375.000000000002</v>
      </c>
      <c r="Q398" s="159">
        <f>IF(bargiri[[#This Row],[مبلغ ناخالص]]-(bargiri[[#This Row],[نرخ استهلاک]]*bargiri[[#This Row],[مقدار]])&lt;0,0,bargiri[[#This Row],[مبلغ ناخالص]]-(bargiri[[#This Row],[نرخ استهلاک]]*bargiri[[#This Row],[مقدار]]))</f>
        <v>993858750</v>
      </c>
    </row>
    <row r="399" spans="1:17" s="22" customFormat="1" ht="13.8" x14ac:dyDescent="0.25">
      <c r="A399" s="22">
        <v>1088</v>
      </c>
      <c r="B399" s="22" t="s">
        <v>983</v>
      </c>
      <c r="C399" s="22" t="s">
        <v>708</v>
      </c>
      <c r="D399" s="22" t="s">
        <v>25</v>
      </c>
      <c r="E399" s="158">
        <v>6850</v>
      </c>
      <c r="F399" s="159">
        <v>87991</v>
      </c>
      <c r="G399" s="159">
        <v>602738350</v>
      </c>
      <c r="H399" s="159">
        <v>60273835</v>
      </c>
      <c r="I399" s="159">
        <v>663012185</v>
      </c>
      <c r="J399" s="159">
        <f>bargiri[[#This Row],[مقدار]]*INDEX(invoice[پیش دریافت به ازای هر کیلوگرم],MATCH(bargiri[[#This Row],[شماره سند مبنا]],invoice[شماره پیش فاکتور],0))</f>
        <v>99451827.75</v>
      </c>
      <c r="K399" s="159">
        <f>bargiri[[#This Row],[مبلغ خالص]]-bargiri[[#This Row],[میزان استهلاک پیش دریافتی]]</f>
        <v>563560357.25</v>
      </c>
      <c r="L399" s="160" t="s">
        <v>222</v>
      </c>
      <c r="M399" s="159">
        <v>1121298750</v>
      </c>
      <c r="N399" s="159">
        <f>IF(bargiri[[#This Row],[مبلغ واریزی]]&lt;&gt;"",bargiri[[#This Row],[مانده مبلغ]]-bargiri[[#This Row],[مبلغ واریزی]],bargiri[[#This Row],[مانده مبلغ]])</f>
        <v>-557738392.75</v>
      </c>
      <c r="O399" s="159">
        <v>0</v>
      </c>
      <c r="P399" s="159">
        <f>VLOOKUP(bargiri[[#This Row],[شماره سند مبنا]],invoice[[شماره پیش فاکتور]:[پیش دریافت به ازای هر کیلوگرم]],14,0)</f>
        <v>14518.514999999999</v>
      </c>
      <c r="Q399" s="159">
        <f>IF(bargiri[[#This Row],[مبلغ ناخالص]]-(bargiri[[#This Row],[نرخ استهلاک]]*bargiri[[#This Row],[مقدار]])&lt;0,0,bargiri[[#This Row],[مبلغ ناخالص]]-(bargiri[[#This Row],[نرخ استهلاک]]*bargiri[[#This Row],[مقدار]]))</f>
        <v>503286522.25</v>
      </c>
    </row>
    <row r="400" spans="1:17" s="22" customFormat="1" ht="13.8" x14ac:dyDescent="0.25">
      <c r="A400" s="22">
        <v>1087</v>
      </c>
      <c r="B400" s="22" t="s">
        <v>972</v>
      </c>
      <c r="C400" s="22" t="s">
        <v>182</v>
      </c>
      <c r="D400" s="22" t="s">
        <v>20</v>
      </c>
      <c r="E400" s="158">
        <v>20215</v>
      </c>
      <c r="F400" s="159">
        <v>86500</v>
      </c>
      <c r="G400" s="159">
        <v>1748597500</v>
      </c>
      <c r="H400" s="159">
        <v>174859750</v>
      </c>
      <c r="I400" s="159">
        <v>1923457250</v>
      </c>
      <c r="J400" s="159">
        <f>bargiri[[#This Row],[مقدار]]*INDEX(invoice[پیش دریافت به ازای هر کیلوگرم],MATCH(bargiri[[#This Row],[شماره سند مبنا]],invoice[شماره پیش فاکتور],0))</f>
        <v>262289625</v>
      </c>
      <c r="K400" s="159">
        <f>bargiri[[#This Row],[مبلغ خالص]]-bargiri[[#This Row],[میزان استهلاک پیش دریافتی]]</f>
        <v>1661167625</v>
      </c>
      <c r="L400" s="160" t="s">
        <v>593</v>
      </c>
      <c r="M400" s="159" t="s">
        <v>593</v>
      </c>
      <c r="N400" s="159">
        <f>IF(bargiri[[#This Row],[مبلغ واریزی]]&lt;&gt;"",bargiri[[#This Row],[مانده مبلغ]]-bargiri[[#This Row],[مبلغ واریزی]],bargiri[[#This Row],[مانده مبلغ]])</f>
        <v>1661167625</v>
      </c>
      <c r="O400" s="159" t="s">
        <v>593</v>
      </c>
      <c r="P400" s="159">
        <f>VLOOKUP(bargiri[[#This Row],[شماره سند مبنا]],invoice[[شماره پیش فاکتور]:[پیش دریافت به ازای هر کیلوگرم]],14,0)</f>
        <v>12975</v>
      </c>
      <c r="Q400" s="159">
        <f>IF(bargiri[[#This Row],[مبلغ ناخالص]]-(bargiri[[#This Row],[نرخ استهلاک]]*bargiri[[#This Row],[مقدار]])&lt;0,0,bargiri[[#This Row],[مبلغ ناخالص]]-(bargiri[[#This Row],[نرخ استهلاک]]*bargiri[[#This Row],[مقدار]]))</f>
        <v>1486307875</v>
      </c>
    </row>
    <row r="401" spans="1:17" s="22" customFormat="1" ht="13.8" x14ac:dyDescent="0.25">
      <c r="A401" s="22">
        <v>1086</v>
      </c>
      <c r="B401" s="22" t="s">
        <v>972</v>
      </c>
      <c r="C401" s="22" t="s">
        <v>607</v>
      </c>
      <c r="D401" s="22" t="s">
        <v>180</v>
      </c>
      <c r="E401" s="158">
        <v>7960</v>
      </c>
      <c r="F401" s="159">
        <v>142000</v>
      </c>
      <c r="G401" s="159">
        <v>1130320000</v>
      </c>
      <c r="H401" s="159">
        <v>113032000</v>
      </c>
      <c r="I401" s="159">
        <v>1243352000</v>
      </c>
      <c r="J401" s="159">
        <f>bargiri[[#This Row],[مقدار]]*INDEX(invoice[پیش دریافت به ازای هر کیلوگرم],MATCH(bargiri[[#This Row],[شماره سند مبنا]],invoice[شماره پیش فاکتور],0))</f>
        <v>594189245.63701367</v>
      </c>
      <c r="K401" s="159">
        <f>bargiri[[#This Row],[مبلغ خالص]]-bargiri[[#This Row],[میزان استهلاک پیش دریافتی]]</f>
        <v>649162754.36298633</v>
      </c>
      <c r="L401" s="160" t="s">
        <v>593</v>
      </c>
      <c r="M401" s="159" t="s">
        <v>593</v>
      </c>
      <c r="N401" s="159">
        <f>IF(bargiri[[#This Row],[مبلغ واریزی]]&lt;&gt;"",bargiri[[#This Row],[مانده مبلغ]]-bargiri[[#This Row],[مبلغ واریزی]],bargiri[[#This Row],[مانده مبلغ]])</f>
        <v>649162754.36298633</v>
      </c>
      <c r="O401" s="159" t="s">
        <v>593</v>
      </c>
      <c r="P401" s="159">
        <f>VLOOKUP(bargiri[[#This Row],[شماره سند مبنا]],invoice[[شماره پیش فاکتور]:[پیش دریافت به ازای هر کیلوگرم]],14,0)</f>
        <v>74646.890155403729</v>
      </c>
      <c r="Q401" s="159">
        <f>IF(bargiri[[#This Row],[مبلغ ناخالص]]-(bargiri[[#This Row],[نرخ استهلاک]]*bargiri[[#This Row],[مقدار]])&lt;0,0,bargiri[[#This Row],[مبلغ ناخالص]]-(bargiri[[#This Row],[نرخ استهلاک]]*bargiri[[#This Row],[مقدار]]))</f>
        <v>536130754.36298633</v>
      </c>
    </row>
    <row r="402" spans="1:17" s="22" customFormat="1" ht="13.8" x14ac:dyDescent="0.25">
      <c r="A402" s="22">
        <v>1085</v>
      </c>
      <c r="B402" s="22" t="s">
        <v>903</v>
      </c>
      <c r="C402" s="22" t="s">
        <v>463</v>
      </c>
      <c r="D402" s="22" t="s">
        <v>207</v>
      </c>
      <c r="E402" s="158">
        <v>6885</v>
      </c>
      <c r="F402" s="159">
        <v>142000</v>
      </c>
      <c r="G402" s="159">
        <v>977670000</v>
      </c>
      <c r="H402" s="159">
        <v>97767000</v>
      </c>
      <c r="I402" s="159">
        <v>1075437000</v>
      </c>
      <c r="J402" s="159">
        <f>bargiri[[#This Row],[مقدار]]*INDEX(invoice[پیش دریافت به ازای هر کیلوگرم],MATCH(bargiri[[#This Row],[شماره سند مبنا]],invoice[شماره پیش فاکتور],0))</f>
        <v>207284097.22955146</v>
      </c>
      <c r="K402" s="159">
        <f>bargiri[[#This Row],[مبلغ خالص]]-bargiri[[#This Row],[میزان استهلاک پیش دریافتی]]</f>
        <v>868152902.77044857</v>
      </c>
      <c r="L402" s="160" t="s">
        <v>222</v>
      </c>
      <c r="M402" s="159">
        <v>1131690000</v>
      </c>
      <c r="N402" s="159">
        <f>IF(bargiri[[#This Row],[مبلغ واریزی]]&lt;&gt;"",bargiri[[#This Row],[مانده مبلغ]]-bargiri[[#This Row],[مبلغ واریزی]],bargiri[[#This Row],[مانده مبلغ]])</f>
        <v>-263537097.22955143</v>
      </c>
      <c r="O402" s="159">
        <v>0</v>
      </c>
      <c r="P402" s="159">
        <f>VLOOKUP(bargiri[[#This Row],[شماره سند مبنا]],invoice[[شماره پیش فاکتور]:[پیش دریافت به ازای هر کیلوگرم]],14,0)</f>
        <v>30106.622691292876</v>
      </c>
      <c r="Q402" s="159">
        <f>IF(bargiri[[#This Row],[مبلغ ناخالص]]-(bargiri[[#This Row],[نرخ استهلاک]]*bargiri[[#This Row],[مقدار]])&lt;0,0,bargiri[[#This Row],[مبلغ ناخالص]]-(bargiri[[#This Row],[نرخ استهلاک]]*bargiri[[#This Row],[مقدار]]))</f>
        <v>770385902.77044857</v>
      </c>
    </row>
    <row r="403" spans="1:17" s="22" customFormat="1" ht="13.8" x14ac:dyDescent="0.25">
      <c r="A403" s="22">
        <v>1084</v>
      </c>
      <c r="B403" s="22" t="s">
        <v>903</v>
      </c>
      <c r="C403" s="22" t="s">
        <v>602</v>
      </c>
      <c r="D403" s="22" t="s">
        <v>30</v>
      </c>
      <c r="E403" s="158">
        <v>11645</v>
      </c>
      <c r="F403" s="159">
        <v>142000</v>
      </c>
      <c r="G403" s="159">
        <v>1653590000</v>
      </c>
      <c r="H403" s="159">
        <v>165359000</v>
      </c>
      <c r="I403" s="159">
        <v>1818949000</v>
      </c>
      <c r="J403" s="159">
        <f>bargiri[[#This Row],[مقدار]]*INDEX(invoice[پیش دریافت به ازای هر کیلوگرم],MATCH(bargiri[[#This Row],[شماره سند مبنا]],invoice[شماره پیش فاکتور],0))</f>
        <v>1317669771.2925594</v>
      </c>
      <c r="K403" s="159">
        <f>bargiri[[#This Row],[مبلغ خالص]]-bargiri[[#This Row],[میزان استهلاک پیش دریافتی]]</f>
        <v>501279228.70744061</v>
      </c>
      <c r="L403" s="160" t="s">
        <v>593</v>
      </c>
      <c r="M403" s="159" t="s">
        <v>593</v>
      </c>
      <c r="N403" s="159">
        <f>IF(bargiri[[#This Row],[مبلغ واریزی]]&lt;&gt;"",bargiri[[#This Row],[مانده مبلغ]]-bargiri[[#This Row],[مبلغ واریزی]],bargiri[[#This Row],[مانده مبلغ]])</f>
        <v>501279228.70744061</v>
      </c>
      <c r="O403" s="159" t="s">
        <v>593</v>
      </c>
      <c r="P403" s="159">
        <f>VLOOKUP(bargiri[[#This Row],[شماره سند مبنا]],invoice[[شماره پیش فاکتور]:[پیش دریافت به ازای هر کیلوگرم]],14,0)</f>
        <v>113153.2650315637</v>
      </c>
      <c r="Q403" s="159">
        <f>IF(bargiri[[#This Row],[مبلغ ناخالص]]-(bargiri[[#This Row],[نرخ استهلاک]]*bargiri[[#This Row],[مقدار]])&lt;0,0,bargiri[[#This Row],[مبلغ ناخالص]]-(bargiri[[#This Row],[نرخ استهلاک]]*bargiri[[#This Row],[مقدار]]))</f>
        <v>335920228.70744061</v>
      </c>
    </row>
    <row r="404" spans="1:17" s="22" customFormat="1" ht="13.8" x14ac:dyDescent="0.25">
      <c r="A404" s="22">
        <v>1083</v>
      </c>
      <c r="B404" s="22" t="s">
        <v>903</v>
      </c>
      <c r="C404" s="22" t="s">
        <v>889</v>
      </c>
      <c r="D404" s="22" t="s">
        <v>40</v>
      </c>
      <c r="E404" s="158">
        <v>20340</v>
      </c>
      <c r="F404" s="159">
        <v>167500</v>
      </c>
      <c r="G404" s="159">
        <v>3406950000</v>
      </c>
      <c r="H404" s="159">
        <v>340695000</v>
      </c>
      <c r="I404" s="159">
        <v>3747645000</v>
      </c>
      <c r="J404" s="159">
        <f>bargiri[[#This Row],[مقدار]]*INDEX(invoice[پیش دریافت به ازای هر کیلوگرم],MATCH(bargiri[[#This Row],[شماره سند مبنا]],invoice[شماره پیش فاکتور],0))</f>
        <v>3747645000</v>
      </c>
      <c r="K404" s="159">
        <f>bargiri[[#This Row],[مبلغ خالص]]-bargiri[[#This Row],[میزان استهلاک پیش دریافتی]]</f>
        <v>0</v>
      </c>
      <c r="L404" s="160" t="s">
        <v>593</v>
      </c>
      <c r="M404" s="159" t="s">
        <v>593</v>
      </c>
      <c r="N404" s="159">
        <f>IF(bargiri[[#This Row],[مبلغ واریزی]]&lt;&gt;"",bargiri[[#This Row],[مانده مبلغ]]-bargiri[[#This Row],[مبلغ واریزی]],bargiri[[#This Row],[مانده مبلغ]])</f>
        <v>0</v>
      </c>
      <c r="O404" s="159" t="s">
        <v>593</v>
      </c>
      <c r="P404" s="159">
        <f>VLOOKUP(bargiri[[#This Row],[شماره سند مبنا]],invoice[[شماره پیش فاکتور]:[پیش دریافت به ازای هر کیلوگرم]],14,0)</f>
        <v>184250</v>
      </c>
      <c r="Q404" s="159">
        <f>IF(bargiri[[#This Row],[مبلغ ناخالص]]-(bargiri[[#This Row],[نرخ استهلاک]]*bargiri[[#This Row],[مقدار]])&lt;0,0,bargiri[[#This Row],[مبلغ ناخالص]]-(bargiri[[#This Row],[نرخ استهلاک]]*bargiri[[#This Row],[مقدار]]))</f>
        <v>0</v>
      </c>
    </row>
    <row r="405" spans="1:17" s="22" customFormat="1" ht="13.8" x14ac:dyDescent="0.25">
      <c r="A405" s="22">
        <v>1082</v>
      </c>
      <c r="B405" s="22" t="s">
        <v>903</v>
      </c>
      <c r="C405" s="22" t="s">
        <v>605</v>
      </c>
      <c r="D405" s="22" t="s">
        <v>70</v>
      </c>
      <c r="E405" s="158">
        <v>20390</v>
      </c>
      <c r="F405" s="159">
        <v>142000</v>
      </c>
      <c r="G405" s="159">
        <v>2895380000</v>
      </c>
      <c r="H405" s="159">
        <v>289538000</v>
      </c>
      <c r="I405" s="159">
        <v>3184918000</v>
      </c>
      <c r="J405" s="159">
        <f>bargiri[[#This Row],[مقدار]]*INDEX(invoice[پیش دریافت به ازای هر کیلوگرم],MATCH(bargiri[[#This Row],[شماره سند مبنا]],invoice[شماره پیش فاکتور],0))</f>
        <v>477737700</v>
      </c>
      <c r="K405" s="159">
        <f>bargiri[[#This Row],[مبلغ خالص]]-bargiri[[#This Row],[میزان استهلاک پیش دریافتی]]</f>
        <v>2707180300</v>
      </c>
      <c r="L405" s="160" t="s">
        <v>254</v>
      </c>
      <c r="M405" s="159">
        <v>1550113125</v>
      </c>
      <c r="N405" s="159">
        <f>IF(bargiri[[#This Row],[مبلغ واریزی]]&lt;&gt;"",bargiri[[#This Row],[مانده مبلغ]]-bargiri[[#This Row],[مبلغ واریزی]],bargiri[[#This Row],[مانده مبلغ]])</f>
        <v>1157067175</v>
      </c>
      <c r="O405" s="159">
        <v>0</v>
      </c>
      <c r="P405" s="159">
        <f>VLOOKUP(bargiri[[#This Row],[شماره سند مبنا]],invoice[[شماره پیش فاکتور]:[پیش دریافت به ازای هر کیلوگرم]],14,0)</f>
        <v>23430</v>
      </c>
      <c r="Q405" s="159">
        <f>IF(bargiri[[#This Row],[مبلغ ناخالص]]-(bargiri[[#This Row],[نرخ استهلاک]]*bargiri[[#This Row],[مقدار]])&lt;0,0,bargiri[[#This Row],[مبلغ ناخالص]]-(bargiri[[#This Row],[نرخ استهلاک]]*bargiri[[#This Row],[مقدار]]))</f>
        <v>2417642300</v>
      </c>
    </row>
    <row r="406" spans="1:17" s="22" customFormat="1" ht="13.8" x14ac:dyDescent="0.25">
      <c r="A406" s="22">
        <v>977</v>
      </c>
      <c r="B406" s="22" t="s">
        <v>775</v>
      </c>
      <c r="C406" s="22" t="s">
        <v>739</v>
      </c>
      <c r="D406" s="22" t="s">
        <v>73</v>
      </c>
      <c r="E406" s="158">
        <v>4710</v>
      </c>
      <c r="F406" s="159">
        <v>56881</v>
      </c>
      <c r="G406" s="159">
        <v>1150987035</v>
      </c>
      <c r="H406" s="159">
        <v>103588833</v>
      </c>
      <c r="I406" s="159">
        <v>1254575868</v>
      </c>
      <c r="J406" s="159">
        <f>bargiri[[#This Row],[مقدار]]*INDEX(invoice[پیش دریافت به ازای هر کیلوگرم],MATCH(bargiri[[#This Row],[شماره سند مبنا]],invoice[شماره پیش فاکتور],0))</f>
        <v>715000000</v>
      </c>
      <c r="K406" s="159">
        <f>bargiri[[#This Row],[مبلغ خالص]]-bargiri[[#This Row],[میزان استهلاک پیش دریافتی]]</f>
        <v>539575868</v>
      </c>
      <c r="L406" s="160" t="s">
        <v>200</v>
      </c>
      <c r="M406" s="159">
        <v>584960000</v>
      </c>
      <c r="N406" s="159">
        <f>IF(bargiri[[#This Row],[مبلغ واریزی]]&lt;&gt;"",bargiri[[#This Row],[مانده مبلغ]]-bargiri[[#This Row],[مبلغ واریزی]],bargiri[[#This Row],[مانده مبلغ]])</f>
        <v>-45384132</v>
      </c>
      <c r="O406" s="159">
        <v>0</v>
      </c>
      <c r="P406" s="159">
        <f>VLOOKUP(bargiri[[#This Row],[شماره سند مبنا]],invoice[[شماره پیش فاکتور]:[پیش دریافت به ازای هر کیلوگرم]],14,0)</f>
        <v>151804.67091295117</v>
      </c>
      <c r="Q406" s="159">
        <f>IF(bargiri[[#This Row],[مبلغ ناخالص]]-(bargiri[[#This Row],[نرخ استهلاک]]*bargiri[[#This Row],[مقدار]])&lt;0,0,bargiri[[#This Row],[مبلغ ناخالص]]-(bargiri[[#This Row],[نرخ استهلاک]]*bargiri[[#This Row],[مقدار]]))</f>
        <v>435987035</v>
      </c>
    </row>
    <row r="407" spans="1:17" s="22" customFormat="1" ht="13.8" x14ac:dyDescent="0.25">
      <c r="A407" s="22">
        <v>977</v>
      </c>
      <c r="B407" s="22" t="s">
        <v>775</v>
      </c>
      <c r="C407" s="22" t="s">
        <v>72</v>
      </c>
      <c r="D407" s="22" t="s">
        <v>73</v>
      </c>
      <c r="E407" s="158">
        <v>15330</v>
      </c>
      <c r="F407" s="159">
        <v>56881</v>
      </c>
      <c r="G407" s="159">
        <v>1150987035</v>
      </c>
      <c r="H407" s="159">
        <v>103588833</v>
      </c>
      <c r="I407" s="159">
        <v>1254575868</v>
      </c>
      <c r="J407" s="159" t="e">
        <f>bargiri[[#This Row],[مقدار]]*INDEX(invoice[پیش دریافت به ازای هر کیلوگرم],MATCH(bargiri[[#This Row],[شماره سند مبنا]],invoice[شماره پیش فاکتور],0))</f>
        <v>#N/A</v>
      </c>
      <c r="K407" s="159" t="e">
        <f>bargiri[[#This Row],[مبلغ خالص]]-bargiri[[#This Row],[میزان استهلاک پیش دریافتی]]</f>
        <v>#N/A</v>
      </c>
      <c r="L407" s="160" t="s">
        <v>593</v>
      </c>
      <c r="M407" s="159" t="s">
        <v>593</v>
      </c>
      <c r="N407" s="159" t="e">
        <f>IF(bargiri[[#This Row],[مبلغ واریزی]]&lt;&gt;"",bargiri[[#This Row],[مانده مبلغ]]-bargiri[[#This Row],[مبلغ واریزی]],bargiri[[#This Row],[مانده مبلغ]])</f>
        <v>#N/A</v>
      </c>
      <c r="O407" s="159" t="s">
        <v>593</v>
      </c>
      <c r="P407" s="159" t="e">
        <f>VLOOKUP(bargiri[[#This Row],[شماره سند مبنا]],invoice[[شماره پیش فاکتور]:[پیش دریافت به ازای هر کیلوگرم]],14,0)</f>
        <v>#N/A</v>
      </c>
      <c r="Q407" s="159" t="e">
        <f>IF(bargiri[[#This Row],[مبلغ ناخالص]]-(bargiri[[#This Row],[نرخ استهلاک]]*bargiri[[#This Row],[مقدار]])&lt;0,0,bargiri[[#This Row],[مبلغ ناخالص]]-(bargiri[[#This Row],[نرخ استهلاک]]*bargiri[[#This Row],[مقدار]]))</f>
        <v>#N/A</v>
      </c>
    </row>
    <row r="408" spans="1:17" s="22" customFormat="1" ht="13.8" x14ac:dyDescent="0.25">
      <c r="A408" s="22">
        <v>977</v>
      </c>
      <c r="B408" s="22" t="s">
        <v>775</v>
      </c>
      <c r="C408" s="22" t="s">
        <v>72</v>
      </c>
      <c r="D408" s="22" t="s">
        <v>73</v>
      </c>
      <c r="E408" s="158">
        <v>20400</v>
      </c>
      <c r="F408" s="159">
        <v>56881</v>
      </c>
      <c r="G408" s="159">
        <v>1150987035</v>
      </c>
      <c r="H408" s="159">
        <v>103588833</v>
      </c>
      <c r="I408" s="159">
        <v>1254575868</v>
      </c>
      <c r="J408" s="159" t="e">
        <f>bargiri[[#This Row],[مقدار]]*INDEX(invoice[پیش دریافت به ازای هر کیلوگرم],MATCH(bargiri[[#This Row],[شماره سند مبنا]],invoice[شماره پیش فاکتور],0))</f>
        <v>#N/A</v>
      </c>
      <c r="K408" s="159" t="e">
        <f>bargiri[[#This Row],[مبلغ خالص]]-bargiri[[#This Row],[میزان استهلاک پیش دریافتی]]</f>
        <v>#N/A</v>
      </c>
      <c r="L408" s="160" t="s">
        <v>593</v>
      </c>
      <c r="M408" s="159" t="s">
        <v>593</v>
      </c>
      <c r="N408" s="159" t="e">
        <f>IF(bargiri[[#This Row],[مبلغ واریزی]]&lt;&gt;"",bargiri[[#This Row],[مانده مبلغ]]-bargiri[[#This Row],[مبلغ واریزی]],bargiri[[#This Row],[مانده مبلغ]])</f>
        <v>#N/A</v>
      </c>
      <c r="O408" s="159" t="s">
        <v>593</v>
      </c>
      <c r="P408" s="159" t="e">
        <f>VLOOKUP(bargiri[[#This Row],[شماره سند مبنا]],invoice[[شماره پیش فاکتور]:[پیش دریافت به ازای هر کیلوگرم]],14,0)</f>
        <v>#N/A</v>
      </c>
      <c r="Q408" s="159" t="e">
        <f>IF(bargiri[[#This Row],[مبلغ ناخالص]]-(bargiri[[#This Row],[نرخ استهلاک]]*bargiri[[#This Row],[مقدار]])&lt;0,0,bargiri[[#This Row],[مبلغ ناخالص]]-(bargiri[[#This Row],[نرخ استهلاک]]*bargiri[[#This Row],[مقدار]]))</f>
        <v>#N/A</v>
      </c>
    </row>
    <row r="409" spans="1:17" s="22" customFormat="1" ht="13.8" x14ac:dyDescent="0.25">
      <c r="A409" s="22">
        <v>977</v>
      </c>
      <c r="B409" s="22" t="s">
        <v>740</v>
      </c>
      <c r="C409" s="22" t="s">
        <v>72</v>
      </c>
      <c r="D409" s="22" t="s">
        <v>73</v>
      </c>
      <c r="E409" s="158">
        <v>20345</v>
      </c>
      <c r="F409" s="159">
        <v>56881</v>
      </c>
      <c r="G409" s="159">
        <v>1150987035</v>
      </c>
      <c r="H409" s="159">
        <v>103588833</v>
      </c>
      <c r="I409" s="159">
        <v>1254575868</v>
      </c>
      <c r="J409" s="159" t="e">
        <f>bargiri[[#This Row],[مقدار]]*INDEX(invoice[پیش دریافت به ازای هر کیلوگرم],MATCH(bargiri[[#This Row],[شماره سند مبنا]],invoice[شماره پیش فاکتور],0))</f>
        <v>#N/A</v>
      </c>
      <c r="K409" s="159" t="e">
        <f>bargiri[[#This Row],[مبلغ خالص]]-bargiri[[#This Row],[میزان استهلاک پیش دریافتی]]</f>
        <v>#N/A</v>
      </c>
      <c r="L409" s="160" t="s">
        <v>593</v>
      </c>
      <c r="M409" s="159" t="s">
        <v>593</v>
      </c>
      <c r="N409" s="159" t="e">
        <f>IF(bargiri[[#This Row],[مبلغ واریزی]]&lt;&gt;"",bargiri[[#This Row],[مانده مبلغ]]-bargiri[[#This Row],[مبلغ واریزی]],bargiri[[#This Row],[مانده مبلغ]])</f>
        <v>#N/A</v>
      </c>
      <c r="O409" s="159" t="s">
        <v>593</v>
      </c>
      <c r="P409" s="159" t="e">
        <f>VLOOKUP(bargiri[[#This Row],[شماره سند مبنا]],invoice[[شماره پیش فاکتور]:[پیش دریافت به ازای هر کیلوگرم]],14,0)</f>
        <v>#N/A</v>
      </c>
      <c r="Q409" s="159" t="e">
        <f>IF(bargiri[[#This Row],[مبلغ ناخالص]]-(bargiri[[#This Row],[نرخ استهلاک]]*bargiri[[#This Row],[مقدار]])&lt;0,0,bargiri[[#This Row],[مبلغ ناخالص]]-(bargiri[[#This Row],[نرخ استهلاک]]*bargiri[[#This Row],[مقدار]]))</f>
        <v>#N/A</v>
      </c>
    </row>
    <row r="410" spans="1:17" s="22" customFormat="1" ht="13.8" x14ac:dyDescent="0.25">
      <c r="A410" s="22">
        <v>977</v>
      </c>
      <c r="B410" s="22" t="s">
        <v>740</v>
      </c>
      <c r="C410" s="22" t="s">
        <v>72</v>
      </c>
      <c r="D410" s="22" t="s">
        <v>73</v>
      </c>
      <c r="E410" s="158">
        <v>20235</v>
      </c>
      <c r="F410" s="159">
        <v>56881</v>
      </c>
      <c r="G410" s="159">
        <v>1150987035</v>
      </c>
      <c r="H410" s="159">
        <v>103588833</v>
      </c>
      <c r="I410" s="159">
        <v>1254575868</v>
      </c>
      <c r="J410" s="159" t="e">
        <f>bargiri[[#This Row],[مقدار]]*INDEX(invoice[پیش دریافت به ازای هر کیلوگرم],MATCH(bargiri[[#This Row],[شماره سند مبنا]],invoice[شماره پیش فاکتور],0))</f>
        <v>#N/A</v>
      </c>
      <c r="K410" s="159" t="e">
        <f>bargiri[[#This Row],[مبلغ خالص]]-bargiri[[#This Row],[میزان استهلاک پیش دریافتی]]</f>
        <v>#N/A</v>
      </c>
      <c r="L410" s="160" t="s">
        <v>593</v>
      </c>
      <c r="M410" s="159" t="s">
        <v>593</v>
      </c>
      <c r="N410" s="159" t="e">
        <f>IF(bargiri[[#This Row],[مبلغ واریزی]]&lt;&gt;"",bargiri[[#This Row],[مانده مبلغ]]-bargiri[[#This Row],[مبلغ واریزی]],bargiri[[#This Row],[مانده مبلغ]])</f>
        <v>#N/A</v>
      </c>
      <c r="O410" s="159" t="s">
        <v>593</v>
      </c>
      <c r="P410" s="159" t="e">
        <f>VLOOKUP(bargiri[[#This Row],[شماره سند مبنا]],invoice[[شماره پیش فاکتور]:[پیش دریافت به ازای هر کیلوگرم]],14,0)</f>
        <v>#N/A</v>
      </c>
      <c r="Q410" s="159" t="e">
        <f>IF(bargiri[[#This Row],[مبلغ ناخالص]]-(bargiri[[#This Row],[نرخ استهلاک]]*bargiri[[#This Row],[مقدار]])&lt;0,0,bargiri[[#This Row],[مبلغ ناخالص]]-(bargiri[[#This Row],[نرخ استهلاک]]*bargiri[[#This Row],[مقدار]]))</f>
        <v>#N/A</v>
      </c>
    </row>
    <row r="411" spans="1:17" s="22" customFormat="1" ht="13.8" x14ac:dyDescent="0.25">
      <c r="A411" s="22">
        <v>976</v>
      </c>
      <c r="B411" s="22" t="s">
        <v>768</v>
      </c>
      <c r="C411" s="22" t="s">
        <v>72</v>
      </c>
      <c r="D411" s="22" t="s">
        <v>73</v>
      </c>
      <c r="E411" s="158">
        <v>21030</v>
      </c>
      <c r="F411" s="159">
        <v>56881</v>
      </c>
      <c r="G411" s="159">
        <v>1196207430</v>
      </c>
      <c r="H411" s="159">
        <v>107658669</v>
      </c>
      <c r="I411" s="159">
        <v>1303866099</v>
      </c>
      <c r="J411" s="159" t="e">
        <f>bargiri[[#This Row],[مقدار]]*INDEX(invoice[پیش دریافت به ازای هر کیلوگرم],MATCH(bargiri[[#This Row],[شماره سند مبنا]],invoice[شماره پیش فاکتور],0))</f>
        <v>#N/A</v>
      </c>
      <c r="K411" s="159" t="e">
        <f>bargiri[[#This Row],[مبلغ خالص]]-bargiri[[#This Row],[میزان استهلاک پیش دریافتی]]</f>
        <v>#N/A</v>
      </c>
      <c r="L411" s="160" t="s">
        <v>593</v>
      </c>
      <c r="M411" s="159" t="s">
        <v>593</v>
      </c>
      <c r="N411" s="159" t="e">
        <f>IF(bargiri[[#This Row],[مبلغ واریزی]]&lt;&gt;"",bargiri[[#This Row],[مانده مبلغ]]-bargiri[[#This Row],[مبلغ واریزی]],bargiri[[#This Row],[مانده مبلغ]])</f>
        <v>#N/A</v>
      </c>
      <c r="O411" s="159" t="s">
        <v>593</v>
      </c>
      <c r="P411" s="159" t="e">
        <f>VLOOKUP(bargiri[[#This Row],[شماره سند مبنا]],invoice[[شماره پیش فاکتور]:[پیش دریافت به ازای هر کیلوگرم]],14,0)</f>
        <v>#N/A</v>
      </c>
      <c r="Q411" s="159" t="e">
        <f>IF(bargiri[[#This Row],[مبلغ ناخالص]]-(bargiri[[#This Row],[نرخ استهلاک]]*bargiri[[#This Row],[مقدار]])&lt;0,0,bargiri[[#This Row],[مبلغ ناخالص]]-(bargiri[[#This Row],[نرخ استهلاک]]*bargiri[[#This Row],[مقدار]]))</f>
        <v>#N/A</v>
      </c>
    </row>
    <row r="412" spans="1:17" s="22" customFormat="1" ht="13.8" x14ac:dyDescent="0.25">
      <c r="A412" s="22">
        <v>1081</v>
      </c>
      <c r="B412" s="22" t="s">
        <v>353</v>
      </c>
      <c r="C412" s="22" t="s">
        <v>709</v>
      </c>
      <c r="D412" s="22" t="s">
        <v>43</v>
      </c>
      <c r="E412" s="158">
        <v>19485</v>
      </c>
      <c r="F412" s="159">
        <v>111000</v>
      </c>
      <c r="G412" s="159">
        <v>2162835000</v>
      </c>
      <c r="H412" s="159">
        <v>216283500</v>
      </c>
      <c r="I412" s="159">
        <v>2379118500</v>
      </c>
      <c r="J412" s="159">
        <f>bargiri[[#This Row],[مقدار]]*INDEX(invoice[پیش دریافت به ازای هر کیلوگرم],MATCH(bargiri[[#This Row],[شماره سند مبنا]],invoice[شماره پیش فاکتور],0))</f>
        <v>1665382950</v>
      </c>
      <c r="K412" s="159">
        <f>bargiri[[#This Row],[مبلغ خالص]]-bargiri[[#This Row],[میزان استهلاک پیش دریافتی]]</f>
        <v>713735550</v>
      </c>
      <c r="L412" s="160" t="s">
        <v>593</v>
      </c>
      <c r="M412" s="159" t="s">
        <v>593</v>
      </c>
      <c r="N412" s="159">
        <f>IF(bargiri[[#This Row],[مبلغ واریزی]]&lt;&gt;"",bargiri[[#This Row],[مانده مبلغ]]-bargiri[[#This Row],[مبلغ واریزی]],bargiri[[#This Row],[مانده مبلغ]])</f>
        <v>713735550</v>
      </c>
      <c r="O412" s="159" t="s">
        <v>593</v>
      </c>
      <c r="P412" s="159">
        <f>VLOOKUP(bargiri[[#This Row],[شماره سند مبنا]],invoice[[شماره پیش فاکتور]:[پیش دریافت به ازای هر کیلوگرم]],14,0)</f>
        <v>85470</v>
      </c>
      <c r="Q412" s="159">
        <f>IF(bargiri[[#This Row],[مبلغ ناخالص]]-(bargiri[[#This Row],[نرخ استهلاک]]*bargiri[[#This Row],[مقدار]])&lt;0,0,bargiri[[#This Row],[مبلغ ناخالص]]-(bargiri[[#This Row],[نرخ استهلاک]]*bargiri[[#This Row],[مقدار]]))</f>
        <v>497452050</v>
      </c>
    </row>
    <row r="413" spans="1:17" s="22" customFormat="1" ht="13.8" x14ac:dyDescent="0.25">
      <c r="A413" s="22">
        <v>1080</v>
      </c>
      <c r="B413" s="22" t="s">
        <v>984</v>
      </c>
      <c r="C413" s="22" t="s">
        <v>456</v>
      </c>
      <c r="D413" s="22" t="s">
        <v>213</v>
      </c>
      <c r="E413" s="158">
        <v>20495</v>
      </c>
      <c r="F413" s="159">
        <v>142000</v>
      </c>
      <c r="G413" s="159">
        <v>2910290000</v>
      </c>
      <c r="H413" s="159">
        <v>291029000</v>
      </c>
      <c r="I413" s="159">
        <v>3201319000</v>
      </c>
      <c r="J413" s="159">
        <f>bargiri[[#This Row],[مقدار]]*INDEX(invoice[پیش دریافت به ازای هر کیلوگرم],MATCH(bargiri[[#This Row],[شماره سند مبنا]],invoice[شماره پیش فاکتور],0))</f>
        <v>2432021523.4871707</v>
      </c>
      <c r="K413" s="159">
        <f>bargiri[[#This Row],[مبلغ خالص]]-bargiri[[#This Row],[میزان استهلاک پیش دریافتی]]</f>
        <v>769297476.5128293</v>
      </c>
      <c r="L413" s="160" t="s">
        <v>593</v>
      </c>
      <c r="M413" s="159" t="s">
        <v>593</v>
      </c>
      <c r="N413" s="159">
        <f>IF(bargiri[[#This Row],[مبلغ واریزی]]&lt;&gt;"",bargiri[[#This Row],[مانده مبلغ]]-bargiri[[#This Row],[مبلغ واریزی]],bargiri[[#This Row],[مانده مبلغ]])</f>
        <v>769297476.5128293</v>
      </c>
      <c r="O413" s="159" t="s">
        <v>593</v>
      </c>
      <c r="P413" s="159">
        <f>VLOOKUP(bargiri[[#This Row],[شماره سند مبنا]],invoice[[شماره پیش فاکتور]:[پیش دریافت به ازای هر کیلوگرم]],14,0)</f>
        <v>118664.13874053041</v>
      </c>
      <c r="Q413" s="159">
        <f>IF(bargiri[[#This Row],[مبلغ ناخالص]]-(bargiri[[#This Row],[نرخ استهلاک]]*bargiri[[#This Row],[مقدار]])&lt;0,0,bargiri[[#This Row],[مبلغ ناخالص]]-(bargiri[[#This Row],[نرخ استهلاک]]*bargiri[[#This Row],[مقدار]]))</f>
        <v>478268476.5128293</v>
      </c>
    </row>
    <row r="414" spans="1:17" s="22" customFormat="1" ht="13.8" x14ac:dyDescent="0.25">
      <c r="A414" s="22">
        <v>1079</v>
      </c>
      <c r="B414" s="22" t="s">
        <v>984</v>
      </c>
      <c r="C414" s="22" t="s">
        <v>461</v>
      </c>
      <c r="D414" s="22" t="s">
        <v>35</v>
      </c>
      <c r="E414" s="158">
        <v>6875</v>
      </c>
      <c r="F414" s="159">
        <v>142000</v>
      </c>
      <c r="G414" s="159">
        <v>976250000</v>
      </c>
      <c r="H414" s="159">
        <v>97625000</v>
      </c>
      <c r="I414" s="159">
        <v>1073875000</v>
      </c>
      <c r="J414" s="159">
        <f>bargiri[[#This Row],[مقدار]]*INDEX(invoice[پیش دریافت به ازای هر کیلوگرم],MATCH(bargiri[[#This Row],[شماره سند مبنا]],invoice[شماره پیش فاکتور],0))</f>
        <v>225625479.73756605</v>
      </c>
      <c r="K414" s="159">
        <f>bargiri[[#This Row],[مبلغ خالص]]-bargiri[[#This Row],[میزان استهلاک پیش دریافتی]]</f>
        <v>848249520.26243401</v>
      </c>
      <c r="L414" s="160" t="s">
        <v>593</v>
      </c>
      <c r="M414" s="159" t="s">
        <v>593</v>
      </c>
      <c r="N414" s="159">
        <f>IF(bargiri[[#This Row],[مبلغ واریزی]]&lt;&gt;"",bargiri[[#This Row],[مانده مبلغ]]-bargiri[[#This Row],[مبلغ واریزی]],bargiri[[#This Row],[مانده مبلغ]])</f>
        <v>848249520.26243401</v>
      </c>
      <c r="O414" s="159" t="s">
        <v>593</v>
      </c>
      <c r="P414" s="159">
        <f>VLOOKUP(bargiri[[#This Row],[شماره سند مبنا]],invoice[[شماره پیش فاکتور]:[پیش دریافت به ازای هر کیلوگرم]],14,0)</f>
        <v>32818.251598191426</v>
      </c>
      <c r="Q414" s="159">
        <f>IF(bargiri[[#This Row],[مبلغ ناخالص]]-(bargiri[[#This Row],[نرخ استهلاک]]*bargiri[[#This Row],[مقدار]])&lt;0,0,bargiri[[#This Row],[مبلغ ناخالص]]-(bargiri[[#This Row],[نرخ استهلاک]]*bargiri[[#This Row],[مقدار]]))</f>
        <v>750624520.26243401</v>
      </c>
    </row>
    <row r="415" spans="1:17" s="22" customFormat="1" ht="13.8" x14ac:dyDescent="0.25">
      <c r="A415" s="22">
        <v>1078</v>
      </c>
      <c r="B415" s="22" t="s">
        <v>984</v>
      </c>
      <c r="C415" s="22" t="s">
        <v>709</v>
      </c>
      <c r="D415" s="22" t="s">
        <v>43</v>
      </c>
      <c r="E415" s="158">
        <v>22360</v>
      </c>
      <c r="F415" s="159">
        <v>111000</v>
      </c>
      <c r="G415" s="159">
        <v>2481960000</v>
      </c>
      <c r="H415" s="159">
        <v>248196000</v>
      </c>
      <c r="I415" s="159">
        <v>2730156000</v>
      </c>
      <c r="J415" s="159">
        <f>bargiri[[#This Row],[مقدار]]*INDEX(invoice[پیش دریافت به ازای هر کیلوگرم],MATCH(bargiri[[#This Row],[شماره سند مبنا]],invoice[شماره پیش فاکتور],0))</f>
        <v>1911109200</v>
      </c>
      <c r="K415" s="159">
        <f>bargiri[[#This Row],[مبلغ خالص]]-bargiri[[#This Row],[میزان استهلاک پیش دریافتی]]</f>
        <v>819046800</v>
      </c>
      <c r="L415" s="160" t="s">
        <v>593</v>
      </c>
      <c r="M415" s="159" t="s">
        <v>593</v>
      </c>
      <c r="N415" s="159">
        <f>IF(bargiri[[#This Row],[مبلغ واریزی]]&lt;&gt;"",bargiri[[#This Row],[مانده مبلغ]]-bargiri[[#This Row],[مبلغ واریزی]],bargiri[[#This Row],[مانده مبلغ]])</f>
        <v>819046800</v>
      </c>
      <c r="O415" s="159" t="s">
        <v>593</v>
      </c>
      <c r="P415" s="159">
        <f>VLOOKUP(bargiri[[#This Row],[شماره سند مبنا]],invoice[[شماره پیش فاکتور]:[پیش دریافت به ازای هر کیلوگرم]],14,0)</f>
        <v>85470</v>
      </c>
      <c r="Q415" s="159">
        <f>IF(bargiri[[#This Row],[مبلغ ناخالص]]-(bargiri[[#This Row],[نرخ استهلاک]]*bargiri[[#This Row],[مقدار]])&lt;0,0,bargiri[[#This Row],[مبلغ ناخالص]]-(bargiri[[#This Row],[نرخ استهلاک]]*bargiri[[#This Row],[مقدار]]))</f>
        <v>570850800</v>
      </c>
    </row>
    <row r="416" spans="1:17" s="22" customFormat="1" ht="13.8" x14ac:dyDescent="0.25">
      <c r="A416" s="22">
        <v>1077</v>
      </c>
      <c r="B416" s="22" t="s">
        <v>984</v>
      </c>
      <c r="C416" s="22" t="s">
        <v>705</v>
      </c>
      <c r="D416" s="22" t="s">
        <v>25</v>
      </c>
      <c r="E416" s="158">
        <v>14820</v>
      </c>
      <c r="F416" s="159">
        <v>196009</v>
      </c>
      <c r="G416" s="159">
        <v>2904853380</v>
      </c>
      <c r="H416" s="159">
        <v>290485338</v>
      </c>
      <c r="I416" s="159">
        <v>3195338718</v>
      </c>
      <c r="J416" s="159">
        <f>bargiri[[#This Row],[مقدار]]*INDEX(invoice[پیش دریافت به ازای هر کیلوگرم],MATCH(bargiri[[#This Row],[شماره سند مبنا]],invoice[شماره پیش فاکتور],0))</f>
        <v>3195338718</v>
      </c>
      <c r="K416" s="159">
        <f>bargiri[[#This Row],[مبلغ خالص]]-bargiri[[#This Row],[میزان استهلاک پیش دریافتی]]</f>
        <v>0</v>
      </c>
      <c r="L416" s="160" t="s">
        <v>222</v>
      </c>
      <c r="M416" s="159">
        <v>1216715500</v>
      </c>
      <c r="N416" s="159">
        <f>IF(bargiri[[#This Row],[مبلغ واریزی]]&lt;&gt;"",bargiri[[#This Row],[مانده مبلغ]]-bargiri[[#This Row],[مبلغ واریزی]],bargiri[[#This Row],[مانده مبلغ]])</f>
        <v>-1216715500</v>
      </c>
      <c r="O416" s="159">
        <v>0</v>
      </c>
      <c r="P416" s="159">
        <f>VLOOKUP(bargiri[[#This Row],[شماره سند مبنا]],invoice[[شماره پیش فاکتور]:[پیش دریافت به ازای هر کیلوگرم]],14,0)</f>
        <v>215609.9</v>
      </c>
      <c r="Q416" s="159">
        <f>IF(bargiri[[#This Row],[مبلغ ناخالص]]-(bargiri[[#This Row],[نرخ استهلاک]]*bargiri[[#This Row],[مقدار]])&lt;0,0,bargiri[[#This Row],[مبلغ ناخالص]]-(bargiri[[#This Row],[نرخ استهلاک]]*bargiri[[#This Row],[مقدار]]))</f>
        <v>0</v>
      </c>
    </row>
    <row r="417" spans="1:17" s="22" customFormat="1" ht="13.8" x14ac:dyDescent="0.25">
      <c r="A417" s="22">
        <v>1077</v>
      </c>
      <c r="B417" s="22" t="s">
        <v>984</v>
      </c>
      <c r="C417" s="22" t="s">
        <v>741</v>
      </c>
      <c r="D417" s="22" t="s">
        <v>25</v>
      </c>
      <c r="E417" s="158">
        <v>8070</v>
      </c>
      <c r="F417" s="159">
        <v>167500</v>
      </c>
      <c r="G417" s="159">
        <v>1351725000</v>
      </c>
      <c r="H417" s="159">
        <v>135172500</v>
      </c>
      <c r="I417" s="159">
        <v>1486897500</v>
      </c>
      <c r="J417" s="159">
        <f>bargiri[[#This Row],[مقدار]]*INDEX(invoice[پیش دریافت به ازای هر کیلوگرم],MATCH(bargiri[[#This Row],[شماره سند مبنا]],invoice[شماره پیش فاکتور],0))</f>
        <v>1486897500</v>
      </c>
      <c r="K417" s="159">
        <f>bargiri[[#This Row],[مبلغ خالص]]-bargiri[[#This Row],[میزان استهلاک پیش دریافتی]]</f>
        <v>0</v>
      </c>
      <c r="L417" s="160" t="s">
        <v>222</v>
      </c>
      <c r="M417" s="159">
        <v>1133475000</v>
      </c>
      <c r="N417" s="159">
        <f>IF(bargiri[[#This Row],[مبلغ واریزی]]&lt;&gt;"",bargiri[[#This Row],[مانده مبلغ]]-bargiri[[#This Row],[مبلغ واریزی]],bargiri[[#This Row],[مانده مبلغ]])</f>
        <v>-1133475000</v>
      </c>
      <c r="O417" s="159">
        <v>0</v>
      </c>
      <c r="P417" s="159">
        <f>VLOOKUP(bargiri[[#This Row],[شماره سند مبنا]],invoice[[شماره پیش فاکتور]:[پیش دریافت به ازای هر کیلوگرم]],14,0)</f>
        <v>184250</v>
      </c>
      <c r="Q417" s="159">
        <f>IF(bargiri[[#This Row],[مبلغ ناخالص]]-(bargiri[[#This Row],[نرخ استهلاک]]*bargiri[[#This Row],[مقدار]])&lt;0,0,bargiri[[#This Row],[مبلغ ناخالص]]-(bargiri[[#This Row],[نرخ استهلاک]]*bargiri[[#This Row],[مقدار]]))</f>
        <v>0</v>
      </c>
    </row>
    <row r="418" spans="1:17" s="22" customFormat="1" ht="13.8" x14ac:dyDescent="0.25">
      <c r="A418" s="22">
        <v>1076</v>
      </c>
      <c r="B418" s="22" t="s">
        <v>984</v>
      </c>
      <c r="C418" s="22" t="s">
        <v>745</v>
      </c>
      <c r="D418" s="22" t="s">
        <v>221</v>
      </c>
      <c r="E418" s="158">
        <v>14595</v>
      </c>
      <c r="F418" s="159">
        <v>135000</v>
      </c>
      <c r="G418" s="159">
        <v>1970325000</v>
      </c>
      <c r="H418" s="159">
        <v>197032500</v>
      </c>
      <c r="I418" s="159">
        <v>2167357500</v>
      </c>
      <c r="J418" s="159">
        <f>bargiri[[#This Row],[مقدار]]*INDEX(invoice[پیش دریافت به ازای هر کیلوگرم],MATCH(bargiri[[#This Row],[شماره سند مبنا]],invoice[شماره پیش فاکتور],0))</f>
        <v>325103625</v>
      </c>
      <c r="K418" s="159">
        <f>bargiri[[#This Row],[مبلغ خالص]]-bargiri[[#This Row],[میزان استهلاک پیش دریافتی]]</f>
        <v>1842253875</v>
      </c>
      <c r="L418" s="160" t="s">
        <v>593</v>
      </c>
      <c r="M418" s="159" t="s">
        <v>593</v>
      </c>
      <c r="N418" s="159">
        <f>IF(bargiri[[#This Row],[مبلغ واریزی]]&lt;&gt;"",bargiri[[#This Row],[مانده مبلغ]]-bargiri[[#This Row],[مبلغ واریزی]],bargiri[[#This Row],[مانده مبلغ]])</f>
        <v>1842253875</v>
      </c>
      <c r="O418" s="159" t="s">
        <v>593</v>
      </c>
      <c r="P418" s="159">
        <f>VLOOKUP(bargiri[[#This Row],[شماره سند مبنا]],invoice[[شماره پیش فاکتور]:[پیش دریافت به ازای هر کیلوگرم]],14,0)</f>
        <v>22275</v>
      </c>
      <c r="Q418" s="159">
        <f>IF(bargiri[[#This Row],[مبلغ ناخالص]]-(bargiri[[#This Row],[نرخ استهلاک]]*bargiri[[#This Row],[مقدار]])&lt;0,0,bargiri[[#This Row],[مبلغ ناخالص]]-(bargiri[[#This Row],[نرخ استهلاک]]*bargiri[[#This Row],[مقدار]]))</f>
        <v>1645221375</v>
      </c>
    </row>
    <row r="419" spans="1:17" s="22" customFormat="1" ht="13.8" x14ac:dyDescent="0.25">
      <c r="A419" s="22">
        <v>1075</v>
      </c>
      <c r="B419" s="22" t="s">
        <v>1016</v>
      </c>
      <c r="C419" s="22" t="s">
        <v>644</v>
      </c>
      <c r="D419" s="22" t="s">
        <v>67</v>
      </c>
      <c r="E419" s="158">
        <v>19225</v>
      </c>
      <c r="F419" s="159">
        <v>95000</v>
      </c>
      <c r="G419" s="159">
        <v>1826375000</v>
      </c>
      <c r="H419" s="159">
        <v>182637500</v>
      </c>
      <c r="I419" s="159">
        <v>2009012500</v>
      </c>
      <c r="J419" s="159">
        <f>bargiri[[#This Row],[مقدار]]*INDEX(invoice[پیش دریافت به ازای هر کیلوگرم],MATCH(bargiri[[#This Row],[شماره سند مبنا]],invoice[شماره پیش فاکتور],0))</f>
        <v>584550829.81863642</v>
      </c>
      <c r="K419" s="159">
        <f>bargiri[[#This Row],[مبلغ خالص]]-bargiri[[#This Row],[میزان استهلاک پیش دریافتی]]</f>
        <v>1424461670.1813636</v>
      </c>
      <c r="L419" s="160" t="s">
        <v>593</v>
      </c>
      <c r="M419" s="159" t="s">
        <v>593</v>
      </c>
      <c r="N419" s="159">
        <f>IF(bargiri[[#This Row],[مبلغ واریزی]]&lt;&gt;"",bargiri[[#This Row],[مانده مبلغ]]-bargiri[[#This Row],[مبلغ واریزی]],bargiri[[#This Row],[مانده مبلغ]])</f>
        <v>1424461670.1813636</v>
      </c>
      <c r="O419" s="159" t="s">
        <v>593</v>
      </c>
      <c r="P419" s="159">
        <f>VLOOKUP(bargiri[[#This Row],[شماره سند مبنا]],invoice[[شماره پیش فاکتور]:[پیش دریافت به ازای هر کیلوگرم]],14,0)</f>
        <v>30405.764880033101</v>
      </c>
      <c r="Q419" s="159">
        <f>IF(bargiri[[#This Row],[مبلغ ناخالص]]-(bargiri[[#This Row],[نرخ استهلاک]]*bargiri[[#This Row],[مقدار]])&lt;0,0,bargiri[[#This Row],[مبلغ ناخالص]]-(bargiri[[#This Row],[نرخ استهلاک]]*bargiri[[#This Row],[مقدار]]))</f>
        <v>1241824170.1813636</v>
      </c>
    </row>
    <row r="420" spans="1:17" s="22" customFormat="1" ht="13.8" x14ac:dyDescent="0.25">
      <c r="A420" s="22">
        <v>1074</v>
      </c>
      <c r="B420" s="22" t="s">
        <v>1016</v>
      </c>
      <c r="C420" s="22" t="s">
        <v>754</v>
      </c>
      <c r="D420" s="22" t="s">
        <v>17</v>
      </c>
      <c r="E420" s="158">
        <v>23475</v>
      </c>
      <c r="F420" s="159">
        <v>120000</v>
      </c>
      <c r="G420" s="159">
        <v>2817000000</v>
      </c>
      <c r="H420" s="159">
        <v>281700000</v>
      </c>
      <c r="I420" s="159">
        <v>3098700000</v>
      </c>
      <c r="J420" s="159">
        <f>bargiri[[#This Row],[مقدار]]*INDEX(invoice[پیش دریافت به ازای هر کیلوگرم],MATCH(bargiri[[#This Row],[شماره سند مبنا]],invoice[شماره پیش فاکتور],0))</f>
        <v>464805000</v>
      </c>
      <c r="K420" s="159">
        <f>bargiri[[#This Row],[مبلغ خالص]]-bargiri[[#This Row],[میزان استهلاک پیش دریافتی]]</f>
        <v>2633895000</v>
      </c>
      <c r="L420" s="160" t="s">
        <v>593</v>
      </c>
      <c r="M420" s="159" t="s">
        <v>593</v>
      </c>
      <c r="N420" s="159">
        <f>IF(bargiri[[#This Row],[مبلغ واریزی]]&lt;&gt;"",bargiri[[#This Row],[مانده مبلغ]]-bargiri[[#This Row],[مبلغ واریزی]],bargiri[[#This Row],[مانده مبلغ]])</f>
        <v>2633895000</v>
      </c>
      <c r="O420" s="159" t="s">
        <v>593</v>
      </c>
      <c r="P420" s="159">
        <f>VLOOKUP(bargiri[[#This Row],[شماره سند مبنا]],invoice[[شماره پیش فاکتور]:[پیش دریافت به ازای هر کیلوگرم]],14,0)</f>
        <v>19800</v>
      </c>
      <c r="Q420" s="159">
        <f>IF(bargiri[[#This Row],[مبلغ ناخالص]]-(bargiri[[#This Row],[نرخ استهلاک]]*bargiri[[#This Row],[مقدار]])&lt;0,0,bargiri[[#This Row],[مبلغ ناخالص]]-(bargiri[[#This Row],[نرخ استهلاک]]*bargiri[[#This Row],[مقدار]]))</f>
        <v>2352195000</v>
      </c>
    </row>
    <row r="421" spans="1:17" s="22" customFormat="1" ht="13.8" x14ac:dyDescent="0.25">
      <c r="A421" s="22">
        <v>1073</v>
      </c>
      <c r="B421" s="22" t="s">
        <v>1017</v>
      </c>
      <c r="C421" s="22" t="s">
        <v>647</v>
      </c>
      <c r="D421" s="22" t="s">
        <v>67</v>
      </c>
      <c r="E421" s="158">
        <v>20365</v>
      </c>
      <c r="F421" s="159">
        <v>83000</v>
      </c>
      <c r="G421" s="159">
        <v>1690295000</v>
      </c>
      <c r="H421" s="159">
        <v>169029500</v>
      </c>
      <c r="I421" s="159">
        <v>1859324500</v>
      </c>
      <c r="J421" s="159">
        <f>bargiri[[#This Row],[مقدار]]*INDEX(invoice[پیش دریافت به ازای هر کیلوگرم],MATCH(bargiri[[#This Row],[شماره سند مبنا]],invoice[شماره پیش فاکتور],0))</f>
        <v>278898675</v>
      </c>
      <c r="K421" s="159">
        <f>bargiri[[#This Row],[مبلغ خالص]]-bargiri[[#This Row],[میزان استهلاک پیش دریافتی]]</f>
        <v>1580425825</v>
      </c>
      <c r="L421" s="160" t="s">
        <v>178</v>
      </c>
      <c r="M421" s="159">
        <v>584000000</v>
      </c>
      <c r="N421" s="159">
        <f>IF(bargiri[[#This Row],[مبلغ واریزی]]&lt;&gt;"",bargiri[[#This Row],[مانده مبلغ]]-bargiri[[#This Row],[مبلغ واریزی]],bargiri[[#This Row],[مانده مبلغ]])</f>
        <v>996425825</v>
      </c>
      <c r="O421" s="159">
        <v>0</v>
      </c>
      <c r="P421" s="159">
        <f>VLOOKUP(bargiri[[#This Row],[شماره سند مبنا]],invoice[[شماره پیش فاکتور]:[پیش دریافت به ازای هر کیلوگرم]],14,0)</f>
        <v>13695</v>
      </c>
      <c r="Q421" s="159">
        <f>IF(bargiri[[#This Row],[مبلغ ناخالص]]-(bargiri[[#This Row],[نرخ استهلاک]]*bargiri[[#This Row],[مقدار]])&lt;0,0,bargiri[[#This Row],[مبلغ ناخالص]]-(bargiri[[#This Row],[نرخ استهلاک]]*bargiri[[#This Row],[مقدار]]))</f>
        <v>1411396325</v>
      </c>
    </row>
    <row r="422" spans="1:17" s="22" customFormat="1" ht="13.8" x14ac:dyDescent="0.25">
      <c r="A422" s="22">
        <v>1072</v>
      </c>
      <c r="B422" s="22" t="s">
        <v>1017</v>
      </c>
      <c r="C422" s="22" t="s">
        <v>709</v>
      </c>
      <c r="D422" s="22" t="s">
        <v>43</v>
      </c>
      <c r="E422" s="158">
        <v>20365</v>
      </c>
      <c r="F422" s="159">
        <v>111000</v>
      </c>
      <c r="G422" s="159">
        <v>2260515000</v>
      </c>
      <c r="H422" s="159">
        <v>226051500</v>
      </c>
      <c r="I422" s="159">
        <v>2486566500</v>
      </c>
      <c r="J422" s="159">
        <f>bargiri[[#This Row],[مقدار]]*INDEX(invoice[پیش دریافت به ازای هر کیلوگرم],MATCH(bargiri[[#This Row],[شماره سند مبنا]],invoice[شماره پیش فاکتور],0))</f>
        <v>1740596550</v>
      </c>
      <c r="K422" s="159">
        <f>bargiri[[#This Row],[مبلغ خالص]]-bargiri[[#This Row],[میزان استهلاک پیش دریافتی]]</f>
        <v>745969950</v>
      </c>
      <c r="L422" s="160" t="s">
        <v>593</v>
      </c>
      <c r="M422" s="159" t="s">
        <v>593</v>
      </c>
      <c r="N422" s="159">
        <f>IF(bargiri[[#This Row],[مبلغ واریزی]]&lt;&gt;"",bargiri[[#This Row],[مانده مبلغ]]-bargiri[[#This Row],[مبلغ واریزی]],bargiri[[#This Row],[مانده مبلغ]])</f>
        <v>745969950</v>
      </c>
      <c r="O422" s="159" t="s">
        <v>593</v>
      </c>
      <c r="P422" s="159">
        <f>VLOOKUP(bargiri[[#This Row],[شماره سند مبنا]],invoice[[شماره پیش فاکتور]:[پیش دریافت به ازای هر کیلوگرم]],14,0)</f>
        <v>85470</v>
      </c>
      <c r="Q422" s="159">
        <f>IF(bargiri[[#This Row],[مبلغ ناخالص]]-(bargiri[[#This Row],[نرخ استهلاک]]*bargiri[[#This Row],[مقدار]])&lt;0,0,bargiri[[#This Row],[مبلغ ناخالص]]-(bargiri[[#This Row],[نرخ استهلاک]]*bargiri[[#This Row],[مقدار]]))</f>
        <v>519918450</v>
      </c>
    </row>
    <row r="423" spans="1:17" s="22" customFormat="1" ht="13.8" x14ac:dyDescent="0.25">
      <c r="A423" s="22">
        <v>1071</v>
      </c>
      <c r="B423" s="22" t="s">
        <v>1017</v>
      </c>
      <c r="C423" s="22" t="s">
        <v>182</v>
      </c>
      <c r="D423" s="22" t="s">
        <v>20</v>
      </c>
      <c r="E423" s="158">
        <v>18945</v>
      </c>
      <c r="F423" s="159">
        <v>86500</v>
      </c>
      <c r="G423" s="159">
        <v>1638742500</v>
      </c>
      <c r="H423" s="159">
        <v>163874250</v>
      </c>
      <c r="I423" s="159">
        <v>1802616750</v>
      </c>
      <c r="J423" s="159">
        <f>bargiri[[#This Row],[مقدار]]*INDEX(invoice[پیش دریافت به ازای هر کیلوگرم],MATCH(bargiri[[#This Row],[شماره سند مبنا]],invoice[شماره پیش فاکتور],0))</f>
        <v>245811375</v>
      </c>
      <c r="K423" s="159">
        <f>bargiri[[#This Row],[مبلغ خالص]]-bargiri[[#This Row],[میزان استهلاک پیش دریافتی]]</f>
        <v>1556805375</v>
      </c>
      <c r="L423" s="160" t="s">
        <v>593</v>
      </c>
      <c r="M423" s="159"/>
      <c r="N423" s="159">
        <f>IF(bargiri[[#This Row],[مبلغ واریزی]]&lt;&gt;"",bargiri[[#This Row],[مانده مبلغ]]-bargiri[[#This Row],[مبلغ واریزی]],bargiri[[#This Row],[مانده مبلغ]])</f>
        <v>1556805375</v>
      </c>
      <c r="O423" s="159" t="s">
        <v>593</v>
      </c>
      <c r="P423" s="159">
        <f>VLOOKUP(bargiri[[#This Row],[شماره سند مبنا]],invoice[[شماره پیش فاکتور]:[پیش دریافت به ازای هر کیلوگرم]],14,0)</f>
        <v>12975</v>
      </c>
      <c r="Q423" s="159">
        <f>IF(bargiri[[#This Row],[مبلغ ناخالص]]-(bargiri[[#This Row],[نرخ استهلاک]]*bargiri[[#This Row],[مقدار]])&lt;0,0,bargiri[[#This Row],[مبلغ ناخالص]]-(bargiri[[#This Row],[نرخ استهلاک]]*bargiri[[#This Row],[مقدار]]))</f>
        <v>1392931125</v>
      </c>
    </row>
    <row r="424" spans="1:17" s="22" customFormat="1" ht="13.8" x14ac:dyDescent="0.25">
      <c r="A424" s="22">
        <v>1070</v>
      </c>
      <c r="B424" s="22" t="s">
        <v>1018</v>
      </c>
      <c r="C424" s="22" t="s">
        <v>182</v>
      </c>
      <c r="D424" s="22" t="s">
        <v>20</v>
      </c>
      <c r="E424" s="158">
        <v>19085</v>
      </c>
      <c r="F424" s="159">
        <v>86500</v>
      </c>
      <c r="G424" s="159">
        <v>1650852500</v>
      </c>
      <c r="H424" s="159">
        <v>165085250</v>
      </c>
      <c r="I424" s="159">
        <v>1815937750</v>
      </c>
      <c r="J424" s="159">
        <f>bargiri[[#This Row],[مقدار]]*INDEX(invoice[پیش دریافت به ازای هر کیلوگرم],MATCH(bargiri[[#This Row],[شماره سند مبنا]],invoice[شماره پیش فاکتور],0))</f>
        <v>247627875</v>
      </c>
      <c r="K424" s="159">
        <f>bargiri[[#This Row],[مبلغ خالص]]-bargiri[[#This Row],[میزان استهلاک پیش دریافتی]]</f>
        <v>1568309875</v>
      </c>
      <c r="L424" s="160" t="s">
        <v>593</v>
      </c>
      <c r="M424" s="159"/>
      <c r="N424" s="159">
        <f>IF(bargiri[[#This Row],[مبلغ واریزی]]&lt;&gt;"",bargiri[[#This Row],[مانده مبلغ]]-bargiri[[#This Row],[مبلغ واریزی]],bargiri[[#This Row],[مانده مبلغ]])</f>
        <v>1568309875</v>
      </c>
      <c r="O424" s="159" t="s">
        <v>593</v>
      </c>
      <c r="P424" s="159">
        <f>VLOOKUP(bargiri[[#This Row],[شماره سند مبنا]],invoice[[شماره پیش فاکتور]:[پیش دریافت به ازای هر کیلوگرم]],14,0)</f>
        <v>12975</v>
      </c>
      <c r="Q424" s="159">
        <f>IF(bargiri[[#This Row],[مبلغ ناخالص]]-(bargiri[[#This Row],[نرخ استهلاک]]*bargiri[[#This Row],[مقدار]])&lt;0,0,bargiri[[#This Row],[مبلغ ناخالص]]-(bargiri[[#This Row],[نرخ استهلاک]]*bargiri[[#This Row],[مقدار]]))</f>
        <v>1403224625</v>
      </c>
    </row>
    <row r="425" spans="1:17" s="22" customFormat="1" ht="13.8" x14ac:dyDescent="0.25">
      <c r="A425" s="22">
        <v>1069</v>
      </c>
      <c r="B425" s="22" t="s">
        <v>1019</v>
      </c>
      <c r="C425" s="22" t="s">
        <v>709</v>
      </c>
      <c r="D425" s="22" t="s">
        <v>43</v>
      </c>
      <c r="E425" s="158">
        <v>19820</v>
      </c>
      <c r="F425" s="159">
        <v>111000</v>
      </c>
      <c r="G425" s="159">
        <v>2200020000</v>
      </c>
      <c r="H425" s="159">
        <v>220002000</v>
      </c>
      <c r="I425" s="159">
        <v>2420022000</v>
      </c>
      <c r="J425" s="159">
        <f>bargiri[[#This Row],[مقدار]]*INDEX(invoice[پیش دریافت به ازای هر کیلوگرم],MATCH(bargiri[[#This Row],[شماره سند مبنا]],invoice[شماره پیش فاکتور],0))</f>
        <v>1694015400</v>
      </c>
      <c r="K425" s="159">
        <f>bargiri[[#This Row],[مبلغ خالص]]-bargiri[[#This Row],[میزان استهلاک پیش دریافتی]]</f>
        <v>726006600</v>
      </c>
      <c r="L425" s="160" t="s">
        <v>593</v>
      </c>
      <c r="M425" s="159"/>
      <c r="N425" s="159">
        <f>IF(bargiri[[#This Row],[مبلغ واریزی]]&lt;&gt;"",bargiri[[#This Row],[مانده مبلغ]]-bargiri[[#This Row],[مبلغ واریزی]],bargiri[[#This Row],[مانده مبلغ]])</f>
        <v>726006600</v>
      </c>
      <c r="O425" s="159" t="s">
        <v>593</v>
      </c>
      <c r="P425" s="159">
        <f>VLOOKUP(bargiri[[#This Row],[شماره سند مبنا]],invoice[[شماره پیش فاکتور]:[پیش دریافت به ازای هر کیلوگرم]],14,0)</f>
        <v>85470</v>
      </c>
      <c r="Q425" s="159">
        <f>IF(bargiri[[#This Row],[مبلغ ناخالص]]-(bargiri[[#This Row],[نرخ استهلاک]]*bargiri[[#This Row],[مقدار]])&lt;0,0,bargiri[[#This Row],[مبلغ ناخالص]]-(bargiri[[#This Row],[نرخ استهلاک]]*bargiri[[#This Row],[مقدار]]))</f>
        <v>506004600</v>
      </c>
    </row>
    <row r="426" spans="1:17" s="22" customFormat="1" ht="13.8" x14ac:dyDescent="0.25">
      <c r="A426" s="22">
        <v>1068</v>
      </c>
      <c r="B426" s="22" t="s">
        <v>1019</v>
      </c>
      <c r="C426" s="22" t="s">
        <v>463</v>
      </c>
      <c r="D426" s="22" t="s">
        <v>207</v>
      </c>
      <c r="E426" s="158">
        <v>6820</v>
      </c>
      <c r="F426" s="159">
        <v>142000</v>
      </c>
      <c r="G426" s="159">
        <v>968440000</v>
      </c>
      <c r="H426" s="159">
        <v>96844000</v>
      </c>
      <c r="I426" s="159">
        <v>1065284000</v>
      </c>
      <c r="J426" s="159">
        <f>bargiri[[#This Row],[مقدار]]*INDEX(invoice[پیش دریافت به ازای هر کیلوگرم],MATCH(bargiri[[#This Row],[شماره سند مبنا]],invoice[شماره پیش فاکتور],0))</f>
        <v>205327166.75461742</v>
      </c>
      <c r="K426" s="159">
        <f>bargiri[[#This Row],[مبلغ خالص]]-bargiri[[#This Row],[میزان استهلاک پیش دریافتی]]</f>
        <v>859956833.24538255</v>
      </c>
      <c r="L426" s="160" t="s">
        <v>593</v>
      </c>
      <c r="M426" s="159"/>
      <c r="N426" s="159">
        <f>IF(bargiri[[#This Row],[مبلغ واریزی]]&lt;&gt;"",bargiri[[#This Row],[مانده مبلغ]]-bargiri[[#This Row],[مبلغ واریزی]],bargiri[[#This Row],[مانده مبلغ]])</f>
        <v>859956833.24538255</v>
      </c>
      <c r="O426" s="159" t="s">
        <v>593</v>
      </c>
      <c r="P426" s="159">
        <f>VLOOKUP(bargiri[[#This Row],[شماره سند مبنا]],invoice[[شماره پیش فاکتور]:[پیش دریافت به ازای هر کیلوگرم]],14,0)</f>
        <v>30106.622691292876</v>
      </c>
      <c r="Q426" s="159">
        <f>IF(bargiri[[#This Row],[مبلغ ناخالص]]-(bargiri[[#This Row],[نرخ استهلاک]]*bargiri[[#This Row],[مقدار]])&lt;0,0,bargiri[[#This Row],[مبلغ ناخالص]]-(bargiri[[#This Row],[نرخ استهلاک]]*bargiri[[#This Row],[مقدار]]))</f>
        <v>763112833.24538255</v>
      </c>
    </row>
    <row r="427" spans="1:17" s="22" customFormat="1" ht="13.8" x14ac:dyDescent="0.25">
      <c r="A427" s="22">
        <v>1067</v>
      </c>
      <c r="B427" s="22" t="s">
        <v>1019</v>
      </c>
      <c r="C427" s="22" t="s">
        <v>709</v>
      </c>
      <c r="D427" s="22" t="s">
        <v>43</v>
      </c>
      <c r="E427" s="158">
        <v>20385</v>
      </c>
      <c r="F427" s="159">
        <v>111000</v>
      </c>
      <c r="G427" s="159">
        <v>2262735000</v>
      </c>
      <c r="H427" s="159">
        <v>226273500</v>
      </c>
      <c r="I427" s="159">
        <v>2489008500</v>
      </c>
      <c r="J427" s="159">
        <f>bargiri[[#This Row],[مقدار]]*INDEX(invoice[پیش دریافت به ازای هر کیلوگرم],MATCH(bargiri[[#This Row],[شماره سند مبنا]],invoice[شماره پیش فاکتور],0))</f>
        <v>1742305950</v>
      </c>
      <c r="K427" s="159">
        <f>bargiri[[#This Row],[مبلغ خالص]]-bargiri[[#This Row],[میزان استهلاک پیش دریافتی]]</f>
        <v>746702550</v>
      </c>
      <c r="L427" s="160" t="s">
        <v>222</v>
      </c>
      <c r="M427" s="159"/>
      <c r="N427" s="159">
        <f>IF(bargiri[[#This Row],[مبلغ واریزی]]&lt;&gt;"",bargiri[[#This Row],[مانده مبلغ]]-bargiri[[#This Row],[مبلغ واریزی]],bargiri[[#This Row],[مانده مبلغ]])</f>
        <v>746702550</v>
      </c>
      <c r="O427" s="159" t="s">
        <v>345</v>
      </c>
      <c r="P427" s="159">
        <f>VLOOKUP(bargiri[[#This Row],[شماره سند مبنا]],invoice[[شماره پیش فاکتور]:[پیش دریافت به ازای هر کیلوگرم]],14,0)</f>
        <v>85470</v>
      </c>
      <c r="Q427" s="159">
        <f>IF(bargiri[[#This Row],[مبلغ ناخالص]]-(bargiri[[#This Row],[نرخ استهلاک]]*bargiri[[#This Row],[مقدار]])&lt;0,0,bargiri[[#This Row],[مبلغ ناخالص]]-(bargiri[[#This Row],[نرخ استهلاک]]*bargiri[[#This Row],[مقدار]]))</f>
        <v>520429050</v>
      </c>
    </row>
    <row r="428" spans="1:17" s="22" customFormat="1" ht="13.8" x14ac:dyDescent="0.25">
      <c r="A428" s="22">
        <v>1066</v>
      </c>
      <c r="B428" s="22" t="s">
        <v>751</v>
      </c>
      <c r="C428" s="22" t="s">
        <v>182</v>
      </c>
      <c r="D428" s="22" t="s">
        <v>20</v>
      </c>
      <c r="E428" s="158">
        <v>20125</v>
      </c>
      <c r="F428" s="159">
        <v>86500</v>
      </c>
      <c r="G428" s="159">
        <v>1740812500</v>
      </c>
      <c r="H428" s="159">
        <v>174081250</v>
      </c>
      <c r="I428" s="159">
        <v>1914893750</v>
      </c>
      <c r="J428" s="159">
        <f>bargiri[[#This Row],[مقدار]]*INDEX(invoice[پیش دریافت به ازای هر کیلوگرم],MATCH(bargiri[[#This Row],[شماره سند مبنا]],invoice[شماره پیش فاکتور],0))</f>
        <v>261121875</v>
      </c>
      <c r="K428" s="159">
        <f>bargiri[[#This Row],[مبلغ خالص]]-bargiri[[#This Row],[میزان استهلاک پیش دریافتی]]</f>
        <v>1653771875</v>
      </c>
      <c r="L428" s="160" t="s">
        <v>593</v>
      </c>
      <c r="M428" s="159"/>
      <c r="N428" s="159">
        <f>IF(bargiri[[#This Row],[مبلغ واریزی]]&lt;&gt;"",bargiri[[#This Row],[مانده مبلغ]]-bargiri[[#This Row],[مبلغ واریزی]],bargiri[[#This Row],[مانده مبلغ]])</f>
        <v>1653771875</v>
      </c>
      <c r="O428" s="159" t="s">
        <v>593</v>
      </c>
      <c r="P428" s="159">
        <f>VLOOKUP(bargiri[[#This Row],[شماره سند مبنا]],invoice[[شماره پیش فاکتور]:[پیش دریافت به ازای هر کیلوگرم]],14,0)</f>
        <v>12975</v>
      </c>
      <c r="Q428" s="159">
        <f>IF(bargiri[[#This Row],[مبلغ ناخالص]]-(bargiri[[#This Row],[نرخ استهلاک]]*bargiri[[#This Row],[مقدار]])&lt;0,0,bargiri[[#This Row],[مبلغ ناخالص]]-(bargiri[[#This Row],[نرخ استهلاک]]*bargiri[[#This Row],[مقدار]]))</f>
        <v>1479690625</v>
      </c>
    </row>
    <row r="429" spans="1:17" s="22" customFormat="1" ht="13.8" x14ac:dyDescent="0.25">
      <c r="A429" s="22">
        <v>1065</v>
      </c>
      <c r="B429" s="22" t="s">
        <v>751</v>
      </c>
      <c r="C429" s="22" t="s">
        <v>615</v>
      </c>
      <c r="D429" s="22" t="s">
        <v>25</v>
      </c>
      <c r="E429" s="158">
        <v>22805</v>
      </c>
      <c r="F429" s="159">
        <v>75000</v>
      </c>
      <c r="G429" s="159">
        <v>1710375000</v>
      </c>
      <c r="H429" s="159">
        <v>171037500</v>
      </c>
      <c r="I429" s="159">
        <v>1881412500</v>
      </c>
      <c r="J429" s="159">
        <f>bargiri[[#This Row],[مقدار]]*INDEX(invoice[پیش دریافت به ازای هر کیلوگرم],MATCH(bargiri[[#This Row],[شماره سند مبنا]],invoice[شماره پیش فاکتور],0))</f>
        <v>282211875.00000006</v>
      </c>
      <c r="K429" s="159">
        <f>bargiri[[#This Row],[مبلغ خالص]]-bargiri[[#This Row],[میزان استهلاک پیش دریافتی]]</f>
        <v>1599200625</v>
      </c>
      <c r="L429" s="160" t="s">
        <v>294</v>
      </c>
      <c r="M429" s="159"/>
      <c r="N429" s="159">
        <f>IF(bargiri[[#This Row],[مبلغ واریزی]]&lt;&gt;"",bargiri[[#This Row],[مانده مبلغ]]-bargiri[[#This Row],[مبلغ واریزی]],bargiri[[#This Row],[مانده مبلغ]])</f>
        <v>1599200625</v>
      </c>
      <c r="O429" s="159">
        <v>0</v>
      </c>
      <c r="P429" s="159">
        <f>VLOOKUP(bargiri[[#This Row],[شماره سند مبنا]],invoice[[شماره پیش فاکتور]:[پیش دریافت به ازای هر کیلوگرم]],14,0)</f>
        <v>12375.000000000002</v>
      </c>
      <c r="Q429" s="159">
        <f>IF(bargiri[[#This Row],[مبلغ ناخالص]]-(bargiri[[#This Row],[نرخ استهلاک]]*bargiri[[#This Row],[مقدار]])&lt;0,0,bargiri[[#This Row],[مبلغ ناخالص]]-(bargiri[[#This Row],[نرخ استهلاک]]*bargiri[[#This Row],[مقدار]]))</f>
        <v>1428163125</v>
      </c>
    </row>
    <row r="430" spans="1:17" s="22" customFormat="1" ht="13.8" x14ac:dyDescent="0.25">
      <c r="A430" s="22">
        <v>1064</v>
      </c>
      <c r="B430" s="22" t="s">
        <v>751</v>
      </c>
      <c r="C430" s="22" t="s">
        <v>752</v>
      </c>
      <c r="D430" s="22" t="s">
        <v>40</v>
      </c>
      <c r="E430" s="158">
        <v>17330</v>
      </c>
      <c r="F430" s="159">
        <v>79520</v>
      </c>
      <c r="G430" s="159">
        <v>1378081600</v>
      </c>
      <c r="H430" s="159">
        <v>137808160</v>
      </c>
      <c r="I430" s="159">
        <v>1515889760</v>
      </c>
      <c r="J430" s="159">
        <f>bargiri[[#This Row],[مقدار]]*INDEX(invoice[پیش دریافت به ازای هر کیلوگرم],MATCH(bargiri[[#This Row],[شماره سند مبنا]],invoice[شماره پیش فاکتور],0))</f>
        <v>227383464</v>
      </c>
      <c r="K430" s="159">
        <f>bargiri[[#This Row],[مبلغ خالص]]-bargiri[[#This Row],[میزان استهلاک پیش دریافتی]]</f>
        <v>1288506296</v>
      </c>
      <c r="L430" s="160" t="s">
        <v>593</v>
      </c>
      <c r="M430" s="159"/>
      <c r="N430" s="159">
        <f>IF(bargiri[[#This Row],[مبلغ واریزی]]&lt;&gt;"",bargiri[[#This Row],[مانده مبلغ]]-bargiri[[#This Row],[مبلغ واریزی]],bargiri[[#This Row],[مانده مبلغ]])</f>
        <v>1288506296</v>
      </c>
      <c r="O430" s="159" t="s">
        <v>593</v>
      </c>
      <c r="P430" s="159">
        <f>VLOOKUP(bargiri[[#This Row],[شماره سند مبنا]],invoice[[شماره پیش فاکتور]:[پیش دریافت به ازای هر کیلوگرم]],14,0)</f>
        <v>13120.8</v>
      </c>
      <c r="Q430" s="159">
        <f>IF(bargiri[[#This Row],[مبلغ ناخالص]]-(bargiri[[#This Row],[نرخ استهلاک]]*bargiri[[#This Row],[مقدار]])&lt;0,0,bargiri[[#This Row],[مبلغ ناخالص]]-(bargiri[[#This Row],[نرخ استهلاک]]*bargiri[[#This Row],[مقدار]]))</f>
        <v>1150698136</v>
      </c>
    </row>
    <row r="431" spans="1:17" s="22" customFormat="1" ht="13.8" x14ac:dyDescent="0.25">
      <c r="A431" s="22">
        <v>1063</v>
      </c>
      <c r="B431" s="22" t="s">
        <v>751</v>
      </c>
      <c r="C431" s="22" t="s">
        <v>709</v>
      </c>
      <c r="D431" s="22" t="s">
        <v>43</v>
      </c>
      <c r="E431" s="158">
        <v>16915</v>
      </c>
      <c r="F431" s="159">
        <v>111000</v>
      </c>
      <c r="G431" s="159">
        <v>1877565000</v>
      </c>
      <c r="H431" s="159">
        <v>187756500</v>
      </c>
      <c r="I431" s="159">
        <v>2065321500</v>
      </c>
      <c r="J431" s="159">
        <f>bargiri[[#This Row],[مقدار]]*INDEX(invoice[پیش دریافت به ازای هر کیلوگرم],MATCH(bargiri[[#This Row],[شماره سند مبنا]],invoice[شماره پیش فاکتور],0))</f>
        <v>1445725050</v>
      </c>
      <c r="K431" s="159">
        <f>bargiri[[#This Row],[مبلغ خالص]]-bargiri[[#This Row],[میزان استهلاک پیش دریافتی]]</f>
        <v>619596450</v>
      </c>
      <c r="L431" s="160" t="s">
        <v>252</v>
      </c>
      <c r="M431" s="159"/>
      <c r="N431" s="159">
        <f>IF(bargiri[[#This Row],[مبلغ واریزی]]&lt;&gt;"",bargiri[[#This Row],[مانده مبلغ]]-bargiri[[#This Row],[مبلغ واریزی]],bargiri[[#This Row],[مانده مبلغ]])</f>
        <v>619596450</v>
      </c>
      <c r="O431" s="159">
        <v>0</v>
      </c>
      <c r="P431" s="159">
        <f>VLOOKUP(bargiri[[#This Row],[شماره سند مبنا]],invoice[[شماره پیش فاکتور]:[پیش دریافت به ازای هر کیلوگرم]],14,0)</f>
        <v>85470</v>
      </c>
      <c r="Q431" s="159">
        <f>IF(bargiri[[#This Row],[مبلغ ناخالص]]-(bargiri[[#This Row],[نرخ استهلاک]]*bargiri[[#This Row],[مقدار]])&lt;0,0,bargiri[[#This Row],[مبلغ ناخالص]]-(bargiri[[#This Row],[نرخ استهلاک]]*bargiri[[#This Row],[مقدار]]))</f>
        <v>431839950</v>
      </c>
    </row>
    <row r="432" spans="1:17" s="22" customFormat="1" ht="13.8" x14ac:dyDescent="0.25">
      <c r="A432" s="22">
        <v>1062</v>
      </c>
      <c r="B432" s="22" t="s">
        <v>751</v>
      </c>
      <c r="C432" s="22" t="s">
        <v>182</v>
      </c>
      <c r="D432" s="22" t="s">
        <v>20</v>
      </c>
      <c r="E432" s="158">
        <v>20045</v>
      </c>
      <c r="F432" s="159">
        <v>86500</v>
      </c>
      <c r="G432" s="159">
        <v>1733892500</v>
      </c>
      <c r="H432" s="159">
        <v>173389250</v>
      </c>
      <c r="I432" s="159">
        <v>1907281750</v>
      </c>
      <c r="J432" s="159">
        <f>bargiri[[#This Row],[مقدار]]*INDEX(invoice[پیش دریافت به ازای هر کیلوگرم],MATCH(bargiri[[#This Row],[شماره سند مبنا]],invoice[شماره پیش فاکتور],0))</f>
        <v>260083875</v>
      </c>
      <c r="K432" s="159">
        <f>bargiri[[#This Row],[مبلغ خالص]]-bargiri[[#This Row],[میزان استهلاک پیش دریافتی]]</f>
        <v>1647197875</v>
      </c>
      <c r="L432" s="160" t="s">
        <v>334</v>
      </c>
      <c r="M432" s="159"/>
      <c r="N432" s="159">
        <f>IF(bargiri[[#This Row],[مبلغ واریزی]]&lt;&gt;"",bargiri[[#This Row],[مانده مبلغ]]-bargiri[[#This Row],[مبلغ واریزی]],bargiri[[#This Row],[مانده مبلغ]])</f>
        <v>1647197875</v>
      </c>
      <c r="O432" s="159">
        <v>0</v>
      </c>
      <c r="P432" s="159">
        <f>VLOOKUP(bargiri[[#This Row],[شماره سند مبنا]],invoice[[شماره پیش فاکتور]:[پیش دریافت به ازای هر کیلوگرم]],14,0)</f>
        <v>12975</v>
      </c>
      <c r="Q432" s="159">
        <f>IF(bargiri[[#This Row],[مبلغ ناخالص]]-(bargiri[[#This Row],[نرخ استهلاک]]*bargiri[[#This Row],[مقدار]])&lt;0,0,bargiri[[#This Row],[مبلغ ناخالص]]-(bargiri[[#This Row],[نرخ استهلاک]]*bargiri[[#This Row],[مقدار]]))</f>
        <v>1473808625</v>
      </c>
    </row>
    <row r="433" spans="1:17" s="22" customFormat="1" ht="13.8" x14ac:dyDescent="0.25">
      <c r="A433" s="22">
        <v>1061</v>
      </c>
      <c r="B433" s="22" t="s">
        <v>753</v>
      </c>
      <c r="C433" s="22" t="s">
        <v>742</v>
      </c>
      <c r="D433" s="22" t="s">
        <v>67</v>
      </c>
      <c r="E433" s="158">
        <v>21190</v>
      </c>
      <c r="F433" s="159">
        <v>167500</v>
      </c>
      <c r="G433" s="159">
        <v>3549325000</v>
      </c>
      <c r="H433" s="159">
        <v>354932500</v>
      </c>
      <c r="I433" s="159">
        <v>3904257500</v>
      </c>
      <c r="J433" s="159">
        <f>bargiri[[#This Row],[مقدار]]*INDEX(invoice[پیش دریافت به ازای هر کیلوگرم],MATCH(bargiri[[#This Row],[شماره سند مبنا]],invoice[شماره پیش فاکتور],0))</f>
        <v>3904257500</v>
      </c>
      <c r="K433" s="159">
        <f>bargiri[[#This Row],[مبلغ خالص]]-bargiri[[#This Row],[میزان استهلاک پیش دریافتی]]</f>
        <v>0</v>
      </c>
      <c r="L433" s="160" t="s">
        <v>593</v>
      </c>
      <c r="M433" s="159"/>
      <c r="N433" s="159">
        <f>IF(bargiri[[#This Row],[مبلغ واریزی]]&lt;&gt;"",bargiri[[#This Row],[مانده مبلغ]]-bargiri[[#This Row],[مبلغ واریزی]],bargiri[[#This Row],[مانده مبلغ]])</f>
        <v>0</v>
      </c>
      <c r="O433" s="159" t="s">
        <v>593</v>
      </c>
      <c r="P433" s="159">
        <f>VLOOKUP(bargiri[[#This Row],[شماره سند مبنا]],invoice[[شماره پیش فاکتور]:[پیش دریافت به ازای هر کیلوگرم]],14,0)</f>
        <v>184250</v>
      </c>
      <c r="Q433" s="159">
        <f>IF(bargiri[[#This Row],[مبلغ ناخالص]]-(bargiri[[#This Row],[نرخ استهلاک]]*bargiri[[#This Row],[مقدار]])&lt;0,0,bargiri[[#This Row],[مبلغ ناخالص]]-(bargiri[[#This Row],[نرخ استهلاک]]*bargiri[[#This Row],[مقدار]]))</f>
        <v>0</v>
      </c>
    </row>
    <row r="434" spans="1:17" s="22" customFormat="1" ht="13.8" x14ac:dyDescent="0.25">
      <c r="A434" s="22">
        <v>1060</v>
      </c>
      <c r="B434" s="22" t="s">
        <v>753</v>
      </c>
      <c r="C434" s="22" t="s">
        <v>208</v>
      </c>
      <c r="D434" s="22" t="s">
        <v>30</v>
      </c>
      <c r="E434" s="158">
        <v>11910</v>
      </c>
      <c r="F434" s="159">
        <v>89000</v>
      </c>
      <c r="G434" s="159">
        <v>1059990000</v>
      </c>
      <c r="H434" s="159">
        <v>105999000</v>
      </c>
      <c r="I434" s="159">
        <v>1165989000</v>
      </c>
      <c r="J434" s="159">
        <f>bargiri[[#This Row],[مقدار]]*INDEX(invoice[پیش دریافت به ازای هر کیلوگرم],MATCH(bargiri[[#This Row],[شماره سند مبنا]],invoice[شماره پیش فاکتور],0))</f>
        <v>1165989000</v>
      </c>
      <c r="K434" s="159">
        <f>bargiri[[#This Row],[مبلغ خالص]]-bargiri[[#This Row],[میزان استهلاک پیش دریافتی]]</f>
        <v>0</v>
      </c>
      <c r="L434" s="160" t="s">
        <v>593</v>
      </c>
      <c r="M434" s="159"/>
      <c r="N434" s="159">
        <f>IF(bargiri[[#This Row],[مبلغ واریزی]]&lt;&gt;"",bargiri[[#This Row],[مانده مبلغ]]-bargiri[[#This Row],[مبلغ واریزی]],bargiri[[#This Row],[مانده مبلغ]])</f>
        <v>0</v>
      </c>
      <c r="O434" s="159" t="s">
        <v>593</v>
      </c>
      <c r="P434" s="159">
        <f>VLOOKUP(bargiri[[#This Row],[شماره سند مبنا]],invoice[[شماره پیش فاکتور]:[پیش دریافت به ازای هر کیلوگرم]],14,0)</f>
        <v>97900</v>
      </c>
      <c r="Q434" s="159">
        <f>IF(bargiri[[#This Row],[مبلغ ناخالص]]-(bargiri[[#This Row],[نرخ استهلاک]]*bargiri[[#This Row],[مقدار]])&lt;0,0,bargiri[[#This Row],[مبلغ ناخالص]]-(bargiri[[#This Row],[نرخ استهلاک]]*bargiri[[#This Row],[مقدار]]))</f>
        <v>0</v>
      </c>
    </row>
    <row r="435" spans="1:17" s="22" customFormat="1" ht="13.8" x14ac:dyDescent="0.25">
      <c r="A435" s="22">
        <v>1059</v>
      </c>
      <c r="B435" s="22" t="s">
        <v>753</v>
      </c>
      <c r="C435" s="22" t="s">
        <v>189</v>
      </c>
      <c r="D435" s="22" t="s">
        <v>173</v>
      </c>
      <c r="E435" s="158">
        <v>23140</v>
      </c>
      <c r="F435" s="159">
        <v>75000</v>
      </c>
      <c r="G435" s="159">
        <v>1735500000</v>
      </c>
      <c r="H435" s="159">
        <v>173550000</v>
      </c>
      <c r="I435" s="159">
        <v>1909050000</v>
      </c>
      <c r="J435" s="159">
        <f>bargiri[[#This Row],[مقدار]]*INDEX(invoice[پیش دریافت به ازای هر کیلوگرم],MATCH(bargiri[[#This Row],[شماره سند مبنا]],invoice[شماره پیش فاکتور],0))</f>
        <v>286357500</v>
      </c>
      <c r="K435" s="159">
        <f>bargiri[[#This Row],[مبلغ خالص]]-bargiri[[#This Row],[میزان استهلاک پیش دریافتی]]</f>
        <v>1622692500</v>
      </c>
      <c r="L435" s="160" t="s">
        <v>593</v>
      </c>
      <c r="M435" s="159"/>
      <c r="N435" s="159">
        <f>IF(bargiri[[#This Row],[مبلغ واریزی]]&lt;&gt;"",bargiri[[#This Row],[مانده مبلغ]]-bargiri[[#This Row],[مبلغ واریزی]],bargiri[[#This Row],[مانده مبلغ]])</f>
        <v>1622692500</v>
      </c>
      <c r="O435" s="159" t="s">
        <v>593</v>
      </c>
      <c r="P435" s="159">
        <f>VLOOKUP(bargiri[[#This Row],[شماره سند مبنا]],invoice[[شماره پیش فاکتور]:[پیش دریافت به ازای هر کیلوگرم]],14,0)</f>
        <v>12375</v>
      </c>
      <c r="Q435" s="159">
        <f>IF(bargiri[[#This Row],[مبلغ ناخالص]]-(bargiri[[#This Row],[نرخ استهلاک]]*bargiri[[#This Row],[مقدار]])&lt;0,0,bargiri[[#This Row],[مبلغ ناخالص]]-(bargiri[[#This Row],[نرخ استهلاک]]*bargiri[[#This Row],[مقدار]]))</f>
        <v>1449142500</v>
      </c>
    </row>
    <row r="436" spans="1:17" s="22" customFormat="1" ht="13.8" x14ac:dyDescent="0.25">
      <c r="A436" s="22">
        <v>1058</v>
      </c>
      <c r="B436" s="22" t="s">
        <v>753</v>
      </c>
      <c r="C436" s="22" t="s">
        <v>754</v>
      </c>
      <c r="D436" s="22" t="s">
        <v>17</v>
      </c>
      <c r="E436" s="158">
        <v>13255</v>
      </c>
      <c r="F436" s="159">
        <v>120000</v>
      </c>
      <c r="G436" s="159">
        <v>1590600000</v>
      </c>
      <c r="H436" s="159">
        <v>159060000</v>
      </c>
      <c r="I436" s="159">
        <v>1749660000</v>
      </c>
      <c r="J436" s="159">
        <f>bargiri[[#This Row],[مقدار]]*INDEX(invoice[پیش دریافت به ازای هر کیلوگرم],MATCH(bargiri[[#This Row],[شماره سند مبنا]],invoice[شماره پیش فاکتور],0))</f>
        <v>262449000</v>
      </c>
      <c r="K436" s="159">
        <f>bargiri[[#This Row],[مبلغ خالص]]-bargiri[[#This Row],[میزان استهلاک پیش دریافتی]]</f>
        <v>1487211000</v>
      </c>
      <c r="L436" s="160" t="s">
        <v>593</v>
      </c>
      <c r="M436" s="159"/>
      <c r="N436" s="159">
        <f>IF(bargiri[[#This Row],[مبلغ واریزی]]&lt;&gt;"",bargiri[[#This Row],[مانده مبلغ]]-bargiri[[#This Row],[مبلغ واریزی]],bargiri[[#This Row],[مانده مبلغ]])</f>
        <v>1487211000</v>
      </c>
      <c r="O436" s="159" t="s">
        <v>593</v>
      </c>
      <c r="P436" s="159">
        <f>VLOOKUP(bargiri[[#This Row],[شماره سند مبنا]],invoice[[شماره پیش فاکتور]:[پیش دریافت به ازای هر کیلوگرم]],14,0)</f>
        <v>19800</v>
      </c>
      <c r="Q436" s="159">
        <f>IF(bargiri[[#This Row],[مبلغ ناخالص]]-(bargiri[[#This Row],[نرخ استهلاک]]*bargiri[[#This Row],[مقدار]])&lt;0,0,bargiri[[#This Row],[مبلغ ناخالص]]-(bargiri[[#This Row],[نرخ استهلاک]]*bargiri[[#This Row],[مقدار]]))</f>
        <v>1328151000</v>
      </c>
    </row>
    <row r="437" spans="1:17" s="22" customFormat="1" ht="13.8" x14ac:dyDescent="0.25">
      <c r="A437" s="22">
        <v>1057</v>
      </c>
      <c r="B437" s="22" t="s">
        <v>753</v>
      </c>
      <c r="C437" s="22" t="s">
        <v>709</v>
      </c>
      <c r="D437" s="22" t="s">
        <v>43</v>
      </c>
      <c r="E437" s="158">
        <v>20290</v>
      </c>
      <c r="F437" s="159">
        <v>111000</v>
      </c>
      <c r="G437" s="159">
        <v>2252190000</v>
      </c>
      <c r="H437" s="159">
        <v>225219000</v>
      </c>
      <c r="I437" s="159">
        <v>2477409000</v>
      </c>
      <c r="J437" s="159">
        <f>bargiri[[#This Row],[مقدار]]*INDEX(invoice[پیش دریافت به ازای هر کیلوگرم],MATCH(bargiri[[#This Row],[شماره سند مبنا]],invoice[شماره پیش فاکتور],0))</f>
        <v>1734186300</v>
      </c>
      <c r="K437" s="159">
        <f>bargiri[[#This Row],[مبلغ خالص]]-bargiri[[#This Row],[میزان استهلاک پیش دریافتی]]</f>
        <v>743222700</v>
      </c>
      <c r="L437" s="160" t="s">
        <v>593</v>
      </c>
      <c r="M437" s="159"/>
      <c r="N437" s="159">
        <f>IF(bargiri[[#This Row],[مبلغ واریزی]]&lt;&gt;"",bargiri[[#This Row],[مانده مبلغ]]-bargiri[[#This Row],[مبلغ واریزی]],bargiri[[#This Row],[مانده مبلغ]])</f>
        <v>743222700</v>
      </c>
      <c r="O437" s="159" t="s">
        <v>593</v>
      </c>
      <c r="P437" s="159">
        <f>VLOOKUP(bargiri[[#This Row],[شماره سند مبنا]],invoice[[شماره پیش فاکتور]:[پیش دریافت به ازای هر کیلوگرم]],14,0)</f>
        <v>85470</v>
      </c>
      <c r="Q437" s="159">
        <f>IF(bargiri[[#This Row],[مبلغ ناخالص]]-(bargiri[[#This Row],[نرخ استهلاک]]*bargiri[[#This Row],[مقدار]])&lt;0,0,bargiri[[#This Row],[مبلغ ناخالص]]-(bargiri[[#This Row],[نرخ استهلاک]]*bargiri[[#This Row],[مقدار]]))</f>
        <v>518003700</v>
      </c>
    </row>
    <row r="438" spans="1:17" s="22" customFormat="1" ht="13.8" x14ac:dyDescent="0.25">
      <c r="A438" s="22">
        <v>1056</v>
      </c>
      <c r="B438" s="22" t="s">
        <v>753</v>
      </c>
      <c r="C438" s="22" t="s">
        <v>745</v>
      </c>
      <c r="D438" s="22" t="s">
        <v>221</v>
      </c>
      <c r="E438" s="158">
        <v>14480</v>
      </c>
      <c r="F438" s="159">
        <v>135000</v>
      </c>
      <c r="G438" s="159">
        <v>1954800000</v>
      </c>
      <c r="H438" s="159">
        <v>195480000</v>
      </c>
      <c r="I438" s="159">
        <v>2150280000</v>
      </c>
      <c r="J438" s="159">
        <f>bargiri[[#This Row],[مقدار]]*INDEX(invoice[پیش دریافت به ازای هر کیلوگرم],MATCH(bargiri[[#This Row],[شماره سند مبنا]],invoice[شماره پیش فاکتور],0))</f>
        <v>322542000</v>
      </c>
      <c r="K438" s="159">
        <f>bargiri[[#This Row],[مبلغ خالص]]-bargiri[[#This Row],[میزان استهلاک پیش دریافتی]]</f>
        <v>1827738000</v>
      </c>
      <c r="L438" s="160" t="s">
        <v>171</v>
      </c>
      <c r="M438" s="159"/>
      <c r="N438" s="159">
        <f>IF(bargiri[[#This Row],[مبلغ واریزی]]&lt;&gt;"",bargiri[[#This Row],[مانده مبلغ]]-bargiri[[#This Row],[مبلغ واریزی]],bargiri[[#This Row],[مانده مبلغ]])</f>
        <v>1827738000</v>
      </c>
      <c r="O438" s="159">
        <v>0</v>
      </c>
      <c r="P438" s="159">
        <f>VLOOKUP(bargiri[[#This Row],[شماره سند مبنا]],invoice[[شماره پیش فاکتور]:[پیش دریافت به ازای هر کیلوگرم]],14,0)</f>
        <v>22275</v>
      </c>
      <c r="Q438" s="159">
        <f>IF(bargiri[[#This Row],[مبلغ ناخالص]]-(bargiri[[#This Row],[نرخ استهلاک]]*bargiri[[#This Row],[مقدار]])&lt;0,0,bargiri[[#This Row],[مبلغ ناخالص]]-(bargiri[[#This Row],[نرخ استهلاک]]*bargiri[[#This Row],[مقدار]]))</f>
        <v>1632258000</v>
      </c>
    </row>
    <row r="439" spans="1:17" s="22" customFormat="1" ht="13.8" x14ac:dyDescent="0.25">
      <c r="A439" s="22">
        <v>1055</v>
      </c>
      <c r="B439" s="22" t="s">
        <v>753</v>
      </c>
      <c r="C439" s="22" t="s">
        <v>709</v>
      </c>
      <c r="D439" s="22" t="s">
        <v>43</v>
      </c>
      <c r="E439" s="158">
        <v>20375</v>
      </c>
      <c r="F439" s="159">
        <v>111000</v>
      </c>
      <c r="G439" s="159">
        <v>2261625000</v>
      </c>
      <c r="H439" s="159">
        <v>226162500</v>
      </c>
      <c r="I439" s="159">
        <v>2487787500</v>
      </c>
      <c r="J439" s="159">
        <f>bargiri[[#This Row],[مقدار]]*INDEX(invoice[پیش دریافت به ازای هر کیلوگرم],MATCH(bargiri[[#This Row],[شماره سند مبنا]],invoice[شماره پیش فاکتور],0))</f>
        <v>1741451250</v>
      </c>
      <c r="K439" s="159">
        <f>bargiri[[#This Row],[مبلغ خالص]]-bargiri[[#This Row],[میزان استهلاک پیش دریافتی]]</f>
        <v>746336250</v>
      </c>
      <c r="L439" s="160" t="s">
        <v>593</v>
      </c>
      <c r="M439" s="159"/>
      <c r="N439" s="159">
        <f>IF(bargiri[[#This Row],[مبلغ واریزی]]&lt;&gt;"",bargiri[[#This Row],[مانده مبلغ]]-bargiri[[#This Row],[مبلغ واریزی]],bargiri[[#This Row],[مانده مبلغ]])</f>
        <v>746336250</v>
      </c>
      <c r="O439" s="159" t="s">
        <v>593</v>
      </c>
      <c r="P439" s="159">
        <f>VLOOKUP(bargiri[[#This Row],[شماره سند مبنا]],invoice[[شماره پیش فاکتور]:[پیش دریافت به ازای هر کیلوگرم]],14,0)</f>
        <v>85470</v>
      </c>
      <c r="Q439" s="159">
        <f>IF(bargiri[[#This Row],[مبلغ ناخالص]]-(bargiri[[#This Row],[نرخ استهلاک]]*bargiri[[#This Row],[مقدار]])&lt;0,0,bargiri[[#This Row],[مبلغ ناخالص]]-(bargiri[[#This Row],[نرخ استهلاک]]*bargiri[[#This Row],[مقدار]]))</f>
        <v>520173750</v>
      </c>
    </row>
    <row r="440" spans="1:17" s="22" customFormat="1" ht="13.8" x14ac:dyDescent="0.25">
      <c r="A440" s="22">
        <v>1054</v>
      </c>
      <c r="B440" s="22" t="s">
        <v>755</v>
      </c>
      <c r="C440" s="22" t="s">
        <v>463</v>
      </c>
      <c r="D440" s="22" t="s">
        <v>207</v>
      </c>
      <c r="E440" s="158">
        <v>6560</v>
      </c>
      <c r="F440" s="159">
        <v>142000</v>
      </c>
      <c r="G440" s="159">
        <v>931520000</v>
      </c>
      <c r="H440" s="159">
        <v>93152000</v>
      </c>
      <c r="I440" s="159">
        <v>1024672000</v>
      </c>
      <c r="J440" s="159">
        <f>bargiri[[#This Row],[مقدار]]*INDEX(invoice[پیش دریافت به ازای هر کیلوگرم],MATCH(bargiri[[#This Row],[شماره سند مبنا]],invoice[شماره پیش فاکتور],0))</f>
        <v>197499444.85488126</v>
      </c>
      <c r="K440" s="159">
        <f>bargiri[[#This Row],[مبلغ خالص]]-bargiri[[#This Row],[میزان استهلاک پیش دریافتی]]</f>
        <v>827172555.14511871</v>
      </c>
      <c r="L440" s="160" t="s">
        <v>593</v>
      </c>
      <c r="M440" s="159"/>
      <c r="N440" s="159">
        <f>IF(bargiri[[#This Row],[مبلغ واریزی]]&lt;&gt;"",bargiri[[#This Row],[مانده مبلغ]]-bargiri[[#This Row],[مبلغ واریزی]],bargiri[[#This Row],[مانده مبلغ]])</f>
        <v>827172555.14511871</v>
      </c>
      <c r="O440" s="159" t="s">
        <v>593</v>
      </c>
      <c r="P440" s="159">
        <f>VLOOKUP(bargiri[[#This Row],[شماره سند مبنا]],invoice[[شماره پیش فاکتور]:[پیش دریافت به ازای هر کیلوگرم]],14,0)</f>
        <v>30106.622691292876</v>
      </c>
      <c r="Q440" s="159">
        <f>IF(bargiri[[#This Row],[مبلغ ناخالص]]-(bargiri[[#This Row],[نرخ استهلاک]]*bargiri[[#This Row],[مقدار]])&lt;0,0,bargiri[[#This Row],[مبلغ ناخالص]]-(bargiri[[#This Row],[نرخ استهلاک]]*bargiri[[#This Row],[مقدار]]))</f>
        <v>734020555.14511871</v>
      </c>
    </row>
    <row r="441" spans="1:17" s="22" customFormat="1" ht="13.8" x14ac:dyDescent="0.25">
      <c r="A441" s="22">
        <v>1053</v>
      </c>
      <c r="B441" s="22" t="s">
        <v>755</v>
      </c>
      <c r="C441" s="22" t="s">
        <v>461</v>
      </c>
      <c r="D441" s="22" t="s">
        <v>35</v>
      </c>
      <c r="E441" s="158">
        <v>20040</v>
      </c>
      <c r="F441" s="159">
        <v>142000</v>
      </c>
      <c r="G441" s="159">
        <v>2845680000</v>
      </c>
      <c r="H441" s="159">
        <v>284568000</v>
      </c>
      <c r="I441" s="159">
        <v>3130248000</v>
      </c>
      <c r="J441" s="159">
        <f>bargiri[[#This Row],[مقدار]]*INDEX(invoice[پیش دریافت به ازای هر کیلوگرم],MATCH(bargiri[[#This Row],[شماره سند مبنا]],invoice[شماره پیش فاکتور],0))</f>
        <v>657677762.02775621</v>
      </c>
      <c r="K441" s="159">
        <f>bargiri[[#This Row],[مبلغ خالص]]-bargiri[[#This Row],[میزان استهلاک پیش دریافتی]]</f>
        <v>2472570237.9722438</v>
      </c>
      <c r="L441" s="160" t="s">
        <v>378</v>
      </c>
      <c r="M441" s="159"/>
      <c r="N441" s="159">
        <f>IF(bargiri[[#This Row],[مبلغ واریزی]]&lt;&gt;"",bargiri[[#This Row],[مانده مبلغ]]-bargiri[[#This Row],[مبلغ واریزی]],bargiri[[#This Row],[مانده مبلغ]])</f>
        <v>2472570237.9722438</v>
      </c>
      <c r="O441" s="159">
        <v>0</v>
      </c>
      <c r="P441" s="159">
        <f>VLOOKUP(bargiri[[#This Row],[شماره سند مبنا]],invoice[[شماره پیش فاکتور]:[پیش دریافت به ازای هر کیلوگرم]],14,0)</f>
        <v>32818.251598191426</v>
      </c>
      <c r="Q441" s="159">
        <f>IF(bargiri[[#This Row],[مبلغ ناخالص]]-(bargiri[[#This Row],[نرخ استهلاک]]*bargiri[[#This Row],[مقدار]])&lt;0,0,bargiri[[#This Row],[مبلغ ناخالص]]-(bargiri[[#This Row],[نرخ استهلاک]]*bargiri[[#This Row],[مقدار]]))</f>
        <v>2188002237.9722438</v>
      </c>
    </row>
    <row r="442" spans="1:17" s="22" customFormat="1" ht="13.8" x14ac:dyDescent="0.25">
      <c r="A442" s="22">
        <v>1052</v>
      </c>
      <c r="B442" s="22" t="s">
        <v>756</v>
      </c>
      <c r="C442" s="22" t="s">
        <v>757</v>
      </c>
      <c r="D442" s="22" t="s">
        <v>70</v>
      </c>
      <c r="E442" s="158">
        <v>20295</v>
      </c>
      <c r="F442" s="159">
        <v>120000</v>
      </c>
      <c r="G442" s="159">
        <v>2435400000</v>
      </c>
      <c r="H442" s="159">
        <v>243540000</v>
      </c>
      <c r="I442" s="159">
        <v>2678940000</v>
      </c>
      <c r="J442" s="159">
        <f>bargiri[[#This Row],[مقدار]]*INDEX(invoice[پیش دریافت به ازای هر کیلوگرم],MATCH(bargiri[[#This Row],[شماره سند مبنا]],invoice[شماره پیش فاکتور],0))</f>
        <v>3264724930.3621173</v>
      </c>
      <c r="K442" s="159">
        <f>bargiri[[#This Row],[مبلغ خالص]]-bargiri[[#This Row],[میزان استهلاک پیش دریافتی]]</f>
        <v>-585784930.36211729</v>
      </c>
      <c r="L442" s="160" t="s">
        <v>252</v>
      </c>
      <c r="M442" s="159"/>
      <c r="N442" s="159">
        <f>IF(bargiri[[#This Row],[مبلغ واریزی]]&lt;&gt;"",bargiri[[#This Row],[مانده مبلغ]]-bargiri[[#This Row],[مبلغ واریزی]],bargiri[[#This Row],[مانده مبلغ]])</f>
        <v>-585784930.36211729</v>
      </c>
      <c r="O442" s="159">
        <v>0</v>
      </c>
      <c r="P442" s="159">
        <f>VLOOKUP(bargiri[[#This Row],[شماره سند مبنا]],invoice[[شماره پیش فاکتور]:[پیش دریافت به ازای هر کیلوگرم]],14,0)</f>
        <v>160863.50974930363</v>
      </c>
      <c r="Q442" s="159">
        <f>IF(bargiri[[#This Row],[مبلغ ناخالص]]-(bargiri[[#This Row],[نرخ استهلاک]]*bargiri[[#This Row],[مقدار]])&lt;0,0,bargiri[[#This Row],[مبلغ ناخالص]]-(bargiri[[#This Row],[نرخ استهلاک]]*bargiri[[#This Row],[مقدار]]))</f>
        <v>0</v>
      </c>
    </row>
    <row r="443" spans="1:17" s="22" customFormat="1" ht="13.8" x14ac:dyDescent="0.25">
      <c r="A443" s="22">
        <v>1051</v>
      </c>
      <c r="B443" s="22" t="s">
        <v>756</v>
      </c>
      <c r="C443" s="22" t="s">
        <v>458</v>
      </c>
      <c r="D443" s="22" t="s">
        <v>156</v>
      </c>
      <c r="E443" s="158">
        <v>23265</v>
      </c>
      <c r="F443" s="159">
        <v>142000</v>
      </c>
      <c r="G443" s="159">
        <v>3303630000</v>
      </c>
      <c r="H443" s="159">
        <v>330363000</v>
      </c>
      <c r="I443" s="159">
        <v>3633993000</v>
      </c>
      <c r="J443" s="159">
        <f>bargiri[[#This Row],[مقدار]]*INDEX(invoice[پیش دریافت به ازای هر کیلوگرم],MATCH(bargiri[[#This Row],[شماره سند مبنا]],invoice[شماره پیش فاکتور],0))</f>
        <v>657154795.15360963</v>
      </c>
      <c r="K443" s="159">
        <f>bargiri[[#This Row],[مبلغ خالص]]-bargiri[[#This Row],[میزان استهلاک پیش دریافتی]]</f>
        <v>2976838204.8463902</v>
      </c>
      <c r="L443" s="160" t="s">
        <v>593</v>
      </c>
      <c r="M443" s="159"/>
      <c r="N443" s="159">
        <f>IF(bargiri[[#This Row],[مبلغ واریزی]]&lt;&gt;"",bargiri[[#This Row],[مانده مبلغ]]-bargiri[[#This Row],[مبلغ واریزی]],bargiri[[#This Row],[مانده مبلغ]])</f>
        <v>2976838204.8463902</v>
      </c>
      <c r="O443" s="159" t="s">
        <v>593</v>
      </c>
      <c r="P443" s="159">
        <f>VLOOKUP(bargiri[[#This Row],[شماره سند مبنا]],invoice[[شماره پیش فاکتور]:[پیش دریافت به ازای هر کیلوگرم]],14,0)</f>
        <v>28246.498824569509</v>
      </c>
      <c r="Q443" s="159">
        <f>IF(bargiri[[#This Row],[مبلغ ناخالص]]-(bargiri[[#This Row],[نرخ استهلاک]]*bargiri[[#This Row],[مقدار]])&lt;0,0,bargiri[[#This Row],[مبلغ ناخالص]]-(bargiri[[#This Row],[نرخ استهلاک]]*bargiri[[#This Row],[مقدار]]))</f>
        <v>2646475204.8463902</v>
      </c>
    </row>
    <row r="444" spans="1:17" s="22" customFormat="1" ht="13.8" x14ac:dyDescent="0.25">
      <c r="A444" s="22">
        <v>1050</v>
      </c>
      <c r="B444" s="22" t="s">
        <v>756</v>
      </c>
      <c r="C444" s="22" t="s">
        <v>754</v>
      </c>
      <c r="D444" s="22" t="s">
        <v>17</v>
      </c>
      <c r="E444" s="158">
        <v>19560</v>
      </c>
      <c r="F444" s="159">
        <v>120000</v>
      </c>
      <c r="G444" s="159">
        <v>2347200000</v>
      </c>
      <c r="H444" s="159">
        <v>234720000</v>
      </c>
      <c r="I444" s="159">
        <v>2581920000</v>
      </c>
      <c r="J444" s="159">
        <f>bargiri[[#This Row],[مقدار]]*INDEX(invoice[پیش دریافت به ازای هر کیلوگرم],MATCH(bargiri[[#This Row],[شماره سند مبنا]],invoice[شماره پیش فاکتور],0))</f>
        <v>387288000</v>
      </c>
      <c r="K444" s="159">
        <f>bargiri[[#This Row],[مبلغ خالص]]-bargiri[[#This Row],[میزان استهلاک پیش دریافتی]]</f>
        <v>2194632000</v>
      </c>
      <c r="L444" s="160" t="s">
        <v>593</v>
      </c>
      <c r="M444" s="159">
        <v>723937500</v>
      </c>
      <c r="N444" s="159">
        <f>IF(bargiri[[#This Row],[مبلغ واریزی]]&lt;&gt;"",bargiri[[#This Row],[مانده مبلغ]]-bargiri[[#This Row],[مبلغ واریزی]],bargiri[[#This Row],[مانده مبلغ]])</f>
        <v>1470694500</v>
      </c>
      <c r="O444" s="159" t="s">
        <v>593</v>
      </c>
      <c r="P444" s="159">
        <f>VLOOKUP(bargiri[[#This Row],[شماره سند مبنا]],invoice[[شماره پیش فاکتور]:[پیش دریافت به ازای هر کیلوگرم]],14,0)</f>
        <v>19800</v>
      </c>
      <c r="Q444" s="159">
        <f>IF(bargiri[[#This Row],[مبلغ ناخالص]]-(bargiri[[#This Row],[نرخ استهلاک]]*bargiri[[#This Row],[مقدار]])&lt;0,0,bargiri[[#This Row],[مبلغ ناخالص]]-(bargiri[[#This Row],[نرخ استهلاک]]*bargiri[[#This Row],[مقدار]]))</f>
        <v>1959912000</v>
      </c>
    </row>
    <row r="445" spans="1:17" s="22" customFormat="1" ht="13.8" x14ac:dyDescent="0.25">
      <c r="A445" s="22">
        <v>1049</v>
      </c>
      <c r="B445" s="22" t="s">
        <v>758</v>
      </c>
      <c r="C445" s="22" t="s">
        <v>611</v>
      </c>
      <c r="D445" s="22" t="s">
        <v>67</v>
      </c>
      <c r="E445" s="158">
        <v>14105</v>
      </c>
      <c r="F445" s="159">
        <v>80000</v>
      </c>
      <c r="G445" s="159">
        <v>1128400000</v>
      </c>
      <c r="H445" s="159">
        <v>112840000</v>
      </c>
      <c r="I445" s="159">
        <v>1241240000</v>
      </c>
      <c r="J445" s="159">
        <f>bargiri[[#This Row],[مقدار]]*INDEX(invoice[پیش دریافت به ازای هر کیلوگرم],MATCH(bargiri[[#This Row],[شماره سند مبنا]],invoice[شماره پیش فاکتور],0))</f>
        <v>186186000</v>
      </c>
      <c r="K445" s="159">
        <f>bargiri[[#This Row],[مبلغ خالص]]-bargiri[[#This Row],[میزان استهلاک پیش دریافتی]]</f>
        <v>1055054000</v>
      </c>
      <c r="L445" s="160" t="s">
        <v>593</v>
      </c>
      <c r="M445" s="159"/>
      <c r="N445" s="159">
        <f>IF(bargiri[[#This Row],[مبلغ واریزی]]&lt;&gt;"",bargiri[[#This Row],[مانده مبلغ]]-bargiri[[#This Row],[مبلغ واریزی]],bargiri[[#This Row],[مانده مبلغ]])</f>
        <v>1055054000</v>
      </c>
      <c r="O445" s="159" t="s">
        <v>593</v>
      </c>
      <c r="P445" s="159">
        <f>VLOOKUP(bargiri[[#This Row],[شماره سند مبنا]],invoice[[شماره پیش فاکتور]:[پیش دریافت به ازای هر کیلوگرم]],14,0)</f>
        <v>13200</v>
      </c>
      <c r="Q445" s="159">
        <f>IF(bargiri[[#This Row],[مبلغ ناخالص]]-(bargiri[[#This Row],[نرخ استهلاک]]*bargiri[[#This Row],[مقدار]])&lt;0,0,bargiri[[#This Row],[مبلغ ناخالص]]-(bargiri[[#This Row],[نرخ استهلاک]]*bargiri[[#This Row],[مقدار]]))</f>
        <v>942214000</v>
      </c>
    </row>
    <row r="446" spans="1:17" s="22" customFormat="1" ht="13.8" x14ac:dyDescent="0.25">
      <c r="A446" s="22">
        <v>1049</v>
      </c>
      <c r="B446" s="22" t="s">
        <v>758</v>
      </c>
      <c r="C446" s="22" t="s">
        <v>647</v>
      </c>
      <c r="D446" s="22" t="s">
        <v>67</v>
      </c>
      <c r="E446" s="158">
        <v>6865</v>
      </c>
      <c r="F446" s="159">
        <v>83000</v>
      </c>
      <c r="G446" s="159">
        <v>569795000</v>
      </c>
      <c r="H446" s="159">
        <v>56979500</v>
      </c>
      <c r="I446" s="159">
        <v>626774500</v>
      </c>
      <c r="J446" s="159">
        <f>bargiri[[#This Row],[مقدار]]*INDEX(invoice[پیش دریافت به ازای هر کیلوگرم],MATCH(bargiri[[#This Row],[شماره سند مبنا]],invoice[شماره پیش فاکتور],0))</f>
        <v>94016175</v>
      </c>
      <c r="K446" s="159">
        <f>bargiri[[#This Row],[مبلغ خالص]]-bargiri[[#This Row],[میزان استهلاک پیش دریافتی]]</f>
        <v>532758325</v>
      </c>
      <c r="L446" s="160" t="s">
        <v>252</v>
      </c>
      <c r="M446" s="159"/>
      <c r="N446" s="159">
        <f>IF(bargiri[[#This Row],[مبلغ واریزی]]&lt;&gt;"",bargiri[[#This Row],[مانده مبلغ]]-bargiri[[#This Row],[مبلغ واریزی]],bargiri[[#This Row],[مانده مبلغ]])</f>
        <v>532758325</v>
      </c>
      <c r="O446" s="159">
        <v>0</v>
      </c>
      <c r="P446" s="159">
        <f>VLOOKUP(bargiri[[#This Row],[شماره سند مبنا]],invoice[[شماره پیش فاکتور]:[پیش دریافت به ازای هر کیلوگرم]],14,0)</f>
        <v>13695</v>
      </c>
      <c r="Q446" s="159">
        <f>IF(bargiri[[#This Row],[مبلغ ناخالص]]-(bargiri[[#This Row],[نرخ استهلاک]]*bargiri[[#This Row],[مقدار]])&lt;0,0,bargiri[[#This Row],[مبلغ ناخالص]]-(bargiri[[#This Row],[نرخ استهلاک]]*bargiri[[#This Row],[مقدار]]))</f>
        <v>475778825</v>
      </c>
    </row>
    <row r="447" spans="1:17" s="22" customFormat="1" ht="13.8" x14ac:dyDescent="0.25">
      <c r="A447" s="22">
        <v>1048</v>
      </c>
      <c r="B447" s="22" t="s">
        <v>759</v>
      </c>
      <c r="C447" s="22" t="s">
        <v>461</v>
      </c>
      <c r="D447" s="22" t="s">
        <v>35</v>
      </c>
      <c r="E447" s="158">
        <v>20230</v>
      </c>
      <c r="F447" s="159">
        <v>142000</v>
      </c>
      <c r="G447" s="159">
        <v>2872660000</v>
      </c>
      <c r="H447" s="159">
        <v>287266000</v>
      </c>
      <c r="I447" s="159">
        <v>3159926000</v>
      </c>
      <c r="J447" s="159">
        <f>bargiri[[#This Row],[مقدار]]*INDEX(invoice[پیش دریافت به ازای هر کیلوگرم],MATCH(bargiri[[#This Row],[شماره سند مبنا]],invoice[شماره پیش فاکتور],0))</f>
        <v>663913229.83141255</v>
      </c>
      <c r="K447" s="159">
        <f>bargiri[[#This Row],[مبلغ خالص]]-bargiri[[#This Row],[میزان استهلاک پیش دریافتی]]</f>
        <v>2496012770.1685877</v>
      </c>
      <c r="L447" s="160" t="s">
        <v>593</v>
      </c>
      <c r="M447" s="159"/>
      <c r="N447" s="159">
        <f>IF(bargiri[[#This Row],[مبلغ واریزی]]&lt;&gt;"",bargiri[[#This Row],[مانده مبلغ]]-bargiri[[#This Row],[مبلغ واریزی]],bargiri[[#This Row],[مانده مبلغ]])</f>
        <v>2496012770.1685877</v>
      </c>
      <c r="O447" s="159" t="s">
        <v>593</v>
      </c>
      <c r="P447" s="159">
        <f>VLOOKUP(bargiri[[#This Row],[شماره سند مبنا]],invoice[[شماره پیش فاکتور]:[پیش دریافت به ازای هر کیلوگرم]],14,0)</f>
        <v>32818.251598191426</v>
      </c>
      <c r="Q447" s="159">
        <f>IF(bargiri[[#This Row],[مبلغ ناخالص]]-(bargiri[[#This Row],[نرخ استهلاک]]*bargiri[[#This Row],[مقدار]])&lt;0,0,bargiri[[#This Row],[مبلغ ناخالص]]-(bargiri[[#This Row],[نرخ استهلاک]]*bargiri[[#This Row],[مقدار]]))</f>
        <v>2208746770.1685877</v>
      </c>
    </row>
    <row r="448" spans="1:17" s="22" customFormat="1" ht="13.8" x14ac:dyDescent="0.25">
      <c r="A448" s="22">
        <v>1047</v>
      </c>
      <c r="B448" s="22" t="s">
        <v>759</v>
      </c>
      <c r="C448" s="22" t="s">
        <v>602</v>
      </c>
      <c r="D448" s="22" t="s">
        <v>30</v>
      </c>
      <c r="E448" s="158">
        <v>11700</v>
      </c>
      <c r="F448" s="159">
        <v>142000</v>
      </c>
      <c r="G448" s="159">
        <v>1661400000</v>
      </c>
      <c r="H448" s="159">
        <v>166140000</v>
      </c>
      <c r="I448" s="159">
        <v>1827540000</v>
      </c>
      <c r="J448" s="159">
        <f>bargiri[[#This Row],[مقدار]]*INDEX(invoice[پیش دریافت به ازای هر کیلوگرم],MATCH(bargiri[[#This Row],[شماره سند مبنا]],invoice[شماره پیش فاکتور],0))</f>
        <v>1323893200.8692954</v>
      </c>
      <c r="K448" s="159">
        <f>bargiri[[#This Row],[مبلغ خالص]]-bargiri[[#This Row],[میزان استهلاک پیش دریافتی]]</f>
        <v>503646799.13070464</v>
      </c>
      <c r="L448" s="160" t="s">
        <v>593</v>
      </c>
      <c r="M448" s="159"/>
      <c r="N448" s="159">
        <f>IF(bargiri[[#This Row],[مبلغ واریزی]]&lt;&gt;"",bargiri[[#This Row],[مانده مبلغ]]-bargiri[[#This Row],[مبلغ واریزی]],bargiri[[#This Row],[مانده مبلغ]])</f>
        <v>503646799.13070464</v>
      </c>
      <c r="O448" s="159" t="s">
        <v>593</v>
      </c>
      <c r="P448" s="159">
        <f>VLOOKUP(bargiri[[#This Row],[شماره سند مبنا]],invoice[[شماره پیش فاکتور]:[پیش دریافت به ازای هر کیلوگرم]],14,0)</f>
        <v>113153.2650315637</v>
      </c>
      <c r="Q448" s="159">
        <f>IF(bargiri[[#This Row],[مبلغ ناخالص]]-(bargiri[[#This Row],[نرخ استهلاک]]*bargiri[[#This Row],[مقدار]])&lt;0,0,bargiri[[#This Row],[مبلغ ناخالص]]-(bargiri[[#This Row],[نرخ استهلاک]]*bargiri[[#This Row],[مقدار]]))</f>
        <v>337506799.13070464</v>
      </c>
    </row>
    <row r="449" spans="1:17" s="22" customFormat="1" ht="13.8" x14ac:dyDescent="0.25">
      <c r="A449" s="22">
        <v>1046</v>
      </c>
      <c r="B449" s="22" t="s">
        <v>759</v>
      </c>
      <c r="C449" s="22" t="s">
        <v>745</v>
      </c>
      <c r="D449" s="22" t="s">
        <v>221</v>
      </c>
      <c r="E449" s="158">
        <v>14555</v>
      </c>
      <c r="F449" s="159">
        <v>135000</v>
      </c>
      <c r="G449" s="159">
        <v>1964925000</v>
      </c>
      <c r="H449" s="159">
        <v>196492500</v>
      </c>
      <c r="I449" s="159">
        <v>2161417500</v>
      </c>
      <c r="J449" s="159">
        <f>bargiri[[#This Row],[مقدار]]*INDEX(invoice[پیش دریافت به ازای هر کیلوگرم],MATCH(bargiri[[#This Row],[شماره سند مبنا]],invoice[شماره پیش فاکتور],0))</f>
        <v>324212625</v>
      </c>
      <c r="K449" s="159">
        <f>bargiri[[#This Row],[مبلغ خالص]]-bargiri[[#This Row],[میزان استهلاک پیش دریافتی]]</f>
        <v>1837204875</v>
      </c>
      <c r="L449" s="160" t="s">
        <v>593</v>
      </c>
      <c r="M449" s="159"/>
      <c r="N449" s="159">
        <f>IF(bargiri[[#This Row],[مبلغ واریزی]]&lt;&gt;"",bargiri[[#This Row],[مانده مبلغ]]-bargiri[[#This Row],[مبلغ واریزی]],bargiri[[#This Row],[مانده مبلغ]])</f>
        <v>1837204875</v>
      </c>
      <c r="O449" s="159" t="s">
        <v>593</v>
      </c>
      <c r="P449" s="159">
        <f>VLOOKUP(bargiri[[#This Row],[شماره سند مبنا]],invoice[[شماره پیش فاکتور]:[پیش دریافت به ازای هر کیلوگرم]],14,0)</f>
        <v>22275</v>
      </c>
      <c r="Q449" s="159">
        <f>IF(bargiri[[#This Row],[مبلغ ناخالص]]-(bargiri[[#This Row],[نرخ استهلاک]]*bargiri[[#This Row],[مقدار]])&lt;0,0,bargiri[[#This Row],[مبلغ ناخالص]]-(bargiri[[#This Row],[نرخ استهلاک]]*bargiri[[#This Row],[مقدار]]))</f>
        <v>1640712375</v>
      </c>
    </row>
    <row r="450" spans="1:17" s="22" customFormat="1" ht="13.8" x14ac:dyDescent="0.25">
      <c r="A450" s="22">
        <v>1045</v>
      </c>
      <c r="B450" s="22" t="s">
        <v>760</v>
      </c>
      <c r="C450" s="22" t="s">
        <v>463</v>
      </c>
      <c r="D450" s="22" t="s">
        <v>207</v>
      </c>
      <c r="E450" s="158">
        <v>6590</v>
      </c>
      <c r="F450" s="159">
        <v>142000</v>
      </c>
      <c r="G450" s="159">
        <v>935780000</v>
      </c>
      <c r="H450" s="159">
        <v>93578000</v>
      </c>
      <c r="I450" s="159">
        <v>1029358000</v>
      </c>
      <c r="J450" s="159">
        <f>bargiri[[#This Row],[مقدار]]*INDEX(invoice[پیش دریافت به ازای هر کیلوگرم],MATCH(bargiri[[#This Row],[شماره سند مبنا]],invoice[شماره پیش فاکتور],0))</f>
        <v>198402643.53562006</v>
      </c>
      <c r="K450" s="159">
        <f>bargiri[[#This Row],[مبلغ خالص]]-bargiri[[#This Row],[میزان استهلاک پیش دریافتی]]</f>
        <v>830955356.46437991</v>
      </c>
      <c r="L450" s="160" t="s">
        <v>593</v>
      </c>
      <c r="M450" s="159"/>
      <c r="N450" s="159">
        <f>IF(bargiri[[#This Row],[مبلغ واریزی]]&lt;&gt;"",bargiri[[#This Row],[مانده مبلغ]]-bargiri[[#This Row],[مبلغ واریزی]],bargiri[[#This Row],[مانده مبلغ]])</f>
        <v>830955356.46437991</v>
      </c>
      <c r="O450" s="159" t="s">
        <v>593</v>
      </c>
      <c r="P450" s="159">
        <f>VLOOKUP(bargiri[[#This Row],[شماره سند مبنا]],invoice[[شماره پیش فاکتور]:[پیش دریافت به ازای هر کیلوگرم]],14,0)</f>
        <v>30106.622691292876</v>
      </c>
      <c r="Q450" s="159">
        <f>IF(bargiri[[#This Row],[مبلغ ناخالص]]-(bargiri[[#This Row],[نرخ استهلاک]]*bargiri[[#This Row],[مقدار]])&lt;0,0,bargiri[[#This Row],[مبلغ ناخالص]]-(bargiri[[#This Row],[نرخ استهلاک]]*bargiri[[#This Row],[مقدار]]))</f>
        <v>737377356.46437991</v>
      </c>
    </row>
    <row r="451" spans="1:17" s="22" customFormat="1" ht="13.8" x14ac:dyDescent="0.25">
      <c r="A451" s="22">
        <v>1044</v>
      </c>
      <c r="B451" s="22" t="s">
        <v>760</v>
      </c>
      <c r="C451" s="22" t="s">
        <v>726</v>
      </c>
      <c r="D451" s="22" t="s">
        <v>67</v>
      </c>
      <c r="E451" s="158">
        <v>800</v>
      </c>
      <c r="F451" s="159">
        <v>167500</v>
      </c>
      <c r="G451" s="159">
        <v>134000000</v>
      </c>
      <c r="H451" s="159">
        <v>13400000</v>
      </c>
      <c r="I451" s="159">
        <v>147400000</v>
      </c>
      <c r="J451" s="159">
        <f>bargiri[[#This Row],[مقدار]]*INDEX(invoice[پیش دریافت به ازای هر کیلوگرم],MATCH(bargiri[[#This Row],[شماره سند مبنا]],invoice[شماره پیش فاکتور],0))</f>
        <v>147400000</v>
      </c>
      <c r="K451" s="159">
        <f>bargiri[[#This Row],[مبلغ خالص]]-bargiri[[#This Row],[میزان استهلاک پیش دریافتی]]</f>
        <v>0</v>
      </c>
      <c r="L451" s="160" t="s">
        <v>160</v>
      </c>
      <c r="M451" s="159"/>
      <c r="N451" s="159">
        <f>IF(bargiri[[#This Row],[مبلغ واریزی]]&lt;&gt;"",bargiri[[#This Row],[مانده مبلغ]]-bargiri[[#This Row],[مبلغ واریزی]],bargiri[[#This Row],[مانده مبلغ]])</f>
        <v>0</v>
      </c>
      <c r="O451" s="159">
        <v>0</v>
      </c>
      <c r="P451" s="159">
        <f>VLOOKUP(bargiri[[#This Row],[شماره سند مبنا]],invoice[[شماره پیش فاکتور]:[پیش دریافت به ازای هر کیلوگرم]],14,0)</f>
        <v>184250</v>
      </c>
      <c r="Q451" s="159">
        <f>IF(bargiri[[#This Row],[مبلغ ناخالص]]-(bargiri[[#This Row],[نرخ استهلاک]]*bargiri[[#This Row],[مقدار]])&lt;0,0,bargiri[[#This Row],[مبلغ ناخالص]]-(bargiri[[#This Row],[نرخ استهلاک]]*bargiri[[#This Row],[مقدار]]))</f>
        <v>0</v>
      </c>
    </row>
    <row r="452" spans="1:17" s="22" customFormat="1" ht="13.8" x14ac:dyDescent="0.25">
      <c r="A452" s="22">
        <v>1044</v>
      </c>
      <c r="B452" s="22" t="s">
        <v>760</v>
      </c>
      <c r="C452" s="22" t="s">
        <v>715</v>
      </c>
      <c r="D452" s="22" t="s">
        <v>67</v>
      </c>
      <c r="E452" s="158">
        <v>4625</v>
      </c>
      <c r="F452" s="159">
        <v>167500</v>
      </c>
      <c r="G452" s="159">
        <v>774687500</v>
      </c>
      <c r="H452" s="159">
        <v>77468750</v>
      </c>
      <c r="I452" s="159">
        <v>852156250</v>
      </c>
      <c r="J452" s="159">
        <f>bargiri[[#This Row],[مقدار]]*INDEX(invoice[پیش دریافت به ازای هر کیلوگرم],MATCH(bargiri[[#This Row],[شماره سند مبنا]],invoice[شماره پیش فاکتور],0))</f>
        <v>852156250</v>
      </c>
      <c r="K452" s="159">
        <f>bargiri[[#This Row],[مبلغ خالص]]-bargiri[[#This Row],[میزان استهلاک پیش دریافتی]]</f>
        <v>0</v>
      </c>
      <c r="L452" s="160" t="s">
        <v>593</v>
      </c>
      <c r="M452" s="159"/>
      <c r="N452" s="159">
        <f>IF(bargiri[[#This Row],[مبلغ واریزی]]&lt;&gt;"",bargiri[[#This Row],[مانده مبلغ]]-bargiri[[#This Row],[مبلغ واریزی]],bargiri[[#This Row],[مانده مبلغ]])</f>
        <v>0</v>
      </c>
      <c r="O452" s="159" t="s">
        <v>593</v>
      </c>
      <c r="P452" s="159">
        <f>VLOOKUP(bargiri[[#This Row],[شماره سند مبنا]],invoice[[شماره پیش فاکتور]:[پیش دریافت به ازای هر کیلوگرم]],14,0)</f>
        <v>184250</v>
      </c>
      <c r="Q452" s="159">
        <f>IF(bargiri[[#This Row],[مبلغ ناخالص]]-(bargiri[[#This Row],[نرخ استهلاک]]*bargiri[[#This Row],[مقدار]])&lt;0,0,bargiri[[#This Row],[مبلغ ناخالص]]-(bargiri[[#This Row],[نرخ استهلاک]]*bargiri[[#This Row],[مقدار]]))</f>
        <v>0</v>
      </c>
    </row>
    <row r="453" spans="1:17" s="22" customFormat="1" ht="13.8" x14ac:dyDescent="0.25">
      <c r="A453" s="22">
        <v>1044</v>
      </c>
      <c r="B453" s="22" t="s">
        <v>760</v>
      </c>
      <c r="C453" s="22" t="s">
        <v>742</v>
      </c>
      <c r="D453" s="22" t="s">
        <v>67</v>
      </c>
      <c r="E453" s="158">
        <v>15445</v>
      </c>
      <c r="F453" s="159">
        <v>167500</v>
      </c>
      <c r="G453" s="159">
        <v>2587037500</v>
      </c>
      <c r="H453" s="159">
        <v>258703750</v>
      </c>
      <c r="I453" s="159">
        <v>2845741250</v>
      </c>
      <c r="J453" s="159">
        <f>bargiri[[#This Row],[مقدار]]*INDEX(invoice[پیش دریافت به ازای هر کیلوگرم],MATCH(bargiri[[#This Row],[شماره سند مبنا]],invoice[شماره پیش فاکتور],0))</f>
        <v>2845741250</v>
      </c>
      <c r="K453" s="159">
        <f>bargiri[[#This Row],[مبلغ خالص]]-bargiri[[#This Row],[میزان استهلاک پیش دریافتی]]</f>
        <v>0</v>
      </c>
      <c r="L453" s="160" t="s">
        <v>593</v>
      </c>
      <c r="M453" s="159"/>
      <c r="N453" s="159">
        <f>IF(bargiri[[#This Row],[مبلغ واریزی]]&lt;&gt;"",bargiri[[#This Row],[مانده مبلغ]]-bargiri[[#This Row],[مبلغ واریزی]],bargiri[[#This Row],[مانده مبلغ]])</f>
        <v>0</v>
      </c>
      <c r="O453" s="159" t="s">
        <v>593</v>
      </c>
      <c r="P453" s="159">
        <f>VLOOKUP(bargiri[[#This Row],[شماره سند مبنا]],invoice[[شماره پیش فاکتور]:[پیش دریافت به ازای هر کیلوگرم]],14,0)</f>
        <v>184250</v>
      </c>
      <c r="Q453" s="159">
        <f>IF(bargiri[[#This Row],[مبلغ ناخالص]]-(bargiri[[#This Row],[نرخ استهلاک]]*bargiri[[#This Row],[مقدار]])&lt;0,0,bargiri[[#This Row],[مبلغ ناخالص]]-(bargiri[[#This Row],[نرخ استهلاک]]*bargiri[[#This Row],[مقدار]]))</f>
        <v>0</v>
      </c>
    </row>
    <row r="454" spans="1:17" s="22" customFormat="1" ht="13.8" x14ac:dyDescent="0.25">
      <c r="A454" s="22">
        <v>1043</v>
      </c>
      <c r="B454" s="22" t="s">
        <v>760</v>
      </c>
      <c r="C454" s="22" t="s">
        <v>617</v>
      </c>
      <c r="D454" s="22" t="s">
        <v>211</v>
      </c>
      <c r="E454" s="158">
        <v>18765</v>
      </c>
      <c r="F454" s="159">
        <v>142000</v>
      </c>
      <c r="G454" s="159">
        <v>2664630000</v>
      </c>
      <c r="H454" s="159">
        <v>266463000</v>
      </c>
      <c r="I454" s="159">
        <v>2931093000</v>
      </c>
      <c r="J454" s="159">
        <f>bargiri[[#This Row],[مقدار]]*INDEX(invoice[پیش دریافت به ازای هر کیلوگرم],MATCH(bargiri[[#This Row],[شماره سند مبنا]],invoice[شماره پیش فاکتور],0))</f>
        <v>843372134.6590364</v>
      </c>
      <c r="K454" s="159">
        <f>bargiri[[#This Row],[مبلغ خالص]]-bargiri[[#This Row],[میزان استهلاک پیش دریافتی]]</f>
        <v>2087720865.3409636</v>
      </c>
      <c r="L454" s="160" t="s">
        <v>378</v>
      </c>
      <c r="M454" s="159"/>
      <c r="N454" s="159">
        <f>IF(bargiri[[#This Row],[مبلغ واریزی]]&lt;&gt;"",bargiri[[#This Row],[مانده مبلغ]]-bargiri[[#This Row],[مبلغ واریزی]],bargiri[[#This Row],[مانده مبلغ]])</f>
        <v>2087720865.3409636</v>
      </c>
      <c r="O454" s="159">
        <v>0</v>
      </c>
      <c r="P454" s="159">
        <f>VLOOKUP(bargiri[[#This Row],[شماره سند مبنا]],invoice[[شماره پیش فاکتور]:[پیش دریافت به ازای هر کیلوگرم]],14,0)</f>
        <v>44943.892068160749</v>
      </c>
      <c r="Q454" s="159">
        <f>IF(bargiri[[#This Row],[مبلغ ناخالص]]-(bargiri[[#This Row],[نرخ استهلاک]]*bargiri[[#This Row],[مقدار]])&lt;0,0,bargiri[[#This Row],[مبلغ ناخالص]]-(bargiri[[#This Row],[نرخ استهلاک]]*bargiri[[#This Row],[مقدار]]))</f>
        <v>1821257865.3409636</v>
      </c>
    </row>
    <row r="455" spans="1:17" s="22" customFormat="1" ht="13.8" x14ac:dyDescent="0.25">
      <c r="A455" s="22">
        <v>1042</v>
      </c>
      <c r="B455" s="22" t="s">
        <v>761</v>
      </c>
      <c r="C455" s="22" t="s">
        <v>672</v>
      </c>
      <c r="D455" s="22" t="s">
        <v>25</v>
      </c>
      <c r="E455" s="158">
        <v>17750</v>
      </c>
      <c r="F455" s="159">
        <v>167500</v>
      </c>
      <c r="G455" s="159">
        <v>2973125000</v>
      </c>
      <c r="H455" s="159">
        <v>297312500</v>
      </c>
      <c r="I455" s="159">
        <v>3270437500</v>
      </c>
      <c r="J455" s="159">
        <f>bargiri[[#This Row],[مقدار]]*INDEX(invoice[پیش دریافت به ازای هر کیلوگرم],MATCH(bargiri[[#This Row],[شماره سند مبنا]],invoice[شماره پیش فاکتور],0))</f>
        <v>3270437500</v>
      </c>
      <c r="K455" s="159">
        <f>bargiri[[#This Row],[مبلغ خالص]]-bargiri[[#This Row],[میزان استهلاک پیش دریافتی]]</f>
        <v>0</v>
      </c>
      <c r="L455" s="160" t="s">
        <v>593</v>
      </c>
      <c r="M455" s="159"/>
      <c r="N455" s="159">
        <f>IF(bargiri[[#This Row],[مبلغ واریزی]]&lt;&gt;"",bargiri[[#This Row],[مانده مبلغ]]-bargiri[[#This Row],[مبلغ واریزی]],bargiri[[#This Row],[مانده مبلغ]])</f>
        <v>0</v>
      </c>
      <c r="O455" s="159" t="s">
        <v>593</v>
      </c>
      <c r="P455" s="159">
        <f>VLOOKUP(bargiri[[#This Row],[شماره سند مبنا]],invoice[[شماره پیش فاکتور]:[پیش دریافت به ازای هر کیلوگرم]],14,0)</f>
        <v>184250</v>
      </c>
      <c r="Q455" s="159">
        <f>IF(bargiri[[#This Row],[مبلغ ناخالص]]-(bargiri[[#This Row],[نرخ استهلاک]]*bargiri[[#This Row],[مقدار]])&lt;0,0,bargiri[[#This Row],[مبلغ ناخالص]]-(bargiri[[#This Row],[نرخ استهلاک]]*bargiri[[#This Row],[مقدار]]))</f>
        <v>0</v>
      </c>
    </row>
    <row r="456" spans="1:17" s="22" customFormat="1" ht="13.8" x14ac:dyDescent="0.25">
      <c r="A456" s="22">
        <v>1042</v>
      </c>
      <c r="B456" s="22" t="s">
        <v>761</v>
      </c>
      <c r="C456" s="22" t="s">
        <v>705</v>
      </c>
      <c r="D456" s="22" t="s">
        <v>25</v>
      </c>
      <c r="E456" s="158">
        <v>5180</v>
      </c>
      <c r="F456" s="159">
        <v>196009</v>
      </c>
      <c r="G456" s="159">
        <v>1015326620</v>
      </c>
      <c r="H456" s="159">
        <v>101532662</v>
      </c>
      <c r="I456" s="159">
        <v>1116859282</v>
      </c>
      <c r="J456" s="159">
        <f>bargiri[[#This Row],[مقدار]]*INDEX(invoice[پیش دریافت به ازای هر کیلوگرم],MATCH(bargiri[[#This Row],[شماره سند مبنا]],invoice[شماره پیش فاکتور],0))</f>
        <v>1116859282</v>
      </c>
      <c r="K456" s="159">
        <f>bargiri[[#This Row],[مبلغ خالص]]-bargiri[[#This Row],[میزان استهلاک پیش دریافتی]]</f>
        <v>0</v>
      </c>
      <c r="L456" s="160" t="s">
        <v>593</v>
      </c>
      <c r="M456" s="159"/>
      <c r="N456" s="159">
        <f>IF(bargiri[[#This Row],[مبلغ واریزی]]&lt;&gt;"",bargiri[[#This Row],[مانده مبلغ]]-bargiri[[#This Row],[مبلغ واریزی]],bargiri[[#This Row],[مانده مبلغ]])</f>
        <v>0</v>
      </c>
      <c r="O456" s="159" t="s">
        <v>593</v>
      </c>
      <c r="P456" s="159">
        <f>VLOOKUP(bargiri[[#This Row],[شماره سند مبنا]],invoice[[شماره پیش فاکتور]:[پیش دریافت به ازای هر کیلوگرم]],14,0)</f>
        <v>215609.9</v>
      </c>
      <c r="Q456" s="159">
        <f>IF(bargiri[[#This Row],[مبلغ ناخالص]]-(bargiri[[#This Row],[نرخ استهلاک]]*bargiri[[#This Row],[مقدار]])&lt;0,0,bargiri[[#This Row],[مبلغ ناخالص]]-(bargiri[[#This Row],[نرخ استهلاک]]*bargiri[[#This Row],[مقدار]]))</f>
        <v>0</v>
      </c>
    </row>
    <row r="457" spans="1:17" s="22" customFormat="1" ht="13.8" x14ac:dyDescent="0.25">
      <c r="A457" s="22">
        <v>1041</v>
      </c>
      <c r="B457" s="22" t="s">
        <v>761</v>
      </c>
      <c r="C457" s="22" t="s">
        <v>728</v>
      </c>
      <c r="D457" s="22" t="s">
        <v>40</v>
      </c>
      <c r="E457" s="158">
        <v>4045</v>
      </c>
      <c r="F457" s="159">
        <v>167500</v>
      </c>
      <c r="G457" s="159">
        <v>677537500</v>
      </c>
      <c r="H457" s="159">
        <v>67753750</v>
      </c>
      <c r="I457" s="159">
        <v>745291250</v>
      </c>
      <c r="J457" s="159">
        <f>bargiri[[#This Row],[مقدار]]*INDEX(invoice[پیش دریافت به ازای هر کیلوگرم],MATCH(bargiri[[#This Row],[شماره سند مبنا]],invoice[شماره پیش فاکتور],0))</f>
        <v>745291250</v>
      </c>
      <c r="K457" s="159">
        <f>bargiri[[#This Row],[مبلغ خالص]]-bargiri[[#This Row],[میزان استهلاک پیش دریافتی]]</f>
        <v>0</v>
      </c>
      <c r="L457" s="160" t="s">
        <v>250</v>
      </c>
      <c r="M457" s="159"/>
      <c r="N457" s="159">
        <f>IF(bargiri[[#This Row],[مبلغ واریزی]]&lt;&gt;"",bargiri[[#This Row],[مانده مبلغ]]-bargiri[[#This Row],[مبلغ واریزی]],bargiri[[#This Row],[مانده مبلغ]])</f>
        <v>0</v>
      </c>
      <c r="O457" s="159">
        <v>0</v>
      </c>
      <c r="P457" s="159">
        <f>VLOOKUP(bargiri[[#This Row],[شماره سند مبنا]],invoice[[شماره پیش فاکتور]:[پیش دریافت به ازای هر کیلوگرم]],14,0)</f>
        <v>184250</v>
      </c>
      <c r="Q457" s="159">
        <f>IF(bargiri[[#This Row],[مبلغ ناخالص]]-(bargiri[[#This Row],[نرخ استهلاک]]*bargiri[[#This Row],[مقدار]])&lt;0,0,bargiri[[#This Row],[مبلغ ناخالص]]-(bargiri[[#This Row],[نرخ استهلاک]]*bargiri[[#This Row],[مقدار]]))</f>
        <v>0</v>
      </c>
    </row>
    <row r="458" spans="1:17" s="22" customFormat="1" ht="13.8" x14ac:dyDescent="0.25">
      <c r="A458" s="22">
        <v>1041</v>
      </c>
      <c r="B458" s="22" t="s">
        <v>761</v>
      </c>
      <c r="C458" s="22" t="s">
        <v>752</v>
      </c>
      <c r="D458" s="22" t="s">
        <v>40</v>
      </c>
      <c r="E458" s="158">
        <v>14260</v>
      </c>
      <c r="F458" s="159">
        <v>79520</v>
      </c>
      <c r="G458" s="159">
        <v>1133955200</v>
      </c>
      <c r="H458" s="159">
        <v>113395520</v>
      </c>
      <c r="I458" s="159">
        <v>1247350720</v>
      </c>
      <c r="J458" s="159">
        <f>bargiri[[#This Row],[مقدار]]*INDEX(invoice[پیش دریافت به ازای هر کیلوگرم],MATCH(bargiri[[#This Row],[شماره سند مبنا]],invoice[شماره پیش فاکتور],0))</f>
        <v>187102608</v>
      </c>
      <c r="K458" s="159">
        <f>bargiri[[#This Row],[مبلغ خالص]]-bargiri[[#This Row],[میزان استهلاک پیش دریافتی]]</f>
        <v>1060248112</v>
      </c>
      <c r="L458" s="160" t="s">
        <v>593</v>
      </c>
      <c r="M458" s="159"/>
      <c r="N458" s="159">
        <f>IF(bargiri[[#This Row],[مبلغ واریزی]]&lt;&gt;"",bargiri[[#This Row],[مانده مبلغ]]-bargiri[[#This Row],[مبلغ واریزی]],bargiri[[#This Row],[مانده مبلغ]])</f>
        <v>1060248112</v>
      </c>
      <c r="O458" s="159" t="s">
        <v>593</v>
      </c>
      <c r="P458" s="159">
        <f>VLOOKUP(bargiri[[#This Row],[شماره سند مبنا]],invoice[[شماره پیش فاکتور]:[پیش دریافت به ازای هر کیلوگرم]],14,0)</f>
        <v>13120.8</v>
      </c>
      <c r="Q458" s="159">
        <f>IF(bargiri[[#This Row],[مبلغ ناخالص]]-(bargiri[[#This Row],[نرخ استهلاک]]*bargiri[[#This Row],[مقدار]])&lt;0,0,bargiri[[#This Row],[مبلغ ناخالص]]-(bargiri[[#This Row],[نرخ استهلاک]]*bargiri[[#This Row],[مقدار]]))</f>
        <v>946852592</v>
      </c>
    </row>
    <row r="459" spans="1:17" s="22" customFormat="1" ht="13.8" x14ac:dyDescent="0.25">
      <c r="A459" s="22">
        <v>1040</v>
      </c>
      <c r="B459" s="22" t="s">
        <v>761</v>
      </c>
      <c r="C459" s="22" t="s">
        <v>749</v>
      </c>
      <c r="D459" s="22" t="s">
        <v>17</v>
      </c>
      <c r="E459" s="158">
        <v>6700</v>
      </c>
      <c r="F459" s="159">
        <v>167500</v>
      </c>
      <c r="G459" s="159">
        <v>1122250000</v>
      </c>
      <c r="H459" s="159">
        <v>112225000</v>
      </c>
      <c r="I459" s="159">
        <v>1234475000</v>
      </c>
      <c r="J459" s="159">
        <f>bargiri[[#This Row],[مقدار]]*INDEX(invoice[پیش دریافت به ازای هر کیلوگرم],MATCH(bargiri[[#This Row],[شماره سند مبنا]],invoice[شماره پیش فاکتور],0))</f>
        <v>1234475000</v>
      </c>
      <c r="K459" s="159">
        <f>bargiri[[#This Row],[مبلغ خالص]]-bargiri[[#This Row],[میزان استهلاک پیش دریافتی]]</f>
        <v>0</v>
      </c>
      <c r="L459" s="160" t="s">
        <v>593</v>
      </c>
      <c r="M459" s="159"/>
      <c r="N459" s="159">
        <f>IF(bargiri[[#This Row],[مبلغ واریزی]]&lt;&gt;"",bargiri[[#This Row],[مانده مبلغ]]-bargiri[[#This Row],[مبلغ واریزی]],bargiri[[#This Row],[مانده مبلغ]])</f>
        <v>0</v>
      </c>
      <c r="O459" s="159" t="s">
        <v>593</v>
      </c>
      <c r="P459" s="159">
        <f>VLOOKUP(bargiri[[#This Row],[شماره سند مبنا]],invoice[[شماره پیش فاکتور]:[پیش دریافت به ازای هر کیلوگرم]],14,0)</f>
        <v>184250</v>
      </c>
      <c r="Q459" s="159">
        <f>IF(bargiri[[#This Row],[مبلغ ناخالص]]-(bargiri[[#This Row],[نرخ استهلاک]]*bargiri[[#This Row],[مقدار]])&lt;0,0,bargiri[[#This Row],[مبلغ ناخالص]]-(bargiri[[#This Row],[نرخ استهلاک]]*bargiri[[#This Row],[مقدار]]))</f>
        <v>0</v>
      </c>
    </row>
    <row r="460" spans="1:17" s="22" customFormat="1" ht="13.8" x14ac:dyDescent="0.25">
      <c r="A460" s="22">
        <v>1040</v>
      </c>
      <c r="B460" s="22" t="s">
        <v>761</v>
      </c>
      <c r="C460" s="22" t="s">
        <v>754</v>
      </c>
      <c r="D460" s="22" t="s">
        <v>17</v>
      </c>
      <c r="E460" s="158">
        <v>16565</v>
      </c>
      <c r="F460" s="159">
        <v>120000</v>
      </c>
      <c r="G460" s="159">
        <v>1987800000</v>
      </c>
      <c r="H460" s="159">
        <v>198780000</v>
      </c>
      <c r="I460" s="159">
        <v>2186580000</v>
      </c>
      <c r="J460" s="159">
        <f>bargiri[[#This Row],[مقدار]]*INDEX(invoice[پیش دریافت به ازای هر کیلوگرم],MATCH(bargiri[[#This Row],[شماره سند مبنا]],invoice[شماره پیش فاکتور],0))</f>
        <v>327987000</v>
      </c>
      <c r="K460" s="159">
        <f>bargiri[[#This Row],[مبلغ خالص]]-bargiri[[#This Row],[میزان استهلاک پیش دریافتی]]</f>
        <v>1858593000</v>
      </c>
      <c r="L460" s="160" t="s">
        <v>593</v>
      </c>
      <c r="M460" s="159"/>
      <c r="N460" s="159">
        <f>IF(bargiri[[#This Row],[مبلغ واریزی]]&lt;&gt;"",bargiri[[#This Row],[مانده مبلغ]]-bargiri[[#This Row],[مبلغ واریزی]],bargiri[[#This Row],[مانده مبلغ]])</f>
        <v>1858593000</v>
      </c>
      <c r="O460" s="159" t="s">
        <v>593</v>
      </c>
      <c r="P460" s="159">
        <f>VLOOKUP(bargiri[[#This Row],[شماره سند مبنا]],invoice[[شماره پیش فاکتور]:[پیش دریافت به ازای هر کیلوگرم]],14,0)</f>
        <v>19800</v>
      </c>
      <c r="Q460" s="159">
        <f>IF(bargiri[[#This Row],[مبلغ ناخالص]]-(bargiri[[#This Row],[نرخ استهلاک]]*bargiri[[#This Row],[مقدار]])&lt;0,0,bargiri[[#This Row],[مبلغ ناخالص]]-(bargiri[[#This Row],[نرخ استهلاک]]*bargiri[[#This Row],[مقدار]]))</f>
        <v>1659813000</v>
      </c>
    </row>
    <row r="461" spans="1:17" s="22" customFormat="1" ht="13.8" x14ac:dyDescent="0.25">
      <c r="A461" s="22">
        <v>1039</v>
      </c>
      <c r="B461" s="22" t="s">
        <v>761</v>
      </c>
      <c r="C461" s="22" t="s">
        <v>187</v>
      </c>
      <c r="D461" s="22" t="s">
        <v>43</v>
      </c>
      <c r="E461" s="158">
        <v>6035</v>
      </c>
      <c r="F461" s="159">
        <v>80000</v>
      </c>
      <c r="G461" s="159">
        <v>482800000</v>
      </c>
      <c r="H461" s="159">
        <v>48280000</v>
      </c>
      <c r="I461" s="159">
        <v>531080000</v>
      </c>
      <c r="J461" s="159">
        <f>bargiri[[#This Row],[مقدار]]*INDEX(invoice[پیش دریافت به ازای هر کیلوگرم],MATCH(bargiri[[#This Row],[شماره سند مبنا]],invoice[شماره پیش فاکتور],0))</f>
        <v>106216000</v>
      </c>
      <c r="K461" s="159">
        <f>bargiri[[#This Row],[مبلغ خالص]]-bargiri[[#This Row],[میزان استهلاک پیش دریافتی]]</f>
        <v>424864000</v>
      </c>
      <c r="L461" s="160" t="s">
        <v>593</v>
      </c>
      <c r="M461" s="159"/>
      <c r="N461" s="159">
        <f>IF(bargiri[[#This Row],[مبلغ واریزی]]&lt;&gt;"",bargiri[[#This Row],[مانده مبلغ]]-bargiri[[#This Row],[مبلغ واریزی]],bargiri[[#This Row],[مانده مبلغ]])</f>
        <v>424864000</v>
      </c>
      <c r="O461" s="159" t="s">
        <v>593</v>
      </c>
      <c r="P461" s="159">
        <f>VLOOKUP(bargiri[[#This Row],[شماره سند مبنا]],invoice[[شماره پیش فاکتور]:[پیش دریافت به ازای هر کیلوگرم]],14,0)</f>
        <v>17600</v>
      </c>
      <c r="Q461" s="159">
        <f>IF(bargiri[[#This Row],[مبلغ ناخالص]]-(bargiri[[#This Row],[نرخ استهلاک]]*bargiri[[#This Row],[مقدار]])&lt;0,0,bargiri[[#This Row],[مبلغ ناخالص]]-(bargiri[[#This Row],[نرخ استهلاک]]*bargiri[[#This Row],[مقدار]]))</f>
        <v>376584000</v>
      </c>
    </row>
    <row r="462" spans="1:17" s="22" customFormat="1" ht="13.8" x14ac:dyDescent="0.25">
      <c r="A462" s="22">
        <v>1039</v>
      </c>
      <c r="B462" s="22" t="s">
        <v>761</v>
      </c>
      <c r="C462" s="22" t="s">
        <v>709</v>
      </c>
      <c r="D462" s="22" t="s">
        <v>43</v>
      </c>
      <c r="E462" s="158">
        <v>14300</v>
      </c>
      <c r="F462" s="159">
        <v>111000</v>
      </c>
      <c r="G462" s="159">
        <v>1587300000</v>
      </c>
      <c r="H462" s="159">
        <v>158730000</v>
      </c>
      <c r="I462" s="159">
        <v>1746030000</v>
      </c>
      <c r="J462" s="159">
        <f>bargiri[[#This Row],[مقدار]]*INDEX(invoice[پیش دریافت به ازای هر کیلوگرم],MATCH(bargiri[[#This Row],[شماره سند مبنا]],invoice[شماره پیش فاکتور],0))</f>
        <v>1222221000</v>
      </c>
      <c r="K462" s="159">
        <f>bargiri[[#This Row],[مبلغ خالص]]-bargiri[[#This Row],[میزان استهلاک پیش دریافتی]]</f>
        <v>523809000</v>
      </c>
      <c r="L462" s="160" t="s">
        <v>250</v>
      </c>
      <c r="M462" s="159"/>
      <c r="N462" s="159">
        <f>IF(bargiri[[#This Row],[مبلغ واریزی]]&lt;&gt;"",bargiri[[#This Row],[مانده مبلغ]]-bargiri[[#This Row],[مبلغ واریزی]],bargiri[[#This Row],[مانده مبلغ]])</f>
        <v>523809000</v>
      </c>
      <c r="O462" s="159">
        <v>0</v>
      </c>
      <c r="P462" s="159">
        <f>VLOOKUP(bargiri[[#This Row],[شماره سند مبنا]],invoice[[شماره پیش فاکتور]:[پیش دریافت به ازای هر کیلوگرم]],14,0)</f>
        <v>85470</v>
      </c>
      <c r="Q462" s="159">
        <f>IF(bargiri[[#This Row],[مبلغ ناخالص]]-(bargiri[[#This Row],[نرخ استهلاک]]*bargiri[[#This Row],[مقدار]])&lt;0,0,bargiri[[#This Row],[مبلغ ناخالص]]-(bargiri[[#This Row],[نرخ استهلاک]]*bargiri[[#This Row],[مقدار]]))</f>
        <v>365079000</v>
      </c>
    </row>
    <row r="463" spans="1:17" s="22" customFormat="1" ht="13.8" x14ac:dyDescent="0.25">
      <c r="A463" s="22">
        <v>1038</v>
      </c>
      <c r="B463" s="22" t="s">
        <v>762</v>
      </c>
      <c r="C463" s="22" t="s">
        <v>187</v>
      </c>
      <c r="D463" s="22" t="s">
        <v>43</v>
      </c>
      <c r="E463" s="158">
        <v>19875</v>
      </c>
      <c r="F463" s="159">
        <v>80000</v>
      </c>
      <c r="G463" s="159">
        <v>1590000000</v>
      </c>
      <c r="H463" s="159">
        <v>159000000</v>
      </c>
      <c r="I463" s="159">
        <v>1749000000</v>
      </c>
      <c r="J463" s="159">
        <f>bargiri[[#This Row],[مقدار]]*INDEX(invoice[پیش دریافت به ازای هر کیلوگرم],MATCH(bargiri[[#This Row],[شماره سند مبنا]],invoice[شماره پیش فاکتور],0))</f>
        <v>349800000</v>
      </c>
      <c r="K463" s="159">
        <f>bargiri[[#This Row],[مبلغ خالص]]-bargiri[[#This Row],[میزان استهلاک پیش دریافتی]]</f>
        <v>1399200000</v>
      </c>
      <c r="L463" s="160" t="s">
        <v>593</v>
      </c>
      <c r="M463" s="159"/>
      <c r="N463" s="159">
        <f>IF(bargiri[[#This Row],[مبلغ واریزی]]&lt;&gt;"",bargiri[[#This Row],[مانده مبلغ]]-bargiri[[#This Row],[مبلغ واریزی]],bargiri[[#This Row],[مانده مبلغ]])</f>
        <v>1399200000</v>
      </c>
      <c r="O463" s="159" t="s">
        <v>593</v>
      </c>
      <c r="P463" s="159">
        <f>VLOOKUP(bargiri[[#This Row],[شماره سند مبنا]],invoice[[شماره پیش فاکتور]:[پیش دریافت به ازای هر کیلوگرم]],14,0)</f>
        <v>17600</v>
      </c>
      <c r="Q463" s="159">
        <f>IF(bargiri[[#This Row],[مبلغ ناخالص]]-(bargiri[[#This Row],[نرخ استهلاک]]*bargiri[[#This Row],[مقدار]])&lt;0,0,bargiri[[#This Row],[مبلغ ناخالص]]-(bargiri[[#This Row],[نرخ استهلاک]]*bargiri[[#This Row],[مقدار]]))</f>
        <v>1240200000</v>
      </c>
    </row>
    <row r="464" spans="1:17" s="22" customFormat="1" ht="13.8" x14ac:dyDescent="0.25">
      <c r="A464" s="22">
        <v>1037</v>
      </c>
      <c r="B464" s="22" t="s">
        <v>763</v>
      </c>
      <c r="C464" s="22" t="s">
        <v>611</v>
      </c>
      <c r="D464" s="22" t="s">
        <v>67</v>
      </c>
      <c r="E464" s="158">
        <v>19060</v>
      </c>
      <c r="F464" s="159">
        <v>80000</v>
      </c>
      <c r="G464" s="159">
        <v>1524800000</v>
      </c>
      <c r="H464" s="159">
        <v>152480000</v>
      </c>
      <c r="I464" s="159">
        <v>1677280000</v>
      </c>
      <c r="J464" s="159">
        <f>bargiri[[#This Row],[مقدار]]*INDEX(invoice[پیش دریافت به ازای هر کیلوگرم],MATCH(bargiri[[#This Row],[شماره سند مبنا]],invoice[شماره پیش فاکتور],0))</f>
        <v>251592000</v>
      </c>
      <c r="K464" s="159">
        <f>bargiri[[#This Row],[مبلغ خالص]]-bargiri[[#This Row],[میزان استهلاک پیش دریافتی]]</f>
        <v>1425688000</v>
      </c>
      <c r="L464" s="160" t="s">
        <v>593</v>
      </c>
      <c r="M464" s="159"/>
      <c r="N464" s="159">
        <f>IF(bargiri[[#This Row],[مبلغ واریزی]]&lt;&gt;"",bargiri[[#This Row],[مانده مبلغ]]-bargiri[[#This Row],[مبلغ واریزی]],bargiri[[#This Row],[مانده مبلغ]])</f>
        <v>1425688000</v>
      </c>
      <c r="O464" s="159" t="s">
        <v>593</v>
      </c>
      <c r="P464" s="159">
        <f>VLOOKUP(bargiri[[#This Row],[شماره سند مبنا]],invoice[[شماره پیش فاکتور]:[پیش دریافت به ازای هر کیلوگرم]],14,0)</f>
        <v>13200</v>
      </c>
      <c r="Q464" s="159">
        <f>IF(bargiri[[#This Row],[مبلغ ناخالص]]-(bargiri[[#This Row],[نرخ استهلاک]]*bargiri[[#This Row],[مقدار]])&lt;0,0,bargiri[[#This Row],[مبلغ ناخالص]]-(bargiri[[#This Row],[نرخ استهلاک]]*bargiri[[#This Row],[مقدار]]))</f>
        <v>1273208000</v>
      </c>
    </row>
    <row r="465" spans="1:17" s="22" customFormat="1" ht="13.8" x14ac:dyDescent="0.25">
      <c r="A465" s="22">
        <v>1036</v>
      </c>
      <c r="B465" s="22" t="s">
        <v>763</v>
      </c>
      <c r="C465" s="22" t="s">
        <v>745</v>
      </c>
      <c r="D465" s="22" t="s">
        <v>221</v>
      </c>
      <c r="E465" s="158">
        <v>14540</v>
      </c>
      <c r="F465" s="159">
        <v>135000</v>
      </c>
      <c r="G465" s="159">
        <v>1962900000</v>
      </c>
      <c r="H465" s="159">
        <v>196290000</v>
      </c>
      <c r="I465" s="159">
        <v>2159190000</v>
      </c>
      <c r="J465" s="159">
        <f>bargiri[[#This Row],[مقدار]]*INDEX(invoice[پیش دریافت به ازای هر کیلوگرم],MATCH(bargiri[[#This Row],[شماره سند مبنا]],invoice[شماره پیش فاکتور],0))</f>
        <v>323878500</v>
      </c>
      <c r="K465" s="159">
        <f>bargiri[[#This Row],[مبلغ خالص]]-bargiri[[#This Row],[میزان استهلاک پیش دریافتی]]</f>
        <v>1835311500</v>
      </c>
      <c r="L465" s="160" t="s">
        <v>593</v>
      </c>
      <c r="M465" s="159"/>
      <c r="N465" s="159">
        <f>IF(bargiri[[#This Row],[مبلغ واریزی]]&lt;&gt;"",bargiri[[#This Row],[مانده مبلغ]]-bargiri[[#This Row],[مبلغ واریزی]],bargiri[[#This Row],[مانده مبلغ]])</f>
        <v>1835311500</v>
      </c>
      <c r="O465" s="159" t="s">
        <v>593</v>
      </c>
      <c r="P465" s="159">
        <f>VLOOKUP(bargiri[[#This Row],[شماره سند مبنا]],invoice[[شماره پیش فاکتور]:[پیش دریافت به ازای هر کیلوگرم]],14,0)</f>
        <v>22275</v>
      </c>
      <c r="Q465" s="159">
        <f>IF(bargiri[[#This Row],[مبلغ ناخالص]]-(bargiri[[#This Row],[نرخ استهلاک]]*bargiri[[#This Row],[مقدار]])&lt;0,0,bargiri[[#This Row],[مبلغ ناخالص]]-(bargiri[[#This Row],[نرخ استهلاک]]*bargiri[[#This Row],[مقدار]]))</f>
        <v>1639021500</v>
      </c>
    </row>
    <row r="466" spans="1:17" s="22" customFormat="1" ht="13.8" x14ac:dyDescent="0.25">
      <c r="A466" s="22">
        <v>1035</v>
      </c>
      <c r="B466" s="22" t="s">
        <v>763</v>
      </c>
      <c r="C466" s="22" t="s">
        <v>461</v>
      </c>
      <c r="D466" s="22" t="s">
        <v>35</v>
      </c>
      <c r="E466" s="158">
        <v>7430</v>
      </c>
      <c r="F466" s="159">
        <v>142000</v>
      </c>
      <c r="G466" s="159">
        <v>1055060000</v>
      </c>
      <c r="H466" s="159">
        <v>105506000</v>
      </c>
      <c r="I466" s="159">
        <v>1160566000</v>
      </c>
      <c r="J466" s="159">
        <f>bargiri[[#This Row],[مقدار]]*INDEX(invoice[پیش دریافت به ازای هر کیلوگرم],MATCH(bargiri[[#This Row],[شماره سند مبنا]],invoice[شماره پیش فاکتور],0))</f>
        <v>243839609.37456229</v>
      </c>
      <c r="K466" s="159">
        <f>bargiri[[#This Row],[مبلغ خالص]]-bargiri[[#This Row],[میزان استهلاک پیش دریافتی]]</f>
        <v>916726390.62543774</v>
      </c>
      <c r="L466" s="160" t="s">
        <v>593</v>
      </c>
      <c r="M466" s="159"/>
      <c r="N466" s="159">
        <f>IF(bargiri[[#This Row],[مبلغ واریزی]]&lt;&gt;"",bargiri[[#This Row],[مانده مبلغ]]-bargiri[[#This Row],[مبلغ واریزی]],bargiri[[#This Row],[مانده مبلغ]])</f>
        <v>916726390.62543774</v>
      </c>
      <c r="O466" s="159" t="s">
        <v>593</v>
      </c>
      <c r="P466" s="159">
        <f>VLOOKUP(bargiri[[#This Row],[شماره سند مبنا]],invoice[[شماره پیش فاکتور]:[پیش دریافت به ازای هر کیلوگرم]],14,0)</f>
        <v>32818.251598191426</v>
      </c>
      <c r="Q466" s="159">
        <f>IF(bargiri[[#This Row],[مبلغ ناخالص]]-(bargiri[[#This Row],[نرخ استهلاک]]*bargiri[[#This Row],[مقدار]])&lt;0,0,bargiri[[#This Row],[مبلغ ناخالص]]-(bargiri[[#This Row],[نرخ استهلاک]]*bargiri[[#This Row],[مقدار]]))</f>
        <v>811220390.62543774</v>
      </c>
    </row>
    <row r="467" spans="1:17" s="22" customFormat="1" ht="13.8" x14ac:dyDescent="0.25">
      <c r="A467" s="22">
        <v>1034</v>
      </c>
      <c r="B467" s="22" t="s">
        <v>764</v>
      </c>
      <c r="C467" s="22" t="s">
        <v>182</v>
      </c>
      <c r="D467" s="22" t="s">
        <v>20</v>
      </c>
      <c r="E467" s="158">
        <v>19160</v>
      </c>
      <c r="F467" s="159">
        <v>86500</v>
      </c>
      <c r="G467" s="159">
        <v>1657340000</v>
      </c>
      <c r="H467" s="159">
        <v>165734000</v>
      </c>
      <c r="I467" s="159">
        <v>1823074000</v>
      </c>
      <c r="J467" s="159">
        <f>bargiri[[#This Row],[مقدار]]*INDEX(invoice[پیش دریافت به ازای هر کیلوگرم],MATCH(bargiri[[#This Row],[شماره سند مبنا]],invoice[شماره پیش فاکتور],0))</f>
        <v>248601000</v>
      </c>
      <c r="K467" s="159">
        <f>bargiri[[#This Row],[مبلغ خالص]]-bargiri[[#This Row],[میزان استهلاک پیش دریافتی]]</f>
        <v>1574473000</v>
      </c>
      <c r="L467" s="160" t="s">
        <v>593</v>
      </c>
      <c r="M467" s="159"/>
      <c r="N467" s="159">
        <f>IF(bargiri[[#This Row],[مبلغ واریزی]]&lt;&gt;"",bargiri[[#This Row],[مانده مبلغ]]-bargiri[[#This Row],[مبلغ واریزی]],bargiri[[#This Row],[مانده مبلغ]])</f>
        <v>1574473000</v>
      </c>
      <c r="O467" s="159" t="s">
        <v>593</v>
      </c>
      <c r="P467" s="159">
        <f>VLOOKUP(bargiri[[#This Row],[شماره سند مبنا]],invoice[[شماره پیش فاکتور]:[پیش دریافت به ازای هر کیلوگرم]],14,0)</f>
        <v>12975</v>
      </c>
      <c r="Q467" s="159">
        <f>IF(bargiri[[#This Row],[مبلغ ناخالص]]-(bargiri[[#This Row],[نرخ استهلاک]]*bargiri[[#This Row],[مقدار]])&lt;0,0,bargiri[[#This Row],[مبلغ ناخالص]]-(bargiri[[#This Row],[نرخ استهلاک]]*bargiri[[#This Row],[مقدار]]))</f>
        <v>1408739000</v>
      </c>
    </row>
    <row r="468" spans="1:17" s="22" customFormat="1" ht="13.8" x14ac:dyDescent="0.25">
      <c r="A468" s="22">
        <v>1033</v>
      </c>
      <c r="B468" s="22" t="s">
        <v>765</v>
      </c>
      <c r="C468" s="22" t="s">
        <v>187</v>
      </c>
      <c r="D468" s="22" t="s">
        <v>43</v>
      </c>
      <c r="E468" s="158">
        <v>16135</v>
      </c>
      <c r="F468" s="159">
        <v>80000</v>
      </c>
      <c r="G468" s="159">
        <v>1290800000</v>
      </c>
      <c r="H468" s="159">
        <v>129080000</v>
      </c>
      <c r="I468" s="159">
        <v>1419880000</v>
      </c>
      <c r="J468" s="159">
        <f>bargiri[[#This Row],[مقدار]]*INDEX(invoice[پیش دریافت به ازای هر کیلوگرم],MATCH(bargiri[[#This Row],[شماره سند مبنا]],invoice[شماره پیش فاکتور],0))</f>
        <v>283976000</v>
      </c>
      <c r="K468" s="159">
        <f>bargiri[[#This Row],[مبلغ خالص]]-bargiri[[#This Row],[میزان استهلاک پیش دریافتی]]</f>
        <v>1135904000</v>
      </c>
      <c r="L468" s="160" t="s">
        <v>593</v>
      </c>
      <c r="M468" s="159"/>
      <c r="N468" s="159">
        <f>IF(bargiri[[#This Row],[مبلغ واریزی]]&lt;&gt;"",bargiri[[#This Row],[مانده مبلغ]]-bargiri[[#This Row],[مبلغ واریزی]],bargiri[[#This Row],[مانده مبلغ]])</f>
        <v>1135904000</v>
      </c>
      <c r="O468" s="159" t="s">
        <v>593</v>
      </c>
      <c r="P468" s="159">
        <f>VLOOKUP(bargiri[[#This Row],[شماره سند مبنا]],invoice[[شماره پیش فاکتور]:[پیش دریافت به ازای هر کیلوگرم]],14,0)</f>
        <v>17600</v>
      </c>
      <c r="Q468" s="159">
        <f>IF(bargiri[[#This Row],[مبلغ ناخالص]]-(bargiri[[#This Row],[نرخ استهلاک]]*bargiri[[#This Row],[مقدار]])&lt;0,0,bargiri[[#This Row],[مبلغ ناخالص]]-(bargiri[[#This Row],[نرخ استهلاک]]*bargiri[[#This Row],[مقدار]]))</f>
        <v>1006824000</v>
      </c>
    </row>
    <row r="469" spans="1:17" s="22" customFormat="1" ht="13.8" x14ac:dyDescent="0.25">
      <c r="A469" s="22">
        <v>1032</v>
      </c>
      <c r="B469" s="22" t="s">
        <v>765</v>
      </c>
      <c r="C469" s="22" t="s">
        <v>187</v>
      </c>
      <c r="D469" s="22" t="s">
        <v>43</v>
      </c>
      <c r="E469" s="158">
        <v>18395</v>
      </c>
      <c r="F469" s="159">
        <v>80000</v>
      </c>
      <c r="G469" s="159">
        <v>1471600000</v>
      </c>
      <c r="H469" s="159">
        <v>147160000</v>
      </c>
      <c r="I469" s="159">
        <v>1618760000</v>
      </c>
      <c r="J469" s="159">
        <f>bargiri[[#This Row],[مقدار]]*INDEX(invoice[پیش دریافت به ازای هر کیلوگرم],MATCH(bargiri[[#This Row],[شماره سند مبنا]],invoice[شماره پیش فاکتور],0))</f>
        <v>323752000</v>
      </c>
      <c r="K469" s="159">
        <f>bargiri[[#This Row],[مبلغ خالص]]-bargiri[[#This Row],[میزان استهلاک پیش دریافتی]]</f>
        <v>1295008000</v>
      </c>
      <c r="L469" s="160" t="s">
        <v>196</v>
      </c>
      <c r="M469" s="159"/>
      <c r="N469" s="159">
        <f>IF(bargiri[[#This Row],[مبلغ واریزی]]&lt;&gt;"",bargiri[[#This Row],[مانده مبلغ]]-bargiri[[#This Row],[مبلغ واریزی]],bargiri[[#This Row],[مانده مبلغ]])</f>
        <v>1295008000</v>
      </c>
      <c r="O469" s="159">
        <v>0</v>
      </c>
      <c r="P469" s="159">
        <f>VLOOKUP(bargiri[[#This Row],[شماره سند مبنا]],invoice[[شماره پیش فاکتور]:[پیش دریافت به ازای هر کیلوگرم]],14,0)</f>
        <v>17600</v>
      </c>
      <c r="Q469" s="159">
        <f>IF(bargiri[[#This Row],[مبلغ ناخالص]]-(bargiri[[#This Row],[نرخ استهلاک]]*bargiri[[#This Row],[مقدار]])&lt;0,0,bargiri[[#This Row],[مبلغ ناخالص]]-(bargiri[[#This Row],[نرخ استهلاک]]*bargiri[[#This Row],[مقدار]]))</f>
        <v>1147848000</v>
      </c>
    </row>
    <row r="470" spans="1:17" s="22" customFormat="1" ht="13.8" x14ac:dyDescent="0.25">
      <c r="A470" s="22">
        <v>1031</v>
      </c>
      <c r="B470" s="22" t="s">
        <v>766</v>
      </c>
      <c r="C470" s="22" t="s">
        <v>187</v>
      </c>
      <c r="D470" s="22" t="s">
        <v>43</v>
      </c>
      <c r="E470" s="158">
        <v>16235</v>
      </c>
      <c r="F470" s="159">
        <v>80000</v>
      </c>
      <c r="G470" s="159">
        <v>1298800000</v>
      </c>
      <c r="H470" s="159">
        <v>129880000</v>
      </c>
      <c r="I470" s="159">
        <v>1428680000</v>
      </c>
      <c r="J470" s="159">
        <f>bargiri[[#This Row],[مقدار]]*INDEX(invoice[پیش دریافت به ازای هر کیلوگرم],MATCH(bargiri[[#This Row],[شماره سند مبنا]],invoice[شماره پیش فاکتور],0))</f>
        <v>285736000</v>
      </c>
      <c r="K470" s="159">
        <f>bargiri[[#This Row],[مبلغ خالص]]-bargiri[[#This Row],[میزان استهلاک پیش دریافتی]]</f>
        <v>1142944000</v>
      </c>
      <c r="L470" s="160" t="s">
        <v>593</v>
      </c>
      <c r="M470" s="159"/>
      <c r="N470" s="159">
        <f>IF(bargiri[[#This Row],[مبلغ واریزی]]&lt;&gt;"",bargiri[[#This Row],[مانده مبلغ]]-bargiri[[#This Row],[مبلغ واریزی]],bargiri[[#This Row],[مانده مبلغ]])</f>
        <v>1142944000</v>
      </c>
      <c r="O470" s="159" t="s">
        <v>593</v>
      </c>
      <c r="P470" s="159">
        <f>VLOOKUP(bargiri[[#This Row],[شماره سند مبنا]],invoice[[شماره پیش فاکتور]:[پیش دریافت به ازای هر کیلوگرم]],14,0)</f>
        <v>17600</v>
      </c>
      <c r="Q470" s="159">
        <f>IF(bargiri[[#This Row],[مبلغ ناخالص]]-(bargiri[[#This Row],[نرخ استهلاک]]*bargiri[[#This Row],[مقدار]])&lt;0,0,bargiri[[#This Row],[مبلغ ناخالص]]-(bargiri[[#This Row],[نرخ استهلاک]]*bargiri[[#This Row],[مقدار]]))</f>
        <v>1013064000</v>
      </c>
    </row>
    <row r="471" spans="1:17" s="22" customFormat="1" ht="13.8" x14ac:dyDescent="0.25">
      <c r="A471" s="22">
        <v>1030</v>
      </c>
      <c r="B471" s="22" t="s">
        <v>766</v>
      </c>
      <c r="C471" s="22" t="s">
        <v>726</v>
      </c>
      <c r="D471" s="22" t="s">
        <v>67</v>
      </c>
      <c r="E471" s="158">
        <v>19200</v>
      </c>
      <c r="F471" s="159">
        <v>167500</v>
      </c>
      <c r="G471" s="159">
        <v>3216000000</v>
      </c>
      <c r="H471" s="159">
        <v>321600000</v>
      </c>
      <c r="I471" s="159">
        <v>3537600000</v>
      </c>
      <c r="J471" s="159">
        <f>bargiri[[#This Row],[مقدار]]*INDEX(invoice[پیش دریافت به ازای هر کیلوگرم],MATCH(bargiri[[#This Row],[شماره سند مبنا]],invoice[شماره پیش فاکتور],0))</f>
        <v>3537600000</v>
      </c>
      <c r="K471" s="159">
        <f>bargiri[[#This Row],[مبلغ خالص]]-bargiri[[#This Row],[میزان استهلاک پیش دریافتی]]</f>
        <v>0</v>
      </c>
      <c r="L471" s="160" t="s">
        <v>196</v>
      </c>
      <c r="M471" s="159"/>
      <c r="N471" s="159">
        <f>IF(bargiri[[#This Row],[مبلغ واریزی]]&lt;&gt;"",bargiri[[#This Row],[مانده مبلغ]]-bargiri[[#This Row],[مبلغ واریزی]],bargiri[[#This Row],[مانده مبلغ]])</f>
        <v>0</v>
      </c>
      <c r="O471" s="159">
        <v>0</v>
      </c>
      <c r="P471" s="159">
        <f>VLOOKUP(bargiri[[#This Row],[شماره سند مبنا]],invoice[[شماره پیش فاکتور]:[پیش دریافت به ازای هر کیلوگرم]],14,0)</f>
        <v>184250</v>
      </c>
      <c r="Q471" s="159">
        <f>IF(bargiri[[#This Row],[مبلغ ناخالص]]-(bargiri[[#This Row],[نرخ استهلاک]]*bargiri[[#This Row],[مقدار]])&lt;0,0,bargiri[[#This Row],[مبلغ ناخالص]]-(bargiri[[#This Row],[نرخ استهلاک]]*bargiri[[#This Row],[مقدار]]))</f>
        <v>0</v>
      </c>
    </row>
    <row r="472" spans="1:17" s="22" customFormat="1" ht="13.8" x14ac:dyDescent="0.25">
      <c r="A472" s="22">
        <v>1029</v>
      </c>
      <c r="B472" s="22" t="s">
        <v>766</v>
      </c>
      <c r="C472" s="22" t="s">
        <v>611</v>
      </c>
      <c r="D472" s="22" t="s">
        <v>67</v>
      </c>
      <c r="E472" s="158">
        <v>8140</v>
      </c>
      <c r="F472" s="159">
        <v>80000</v>
      </c>
      <c r="G472" s="159">
        <v>651200000</v>
      </c>
      <c r="H472" s="159">
        <v>65120000</v>
      </c>
      <c r="I472" s="159">
        <v>716320000</v>
      </c>
      <c r="J472" s="159">
        <f>bargiri[[#This Row],[مقدار]]*INDEX(invoice[پیش دریافت به ازای هر کیلوگرم],MATCH(bargiri[[#This Row],[شماره سند مبنا]],invoice[شماره پیش فاکتور],0))</f>
        <v>107448000</v>
      </c>
      <c r="K472" s="159">
        <f>bargiri[[#This Row],[مبلغ خالص]]-bargiri[[#This Row],[میزان استهلاک پیش دریافتی]]</f>
        <v>608872000</v>
      </c>
      <c r="L472" s="160" t="s">
        <v>593</v>
      </c>
      <c r="M472" s="159"/>
      <c r="N472" s="159">
        <f>IF(bargiri[[#This Row],[مبلغ واریزی]]&lt;&gt;"",bargiri[[#This Row],[مانده مبلغ]]-bargiri[[#This Row],[مبلغ واریزی]],bargiri[[#This Row],[مانده مبلغ]])</f>
        <v>608872000</v>
      </c>
      <c r="O472" s="159" t="s">
        <v>593</v>
      </c>
      <c r="P472" s="159">
        <f>VLOOKUP(bargiri[[#This Row],[شماره سند مبنا]],invoice[[شماره پیش فاکتور]:[پیش دریافت به ازای هر کیلوگرم]],14,0)</f>
        <v>13200</v>
      </c>
      <c r="Q472" s="159">
        <f>IF(bargiri[[#This Row],[مبلغ ناخالص]]-(bargiri[[#This Row],[نرخ استهلاک]]*bargiri[[#This Row],[مقدار]])&lt;0,0,bargiri[[#This Row],[مبلغ ناخالص]]-(bargiri[[#This Row],[نرخ استهلاک]]*bargiri[[#This Row],[مقدار]]))</f>
        <v>543752000</v>
      </c>
    </row>
    <row r="473" spans="1:17" s="22" customFormat="1" ht="13.8" x14ac:dyDescent="0.25">
      <c r="A473" s="22">
        <v>1028</v>
      </c>
      <c r="B473" s="22" t="s">
        <v>766</v>
      </c>
      <c r="C473" s="22" t="s">
        <v>678</v>
      </c>
      <c r="D473" s="22" t="s">
        <v>70</v>
      </c>
      <c r="E473" s="158">
        <v>9280</v>
      </c>
      <c r="F473" s="159">
        <v>116500</v>
      </c>
      <c r="G473" s="159">
        <v>1081120000</v>
      </c>
      <c r="H473" s="159">
        <v>108112000</v>
      </c>
      <c r="I473" s="159">
        <v>1189232000</v>
      </c>
      <c r="J473" s="159">
        <f>bargiri[[#This Row],[مقدار]]*INDEX(invoice[پیش دریافت به ازای هر کیلوگرم],MATCH(bargiri[[#This Row],[شماره سند مبنا]],invoice[شماره پیش فاکتور],0))</f>
        <v>178384800</v>
      </c>
      <c r="K473" s="159">
        <f>bargiri[[#This Row],[مبلغ خالص]]-bargiri[[#This Row],[میزان استهلاک پیش دریافتی]]</f>
        <v>1010847200</v>
      </c>
      <c r="L473" s="160" t="s">
        <v>593</v>
      </c>
      <c r="M473" s="159"/>
      <c r="N473" s="159">
        <f>IF(bargiri[[#This Row],[مبلغ واریزی]]&lt;&gt;"",bargiri[[#This Row],[مانده مبلغ]]-bargiri[[#This Row],[مبلغ واریزی]],bargiri[[#This Row],[مانده مبلغ]])</f>
        <v>1010847200</v>
      </c>
      <c r="O473" s="159" t="s">
        <v>593</v>
      </c>
      <c r="P473" s="159">
        <f>VLOOKUP(bargiri[[#This Row],[شماره سند مبنا]],invoice[[شماره پیش فاکتور]:[پیش دریافت به ازای هر کیلوگرم]],14,0)</f>
        <v>19222.5</v>
      </c>
      <c r="Q473" s="159">
        <f>IF(bargiri[[#This Row],[مبلغ ناخالص]]-(bargiri[[#This Row],[نرخ استهلاک]]*bargiri[[#This Row],[مقدار]])&lt;0,0,bargiri[[#This Row],[مبلغ ناخالص]]-(bargiri[[#This Row],[نرخ استهلاک]]*bargiri[[#This Row],[مقدار]]))</f>
        <v>902735200</v>
      </c>
    </row>
    <row r="474" spans="1:17" s="22" customFormat="1" ht="13.8" x14ac:dyDescent="0.25">
      <c r="A474" s="22">
        <v>1028</v>
      </c>
      <c r="B474" s="22" t="s">
        <v>766</v>
      </c>
      <c r="C474" s="22" t="s">
        <v>757</v>
      </c>
      <c r="D474" s="22" t="s">
        <v>70</v>
      </c>
      <c r="E474" s="158">
        <v>10970</v>
      </c>
      <c r="F474" s="159">
        <v>120000</v>
      </c>
      <c r="G474" s="159">
        <v>1316400000</v>
      </c>
      <c r="H474" s="159">
        <v>131640000</v>
      </c>
      <c r="I474" s="159">
        <v>1448040000</v>
      </c>
      <c r="J474" s="159">
        <f>bargiri[[#This Row],[مقدار]]*INDEX(invoice[پیش دریافت به ازای هر کیلوگرم],MATCH(bargiri[[#This Row],[شماره سند مبنا]],invoice[شماره پیش فاکتور],0))</f>
        <v>1764672701.9498608</v>
      </c>
      <c r="K474" s="159">
        <f>bargiri[[#This Row],[مبلغ خالص]]-bargiri[[#This Row],[میزان استهلاک پیش دریافتی]]</f>
        <v>-316632701.94986081</v>
      </c>
      <c r="L474" s="160" t="s">
        <v>593</v>
      </c>
      <c r="M474" s="159"/>
      <c r="N474" s="159">
        <f>IF(bargiri[[#This Row],[مبلغ واریزی]]&lt;&gt;"",bargiri[[#This Row],[مانده مبلغ]]-bargiri[[#This Row],[مبلغ واریزی]],bargiri[[#This Row],[مانده مبلغ]])</f>
        <v>-316632701.94986081</v>
      </c>
      <c r="O474" s="159" t="s">
        <v>593</v>
      </c>
      <c r="P474" s="159">
        <f>VLOOKUP(bargiri[[#This Row],[شماره سند مبنا]],invoice[[شماره پیش فاکتور]:[پیش دریافت به ازای هر کیلوگرم]],14,0)</f>
        <v>160863.50974930363</v>
      </c>
      <c r="Q474" s="159">
        <f>IF(bargiri[[#This Row],[مبلغ ناخالص]]-(bargiri[[#This Row],[نرخ استهلاک]]*bargiri[[#This Row],[مقدار]])&lt;0,0,bargiri[[#This Row],[مبلغ ناخالص]]-(bargiri[[#This Row],[نرخ استهلاک]]*bargiri[[#This Row],[مقدار]]))</f>
        <v>0</v>
      </c>
    </row>
    <row r="475" spans="1:17" s="22" customFormat="1" ht="13.8" x14ac:dyDescent="0.25">
      <c r="A475" s="22">
        <v>1027</v>
      </c>
      <c r="B475" s="22" t="s">
        <v>766</v>
      </c>
      <c r="C475" s="22" t="s">
        <v>749</v>
      </c>
      <c r="D475" s="22" t="s">
        <v>17</v>
      </c>
      <c r="E475" s="158">
        <v>23300</v>
      </c>
      <c r="F475" s="159">
        <v>167500</v>
      </c>
      <c r="G475" s="159">
        <v>3902750000</v>
      </c>
      <c r="H475" s="159">
        <v>390275000</v>
      </c>
      <c r="I475" s="159">
        <v>4293025000</v>
      </c>
      <c r="J475" s="159">
        <f>bargiri[[#This Row],[مقدار]]*INDEX(invoice[پیش دریافت به ازای هر کیلوگرم],MATCH(bargiri[[#This Row],[شماره سند مبنا]],invoice[شماره پیش فاکتور],0))</f>
        <v>4293025000</v>
      </c>
      <c r="K475" s="159">
        <f>bargiri[[#This Row],[مبلغ خالص]]-bargiri[[#This Row],[میزان استهلاک پیش دریافتی]]</f>
        <v>0</v>
      </c>
      <c r="L475" s="160" t="s">
        <v>593</v>
      </c>
      <c r="M475" s="159"/>
      <c r="N475" s="159">
        <f>IF(bargiri[[#This Row],[مبلغ واریزی]]&lt;&gt;"",bargiri[[#This Row],[مانده مبلغ]]-bargiri[[#This Row],[مبلغ واریزی]],bargiri[[#This Row],[مانده مبلغ]])</f>
        <v>0</v>
      </c>
      <c r="O475" s="159" t="s">
        <v>593</v>
      </c>
      <c r="P475" s="159">
        <f>VLOOKUP(bargiri[[#This Row],[شماره سند مبنا]],invoice[[شماره پیش فاکتور]:[پیش دریافت به ازای هر کیلوگرم]],14,0)</f>
        <v>184250</v>
      </c>
      <c r="Q475" s="159">
        <f>IF(bargiri[[#This Row],[مبلغ ناخالص]]-(bargiri[[#This Row],[نرخ استهلاک]]*bargiri[[#This Row],[مقدار]])&lt;0,0,bargiri[[#This Row],[مبلغ ناخالص]]-(bargiri[[#This Row],[نرخ استهلاک]]*bargiri[[#This Row],[مقدار]]))</f>
        <v>0</v>
      </c>
    </row>
    <row r="476" spans="1:17" s="22" customFormat="1" ht="13.8" x14ac:dyDescent="0.25">
      <c r="A476" s="22">
        <v>1026</v>
      </c>
      <c r="B476" s="22" t="s">
        <v>766</v>
      </c>
      <c r="C476" s="22" t="s">
        <v>611</v>
      </c>
      <c r="D476" s="22" t="s">
        <v>67</v>
      </c>
      <c r="E476" s="158">
        <v>21165</v>
      </c>
      <c r="F476" s="159">
        <v>80000</v>
      </c>
      <c r="G476" s="159">
        <v>1693200000</v>
      </c>
      <c r="H476" s="159">
        <v>169320000</v>
      </c>
      <c r="I476" s="159">
        <v>1862520000</v>
      </c>
      <c r="J476" s="159">
        <f>bargiri[[#This Row],[مقدار]]*INDEX(invoice[پیش دریافت به ازای هر کیلوگرم],MATCH(bargiri[[#This Row],[شماره سند مبنا]],invoice[شماره پیش فاکتور],0))</f>
        <v>279378000</v>
      </c>
      <c r="K476" s="159">
        <f>bargiri[[#This Row],[مبلغ خالص]]-bargiri[[#This Row],[میزان استهلاک پیش دریافتی]]</f>
        <v>1583142000</v>
      </c>
      <c r="L476" s="160" t="s">
        <v>593</v>
      </c>
      <c r="M476" s="159"/>
      <c r="N476" s="159">
        <f>IF(bargiri[[#This Row],[مبلغ واریزی]]&lt;&gt;"",bargiri[[#This Row],[مانده مبلغ]]-bargiri[[#This Row],[مبلغ واریزی]],bargiri[[#This Row],[مانده مبلغ]])</f>
        <v>1583142000</v>
      </c>
      <c r="O476" s="159" t="s">
        <v>593</v>
      </c>
      <c r="P476" s="159">
        <f>VLOOKUP(bargiri[[#This Row],[شماره سند مبنا]],invoice[[شماره پیش فاکتور]:[پیش دریافت به ازای هر کیلوگرم]],14,0)</f>
        <v>13200</v>
      </c>
      <c r="Q476" s="159">
        <f>IF(bargiri[[#This Row],[مبلغ ناخالص]]-(bargiri[[#This Row],[نرخ استهلاک]]*bargiri[[#This Row],[مقدار]])&lt;0,0,bargiri[[#This Row],[مبلغ ناخالص]]-(bargiri[[#This Row],[نرخ استهلاک]]*bargiri[[#This Row],[مقدار]]))</f>
        <v>1413822000</v>
      </c>
    </row>
    <row r="477" spans="1:17" s="22" customFormat="1" ht="13.8" x14ac:dyDescent="0.25">
      <c r="A477" s="22">
        <v>1025</v>
      </c>
      <c r="B477" s="22" t="s">
        <v>767</v>
      </c>
      <c r="C477" s="22" t="s">
        <v>458</v>
      </c>
      <c r="D477" s="22" t="s">
        <v>156</v>
      </c>
      <c r="E477" s="158">
        <v>14840</v>
      </c>
      <c r="F477" s="159">
        <v>142000</v>
      </c>
      <c r="G477" s="159">
        <v>2107280000</v>
      </c>
      <c r="H477" s="159">
        <v>210728000</v>
      </c>
      <c r="I477" s="159">
        <v>2318008000</v>
      </c>
      <c r="J477" s="159">
        <f>bargiri[[#This Row],[مقدار]]*INDEX(invoice[پیش دریافت به ازای هر کیلوگرم],MATCH(bargiri[[#This Row],[شماره سند مبنا]],invoice[شماره پیش فاکتور],0))</f>
        <v>419178042.55661154</v>
      </c>
      <c r="K477" s="159">
        <f>bargiri[[#This Row],[مبلغ خالص]]-bargiri[[#This Row],[میزان استهلاک پیش دریافتی]]</f>
        <v>1898829957.4433885</v>
      </c>
      <c r="L477" s="160" t="s">
        <v>183</v>
      </c>
      <c r="M477" s="159"/>
      <c r="N477" s="159">
        <f>IF(bargiri[[#This Row],[مبلغ واریزی]]&lt;&gt;"",bargiri[[#This Row],[مانده مبلغ]]-bargiri[[#This Row],[مبلغ واریزی]],bargiri[[#This Row],[مانده مبلغ]])</f>
        <v>1898829957.4433885</v>
      </c>
      <c r="O477" s="159">
        <v>0</v>
      </c>
      <c r="P477" s="159">
        <f>VLOOKUP(bargiri[[#This Row],[شماره سند مبنا]],invoice[[شماره پیش فاکتور]:[پیش دریافت به ازای هر کیلوگرم]],14,0)</f>
        <v>28246.498824569509</v>
      </c>
      <c r="Q477" s="159">
        <f>IF(bargiri[[#This Row],[مبلغ ناخالص]]-(bargiri[[#This Row],[نرخ استهلاک]]*bargiri[[#This Row],[مقدار]])&lt;0,0,bargiri[[#This Row],[مبلغ ناخالص]]-(bargiri[[#This Row],[نرخ استهلاک]]*bargiri[[#This Row],[مقدار]]))</f>
        <v>1688101957.4433885</v>
      </c>
    </row>
    <row r="478" spans="1:17" s="22" customFormat="1" ht="13.8" x14ac:dyDescent="0.25">
      <c r="A478" s="22">
        <v>1024</v>
      </c>
      <c r="B478" s="22" t="s">
        <v>767</v>
      </c>
      <c r="C478" s="22" t="s">
        <v>715</v>
      </c>
      <c r="D478" s="22" t="s">
        <v>67</v>
      </c>
      <c r="E478" s="158">
        <v>20785</v>
      </c>
      <c r="F478" s="159">
        <v>167500</v>
      </c>
      <c r="G478" s="159">
        <v>3481487500</v>
      </c>
      <c r="H478" s="159">
        <v>348148750</v>
      </c>
      <c r="I478" s="159">
        <v>3829636250</v>
      </c>
      <c r="J478" s="159">
        <f>bargiri[[#This Row],[مقدار]]*INDEX(invoice[پیش دریافت به ازای هر کیلوگرم],MATCH(bargiri[[#This Row],[شماره سند مبنا]],invoice[شماره پیش فاکتور],0))</f>
        <v>3829636250</v>
      </c>
      <c r="K478" s="159">
        <f>bargiri[[#This Row],[مبلغ خالص]]-bargiri[[#This Row],[میزان استهلاک پیش دریافتی]]</f>
        <v>0</v>
      </c>
      <c r="L478" s="160" t="s">
        <v>171</v>
      </c>
      <c r="M478" s="159"/>
      <c r="N478" s="159">
        <f>IF(bargiri[[#This Row],[مبلغ واریزی]]&lt;&gt;"",bargiri[[#This Row],[مانده مبلغ]]-bargiri[[#This Row],[مبلغ واریزی]],bargiri[[#This Row],[مانده مبلغ]])</f>
        <v>0</v>
      </c>
      <c r="O478" s="159">
        <v>0</v>
      </c>
      <c r="P478" s="159">
        <f>VLOOKUP(bargiri[[#This Row],[شماره سند مبنا]],invoice[[شماره پیش فاکتور]:[پیش دریافت به ازای هر کیلوگرم]],14,0)</f>
        <v>184250</v>
      </c>
      <c r="Q478" s="159">
        <f>IF(bargiri[[#This Row],[مبلغ ناخالص]]-(bargiri[[#This Row],[نرخ استهلاک]]*bargiri[[#This Row],[مقدار]])&lt;0,0,bargiri[[#This Row],[مبلغ ناخالص]]-(bargiri[[#This Row],[نرخ استهلاک]]*bargiri[[#This Row],[مقدار]]))</f>
        <v>0</v>
      </c>
    </row>
    <row r="479" spans="1:17" s="22" customFormat="1" ht="13.8" x14ac:dyDescent="0.25">
      <c r="A479" s="22">
        <v>1023</v>
      </c>
      <c r="B479" s="22" t="s">
        <v>767</v>
      </c>
      <c r="C479" s="22" t="s">
        <v>615</v>
      </c>
      <c r="D479" s="22" t="s">
        <v>25</v>
      </c>
      <c r="E479" s="158">
        <v>22885</v>
      </c>
      <c r="F479" s="159">
        <v>75000</v>
      </c>
      <c r="G479" s="159">
        <v>1716375000</v>
      </c>
      <c r="H479" s="159">
        <v>171637500</v>
      </c>
      <c r="I479" s="159">
        <v>1888012500</v>
      </c>
      <c r="J479" s="159">
        <f>bargiri[[#This Row],[مقدار]]*INDEX(invoice[پیش دریافت به ازای هر کیلوگرم],MATCH(bargiri[[#This Row],[شماره سند مبنا]],invoice[شماره پیش فاکتور],0))</f>
        <v>283201875.00000006</v>
      </c>
      <c r="K479" s="159">
        <f>bargiri[[#This Row],[مبلغ خالص]]-bargiri[[#This Row],[میزان استهلاک پیش دریافتی]]</f>
        <v>1604810625</v>
      </c>
      <c r="L479" s="160" t="s">
        <v>185</v>
      </c>
      <c r="M479" s="159"/>
      <c r="N479" s="159">
        <f>IF(bargiri[[#This Row],[مبلغ واریزی]]&lt;&gt;"",bargiri[[#This Row],[مانده مبلغ]]-bargiri[[#This Row],[مبلغ واریزی]],bargiri[[#This Row],[مانده مبلغ]])</f>
        <v>1604810625</v>
      </c>
      <c r="O479" s="159">
        <v>0</v>
      </c>
      <c r="P479" s="159">
        <f>VLOOKUP(bargiri[[#This Row],[شماره سند مبنا]],invoice[[شماره پیش فاکتور]:[پیش دریافت به ازای هر کیلوگرم]],14,0)</f>
        <v>12375.000000000002</v>
      </c>
      <c r="Q479" s="159">
        <f>IF(bargiri[[#This Row],[مبلغ ناخالص]]-(bargiri[[#This Row],[نرخ استهلاک]]*bargiri[[#This Row],[مقدار]])&lt;0,0,bargiri[[#This Row],[مبلغ ناخالص]]-(bargiri[[#This Row],[نرخ استهلاک]]*bargiri[[#This Row],[مقدار]]))</f>
        <v>1433173125</v>
      </c>
    </row>
    <row r="480" spans="1:17" s="22" customFormat="1" ht="13.8" x14ac:dyDescent="0.25">
      <c r="A480" s="22">
        <v>1022</v>
      </c>
      <c r="B480" s="22" t="s">
        <v>767</v>
      </c>
      <c r="C480" s="22" t="s">
        <v>617</v>
      </c>
      <c r="D480" s="22" t="s">
        <v>211</v>
      </c>
      <c r="E480" s="158">
        <v>19725</v>
      </c>
      <c r="F480" s="159">
        <v>142000</v>
      </c>
      <c r="G480" s="159">
        <v>2800950000</v>
      </c>
      <c r="H480" s="159">
        <v>280095000</v>
      </c>
      <c r="I480" s="159">
        <v>3081045000</v>
      </c>
      <c r="J480" s="159">
        <f>bargiri[[#This Row],[مقدار]]*INDEX(invoice[پیش دریافت به ازای هر کیلوگرم],MATCH(bargiri[[#This Row],[شماره سند مبنا]],invoice[شماره پیش فاکتور],0))</f>
        <v>886518271.04447079</v>
      </c>
      <c r="K480" s="159">
        <f>bargiri[[#This Row],[مبلغ خالص]]-bargiri[[#This Row],[میزان استهلاک پیش دریافتی]]</f>
        <v>2194526728.9555292</v>
      </c>
      <c r="L480" s="160" t="s">
        <v>250</v>
      </c>
      <c r="M480" s="159"/>
      <c r="N480" s="159">
        <f>IF(bargiri[[#This Row],[مبلغ واریزی]]&lt;&gt;"",bargiri[[#This Row],[مانده مبلغ]]-bargiri[[#This Row],[مبلغ واریزی]],bargiri[[#This Row],[مانده مبلغ]])</f>
        <v>2194526728.9555292</v>
      </c>
      <c r="O480" s="159">
        <v>0</v>
      </c>
      <c r="P480" s="159">
        <f>VLOOKUP(bargiri[[#This Row],[شماره سند مبنا]],invoice[[شماره پیش فاکتور]:[پیش دریافت به ازای هر کیلوگرم]],14,0)</f>
        <v>44943.892068160749</v>
      </c>
      <c r="Q480" s="159">
        <f>IF(bargiri[[#This Row],[مبلغ ناخالص]]-(bargiri[[#This Row],[نرخ استهلاک]]*bargiri[[#This Row],[مقدار]])&lt;0,0,bargiri[[#This Row],[مبلغ ناخالص]]-(bargiri[[#This Row],[نرخ استهلاک]]*bargiri[[#This Row],[مقدار]]))</f>
        <v>1914431728.9555292</v>
      </c>
    </row>
    <row r="481" spans="1:17" s="22" customFormat="1" ht="13.8" x14ac:dyDescent="0.25">
      <c r="A481" s="22">
        <v>1021</v>
      </c>
      <c r="B481" s="22" t="s">
        <v>767</v>
      </c>
      <c r="C481" s="22" t="s">
        <v>187</v>
      </c>
      <c r="D481" s="22" t="s">
        <v>43</v>
      </c>
      <c r="E481" s="158">
        <v>20235</v>
      </c>
      <c r="F481" s="159">
        <v>80000</v>
      </c>
      <c r="G481" s="159">
        <v>1618800000</v>
      </c>
      <c r="H481" s="159">
        <v>161880000</v>
      </c>
      <c r="I481" s="159">
        <v>1780680000</v>
      </c>
      <c r="J481" s="159">
        <f>bargiri[[#This Row],[مقدار]]*INDEX(invoice[پیش دریافت به ازای هر کیلوگرم],MATCH(bargiri[[#This Row],[شماره سند مبنا]],invoice[شماره پیش فاکتور],0))</f>
        <v>356136000</v>
      </c>
      <c r="K481" s="159">
        <f>bargiri[[#This Row],[مبلغ خالص]]-bargiri[[#This Row],[میزان استهلاک پیش دریافتی]]</f>
        <v>1424544000</v>
      </c>
      <c r="L481" s="160" t="s">
        <v>593</v>
      </c>
      <c r="M481" s="159"/>
      <c r="N481" s="159">
        <f>IF(bargiri[[#This Row],[مبلغ واریزی]]&lt;&gt;"",bargiri[[#This Row],[مانده مبلغ]]-bargiri[[#This Row],[مبلغ واریزی]],bargiri[[#This Row],[مانده مبلغ]])</f>
        <v>1424544000</v>
      </c>
      <c r="O481" s="159" t="s">
        <v>593</v>
      </c>
      <c r="P481" s="159">
        <f>VLOOKUP(bargiri[[#This Row],[شماره سند مبنا]],invoice[[شماره پیش فاکتور]:[پیش دریافت به ازای هر کیلوگرم]],14,0)</f>
        <v>17600</v>
      </c>
      <c r="Q481" s="159">
        <f>IF(bargiri[[#This Row],[مبلغ ناخالص]]-(bargiri[[#This Row],[نرخ استهلاک]]*bargiri[[#This Row],[مقدار]])&lt;0,0,bargiri[[#This Row],[مبلغ ناخالص]]-(bargiri[[#This Row],[نرخ استهلاک]]*bargiri[[#This Row],[مقدار]]))</f>
        <v>1262664000</v>
      </c>
    </row>
    <row r="482" spans="1:17" s="22" customFormat="1" ht="13.8" x14ac:dyDescent="0.25">
      <c r="A482" s="22">
        <v>1019</v>
      </c>
      <c r="B482" s="22" t="s">
        <v>767</v>
      </c>
      <c r="C482" s="22" t="s">
        <v>752</v>
      </c>
      <c r="D482" s="22" t="s">
        <v>40</v>
      </c>
      <c r="E482" s="158">
        <v>19810</v>
      </c>
      <c r="F482" s="159">
        <v>79520</v>
      </c>
      <c r="G482" s="159">
        <v>1575291200</v>
      </c>
      <c r="H482" s="159">
        <v>157529120</v>
      </c>
      <c r="I482" s="159">
        <v>1732820320</v>
      </c>
      <c r="J482" s="159">
        <f>bargiri[[#This Row],[مقدار]]*INDEX(invoice[پیش دریافت به ازای هر کیلوگرم],MATCH(bargiri[[#This Row],[شماره سند مبنا]],invoice[شماره پیش فاکتور],0))</f>
        <v>259923048</v>
      </c>
      <c r="K482" s="159">
        <f>bargiri[[#This Row],[مبلغ خالص]]-bargiri[[#This Row],[میزان استهلاک پیش دریافتی]]</f>
        <v>1472897272</v>
      </c>
      <c r="L482" s="160" t="s">
        <v>593</v>
      </c>
      <c r="M482" s="159"/>
      <c r="N482" s="159">
        <f>IF(bargiri[[#This Row],[مبلغ واریزی]]&lt;&gt;"",bargiri[[#This Row],[مانده مبلغ]]-bargiri[[#This Row],[مبلغ واریزی]],bargiri[[#This Row],[مانده مبلغ]])</f>
        <v>1472897272</v>
      </c>
      <c r="O482" s="159" t="s">
        <v>593</v>
      </c>
      <c r="P482" s="159">
        <f>VLOOKUP(bargiri[[#This Row],[شماره سند مبنا]],invoice[[شماره پیش فاکتور]:[پیش دریافت به ازای هر کیلوگرم]],14,0)</f>
        <v>13120.8</v>
      </c>
      <c r="Q482" s="159">
        <f>IF(bargiri[[#This Row],[مبلغ ناخالص]]-(bargiri[[#This Row],[نرخ استهلاک]]*bargiri[[#This Row],[مقدار]])&lt;0,0,bargiri[[#This Row],[مبلغ ناخالص]]-(bargiri[[#This Row],[نرخ استهلاک]]*bargiri[[#This Row],[مقدار]]))</f>
        <v>1315368152</v>
      </c>
    </row>
    <row r="483" spans="1:17" s="22" customFormat="1" ht="13.8" x14ac:dyDescent="0.25">
      <c r="A483" s="22">
        <v>1015</v>
      </c>
      <c r="B483" s="22" t="s">
        <v>769</v>
      </c>
      <c r="C483" s="22" t="s">
        <v>463</v>
      </c>
      <c r="D483" s="22" t="s">
        <v>207</v>
      </c>
      <c r="E483" s="158">
        <v>6745</v>
      </c>
      <c r="F483" s="159">
        <v>142000</v>
      </c>
      <c r="G483" s="159">
        <v>957790000</v>
      </c>
      <c r="H483" s="159">
        <v>95779000</v>
      </c>
      <c r="I483" s="159">
        <v>1053569000</v>
      </c>
      <c r="J483" s="159">
        <f>bargiri[[#This Row],[مقدار]]*INDEX(invoice[پیش دریافت به ازای هر کیلوگرم],MATCH(bargiri[[#This Row],[شماره سند مبنا]],invoice[شماره پیش فاکتور],0))</f>
        <v>203069170.05277044</v>
      </c>
      <c r="K483" s="159">
        <f>bargiri[[#This Row],[مبلغ خالص]]-bargiri[[#This Row],[میزان استهلاک پیش دریافتی]]</f>
        <v>850499829.94722962</v>
      </c>
      <c r="L483" s="160" t="s">
        <v>593</v>
      </c>
      <c r="M483" s="159"/>
      <c r="N483" s="159">
        <f>IF(bargiri[[#This Row],[مبلغ واریزی]]&lt;&gt;"",bargiri[[#This Row],[مانده مبلغ]]-bargiri[[#This Row],[مبلغ واریزی]],bargiri[[#This Row],[مانده مبلغ]])</f>
        <v>850499829.94722962</v>
      </c>
      <c r="O483" s="159" t="s">
        <v>593</v>
      </c>
      <c r="P483" s="159">
        <f>VLOOKUP(bargiri[[#This Row],[شماره سند مبنا]],invoice[[شماره پیش فاکتور]:[پیش دریافت به ازای هر کیلوگرم]],14,0)</f>
        <v>30106.622691292876</v>
      </c>
      <c r="Q483" s="159">
        <f>IF(bargiri[[#This Row],[مبلغ ناخالص]]-(bargiri[[#This Row],[نرخ استهلاک]]*bargiri[[#This Row],[مقدار]])&lt;0,0,bargiri[[#This Row],[مبلغ ناخالص]]-(bargiri[[#This Row],[نرخ استهلاک]]*bargiri[[#This Row],[مقدار]]))</f>
        <v>754720829.94722962</v>
      </c>
    </row>
    <row r="484" spans="1:17" s="22" customFormat="1" ht="13.8" x14ac:dyDescent="0.25">
      <c r="A484" s="22">
        <v>1014</v>
      </c>
      <c r="B484" s="22" t="s">
        <v>769</v>
      </c>
      <c r="C484" s="22" t="s">
        <v>700</v>
      </c>
      <c r="D484" s="22" t="s">
        <v>67</v>
      </c>
      <c r="E484" s="158">
        <v>18555</v>
      </c>
      <c r="F484" s="159">
        <v>74000</v>
      </c>
      <c r="G484" s="159">
        <v>1373070000</v>
      </c>
      <c r="H484" s="159">
        <v>137307000</v>
      </c>
      <c r="I484" s="159">
        <v>1510377000</v>
      </c>
      <c r="J484" s="159">
        <f>bargiri[[#This Row],[مقدار]]*INDEX(invoice[پیش دریافت به ازای هر کیلوگرم],MATCH(bargiri[[#This Row],[شماره سند مبنا]],invoice[شماره پیش فاکتور],0))</f>
        <v>226556550</v>
      </c>
      <c r="K484" s="159">
        <f>bargiri[[#This Row],[مبلغ خالص]]-bargiri[[#This Row],[میزان استهلاک پیش دریافتی]]</f>
        <v>1283820450</v>
      </c>
      <c r="L484" s="160" t="s">
        <v>593</v>
      </c>
      <c r="M484" s="159"/>
      <c r="N484" s="159">
        <f>IF(bargiri[[#This Row],[مبلغ واریزی]]&lt;&gt;"",bargiri[[#This Row],[مانده مبلغ]]-bargiri[[#This Row],[مبلغ واریزی]],bargiri[[#This Row],[مانده مبلغ]])</f>
        <v>1283820450</v>
      </c>
      <c r="O484" s="159" t="s">
        <v>593</v>
      </c>
      <c r="P484" s="159">
        <f>VLOOKUP(bargiri[[#This Row],[شماره سند مبنا]],invoice[[شماره پیش فاکتور]:[پیش دریافت به ازای هر کیلوگرم]],14,0)</f>
        <v>12210</v>
      </c>
      <c r="Q484" s="159">
        <f>IF(bargiri[[#This Row],[مبلغ ناخالص]]-(bargiri[[#This Row],[نرخ استهلاک]]*bargiri[[#This Row],[مقدار]])&lt;0,0,bargiri[[#This Row],[مبلغ ناخالص]]-(bargiri[[#This Row],[نرخ استهلاک]]*bargiri[[#This Row],[مقدار]]))</f>
        <v>1146513450</v>
      </c>
    </row>
    <row r="485" spans="1:17" s="22" customFormat="1" ht="13.8" x14ac:dyDescent="0.25">
      <c r="A485" s="22">
        <v>1014</v>
      </c>
      <c r="B485" s="22" t="s">
        <v>769</v>
      </c>
      <c r="C485" s="22" t="s">
        <v>611</v>
      </c>
      <c r="D485" s="22" t="s">
        <v>67</v>
      </c>
      <c r="E485" s="158">
        <v>2530</v>
      </c>
      <c r="F485" s="159">
        <v>80000</v>
      </c>
      <c r="G485" s="159">
        <v>202400000</v>
      </c>
      <c r="H485" s="159">
        <v>20240000</v>
      </c>
      <c r="I485" s="159">
        <v>222640000</v>
      </c>
      <c r="J485" s="159">
        <f>bargiri[[#This Row],[مقدار]]*INDEX(invoice[پیش دریافت به ازای هر کیلوگرم],MATCH(bargiri[[#This Row],[شماره سند مبنا]],invoice[شماره پیش فاکتور],0))</f>
        <v>33396000</v>
      </c>
      <c r="K485" s="159">
        <f>bargiri[[#This Row],[مبلغ خالص]]-bargiri[[#This Row],[میزان استهلاک پیش دریافتی]]</f>
        <v>189244000</v>
      </c>
      <c r="L485" s="160" t="s">
        <v>593</v>
      </c>
      <c r="M485" s="159"/>
      <c r="N485" s="159">
        <f>IF(bargiri[[#This Row],[مبلغ واریزی]]&lt;&gt;"",bargiri[[#This Row],[مانده مبلغ]]-bargiri[[#This Row],[مبلغ واریزی]],bargiri[[#This Row],[مانده مبلغ]])</f>
        <v>189244000</v>
      </c>
      <c r="O485" s="159" t="s">
        <v>593</v>
      </c>
      <c r="P485" s="159">
        <f>VLOOKUP(bargiri[[#This Row],[شماره سند مبنا]],invoice[[شماره پیش فاکتور]:[پیش دریافت به ازای هر کیلوگرم]],14,0)</f>
        <v>13200</v>
      </c>
      <c r="Q485" s="159">
        <f>IF(bargiri[[#This Row],[مبلغ ناخالص]]-(bargiri[[#This Row],[نرخ استهلاک]]*bargiri[[#This Row],[مقدار]])&lt;0,0,bargiri[[#This Row],[مبلغ ناخالص]]-(bargiri[[#This Row],[نرخ استهلاک]]*bargiri[[#This Row],[مقدار]]))</f>
        <v>169004000</v>
      </c>
    </row>
    <row r="486" spans="1:17" s="22" customFormat="1" ht="13.8" x14ac:dyDescent="0.25">
      <c r="A486" s="22">
        <v>1013</v>
      </c>
      <c r="B486" s="22" t="s">
        <v>769</v>
      </c>
      <c r="C486" s="22" t="s">
        <v>745</v>
      </c>
      <c r="D486" s="22" t="s">
        <v>221</v>
      </c>
      <c r="E486" s="158">
        <v>14310</v>
      </c>
      <c r="F486" s="159">
        <v>135000</v>
      </c>
      <c r="G486" s="159">
        <v>1931850000</v>
      </c>
      <c r="H486" s="159">
        <v>193185000</v>
      </c>
      <c r="I486" s="159">
        <v>2125035000</v>
      </c>
      <c r="J486" s="159">
        <f>bargiri[[#This Row],[مقدار]]*INDEX(invoice[پیش دریافت به ازای هر کیلوگرم],MATCH(bargiri[[#This Row],[شماره سند مبنا]],invoice[شماره پیش فاکتور],0))</f>
        <v>318755250</v>
      </c>
      <c r="K486" s="159">
        <f>bargiri[[#This Row],[مبلغ خالص]]-bargiri[[#This Row],[میزان استهلاک پیش دریافتی]]</f>
        <v>1806279750</v>
      </c>
      <c r="L486" s="160" t="s">
        <v>593</v>
      </c>
      <c r="M486" s="159"/>
      <c r="N486" s="159">
        <f>IF(bargiri[[#This Row],[مبلغ واریزی]]&lt;&gt;"",bargiri[[#This Row],[مانده مبلغ]]-bargiri[[#This Row],[مبلغ واریزی]],bargiri[[#This Row],[مانده مبلغ]])</f>
        <v>1806279750</v>
      </c>
      <c r="O486" s="159" t="s">
        <v>593</v>
      </c>
      <c r="P486" s="159">
        <f>VLOOKUP(bargiri[[#This Row],[شماره سند مبنا]],invoice[[شماره پیش فاکتور]:[پیش دریافت به ازای هر کیلوگرم]],14,0)</f>
        <v>22275</v>
      </c>
      <c r="Q486" s="159">
        <f>IF(bargiri[[#This Row],[مبلغ ناخالص]]-(bargiri[[#This Row],[نرخ استهلاک]]*bargiri[[#This Row],[مقدار]])&lt;0,0,bargiri[[#This Row],[مبلغ ناخالص]]-(bargiri[[#This Row],[نرخ استهلاک]]*bargiri[[#This Row],[مقدار]]))</f>
        <v>1613094750</v>
      </c>
    </row>
    <row r="487" spans="1:17" s="22" customFormat="1" ht="13.8" x14ac:dyDescent="0.25">
      <c r="A487" s="22">
        <v>1012</v>
      </c>
      <c r="B487" s="22" t="s">
        <v>769</v>
      </c>
      <c r="C487" s="22" t="s">
        <v>464</v>
      </c>
      <c r="D487" s="22" t="s">
        <v>221</v>
      </c>
      <c r="E487" s="158">
        <v>13650</v>
      </c>
      <c r="F487" s="159">
        <v>142000</v>
      </c>
      <c r="G487" s="159">
        <v>1938300000</v>
      </c>
      <c r="H487" s="159">
        <v>193830000</v>
      </c>
      <c r="I487" s="159">
        <v>2132130000</v>
      </c>
      <c r="J487" s="159">
        <f>bargiri[[#This Row],[مقدار]]*INDEX(invoice[پیش دریافت به ازای هر کیلوگرم],MATCH(bargiri[[#This Row],[شماره سند مبنا]],invoice[شماره پیش فاکتور],0))</f>
        <v>319819500</v>
      </c>
      <c r="K487" s="159">
        <f>bargiri[[#This Row],[مبلغ خالص]]-bargiri[[#This Row],[میزان استهلاک پیش دریافتی]]</f>
        <v>1812310500</v>
      </c>
      <c r="L487" s="160" t="s">
        <v>593</v>
      </c>
      <c r="M487" s="159"/>
      <c r="N487" s="159">
        <f>IF(bargiri[[#This Row],[مبلغ واریزی]]&lt;&gt;"",bargiri[[#This Row],[مانده مبلغ]]-bargiri[[#This Row],[مبلغ واریزی]],bargiri[[#This Row],[مانده مبلغ]])</f>
        <v>1812310500</v>
      </c>
      <c r="O487" s="159" t="s">
        <v>593</v>
      </c>
      <c r="P487" s="159">
        <f>VLOOKUP(bargiri[[#This Row],[شماره سند مبنا]],invoice[[شماره پیش فاکتور]:[پیش دریافت به ازای هر کیلوگرم]],14,0)</f>
        <v>23430</v>
      </c>
      <c r="Q487" s="159">
        <f>IF(bargiri[[#This Row],[مبلغ ناخالص]]-(bargiri[[#This Row],[نرخ استهلاک]]*bargiri[[#This Row],[مقدار]])&lt;0,0,bargiri[[#This Row],[مبلغ ناخالص]]-(bargiri[[#This Row],[نرخ استهلاک]]*bargiri[[#This Row],[مقدار]]))</f>
        <v>1618480500</v>
      </c>
    </row>
    <row r="488" spans="1:17" s="22" customFormat="1" ht="13.8" x14ac:dyDescent="0.25">
      <c r="A488" s="22">
        <v>1012</v>
      </c>
      <c r="B488" s="22" t="s">
        <v>769</v>
      </c>
      <c r="C488" s="22" t="s">
        <v>745</v>
      </c>
      <c r="D488" s="22" t="s">
        <v>221</v>
      </c>
      <c r="E488" s="158">
        <v>775</v>
      </c>
      <c r="F488" s="159">
        <v>135000</v>
      </c>
      <c r="G488" s="159">
        <v>104625000</v>
      </c>
      <c r="H488" s="159">
        <v>10462500</v>
      </c>
      <c r="I488" s="159">
        <v>115087500</v>
      </c>
      <c r="J488" s="159">
        <f>bargiri[[#This Row],[مقدار]]*INDEX(invoice[پیش دریافت به ازای هر کیلوگرم],MATCH(bargiri[[#This Row],[شماره سند مبنا]],invoice[شماره پیش فاکتور],0))</f>
        <v>17263125</v>
      </c>
      <c r="K488" s="159">
        <f>bargiri[[#This Row],[مبلغ خالص]]-bargiri[[#This Row],[میزان استهلاک پیش دریافتی]]</f>
        <v>97824375</v>
      </c>
      <c r="L488" s="160" t="s">
        <v>593</v>
      </c>
      <c r="M488" s="159"/>
      <c r="N488" s="159">
        <f>IF(bargiri[[#This Row],[مبلغ واریزی]]&lt;&gt;"",bargiri[[#This Row],[مانده مبلغ]]-bargiri[[#This Row],[مبلغ واریزی]],bargiri[[#This Row],[مانده مبلغ]])</f>
        <v>97824375</v>
      </c>
      <c r="O488" s="159" t="s">
        <v>593</v>
      </c>
      <c r="P488" s="159">
        <f>VLOOKUP(bargiri[[#This Row],[شماره سند مبنا]],invoice[[شماره پیش فاکتور]:[پیش دریافت به ازای هر کیلوگرم]],14,0)</f>
        <v>22275</v>
      </c>
      <c r="Q488" s="159">
        <f>IF(bargiri[[#This Row],[مبلغ ناخالص]]-(bargiri[[#This Row],[نرخ استهلاک]]*bargiri[[#This Row],[مقدار]])&lt;0,0,bargiri[[#This Row],[مبلغ ناخالص]]-(bargiri[[#This Row],[نرخ استهلاک]]*bargiri[[#This Row],[مقدار]]))</f>
        <v>87361875</v>
      </c>
    </row>
    <row r="489" spans="1:17" s="22" customFormat="1" ht="13.8" x14ac:dyDescent="0.25">
      <c r="A489" s="22">
        <v>1011</v>
      </c>
      <c r="B489" s="22" t="s">
        <v>769</v>
      </c>
      <c r="C489" s="22" t="s">
        <v>187</v>
      </c>
      <c r="D489" s="22" t="s">
        <v>43</v>
      </c>
      <c r="E489" s="158">
        <v>22180</v>
      </c>
      <c r="F489" s="159">
        <v>80000</v>
      </c>
      <c r="G489" s="159">
        <v>1774400000</v>
      </c>
      <c r="H489" s="159">
        <v>177440000</v>
      </c>
      <c r="I489" s="159">
        <v>1951840000</v>
      </c>
      <c r="J489" s="159">
        <f>bargiri[[#This Row],[مقدار]]*INDEX(invoice[پیش دریافت به ازای هر کیلوگرم],MATCH(bargiri[[#This Row],[شماره سند مبنا]],invoice[شماره پیش فاکتور],0))</f>
        <v>390368000</v>
      </c>
      <c r="K489" s="159">
        <f>bargiri[[#This Row],[مبلغ خالص]]-bargiri[[#This Row],[میزان استهلاک پیش دریافتی]]</f>
        <v>1561472000</v>
      </c>
      <c r="L489" s="160" t="s">
        <v>593</v>
      </c>
      <c r="M489" s="159"/>
      <c r="N489" s="159">
        <f>IF(bargiri[[#This Row],[مبلغ واریزی]]&lt;&gt;"",bargiri[[#This Row],[مانده مبلغ]]-bargiri[[#This Row],[مبلغ واریزی]],bargiri[[#This Row],[مانده مبلغ]])</f>
        <v>1561472000</v>
      </c>
      <c r="O489" s="159" t="s">
        <v>593</v>
      </c>
      <c r="P489" s="159">
        <f>VLOOKUP(bargiri[[#This Row],[شماره سند مبنا]],invoice[[شماره پیش فاکتور]:[پیش دریافت به ازای هر کیلوگرم]],14,0)</f>
        <v>17600</v>
      </c>
      <c r="Q489" s="159">
        <f>IF(bargiri[[#This Row],[مبلغ ناخالص]]-(bargiri[[#This Row],[نرخ استهلاک]]*bargiri[[#This Row],[مقدار]])&lt;0,0,bargiri[[#This Row],[مبلغ ناخالص]]-(bargiri[[#This Row],[نرخ استهلاک]]*bargiri[[#This Row],[مقدار]]))</f>
        <v>1384032000</v>
      </c>
    </row>
    <row r="490" spans="1:17" s="22" customFormat="1" ht="13.8" x14ac:dyDescent="0.25">
      <c r="A490" s="22">
        <v>1010</v>
      </c>
      <c r="B490" s="22" t="s">
        <v>769</v>
      </c>
      <c r="C490" s="22" t="s">
        <v>658</v>
      </c>
      <c r="D490" s="22" t="s">
        <v>25</v>
      </c>
      <c r="E490" s="158">
        <v>20000</v>
      </c>
      <c r="F490" s="159">
        <v>167500</v>
      </c>
      <c r="G490" s="159">
        <v>3350000000</v>
      </c>
      <c r="H490" s="159">
        <v>335000000</v>
      </c>
      <c r="I490" s="159">
        <v>3685000000</v>
      </c>
      <c r="J490" s="159">
        <f>bargiri[[#This Row],[مقدار]]*INDEX(invoice[پیش دریافت به ازای هر کیلوگرم],MATCH(bargiri[[#This Row],[شماره سند مبنا]],invoice[شماره پیش فاکتور],0))</f>
        <v>3685000000</v>
      </c>
      <c r="K490" s="159">
        <f>bargiri[[#This Row],[مبلغ خالص]]-bargiri[[#This Row],[میزان استهلاک پیش دریافتی]]</f>
        <v>0</v>
      </c>
      <c r="L490" s="160" t="s">
        <v>593</v>
      </c>
      <c r="M490" s="159"/>
      <c r="N490" s="159">
        <f>IF(bargiri[[#This Row],[مبلغ واریزی]]&lt;&gt;"",bargiri[[#This Row],[مانده مبلغ]]-bargiri[[#This Row],[مبلغ واریزی]],bargiri[[#This Row],[مانده مبلغ]])</f>
        <v>0</v>
      </c>
      <c r="O490" s="159" t="s">
        <v>593</v>
      </c>
      <c r="P490" s="159">
        <f>VLOOKUP(bargiri[[#This Row],[شماره سند مبنا]],invoice[[شماره پیش فاکتور]:[پیش دریافت به ازای هر کیلوگرم]],14,0)</f>
        <v>184250</v>
      </c>
      <c r="Q490" s="159">
        <f>IF(bargiri[[#This Row],[مبلغ ناخالص]]-(bargiri[[#This Row],[نرخ استهلاک]]*bargiri[[#This Row],[مقدار]])&lt;0,0,bargiri[[#This Row],[مبلغ ناخالص]]-(bargiri[[#This Row],[نرخ استهلاک]]*bargiri[[#This Row],[مقدار]]))</f>
        <v>0</v>
      </c>
    </row>
    <row r="491" spans="1:17" s="22" customFormat="1" ht="13.8" x14ac:dyDescent="0.25">
      <c r="A491" s="22">
        <v>1010</v>
      </c>
      <c r="B491" s="22" t="s">
        <v>769</v>
      </c>
      <c r="C491" s="22" t="s">
        <v>672</v>
      </c>
      <c r="D491" s="22" t="s">
        <v>25</v>
      </c>
      <c r="E491" s="158">
        <v>2250</v>
      </c>
      <c r="F491" s="159">
        <v>167500</v>
      </c>
      <c r="G491" s="159">
        <v>376875000</v>
      </c>
      <c r="H491" s="159">
        <v>37687500</v>
      </c>
      <c r="I491" s="159">
        <v>414562500</v>
      </c>
      <c r="J491" s="159">
        <f>bargiri[[#This Row],[مقدار]]*INDEX(invoice[پیش دریافت به ازای هر کیلوگرم],MATCH(bargiri[[#This Row],[شماره سند مبنا]],invoice[شماره پیش فاکتور],0))</f>
        <v>414562500</v>
      </c>
      <c r="K491" s="159">
        <f>bargiri[[#This Row],[مبلغ خالص]]-bargiri[[#This Row],[میزان استهلاک پیش دریافتی]]</f>
        <v>0</v>
      </c>
      <c r="L491" s="160" t="s">
        <v>593</v>
      </c>
      <c r="M491" s="159"/>
      <c r="N491" s="159">
        <f>IF(bargiri[[#This Row],[مبلغ واریزی]]&lt;&gt;"",bargiri[[#This Row],[مانده مبلغ]]-bargiri[[#This Row],[مبلغ واریزی]],bargiri[[#This Row],[مانده مبلغ]])</f>
        <v>0</v>
      </c>
      <c r="O491" s="159" t="s">
        <v>593</v>
      </c>
      <c r="P491" s="159">
        <f>VLOOKUP(bargiri[[#This Row],[شماره سند مبنا]],invoice[[شماره پیش فاکتور]:[پیش دریافت به ازای هر کیلوگرم]],14,0)</f>
        <v>184250</v>
      </c>
      <c r="Q491" s="159">
        <f>IF(bargiri[[#This Row],[مبلغ ناخالص]]-(bargiri[[#This Row],[نرخ استهلاک]]*bargiri[[#This Row],[مقدار]])&lt;0,0,bargiri[[#This Row],[مبلغ ناخالص]]-(bargiri[[#This Row],[نرخ استهلاک]]*bargiri[[#This Row],[مقدار]]))</f>
        <v>0</v>
      </c>
    </row>
    <row r="492" spans="1:17" s="22" customFormat="1" ht="13.8" x14ac:dyDescent="0.25">
      <c r="A492" s="22">
        <v>1009</v>
      </c>
      <c r="B492" s="22" t="s">
        <v>770</v>
      </c>
      <c r="C492" s="22" t="s">
        <v>189</v>
      </c>
      <c r="D492" s="22" t="s">
        <v>173</v>
      </c>
      <c r="E492" s="158">
        <v>20035</v>
      </c>
      <c r="F492" s="159">
        <v>75000</v>
      </c>
      <c r="G492" s="159">
        <v>1502625000</v>
      </c>
      <c r="H492" s="159">
        <v>150262500</v>
      </c>
      <c r="I492" s="159">
        <v>1652887500</v>
      </c>
      <c r="J492" s="159">
        <f>bargiri[[#This Row],[مقدار]]*INDEX(invoice[پیش دریافت به ازای هر کیلوگرم],MATCH(bargiri[[#This Row],[شماره سند مبنا]],invoice[شماره پیش فاکتور],0))</f>
        <v>247933125</v>
      </c>
      <c r="K492" s="159">
        <f>bargiri[[#This Row],[مبلغ خالص]]-bargiri[[#This Row],[میزان استهلاک پیش دریافتی]]</f>
        <v>1404954375</v>
      </c>
      <c r="L492" s="160" t="s">
        <v>593</v>
      </c>
      <c r="M492" s="159"/>
      <c r="N492" s="159">
        <f>IF(bargiri[[#This Row],[مبلغ واریزی]]&lt;&gt;"",bargiri[[#This Row],[مانده مبلغ]]-bargiri[[#This Row],[مبلغ واریزی]],bargiri[[#This Row],[مانده مبلغ]])</f>
        <v>1404954375</v>
      </c>
      <c r="O492" s="159" t="s">
        <v>593</v>
      </c>
      <c r="P492" s="159">
        <f>VLOOKUP(bargiri[[#This Row],[شماره سند مبنا]],invoice[[شماره پیش فاکتور]:[پیش دریافت به ازای هر کیلوگرم]],14,0)</f>
        <v>12375</v>
      </c>
      <c r="Q492" s="159">
        <f>IF(bargiri[[#This Row],[مبلغ ناخالص]]-(bargiri[[#This Row],[نرخ استهلاک]]*bargiri[[#This Row],[مقدار]])&lt;0,0,bargiri[[#This Row],[مبلغ ناخالص]]-(bargiri[[#This Row],[نرخ استهلاک]]*bargiri[[#This Row],[مقدار]]))</f>
        <v>1254691875</v>
      </c>
    </row>
    <row r="493" spans="1:17" s="22" customFormat="1" ht="13.8" x14ac:dyDescent="0.25">
      <c r="A493" s="22">
        <v>1008</v>
      </c>
      <c r="B493" s="22" t="s">
        <v>770</v>
      </c>
      <c r="C493" s="22" t="s">
        <v>715</v>
      </c>
      <c r="D493" s="22" t="s">
        <v>67</v>
      </c>
      <c r="E493" s="158">
        <v>21150</v>
      </c>
      <c r="F493" s="159">
        <v>167500</v>
      </c>
      <c r="G493" s="159">
        <v>3542625000</v>
      </c>
      <c r="H493" s="159">
        <v>354262500</v>
      </c>
      <c r="I493" s="159">
        <v>3896887500</v>
      </c>
      <c r="J493" s="159">
        <f>bargiri[[#This Row],[مقدار]]*INDEX(invoice[پیش دریافت به ازای هر کیلوگرم],MATCH(bargiri[[#This Row],[شماره سند مبنا]],invoice[شماره پیش فاکتور],0))</f>
        <v>3896887500</v>
      </c>
      <c r="K493" s="159">
        <f>bargiri[[#This Row],[مبلغ خالص]]-bargiri[[#This Row],[میزان استهلاک پیش دریافتی]]</f>
        <v>0</v>
      </c>
      <c r="L493" s="160" t="s">
        <v>593</v>
      </c>
      <c r="M493" s="159"/>
      <c r="N493" s="159">
        <f>IF(bargiri[[#This Row],[مبلغ واریزی]]&lt;&gt;"",bargiri[[#This Row],[مانده مبلغ]]-bargiri[[#This Row],[مبلغ واریزی]],bargiri[[#This Row],[مانده مبلغ]])</f>
        <v>0</v>
      </c>
      <c r="O493" s="159" t="s">
        <v>593</v>
      </c>
      <c r="P493" s="159">
        <f>VLOOKUP(bargiri[[#This Row],[شماره سند مبنا]],invoice[[شماره پیش فاکتور]:[پیش دریافت به ازای هر کیلوگرم]],14,0)</f>
        <v>184250</v>
      </c>
      <c r="Q493" s="159">
        <f>IF(bargiri[[#This Row],[مبلغ ناخالص]]-(bargiri[[#This Row],[نرخ استهلاک]]*bargiri[[#This Row],[مقدار]])&lt;0,0,bargiri[[#This Row],[مبلغ ناخالص]]-(bargiri[[#This Row],[نرخ استهلاک]]*bargiri[[#This Row],[مقدار]]))</f>
        <v>0</v>
      </c>
    </row>
    <row r="494" spans="1:17" s="22" customFormat="1" ht="13.8" x14ac:dyDescent="0.25">
      <c r="A494" s="22">
        <v>1007</v>
      </c>
      <c r="B494" s="22" t="s">
        <v>770</v>
      </c>
      <c r="C494" s="22" t="s">
        <v>208</v>
      </c>
      <c r="D494" s="22" t="s">
        <v>30</v>
      </c>
      <c r="E494" s="158">
        <v>11505</v>
      </c>
      <c r="F494" s="159">
        <v>89000</v>
      </c>
      <c r="G494" s="159">
        <v>1023945000</v>
      </c>
      <c r="H494" s="159">
        <v>102394500</v>
      </c>
      <c r="I494" s="159">
        <v>1126339500</v>
      </c>
      <c r="J494" s="159">
        <f>bargiri[[#This Row],[مقدار]]*INDEX(invoice[پیش دریافت به ازای هر کیلوگرم],MATCH(bargiri[[#This Row],[شماره سند مبنا]],invoice[شماره پیش فاکتور],0))</f>
        <v>1126339500</v>
      </c>
      <c r="K494" s="159">
        <f>bargiri[[#This Row],[مبلغ خالص]]-bargiri[[#This Row],[میزان استهلاک پیش دریافتی]]</f>
        <v>0</v>
      </c>
      <c r="L494" s="160" t="s">
        <v>185</v>
      </c>
      <c r="M494" s="159"/>
      <c r="N494" s="159">
        <f>IF(bargiri[[#This Row],[مبلغ واریزی]]&lt;&gt;"",bargiri[[#This Row],[مانده مبلغ]]-bargiri[[#This Row],[مبلغ واریزی]],bargiri[[#This Row],[مانده مبلغ]])</f>
        <v>0</v>
      </c>
      <c r="O494" s="159">
        <v>0</v>
      </c>
      <c r="P494" s="159">
        <f>VLOOKUP(bargiri[[#This Row],[شماره سند مبنا]],invoice[[شماره پیش فاکتور]:[پیش دریافت به ازای هر کیلوگرم]],14,0)</f>
        <v>97900</v>
      </c>
      <c r="Q494" s="159">
        <f>IF(bargiri[[#This Row],[مبلغ ناخالص]]-(bargiri[[#This Row],[نرخ استهلاک]]*bargiri[[#This Row],[مقدار]])&lt;0,0,bargiri[[#This Row],[مبلغ ناخالص]]-(bargiri[[#This Row],[نرخ استهلاک]]*bargiri[[#This Row],[مقدار]]))</f>
        <v>0</v>
      </c>
    </row>
    <row r="495" spans="1:17" s="22" customFormat="1" ht="13.8" x14ac:dyDescent="0.25">
      <c r="A495" s="22">
        <v>1006</v>
      </c>
      <c r="B495" s="22" t="s">
        <v>770</v>
      </c>
      <c r="C495" s="22" t="s">
        <v>700</v>
      </c>
      <c r="D495" s="22" t="s">
        <v>67</v>
      </c>
      <c r="E495" s="158">
        <v>21130</v>
      </c>
      <c r="F495" s="159">
        <v>74000</v>
      </c>
      <c r="G495" s="159">
        <v>1563620000</v>
      </c>
      <c r="H495" s="159">
        <v>156362000</v>
      </c>
      <c r="I495" s="159">
        <v>1719982000</v>
      </c>
      <c r="J495" s="159">
        <f>bargiri[[#This Row],[مقدار]]*INDEX(invoice[پیش دریافت به ازای هر کیلوگرم],MATCH(bargiri[[#This Row],[شماره سند مبنا]],invoice[شماره پیش فاکتور],0))</f>
        <v>257997300</v>
      </c>
      <c r="K495" s="159">
        <f>bargiri[[#This Row],[مبلغ خالص]]-bargiri[[#This Row],[میزان استهلاک پیش دریافتی]]</f>
        <v>1461984700</v>
      </c>
      <c r="L495" s="160" t="s">
        <v>593</v>
      </c>
      <c r="M495" s="159"/>
      <c r="N495" s="159">
        <f>IF(bargiri[[#This Row],[مبلغ واریزی]]&lt;&gt;"",bargiri[[#This Row],[مانده مبلغ]]-bargiri[[#This Row],[مبلغ واریزی]],bargiri[[#This Row],[مانده مبلغ]])</f>
        <v>1461984700</v>
      </c>
      <c r="O495" s="159" t="s">
        <v>593</v>
      </c>
      <c r="P495" s="159">
        <f>VLOOKUP(bargiri[[#This Row],[شماره سند مبنا]],invoice[[شماره پیش فاکتور]:[پیش دریافت به ازای هر کیلوگرم]],14,0)</f>
        <v>12210</v>
      </c>
      <c r="Q495" s="159">
        <f>IF(bargiri[[#This Row],[مبلغ ناخالص]]-(bargiri[[#This Row],[نرخ استهلاک]]*bargiri[[#This Row],[مقدار]])&lt;0,0,bargiri[[#This Row],[مبلغ ناخالص]]-(bargiri[[#This Row],[نرخ استهلاک]]*bargiri[[#This Row],[مقدار]]))</f>
        <v>1305622700</v>
      </c>
    </row>
    <row r="496" spans="1:17" s="22" customFormat="1" ht="13.8" x14ac:dyDescent="0.25">
      <c r="A496" s="22">
        <v>1005</v>
      </c>
      <c r="B496" s="22" t="s">
        <v>771</v>
      </c>
      <c r="C496" s="22" t="s">
        <v>456</v>
      </c>
      <c r="D496" s="22" t="s">
        <v>213</v>
      </c>
      <c r="E496" s="158">
        <v>7260</v>
      </c>
      <c r="F496" s="159">
        <v>142000</v>
      </c>
      <c r="G496" s="159">
        <v>1030920000</v>
      </c>
      <c r="H496" s="159">
        <v>103092000</v>
      </c>
      <c r="I496" s="159">
        <v>1134012000</v>
      </c>
      <c r="J496" s="159">
        <f>bargiri[[#This Row],[مقدار]]*INDEX(invoice[پیش دریافت به ازای هر کیلوگرم],MATCH(bargiri[[#This Row],[شماره سند مبنا]],invoice[شماره پیش فاکتور],0))</f>
        <v>861501647.25625074</v>
      </c>
      <c r="K496" s="159">
        <f>bargiri[[#This Row],[مبلغ خالص]]-bargiri[[#This Row],[میزان استهلاک پیش دریافتی]]</f>
        <v>272510352.74374926</v>
      </c>
      <c r="L496" s="160" t="s">
        <v>593</v>
      </c>
      <c r="M496" s="159"/>
      <c r="N496" s="159">
        <f>IF(bargiri[[#This Row],[مبلغ واریزی]]&lt;&gt;"",bargiri[[#This Row],[مانده مبلغ]]-bargiri[[#This Row],[مبلغ واریزی]],bargiri[[#This Row],[مانده مبلغ]])</f>
        <v>272510352.74374926</v>
      </c>
      <c r="O496" s="159" t="s">
        <v>593</v>
      </c>
      <c r="P496" s="159">
        <f>VLOOKUP(bargiri[[#This Row],[شماره سند مبنا]],invoice[[شماره پیش فاکتور]:[پیش دریافت به ازای هر کیلوگرم]],14,0)</f>
        <v>118664.13874053041</v>
      </c>
      <c r="Q496" s="159">
        <f>IF(bargiri[[#This Row],[مبلغ ناخالص]]-(bargiri[[#This Row],[نرخ استهلاک]]*bargiri[[#This Row],[مقدار]])&lt;0,0,bargiri[[#This Row],[مبلغ ناخالص]]-(bargiri[[#This Row],[نرخ استهلاک]]*bargiri[[#This Row],[مقدار]]))</f>
        <v>169418352.74374926</v>
      </c>
    </row>
    <row r="497" spans="1:17" s="22" customFormat="1" ht="13.8" x14ac:dyDescent="0.25">
      <c r="A497" s="22">
        <v>1004</v>
      </c>
      <c r="B497" s="22" t="s">
        <v>771</v>
      </c>
      <c r="C497" s="22" t="s">
        <v>463</v>
      </c>
      <c r="D497" s="22" t="s">
        <v>207</v>
      </c>
      <c r="E497" s="158">
        <v>6860</v>
      </c>
      <c r="F497" s="159">
        <v>142000</v>
      </c>
      <c r="G497" s="159">
        <v>974120000</v>
      </c>
      <c r="H497" s="159">
        <v>97412000</v>
      </c>
      <c r="I497" s="159">
        <v>1071532000</v>
      </c>
      <c r="J497" s="159">
        <f>bargiri[[#This Row],[مقدار]]*INDEX(invoice[پیش دریافت به ازای هر کیلوگرم],MATCH(bargiri[[#This Row],[شماره سند مبنا]],invoice[شماره پیش فاکتور],0))</f>
        <v>206531431.66226912</v>
      </c>
      <c r="K497" s="159">
        <f>bargiri[[#This Row],[مبلغ خالص]]-bargiri[[#This Row],[میزان استهلاک پیش دریافتی]]</f>
        <v>865000568.33773088</v>
      </c>
      <c r="L497" s="160" t="s">
        <v>593</v>
      </c>
      <c r="M497" s="159"/>
      <c r="N497" s="159">
        <f>IF(bargiri[[#This Row],[مبلغ واریزی]]&lt;&gt;"",bargiri[[#This Row],[مانده مبلغ]]-bargiri[[#This Row],[مبلغ واریزی]],bargiri[[#This Row],[مانده مبلغ]])</f>
        <v>865000568.33773088</v>
      </c>
      <c r="O497" s="159" t="s">
        <v>593</v>
      </c>
      <c r="P497" s="159">
        <f>VLOOKUP(bargiri[[#This Row],[شماره سند مبنا]],invoice[[شماره پیش فاکتور]:[پیش دریافت به ازای هر کیلوگرم]],14,0)</f>
        <v>30106.622691292876</v>
      </c>
      <c r="Q497" s="159">
        <f>IF(bargiri[[#This Row],[مبلغ ناخالص]]-(bargiri[[#This Row],[نرخ استهلاک]]*bargiri[[#This Row],[مقدار]])&lt;0,0,bargiri[[#This Row],[مبلغ ناخالص]]-(bargiri[[#This Row],[نرخ استهلاک]]*bargiri[[#This Row],[مقدار]]))</f>
        <v>767588568.33773088</v>
      </c>
    </row>
    <row r="498" spans="1:17" s="22" customFormat="1" ht="13.8" x14ac:dyDescent="0.25">
      <c r="A498" s="22">
        <v>1003</v>
      </c>
      <c r="B498" s="22" t="s">
        <v>771</v>
      </c>
      <c r="C498" s="22" t="s">
        <v>456</v>
      </c>
      <c r="D498" s="22" t="s">
        <v>213</v>
      </c>
      <c r="E498" s="158">
        <v>7345</v>
      </c>
      <c r="F498" s="159">
        <v>142000</v>
      </c>
      <c r="G498" s="159">
        <v>1042990000</v>
      </c>
      <c r="H498" s="159">
        <v>104299000</v>
      </c>
      <c r="I498" s="159">
        <v>1147289000</v>
      </c>
      <c r="J498" s="159">
        <f>bargiri[[#This Row],[مقدار]]*INDEX(invoice[پیش دریافت به ازای هر کیلوگرم],MATCH(bargiri[[#This Row],[شماره سند مبنا]],invoice[شماره پیش فاکتور],0))</f>
        <v>871588099.04919589</v>
      </c>
      <c r="K498" s="159">
        <f>bargiri[[#This Row],[مبلغ خالص]]-bargiri[[#This Row],[میزان استهلاک پیش دریافتی]]</f>
        <v>275700900.95080411</v>
      </c>
      <c r="L498" s="160" t="s">
        <v>593</v>
      </c>
      <c r="M498" s="159"/>
      <c r="N498" s="159">
        <f>IF(bargiri[[#This Row],[مبلغ واریزی]]&lt;&gt;"",bargiri[[#This Row],[مانده مبلغ]]-bargiri[[#This Row],[مبلغ واریزی]],bargiri[[#This Row],[مانده مبلغ]])</f>
        <v>275700900.95080411</v>
      </c>
      <c r="O498" s="159" t="s">
        <v>593</v>
      </c>
      <c r="P498" s="159">
        <f>VLOOKUP(bargiri[[#This Row],[شماره سند مبنا]],invoice[[شماره پیش فاکتور]:[پیش دریافت به ازای هر کیلوگرم]],14,0)</f>
        <v>118664.13874053041</v>
      </c>
      <c r="Q498" s="159">
        <f>IF(bargiri[[#This Row],[مبلغ ناخالص]]-(bargiri[[#This Row],[نرخ استهلاک]]*bargiri[[#This Row],[مقدار]])&lt;0,0,bargiri[[#This Row],[مبلغ ناخالص]]-(bargiri[[#This Row],[نرخ استهلاک]]*bargiri[[#This Row],[مقدار]]))</f>
        <v>171401900.95080411</v>
      </c>
    </row>
    <row r="499" spans="1:17" s="22" customFormat="1" ht="13.8" x14ac:dyDescent="0.25">
      <c r="A499" s="22">
        <v>1002</v>
      </c>
      <c r="B499" s="22" t="s">
        <v>771</v>
      </c>
      <c r="C499" s="22" t="s">
        <v>715</v>
      </c>
      <c r="D499" s="22" t="s">
        <v>67</v>
      </c>
      <c r="E499" s="158">
        <v>20280</v>
      </c>
      <c r="F499" s="159">
        <v>167500</v>
      </c>
      <c r="G499" s="159">
        <v>3396900000</v>
      </c>
      <c r="H499" s="159">
        <v>339690000</v>
      </c>
      <c r="I499" s="159">
        <v>3736590000</v>
      </c>
      <c r="J499" s="159">
        <f>bargiri[[#This Row],[مقدار]]*INDEX(invoice[پیش دریافت به ازای هر کیلوگرم],MATCH(bargiri[[#This Row],[شماره سند مبنا]],invoice[شماره پیش فاکتور],0))</f>
        <v>3736590000</v>
      </c>
      <c r="K499" s="159">
        <f>bargiri[[#This Row],[مبلغ خالص]]-bargiri[[#This Row],[میزان استهلاک پیش دریافتی]]</f>
        <v>0</v>
      </c>
      <c r="L499" s="160" t="s">
        <v>593</v>
      </c>
      <c r="M499" s="159"/>
      <c r="N499" s="159">
        <f>IF(bargiri[[#This Row],[مبلغ واریزی]]&lt;&gt;"",bargiri[[#This Row],[مانده مبلغ]]-bargiri[[#This Row],[مبلغ واریزی]],bargiri[[#This Row],[مانده مبلغ]])</f>
        <v>0</v>
      </c>
      <c r="O499" s="159" t="s">
        <v>593</v>
      </c>
      <c r="P499" s="159">
        <f>VLOOKUP(bargiri[[#This Row],[شماره سند مبنا]],invoice[[شماره پیش فاکتور]:[پیش دریافت به ازای هر کیلوگرم]],14,0)</f>
        <v>184250</v>
      </c>
      <c r="Q499" s="159">
        <f>IF(bargiri[[#This Row],[مبلغ ناخالص]]-(bargiri[[#This Row],[نرخ استهلاک]]*bargiri[[#This Row],[مقدار]])&lt;0,0,bargiri[[#This Row],[مبلغ ناخالص]]-(bargiri[[#This Row],[نرخ استهلاک]]*bargiri[[#This Row],[مقدار]]))</f>
        <v>0</v>
      </c>
    </row>
    <row r="500" spans="1:17" s="22" customFormat="1" ht="13.8" x14ac:dyDescent="0.25">
      <c r="A500" s="22">
        <v>1001</v>
      </c>
      <c r="B500" s="22" t="s">
        <v>771</v>
      </c>
      <c r="C500" s="22" t="s">
        <v>189</v>
      </c>
      <c r="D500" s="22" t="s">
        <v>173</v>
      </c>
      <c r="E500" s="158">
        <v>22975</v>
      </c>
      <c r="F500" s="159">
        <v>75000</v>
      </c>
      <c r="G500" s="159">
        <v>1723125000</v>
      </c>
      <c r="H500" s="159">
        <v>172312500</v>
      </c>
      <c r="I500" s="159">
        <v>1895437500</v>
      </c>
      <c r="J500" s="159">
        <f>bargiri[[#This Row],[مقدار]]*INDEX(invoice[پیش دریافت به ازای هر کیلوگرم],MATCH(bargiri[[#This Row],[شماره سند مبنا]],invoice[شماره پیش فاکتور],0))</f>
        <v>284315625</v>
      </c>
      <c r="K500" s="159">
        <f>bargiri[[#This Row],[مبلغ خالص]]-bargiri[[#This Row],[میزان استهلاک پیش دریافتی]]</f>
        <v>1611121875</v>
      </c>
      <c r="L500" s="160" t="s">
        <v>593</v>
      </c>
      <c r="M500" s="159"/>
      <c r="N500" s="159">
        <f>IF(bargiri[[#This Row],[مبلغ واریزی]]&lt;&gt;"",bargiri[[#This Row],[مانده مبلغ]]-bargiri[[#This Row],[مبلغ واریزی]],bargiri[[#This Row],[مانده مبلغ]])</f>
        <v>1611121875</v>
      </c>
      <c r="O500" s="159" t="s">
        <v>593</v>
      </c>
      <c r="P500" s="159">
        <f>VLOOKUP(bargiri[[#This Row],[شماره سند مبنا]],invoice[[شماره پیش فاکتور]:[پیش دریافت به ازای هر کیلوگرم]],14,0)</f>
        <v>12375</v>
      </c>
      <c r="Q500" s="159">
        <f>IF(bargiri[[#This Row],[مبلغ ناخالص]]-(bargiri[[#This Row],[نرخ استهلاک]]*bargiri[[#This Row],[مقدار]])&lt;0,0,bargiri[[#This Row],[مبلغ ناخالص]]-(bargiri[[#This Row],[نرخ استهلاک]]*bargiri[[#This Row],[مقدار]]))</f>
        <v>1438809375</v>
      </c>
    </row>
    <row r="501" spans="1:17" s="22" customFormat="1" ht="13.8" x14ac:dyDescent="0.25">
      <c r="A501" s="22">
        <v>1000</v>
      </c>
      <c r="B501" s="22" t="s">
        <v>771</v>
      </c>
      <c r="C501" s="22" t="s">
        <v>734</v>
      </c>
      <c r="D501" s="22" t="s">
        <v>17</v>
      </c>
      <c r="E501" s="158">
        <v>15335</v>
      </c>
      <c r="F501" s="159">
        <v>116500</v>
      </c>
      <c r="G501" s="159">
        <v>1786527500</v>
      </c>
      <c r="H501" s="159">
        <v>178652750</v>
      </c>
      <c r="I501" s="159">
        <v>1965180250</v>
      </c>
      <c r="J501" s="159">
        <f>bargiri[[#This Row],[مقدار]]*INDEX(invoice[پیش دریافت به ازای هر کیلوگرم],MATCH(bargiri[[#This Row],[شماره سند مبنا]],invoice[شماره پیش فاکتور],0))</f>
        <v>294777037.5</v>
      </c>
      <c r="K501" s="159">
        <f>bargiri[[#This Row],[مبلغ خالص]]-bargiri[[#This Row],[میزان استهلاک پیش دریافتی]]</f>
        <v>1670403212.5</v>
      </c>
      <c r="L501" s="160" t="s">
        <v>192</v>
      </c>
      <c r="M501" s="159"/>
      <c r="N501" s="159">
        <f>IF(bargiri[[#This Row],[مبلغ واریزی]]&lt;&gt;"",bargiri[[#This Row],[مانده مبلغ]]-bargiri[[#This Row],[مبلغ واریزی]],bargiri[[#This Row],[مانده مبلغ]])</f>
        <v>1670403212.5</v>
      </c>
      <c r="O501" s="159">
        <v>0</v>
      </c>
      <c r="P501" s="159">
        <f>VLOOKUP(bargiri[[#This Row],[شماره سند مبنا]],invoice[[شماره پیش فاکتور]:[پیش دریافت به ازای هر کیلوگرم]],14,0)</f>
        <v>19222.5</v>
      </c>
      <c r="Q501" s="159">
        <f>IF(bargiri[[#This Row],[مبلغ ناخالص]]-(bargiri[[#This Row],[نرخ استهلاک]]*bargiri[[#This Row],[مقدار]])&lt;0,0,bargiri[[#This Row],[مبلغ ناخالص]]-(bargiri[[#This Row],[نرخ استهلاک]]*bargiri[[#This Row],[مقدار]]))</f>
        <v>1491750462.5</v>
      </c>
    </row>
    <row r="502" spans="1:17" s="22" customFormat="1" ht="13.8" x14ac:dyDescent="0.25">
      <c r="A502" s="22">
        <v>1000</v>
      </c>
      <c r="B502" s="22" t="s">
        <v>771</v>
      </c>
      <c r="C502" s="22" t="s">
        <v>754</v>
      </c>
      <c r="D502" s="22" t="s">
        <v>17</v>
      </c>
      <c r="E502" s="158">
        <v>7855</v>
      </c>
      <c r="F502" s="159">
        <v>120000</v>
      </c>
      <c r="G502" s="159">
        <v>942600000</v>
      </c>
      <c r="H502" s="159">
        <v>94260000</v>
      </c>
      <c r="I502" s="159">
        <v>1036860000</v>
      </c>
      <c r="J502" s="159">
        <f>bargiri[[#This Row],[مقدار]]*INDEX(invoice[پیش دریافت به ازای هر کیلوگرم],MATCH(bargiri[[#This Row],[شماره سند مبنا]],invoice[شماره پیش فاکتور],0))</f>
        <v>155529000</v>
      </c>
      <c r="K502" s="159">
        <f>bargiri[[#This Row],[مبلغ خالص]]-bargiri[[#This Row],[میزان استهلاک پیش دریافتی]]</f>
        <v>881331000</v>
      </c>
      <c r="L502" s="160" t="s">
        <v>392</v>
      </c>
      <c r="M502" s="159"/>
      <c r="N502" s="159">
        <f>IF(bargiri[[#This Row],[مبلغ واریزی]]&lt;&gt;"",bargiri[[#This Row],[مانده مبلغ]]-bargiri[[#This Row],[مبلغ واریزی]],bargiri[[#This Row],[مانده مبلغ]])</f>
        <v>881331000</v>
      </c>
      <c r="O502" s="159">
        <v>0</v>
      </c>
      <c r="P502" s="159">
        <f>VLOOKUP(bargiri[[#This Row],[شماره سند مبنا]],invoice[[شماره پیش فاکتور]:[پیش دریافت به ازای هر کیلوگرم]],14,0)</f>
        <v>19800</v>
      </c>
      <c r="Q502" s="159">
        <f>IF(bargiri[[#This Row],[مبلغ ناخالص]]-(bargiri[[#This Row],[نرخ استهلاک]]*bargiri[[#This Row],[مقدار]])&lt;0,0,bargiri[[#This Row],[مبلغ ناخالص]]-(bargiri[[#This Row],[نرخ استهلاک]]*bargiri[[#This Row],[مقدار]]))</f>
        <v>787071000</v>
      </c>
    </row>
    <row r="503" spans="1:17" s="22" customFormat="1" ht="13.8" x14ac:dyDescent="0.25">
      <c r="A503" s="22">
        <v>999</v>
      </c>
      <c r="B503" s="22" t="s">
        <v>747</v>
      </c>
      <c r="C503" s="22" t="s">
        <v>187</v>
      </c>
      <c r="D503" s="22" t="s">
        <v>43</v>
      </c>
      <c r="E503" s="158">
        <v>22275</v>
      </c>
      <c r="F503" s="159">
        <v>80000</v>
      </c>
      <c r="G503" s="159">
        <v>1782000000</v>
      </c>
      <c r="H503" s="159">
        <v>178200000</v>
      </c>
      <c r="I503" s="159">
        <v>1960200000</v>
      </c>
      <c r="J503" s="159">
        <f>bargiri[[#This Row],[مقدار]]*INDEX(invoice[پیش دریافت به ازای هر کیلوگرم],MATCH(bargiri[[#This Row],[شماره سند مبنا]],invoice[شماره پیش فاکتور],0))</f>
        <v>392040000</v>
      </c>
      <c r="K503" s="159">
        <f>bargiri[[#This Row],[مبلغ خالص]]-bargiri[[#This Row],[میزان استهلاک پیش دریافتی]]</f>
        <v>1568160000</v>
      </c>
      <c r="L503" s="160" t="s">
        <v>593</v>
      </c>
      <c r="M503" s="159"/>
      <c r="N503" s="159">
        <f>IF(bargiri[[#This Row],[مبلغ واریزی]]&lt;&gt;"",bargiri[[#This Row],[مانده مبلغ]]-bargiri[[#This Row],[مبلغ واریزی]],bargiri[[#This Row],[مانده مبلغ]])</f>
        <v>1568160000</v>
      </c>
      <c r="O503" s="159" t="s">
        <v>593</v>
      </c>
      <c r="P503" s="159">
        <f>VLOOKUP(bargiri[[#This Row],[شماره سند مبنا]],invoice[[شماره پیش فاکتور]:[پیش دریافت به ازای هر کیلوگرم]],14,0)</f>
        <v>17600</v>
      </c>
      <c r="Q503" s="159">
        <f>IF(bargiri[[#This Row],[مبلغ ناخالص]]-(bargiri[[#This Row],[نرخ استهلاک]]*bargiri[[#This Row],[مقدار]])&lt;0,0,bargiri[[#This Row],[مبلغ ناخالص]]-(bargiri[[#This Row],[نرخ استهلاک]]*bargiri[[#This Row],[مقدار]]))</f>
        <v>1389960000</v>
      </c>
    </row>
    <row r="504" spans="1:17" s="22" customFormat="1" ht="13.8" x14ac:dyDescent="0.25">
      <c r="A504" s="22">
        <v>998</v>
      </c>
      <c r="B504" s="22" t="s">
        <v>747</v>
      </c>
      <c r="C504" s="22" t="s">
        <v>461</v>
      </c>
      <c r="D504" s="22" t="s">
        <v>35</v>
      </c>
      <c r="E504" s="158">
        <v>7285</v>
      </c>
      <c r="F504" s="159">
        <v>142000</v>
      </c>
      <c r="G504" s="159">
        <v>1034470000</v>
      </c>
      <c r="H504" s="159">
        <v>103447000</v>
      </c>
      <c r="I504" s="159">
        <v>1137917000</v>
      </c>
      <c r="J504" s="159">
        <f>bargiri[[#This Row],[مقدار]]*INDEX(invoice[پیش دریافت به ازای هر کیلوگرم],MATCH(bargiri[[#This Row],[شماره سند مبنا]],invoice[شماره پیش فاکتور],0))</f>
        <v>239080962.89282453</v>
      </c>
      <c r="K504" s="159">
        <f>bargiri[[#This Row],[مبلغ خالص]]-bargiri[[#This Row],[میزان استهلاک پیش دریافتی]]</f>
        <v>898836037.10717547</v>
      </c>
      <c r="L504" s="160" t="s">
        <v>593</v>
      </c>
      <c r="M504" s="159"/>
      <c r="N504" s="159">
        <f>IF(bargiri[[#This Row],[مبلغ واریزی]]&lt;&gt;"",bargiri[[#This Row],[مانده مبلغ]]-bargiri[[#This Row],[مبلغ واریزی]],bargiri[[#This Row],[مانده مبلغ]])</f>
        <v>898836037.10717547</v>
      </c>
      <c r="O504" s="159" t="s">
        <v>593</v>
      </c>
      <c r="P504" s="159">
        <f>VLOOKUP(bargiri[[#This Row],[شماره سند مبنا]],invoice[[شماره پیش فاکتور]:[پیش دریافت به ازای هر کیلوگرم]],14,0)</f>
        <v>32818.251598191426</v>
      </c>
      <c r="Q504" s="159">
        <f>IF(bargiri[[#This Row],[مبلغ ناخالص]]-(bargiri[[#This Row],[نرخ استهلاک]]*bargiri[[#This Row],[مقدار]])&lt;0,0,bargiri[[#This Row],[مبلغ ناخالص]]-(bargiri[[#This Row],[نرخ استهلاک]]*bargiri[[#This Row],[مقدار]]))</f>
        <v>795389037.10717547</v>
      </c>
    </row>
    <row r="505" spans="1:17" s="22" customFormat="1" ht="13.8" x14ac:dyDescent="0.25">
      <c r="A505" s="22">
        <v>997</v>
      </c>
      <c r="B505" s="22" t="s">
        <v>746</v>
      </c>
      <c r="C505" s="22" t="s">
        <v>458</v>
      </c>
      <c r="D505" s="22" t="s">
        <v>156</v>
      </c>
      <c r="E505" s="158">
        <v>23145</v>
      </c>
      <c r="F505" s="159">
        <v>142000</v>
      </c>
      <c r="G505" s="159">
        <v>3286590000</v>
      </c>
      <c r="H505" s="159">
        <v>328659000</v>
      </c>
      <c r="I505" s="159">
        <v>3615249000</v>
      </c>
      <c r="J505" s="159">
        <f>bargiri[[#This Row],[مقدار]]*INDEX(invoice[پیش دریافت به ازای هر کیلوگرم],MATCH(bargiri[[#This Row],[شماره سند مبنا]],invoice[شماره پیش فاکتور],0))</f>
        <v>653765215.29466128</v>
      </c>
      <c r="K505" s="159">
        <f>bargiri[[#This Row],[مبلغ خالص]]-bargiri[[#This Row],[میزان استهلاک پیش دریافتی]]</f>
        <v>2961483784.7053385</v>
      </c>
      <c r="L505" s="160" t="s">
        <v>593</v>
      </c>
      <c r="M505" s="159"/>
      <c r="N505" s="159">
        <f>IF(bargiri[[#This Row],[مبلغ واریزی]]&lt;&gt;"",bargiri[[#This Row],[مانده مبلغ]]-bargiri[[#This Row],[مبلغ واریزی]],bargiri[[#This Row],[مانده مبلغ]])</f>
        <v>2961483784.7053385</v>
      </c>
      <c r="O505" s="159" t="s">
        <v>593</v>
      </c>
      <c r="P505" s="159">
        <f>VLOOKUP(bargiri[[#This Row],[شماره سند مبنا]],invoice[[شماره پیش فاکتور]:[پیش دریافت به ازای هر کیلوگرم]],14,0)</f>
        <v>28246.498824569509</v>
      </c>
      <c r="Q505" s="159">
        <f>IF(bargiri[[#This Row],[مبلغ ناخالص]]-(bargiri[[#This Row],[نرخ استهلاک]]*bargiri[[#This Row],[مقدار]])&lt;0,0,bargiri[[#This Row],[مبلغ ناخالص]]-(bargiri[[#This Row],[نرخ استهلاک]]*bargiri[[#This Row],[مقدار]]))</f>
        <v>2632824784.7053385</v>
      </c>
    </row>
    <row r="506" spans="1:17" s="22" customFormat="1" ht="13.8" x14ac:dyDescent="0.25">
      <c r="A506" s="22">
        <v>996</v>
      </c>
      <c r="B506" s="22" t="s">
        <v>746</v>
      </c>
      <c r="C506" s="22" t="s">
        <v>464</v>
      </c>
      <c r="D506" s="22" t="s">
        <v>221</v>
      </c>
      <c r="E506" s="158">
        <v>14485</v>
      </c>
      <c r="F506" s="159">
        <v>142000</v>
      </c>
      <c r="G506" s="159">
        <v>2056870000</v>
      </c>
      <c r="H506" s="159">
        <v>205687000</v>
      </c>
      <c r="I506" s="159">
        <v>2262557000</v>
      </c>
      <c r="J506" s="159">
        <f>bargiri[[#This Row],[مقدار]]*INDEX(invoice[پیش دریافت به ازای هر کیلوگرم],MATCH(bargiri[[#This Row],[شماره سند مبنا]],invoice[شماره پیش فاکتور],0))</f>
        <v>339383550</v>
      </c>
      <c r="K506" s="159">
        <f>bargiri[[#This Row],[مبلغ خالص]]-bargiri[[#This Row],[میزان استهلاک پیش دریافتی]]</f>
        <v>1923173450</v>
      </c>
      <c r="L506" s="160" t="s">
        <v>196</v>
      </c>
      <c r="M506" s="159"/>
      <c r="N506" s="159">
        <f>IF(bargiri[[#This Row],[مبلغ واریزی]]&lt;&gt;"",bargiri[[#This Row],[مانده مبلغ]]-bargiri[[#This Row],[مبلغ واریزی]],bargiri[[#This Row],[مانده مبلغ]])</f>
        <v>1923173450</v>
      </c>
      <c r="O506" s="159">
        <v>0</v>
      </c>
      <c r="P506" s="159">
        <f>VLOOKUP(bargiri[[#This Row],[شماره سند مبنا]],invoice[[شماره پیش فاکتور]:[پیش دریافت به ازای هر کیلوگرم]],14,0)</f>
        <v>23430</v>
      </c>
      <c r="Q506" s="159">
        <f>IF(bargiri[[#This Row],[مبلغ ناخالص]]-(bargiri[[#This Row],[نرخ استهلاک]]*bargiri[[#This Row],[مقدار]])&lt;0,0,bargiri[[#This Row],[مبلغ ناخالص]]-(bargiri[[#This Row],[نرخ استهلاک]]*bargiri[[#This Row],[مقدار]]))</f>
        <v>1717486450</v>
      </c>
    </row>
    <row r="507" spans="1:17" s="22" customFormat="1" ht="13.8" x14ac:dyDescent="0.25">
      <c r="A507" s="22">
        <v>995</v>
      </c>
      <c r="B507" s="22" t="s">
        <v>746</v>
      </c>
      <c r="C507" s="22" t="s">
        <v>607</v>
      </c>
      <c r="D507" s="22" t="s">
        <v>180</v>
      </c>
      <c r="E507" s="158">
        <v>7765</v>
      </c>
      <c r="F507" s="159">
        <v>142000</v>
      </c>
      <c r="G507" s="159">
        <v>1102630000</v>
      </c>
      <c r="H507" s="159">
        <v>110263000</v>
      </c>
      <c r="I507" s="159">
        <v>1212893000</v>
      </c>
      <c r="J507" s="159">
        <f>bargiri[[#This Row],[مقدار]]*INDEX(invoice[پیش دریافت به ازای هر کیلوگرم],MATCH(bargiri[[#This Row],[شماره سند مبنا]],invoice[شماره پیش فاکتور],0))</f>
        <v>579633102.05671</v>
      </c>
      <c r="K507" s="159">
        <f>bargiri[[#This Row],[مبلغ خالص]]-bargiri[[#This Row],[میزان استهلاک پیش دریافتی]]</f>
        <v>633259897.94329</v>
      </c>
      <c r="L507" s="160" t="s">
        <v>190</v>
      </c>
      <c r="M507" s="159"/>
      <c r="N507" s="159">
        <f>IF(bargiri[[#This Row],[مبلغ واریزی]]&lt;&gt;"",bargiri[[#This Row],[مانده مبلغ]]-bargiri[[#This Row],[مبلغ واریزی]],bargiri[[#This Row],[مانده مبلغ]])</f>
        <v>633259897.94329</v>
      </c>
      <c r="O507" s="159">
        <v>0</v>
      </c>
      <c r="P507" s="159">
        <f>VLOOKUP(bargiri[[#This Row],[شماره سند مبنا]],invoice[[شماره پیش فاکتور]:[پیش دریافت به ازای هر کیلوگرم]],14,0)</f>
        <v>74646.890155403729</v>
      </c>
      <c r="Q507" s="159">
        <f>IF(bargiri[[#This Row],[مبلغ ناخالص]]-(bargiri[[#This Row],[نرخ استهلاک]]*bargiri[[#This Row],[مقدار]])&lt;0,0,bargiri[[#This Row],[مبلغ ناخالص]]-(bargiri[[#This Row],[نرخ استهلاک]]*bargiri[[#This Row],[مقدار]]))</f>
        <v>522996897.94329</v>
      </c>
    </row>
    <row r="508" spans="1:17" s="22" customFormat="1" ht="13.8" x14ac:dyDescent="0.25">
      <c r="A508" s="22">
        <v>994</v>
      </c>
      <c r="B508" s="22" t="s">
        <v>772</v>
      </c>
      <c r="C508" s="22" t="s">
        <v>187</v>
      </c>
      <c r="D508" s="22" t="s">
        <v>43</v>
      </c>
      <c r="E508" s="158">
        <v>20255</v>
      </c>
      <c r="F508" s="159">
        <v>80000</v>
      </c>
      <c r="G508" s="159">
        <v>1620400000</v>
      </c>
      <c r="H508" s="159">
        <v>162040000</v>
      </c>
      <c r="I508" s="159">
        <v>1782440000</v>
      </c>
      <c r="J508" s="159">
        <f>bargiri[[#This Row],[مقدار]]*INDEX(invoice[پیش دریافت به ازای هر کیلوگرم],MATCH(bargiri[[#This Row],[شماره سند مبنا]],invoice[شماره پیش فاکتور],0))</f>
        <v>356488000</v>
      </c>
      <c r="K508" s="159">
        <f>bargiri[[#This Row],[مبلغ خالص]]-bargiri[[#This Row],[میزان استهلاک پیش دریافتی]]</f>
        <v>1425952000</v>
      </c>
      <c r="L508" s="160" t="s">
        <v>392</v>
      </c>
      <c r="M508" s="159"/>
      <c r="N508" s="159">
        <f>IF(bargiri[[#This Row],[مبلغ واریزی]]&lt;&gt;"",bargiri[[#This Row],[مانده مبلغ]]-bargiri[[#This Row],[مبلغ واریزی]],bargiri[[#This Row],[مانده مبلغ]])</f>
        <v>1425952000</v>
      </c>
      <c r="O508" s="159">
        <v>0</v>
      </c>
      <c r="P508" s="159">
        <f>VLOOKUP(bargiri[[#This Row],[شماره سند مبنا]],invoice[[شماره پیش فاکتور]:[پیش دریافت به ازای هر کیلوگرم]],14,0)</f>
        <v>17600</v>
      </c>
      <c r="Q508" s="159">
        <f>IF(bargiri[[#This Row],[مبلغ ناخالص]]-(bargiri[[#This Row],[نرخ استهلاک]]*bargiri[[#This Row],[مقدار]])&lt;0,0,bargiri[[#This Row],[مبلغ ناخالص]]-(bargiri[[#This Row],[نرخ استهلاک]]*bargiri[[#This Row],[مقدار]]))</f>
        <v>1263912000</v>
      </c>
    </row>
    <row r="509" spans="1:17" s="22" customFormat="1" ht="13.8" x14ac:dyDescent="0.25">
      <c r="A509" s="22">
        <v>993</v>
      </c>
      <c r="B509" s="22" t="s">
        <v>772</v>
      </c>
      <c r="C509" s="22" t="s">
        <v>602</v>
      </c>
      <c r="D509" s="22" t="s">
        <v>30</v>
      </c>
      <c r="E509" s="158">
        <v>11400</v>
      </c>
      <c r="F509" s="159">
        <v>142000</v>
      </c>
      <c r="G509" s="159">
        <v>1618800000</v>
      </c>
      <c r="H509" s="159">
        <v>161880000</v>
      </c>
      <c r="I509" s="159">
        <v>1780680000</v>
      </c>
      <c r="J509" s="159">
        <f>bargiri[[#This Row],[مقدار]]*INDEX(invoice[پیش دریافت به ازای هر کیلوگرم],MATCH(bargiri[[#This Row],[شماره سند مبنا]],invoice[شماره پیش فاکتور],0))</f>
        <v>1289947221.3598261</v>
      </c>
      <c r="K509" s="159">
        <f>bargiri[[#This Row],[مبلغ خالص]]-bargiri[[#This Row],[میزان استهلاک پیش دریافتی]]</f>
        <v>490732778.64017391</v>
      </c>
      <c r="L509" s="160" t="s">
        <v>593</v>
      </c>
      <c r="M509" s="159"/>
      <c r="N509" s="159">
        <f>IF(bargiri[[#This Row],[مبلغ واریزی]]&lt;&gt;"",bargiri[[#This Row],[مانده مبلغ]]-bargiri[[#This Row],[مبلغ واریزی]],bargiri[[#This Row],[مانده مبلغ]])</f>
        <v>490732778.64017391</v>
      </c>
      <c r="O509" s="159" t="s">
        <v>593</v>
      </c>
      <c r="P509" s="159">
        <f>VLOOKUP(bargiri[[#This Row],[شماره سند مبنا]],invoice[[شماره پیش فاکتور]:[پیش دریافت به ازای هر کیلوگرم]],14,0)</f>
        <v>113153.2650315637</v>
      </c>
      <c r="Q509" s="159">
        <f>IF(bargiri[[#This Row],[مبلغ ناخالص]]-(bargiri[[#This Row],[نرخ استهلاک]]*bargiri[[#This Row],[مقدار]])&lt;0,0,bargiri[[#This Row],[مبلغ ناخالص]]-(bargiri[[#This Row],[نرخ استهلاک]]*bargiri[[#This Row],[مقدار]]))</f>
        <v>328852778.64017391</v>
      </c>
    </row>
    <row r="510" spans="1:17" s="22" customFormat="1" ht="13.8" x14ac:dyDescent="0.25">
      <c r="A510" s="22">
        <v>992</v>
      </c>
      <c r="B510" s="22" t="s">
        <v>772</v>
      </c>
      <c r="C510" s="22" t="s">
        <v>461</v>
      </c>
      <c r="D510" s="22" t="s">
        <v>35</v>
      </c>
      <c r="E510" s="158">
        <v>20150</v>
      </c>
      <c r="F510" s="159">
        <v>142000</v>
      </c>
      <c r="G510" s="159">
        <v>2861300000</v>
      </c>
      <c r="H510" s="159">
        <v>286130000</v>
      </c>
      <c r="I510" s="159">
        <v>3147430000</v>
      </c>
      <c r="J510" s="159">
        <f>bargiri[[#This Row],[مقدار]]*INDEX(invoice[پیش دریافت به ازای هر کیلوگرم],MATCH(bargiri[[#This Row],[شماره سند مبنا]],invoice[شماره پیش فاکتور],0))</f>
        <v>661287769.70355725</v>
      </c>
      <c r="K510" s="159">
        <f>bargiri[[#This Row],[مبلغ خالص]]-bargiri[[#This Row],[میزان استهلاک پیش دریافتی]]</f>
        <v>2486142230.296443</v>
      </c>
      <c r="L510" s="160" t="s">
        <v>593</v>
      </c>
      <c r="M510" s="159"/>
      <c r="N510" s="159">
        <f>IF(bargiri[[#This Row],[مبلغ واریزی]]&lt;&gt;"",bargiri[[#This Row],[مانده مبلغ]]-bargiri[[#This Row],[مبلغ واریزی]],bargiri[[#This Row],[مانده مبلغ]])</f>
        <v>2486142230.296443</v>
      </c>
      <c r="O510" s="159" t="s">
        <v>593</v>
      </c>
      <c r="P510" s="159">
        <f>VLOOKUP(bargiri[[#This Row],[شماره سند مبنا]],invoice[[شماره پیش فاکتور]:[پیش دریافت به ازای هر کیلوگرم]],14,0)</f>
        <v>32818.251598191426</v>
      </c>
      <c r="Q510" s="159">
        <f>IF(bargiri[[#This Row],[مبلغ ناخالص]]-(bargiri[[#This Row],[نرخ استهلاک]]*bargiri[[#This Row],[مقدار]])&lt;0,0,bargiri[[#This Row],[مبلغ ناخالص]]-(bargiri[[#This Row],[نرخ استهلاک]]*bargiri[[#This Row],[مقدار]]))</f>
        <v>2200012230.296443</v>
      </c>
    </row>
    <row r="511" spans="1:17" s="22" customFormat="1" ht="13.8" x14ac:dyDescent="0.25">
      <c r="A511" s="22">
        <v>991</v>
      </c>
      <c r="B511" s="22" t="s">
        <v>772</v>
      </c>
      <c r="C511" s="22" t="s">
        <v>187</v>
      </c>
      <c r="D511" s="22" t="s">
        <v>43</v>
      </c>
      <c r="E511" s="158">
        <v>17195</v>
      </c>
      <c r="F511" s="159">
        <v>80000</v>
      </c>
      <c r="G511" s="159">
        <v>1375600000</v>
      </c>
      <c r="H511" s="159">
        <v>137560000</v>
      </c>
      <c r="I511" s="159">
        <v>1513160000</v>
      </c>
      <c r="J511" s="159">
        <f>bargiri[[#This Row],[مقدار]]*INDEX(invoice[پیش دریافت به ازای هر کیلوگرم],MATCH(bargiri[[#This Row],[شماره سند مبنا]],invoice[شماره پیش فاکتور],0))</f>
        <v>302632000</v>
      </c>
      <c r="K511" s="159">
        <f>bargiri[[#This Row],[مبلغ خالص]]-bargiri[[#This Row],[میزان استهلاک پیش دریافتی]]</f>
        <v>1210528000</v>
      </c>
      <c r="L511" s="160" t="s">
        <v>593</v>
      </c>
      <c r="M511" s="159"/>
      <c r="N511" s="159">
        <f>IF(bargiri[[#This Row],[مبلغ واریزی]]&lt;&gt;"",bargiri[[#This Row],[مانده مبلغ]]-bargiri[[#This Row],[مبلغ واریزی]],bargiri[[#This Row],[مانده مبلغ]])</f>
        <v>1210528000</v>
      </c>
      <c r="O511" s="159" t="s">
        <v>593</v>
      </c>
      <c r="P511" s="159">
        <f>VLOOKUP(bargiri[[#This Row],[شماره سند مبنا]],invoice[[شماره پیش فاکتور]:[پیش دریافت به ازای هر کیلوگرم]],14,0)</f>
        <v>17600</v>
      </c>
      <c r="Q511" s="159">
        <f>IF(bargiri[[#This Row],[مبلغ ناخالص]]-(bargiri[[#This Row],[نرخ استهلاک]]*bargiri[[#This Row],[مقدار]])&lt;0,0,bargiri[[#This Row],[مبلغ ناخالص]]-(bargiri[[#This Row],[نرخ استهلاک]]*bargiri[[#This Row],[مقدار]]))</f>
        <v>1072968000</v>
      </c>
    </row>
    <row r="512" spans="1:17" s="22" customFormat="1" ht="13.8" x14ac:dyDescent="0.25">
      <c r="A512" s="22">
        <v>990</v>
      </c>
      <c r="B512" s="22" t="s">
        <v>772</v>
      </c>
      <c r="C512" s="22" t="s">
        <v>728</v>
      </c>
      <c r="D512" s="22" t="s">
        <v>40</v>
      </c>
      <c r="E512" s="158">
        <v>20015</v>
      </c>
      <c r="F512" s="159">
        <v>167500</v>
      </c>
      <c r="G512" s="159">
        <v>3352512500</v>
      </c>
      <c r="H512" s="159">
        <v>335251250</v>
      </c>
      <c r="I512" s="159">
        <v>3687763750</v>
      </c>
      <c r="J512" s="159">
        <f>bargiri[[#This Row],[مقدار]]*INDEX(invoice[پیش دریافت به ازای هر کیلوگرم],MATCH(bargiri[[#This Row],[شماره سند مبنا]],invoice[شماره پیش فاکتور],0))</f>
        <v>3687763750</v>
      </c>
      <c r="K512" s="159">
        <f>bargiri[[#This Row],[مبلغ خالص]]-bargiri[[#This Row],[میزان استهلاک پیش دریافتی]]</f>
        <v>0</v>
      </c>
      <c r="L512" s="160" t="s">
        <v>593</v>
      </c>
      <c r="M512" s="159"/>
      <c r="N512" s="159">
        <f>IF(bargiri[[#This Row],[مبلغ واریزی]]&lt;&gt;"",bargiri[[#This Row],[مانده مبلغ]]-bargiri[[#This Row],[مبلغ واریزی]],bargiri[[#This Row],[مانده مبلغ]])</f>
        <v>0</v>
      </c>
      <c r="O512" s="159" t="s">
        <v>593</v>
      </c>
      <c r="P512" s="159">
        <f>VLOOKUP(bargiri[[#This Row],[شماره سند مبنا]],invoice[[شماره پیش فاکتور]:[پیش دریافت به ازای هر کیلوگرم]],14,0)</f>
        <v>184250</v>
      </c>
      <c r="Q512" s="159">
        <f>IF(bargiri[[#This Row],[مبلغ ناخالص]]-(bargiri[[#This Row],[نرخ استهلاک]]*bargiri[[#This Row],[مقدار]])&lt;0,0,bargiri[[#This Row],[مبلغ ناخالص]]-(bargiri[[#This Row],[نرخ استهلاک]]*bargiri[[#This Row],[مقدار]]))</f>
        <v>0</v>
      </c>
    </row>
    <row r="513" spans="1:17" s="22" customFormat="1" ht="13.8" x14ac:dyDescent="0.25">
      <c r="A513" s="22">
        <v>989</v>
      </c>
      <c r="B513" s="22" t="s">
        <v>772</v>
      </c>
      <c r="C513" s="22" t="s">
        <v>700</v>
      </c>
      <c r="D513" s="22" t="s">
        <v>67</v>
      </c>
      <c r="E513" s="158">
        <v>20315</v>
      </c>
      <c r="F513" s="159">
        <v>74000</v>
      </c>
      <c r="G513" s="159">
        <v>1503310000</v>
      </c>
      <c r="H513" s="159">
        <v>150331000</v>
      </c>
      <c r="I513" s="159">
        <v>1653641000</v>
      </c>
      <c r="J513" s="159">
        <f>bargiri[[#This Row],[مقدار]]*INDEX(invoice[پیش دریافت به ازای هر کیلوگرم],MATCH(bargiri[[#This Row],[شماره سند مبنا]],invoice[شماره پیش فاکتور],0))</f>
        <v>248046150</v>
      </c>
      <c r="K513" s="159">
        <f>bargiri[[#This Row],[مبلغ خالص]]-bargiri[[#This Row],[میزان استهلاک پیش دریافتی]]</f>
        <v>1405594850</v>
      </c>
      <c r="L513" s="160" t="s">
        <v>593</v>
      </c>
      <c r="M513" s="159"/>
      <c r="N513" s="159">
        <f>IF(bargiri[[#This Row],[مبلغ واریزی]]&lt;&gt;"",bargiri[[#This Row],[مانده مبلغ]]-bargiri[[#This Row],[مبلغ واریزی]],bargiri[[#This Row],[مانده مبلغ]])</f>
        <v>1405594850</v>
      </c>
      <c r="O513" s="159" t="s">
        <v>593</v>
      </c>
      <c r="P513" s="159">
        <f>VLOOKUP(bargiri[[#This Row],[شماره سند مبنا]],invoice[[شماره پیش فاکتور]:[پیش دریافت به ازای هر کیلوگرم]],14,0)</f>
        <v>12210</v>
      </c>
      <c r="Q513" s="159">
        <f>IF(bargiri[[#This Row],[مبلغ ناخالص]]-(bargiri[[#This Row],[نرخ استهلاک]]*bargiri[[#This Row],[مقدار]])&lt;0,0,bargiri[[#This Row],[مبلغ ناخالص]]-(bargiri[[#This Row],[نرخ استهلاک]]*bargiri[[#This Row],[مقدار]]))</f>
        <v>1255263850</v>
      </c>
    </row>
    <row r="514" spans="1:17" s="22" customFormat="1" ht="13.8" x14ac:dyDescent="0.25">
      <c r="A514" s="22">
        <v>988</v>
      </c>
      <c r="B514" s="22" t="s">
        <v>773</v>
      </c>
      <c r="C514" s="22" t="s">
        <v>729</v>
      </c>
      <c r="D514" s="22" t="s">
        <v>17</v>
      </c>
      <c r="E514" s="158">
        <v>8395</v>
      </c>
      <c r="F514" s="159">
        <v>167500</v>
      </c>
      <c r="G514" s="159">
        <v>1406162500</v>
      </c>
      <c r="H514" s="159">
        <v>140616250</v>
      </c>
      <c r="I514" s="159">
        <v>1546778750</v>
      </c>
      <c r="J514" s="159">
        <f>bargiri[[#This Row],[مقدار]]*INDEX(invoice[پیش دریافت به ازای هر کیلوگرم],MATCH(bargiri[[#This Row],[شماره سند مبنا]],invoice[شماره پیش فاکتور],0))</f>
        <v>1546778750</v>
      </c>
      <c r="K514" s="159">
        <f>bargiri[[#This Row],[مبلغ خالص]]-bargiri[[#This Row],[میزان استهلاک پیش دریافتی]]</f>
        <v>0</v>
      </c>
      <c r="L514" s="160" t="s">
        <v>593</v>
      </c>
      <c r="M514" s="159"/>
      <c r="N514" s="159">
        <f>IF(bargiri[[#This Row],[مبلغ واریزی]]&lt;&gt;"",bargiri[[#This Row],[مانده مبلغ]]-bargiri[[#This Row],[مبلغ واریزی]],bargiri[[#This Row],[مانده مبلغ]])</f>
        <v>0</v>
      </c>
      <c r="O514" s="159" t="s">
        <v>593</v>
      </c>
      <c r="P514" s="159">
        <f>VLOOKUP(bargiri[[#This Row],[شماره سند مبنا]],invoice[[شماره پیش فاکتور]:[پیش دریافت به ازای هر کیلوگرم]],14,0)</f>
        <v>184250</v>
      </c>
      <c r="Q514" s="159">
        <f>IF(bargiri[[#This Row],[مبلغ ناخالص]]-(bargiri[[#This Row],[نرخ استهلاک]]*bargiri[[#This Row],[مقدار]])&lt;0,0,bargiri[[#This Row],[مبلغ ناخالص]]-(bargiri[[#This Row],[نرخ استهلاک]]*bargiri[[#This Row],[مقدار]]))</f>
        <v>0</v>
      </c>
    </row>
    <row r="515" spans="1:17" s="22" customFormat="1" ht="13.8" x14ac:dyDescent="0.25">
      <c r="A515" s="22">
        <v>988</v>
      </c>
      <c r="B515" s="22" t="s">
        <v>773</v>
      </c>
      <c r="C515" s="22" t="s">
        <v>734</v>
      </c>
      <c r="D515" s="22" t="s">
        <v>17</v>
      </c>
      <c r="E515" s="158">
        <v>14665</v>
      </c>
      <c r="F515" s="159">
        <v>116500</v>
      </c>
      <c r="G515" s="159">
        <v>1708472500</v>
      </c>
      <c r="H515" s="159">
        <v>170847250</v>
      </c>
      <c r="I515" s="159">
        <v>1879319750</v>
      </c>
      <c r="J515" s="159">
        <f>bargiri[[#This Row],[مقدار]]*INDEX(invoice[پیش دریافت به ازای هر کیلوگرم],MATCH(bargiri[[#This Row],[شماره سند مبنا]],invoice[شماره پیش فاکتور],0))</f>
        <v>281897962.5</v>
      </c>
      <c r="K515" s="159">
        <f>bargiri[[#This Row],[مبلغ خالص]]-bargiri[[#This Row],[میزان استهلاک پیش دریافتی]]</f>
        <v>1597421787.5</v>
      </c>
      <c r="L515" s="160" t="s">
        <v>593</v>
      </c>
      <c r="M515" s="159"/>
      <c r="N515" s="159">
        <f>IF(bargiri[[#This Row],[مبلغ واریزی]]&lt;&gt;"",bargiri[[#This Row],[مانده مبلغ]]-bargiri[[#This Row],[مبلغ واریزی]],bargiri[[#This Row],[مانده مبلغ]])</f>
        <v>1597421787.5</v>
      </c>
      <c r="O515" s="159" t="s">
        <v>593</v>
      </c>
      <c r="P515" s="159">
        <f>VLOOKUP(bargiri[[#This Row],[شماره سند مبنا]],invoice[[شماره پیش فاکتور]:[پیش دریافت به ازای هر کیلوگرم]],14,0)</f>
        <v>19222.5</v>
      </c>
      <c r="Q515" s="159">
        <f>IF(bargiri[[#This Row],[مبلغ ناخالص]]-(bargiri[[#This Row],[نرخ استهلاک]]*bargiri[[#This Row],[مقدار]])&lt;0,0,bargiri[[#This Row],[مبلغ ناخالص]]-(bargiri[[#This Row],[نرخ استهلاک]]*bargiri[[#This Row],[مقدار]]))</f>
        <v>1426574537.5</v>
      </c>
    </row>
    <row r="516" spans="1:17" s="22" customFormat="1" ht="13.8" x14ac:dyDescent="0.25">
      <c r="A516" s="22">
        <v>987</v>
      </c>
      <c r="B516" s="22" t="s">
        <v>773</v>
      </c>
      <c r="C516" s="22" t="s">
        <v>715</v>
      </c>
      <c r="D516" s="22" t="s">
        <v>67</v>
      </c>
      <c r="E516" s="158">
        <v>20120</v>
      </c>
      <c r="F516" s="159">
        <v>167500</v>
      </c>
      <c r="G516" s="159">
        <v>3370100000</v>
      </c>
      <c r="H516" s="159">
        <v>337010000</v>
      </c>
      <c r="I516" s="159">
        <v>3707110000</v>
      </c>
      <c r="J516" s="159">
        <f>bargiri[[#This Row],[مقدار]]*INDEX(invoice[پیش دریافت به ازای هر کیلوگرم],MATCH(bargiri[[#This Row],[شماره سند مبنا]],invoice[شماره پیش فاکتور],0))</f>
        <v>3707110000</v>
      </c>
      <c r="K516" s="159">
        <f>bargiri[[#This Row],[مبلغ خالص]]-bargiri[[#This Row],[میزان استهلاک پیش دریافتی]]</f>
        <v>0</v>
      </c>
      <c r="L516" s="160" t="s">
        <v>593</v>
      </c>
      <c r="M516" s="159"/>
      <c r="N516" s="159">
        <f>IF(bargiri[[#This Row],[مبلغ واریزی]]&lt;&gt;"",bargiri[[#This Row],[مانده مبلغ]]-bargiri[[#This Row],[مبلغ واریزی]],bargiri[[#This Row],[مانده مبلغ]])</f>
        <v>0</v>
      </c>
      <c r="O516" s="159" t="s">
        <v>593</v>
      </c>
      <c r="P516" s="159">
        <f>VLOOKUP(bargiri[[#This Row],[شماره سند مبنا]],invoice[[شماره پیش فاکتور]:[پیش دریافت به ازای هر کیلوگرم]],14,0)</f>
        <v>184250</v>
      </c>
      <c r="Q516" s="159">
        <f>IF(bargiri[[#This Row],[مبلغ ناخالص]]-(bargiri[[#This Row],[نرخ استهلاک]]*bargiri[[#This Row],[مقدار]])&lt;0,0,bargiri[[#This Row],[مبلغ ناخالص]]-(bargiri[[#This Row],[نرخ استهلاک]]*bargiri[[#This Row],[مقدار]]))</f>
        <v>0</v>
      </c>
    </row>
    <row r="517" spans="1:17" s="22" customFormat="1" ht="13.8" x14ac:dyDescent="0.25">
      <c r="A517" s="22">
        <v>986</v>
      </c>
      <c r="B517" s="22" t="s">
        <v>773</v>
      </c>
      <c r="C517" s="22" t="s">
        <v>678</v>
      </c>
      <c r="D517" s="22" t="s">
        <v>70</v>
      </c>
      <c r="E517" s="158">
        <v>20275</v>
      </c>
      <c r="F517" s="159">
        <v>116500</v>
      </c>
      <c r="G517" s="159">
        <v>2362037500</v>
      </c>
      <c r="H517" s="159">
        <v>236203750</v>
      </c>
      <c r="I517" s="159">
        <v>2598241250</v>
      </c>
      <c r="J517" s="159">
        <f>bargiri[[#This Row],[مقدار]]*INDEX(invoice[پیش دریافت به ازای هر کیلوگرم],MATCH(bargiri[[#This Row],[شماره سند مبنا]],invoice[شماره پیش فاکتور],0))</f>
        <v>389736187.5</v>
      </c>
      <c r="K517" s="159">
        <f>bargiri[[#This Row],[مبلغ خالص]]-bargiri[[#This Row],[میزان استهلاک پیش دریافتی]]</f>
        <v>2208505062.5</v>
      </c>
      <c r="L517" s="160" t="s">
        <v>593</v>
      </c>
      <c r="M517" s="159"/>
      <c r="N517" s="159">
        <f>IF(bargiri[[#This Row],[مبلغ واریزی]]&lt;&gt;"",bargiri[[#This Row],[مانده مبلغ]]-bargiri[[#This Row],[مبلغ واریزی]],bargiri[[#This Row],[مانده مبلغ]])</f>
        <v>2208505062.5</v>
      </c>
      <c r="O517" s="159" t="s">
        <v>593</v>
      </c>
      <c r="P517" s="159">
        <f>VLOOKUP(bargiri[[#This Row],[شماره سند مبنا]],invoice[[شماره پیش فاکتور]:[پیش دریافت به ازای هر کیلوگرم]],14,0)</f>
        <v>19222.5</v>
      </c>
      <c r="Q517" s="159">
        <f>IF(bargiri[[#This Row],[مبلغ ناخالص]]-(bargiri[[#This Row],[نرخ استهلاک]]*bargiri[[#This Row],[مقدار]])&lt;0,0,bargiri[[#This Row],[مبلغ ناخالص]]-(bargiri[[#This Row],[نرخ استهلاک]]*bargiri[[#This Row],[مقدار]]))</f>
        <v>1972301312.5</v>
      </c>
    </row>
    <row r="518" spans="1:17" s="22" customFormat="1" ht="13.8" x14ac:dyDescent="0.25">
      <c r="A518" s="22">
        <v>985</v>
      </c>
      <c r="B518" s="22" t="s">
        <v>773</v>
      </c>
      <c r="C518" s="22" t="s">
        <v>644</v>
      </c>
      <c r="D518" s="22" t="s">
        <v>67</v>
      </c>
      <c r="E518" s="158">
        <v>12365</v>
      </c>
      <c r="F518" s="159">
        <v>95000</v>
      </c>
      <c r="G518" s="159">
        <v>1174675000</v>
      </c>
      <c r="H518" s="159">
        <v>117467500</v>
      </c>
      <c r="I518" s="159">
        <v>1292142500</v>
      </c>
      <c r="J518" s="159">
        <f>bargiri[[#This Row],[مقدار]]*INDEX(invoice[پیش دریافت به ازای هر کیلوگرم],MATCH(bargiri[[#This Row],[شماره سند مبنا]],invoice[شماره پیش فاکتور],0))</f>
        <v>375967282.74160928</v>
      </c>
      <c r="K518" s="159">
        <f>bargiri[[#This Row],[مبلغ خالص]]-bargiri[[#This Row],[میزان استهلاک پیش دریافتی]]</f>
        <v>916175217.25839067</v>
      </c>
      <c r="L518" s="160" t="s">
        <v>593</v>
      </c>
      <c r="M518" s="159"/>
      <c r="N518" s="159">
        <f>IF(bargiri[[#This Row],[مبلغ واریزی]]&lt;&gt;"",bargiri[[#This Row],[مانده مبلغ]]-bargiri[[#This Row],[مبلغ واریزی]],bargiri[[#This Row],[مانده مبلغ]])</f>
        <v>916175217.25839067</v>
      </c>
      <c r="O518" s="159" t="s">
        <v>593</v>
      </c>
      <c r="P518" s="159">
        <f>VLOOKUP(bargiri[[#This Row],[شماره سند مبنا]],invoice[[شماره پیش فاکتور]:[پیش دریافت به ازای هر کیلوگرم]],14,0)</f>
        <v>30405.764880033101</v>
      </c>
      <c r="Q518" s="159">
        <f>IF(bargiri[[#This Row],[مبلغ ناخالص]]-(bargiri[[#This Row],[نرخ استهلاک]]*bargiri[[#This Row],[مقدار]])&lt;0,0,bargiri[[#This Row],[مبلغ ناخالص]]-(bargiri[[#This Row],[نرخ استهلاک]]*bargiri[[#This Row],[مقدار]]))</f>
        <v>798707717.25839067</v>
      </c>
    </row>
    <row r="519" spans="1:17" s="22" customFormat="1" ht="13.8" x14ac:dyDescent="0.25">
      <c r="A519" s="22">
        <v>984</v>
      </c>
      <c r="B519" s="22" t="s">
        <v>774</v>
      </c>
      <c r="C519" s="22" t="s">
        <v>187</v>
      </c>
      <c r="D519" s="22" t="s">
        <v>43</v>
      </c>
      <c r="E519" s="158">
        <v>14290</v>
      </c>
      <c r="F519" s="159">
        <v>80000</v>
      </c>
      <c r="G519" s="159">
        <v>1143200000</v>
      </c>
      <c r="H519" s="159">
        <v>114320000</v>
      </c>
      <c r="I519" s="159">
        <v>1257520000</v>
      </c>
      <c r="J519" s="159">
        <f>bargiri[[#This Row],[مقدار]]*INDEX(invoice[پیش دریافت به ازای هر کیلوگرم],MATCH(bargiri[[#This Row],[شماره سند مبنا]],invoice[شماره پیش فاکتور],0))</f>
        <v>251504000</v>
      </c>
      <c r="K519" s="159">
        <f>bargiri[[#This Row],[مبلغ خالص]]-bargiri[[#This Row],[میزان استهلاک پیش دریافتی]]</f>
        <v>1006016000</v>
      </c>
      <c r="L519" s="160" t="s">
        <v>192</v>
      </c>
      <c r="M519" s="159"/>
      <c r="N519" s="159">
        <f>IF(bargiri[[#This Row],[مبلغ واریزی]]&lt;&gt;"",bargiri[[#This Row],[مانده مبلغ]]-bargiri[[#This Row],[مبلغ واریزی]],bargiri[[#This Row],[مانده مبلغ]])</f>
        <v>1006016000</v>
      </c>
      <c r="O519" s="159">
        <v>0</v>
      </c>
      <c r="P519" s="159">
        <f>VLOOKUP(bargiri[[#This Row],[شماره سند مبنا]],invoice[[شماره پیش فاکتور]:[پیش دریافت به ازای هر کیلوگرم]],14,0)</f>
        <v>17600</v>
      </c>
      <c r="Q519" s="159">
        <f>IF(bargiri[[#This Row],[مبلغ ناخالص]]-(bargiri[[#This Row],[نرخ استهلاک]]*bargiri[[#This Row],[مقدار]])&lt;0,0,bargiri[[#This Row],[مبلغ ناخالص]]-(bargiri[[#This Row],[نرخ استهلاک]]*bargiri[[#This Row],[مقدار]]))</f>
        <v>891696000</v>
      </c>
    </row>
    <row r="520" spans="1:17" s="22" customFormat="1" ht="13.8" x14ac:dyDescent="0.25">
      <c r="A520" s="22">
        <v>983</v>
      </c>
      <c r="B520" s="22" t="s">
        <v>774</v>
      </c>
      <c r="C520" s="22" t="s">
        <v>615</v>
      </c>
      <c r="D520" s="22" t="s">
        <v>25</v>
      </c>
      <c r="E520" s="158">
        <v>20360</v>
      </c>
      <c r="F520" s="159">
        <v>75000</v>
      </c>
      <c r="G520" s="159">
        <v>1527000000</v>
      </c>
      <c r="H520" s="159">
        <v>152700000</v>
      </c>
      <c r="I520" s="159">
        <v>1679700000</v>
      </c>
      <c r="J520" s="159">
        <f>bargiri[[#This Row],[مقدار]]*INDEX(invoice[پیش دریافت به ازای هر کیلوگرم],MATCH(bargiri[[#This Row],[شماره سند مبنا]],invoice[شماره پیش فاکتور],0))</f>
        <v>251955000.00000003</v>
      </c>
      <c r="K520" s="159">
        <f>bargiri[[#This Row],[مبلغ خالص]]-bargiri[[#This Row],[میزان استهلاک پیش دریافتی]]</f>
        <v>1427745000</v>
      </c>
      <c r="L520" s="160" t="s">
        <v>593</v>
      </c>
      <c r="M520" s="159"/>
      <c r="N520" s="159">
        <f>IF(bargiri[[#This Row],[مبلغ واریزی]]&lt;&gt;"",bargiri[[#This Row],[مانده مبلغ]]-bargiri[[#This Row],[مبلغ واریزی]],bargiri[[#This Row],[مانده مبلغ]])</f>
        <v>1427745000</v>
      </c>
      <c r="O520" s="159" t="s">
        <v>593</v>
      </c>
      <c r="P520" s="159">
        <f>VLOOKUP(bargiri[[#This Row],[شماره سند مبنا]],invoice[[شماره پیش فاکتور]:[پیش دریافت به ازای هر کیلوگرم]],14,0)</f>
        <v>12375.000000000002</v>
      </c>
      <c r="Q520" s="159">
        <f>IF(bargiri[[#This Row],[مبلغ ناخالص]]-(bargiri[[#This Row],[نرخ استهلاک]]*bargiri[[#This Row],[مقدار]])&lt;0,0,bargiri[[#This Row],[مبلغ ناخالص]]-(bargiri[[#This Row],[نرخ استهلاک]]*bargiri[[#This Row],[مقدار]]))</f>
        <v>1275045000</v>
      </c>
    </row>
    <row r="521" spans="1:17" s="22" customFormat="1" ht="13.8" x14ac:dyDescent="0.25">
      <c r="A521" s="22">
        <v>982</v>
      </c>
      <c r="B521" s="22" t="s">
        <v>774</v>
      </c>
      <c r="C521" s="22" t="s">
        <v>208</v>
      </c>
      <c r="D521" s="22" t="s">
        <v>30</v>
      </c>
      <c r="E521" s="158">
        <v>11070</v>
      </c>
      <c r="F521" s="159">
        <v>89000</v>
      </c>
      <c r="G521" s="159">
        <v>985230000</v>
      </c>
      <c r="H521" s="159">
        <v>98523000</v>
      </c>
      <c r="I521" s="159">
        <v>1083753000</v>
      </c>
      <c r="J521" s="159">
        <f>bargiri[[#This Row],[مقدار]]*INDEX(invoice[پیش دریافت به ازای هر کیلوگرم],MATCH(bargiri[[#This Row],[شماره سند مبنا]],invoice[شماره پیش فاکتور],0))</f>
        <v>1083753000</v>
      </c>
      <c r="K521" s="159">
        <f>bargiri[[#This Row],[مبلغ خالص]]-bargiri[[#This Row],[میزان استهلاک پیش دریافتی]]</f>
        <v>0</v>
      </c>
      <c r="L521" s="160" t="s">
        <v>151</v>
      </c>
      <c r="M521" s="159"/>
      <c r="N521" s="159">
        <f>IF(bargiri[[#This Row],[مبلغ واریزی]]&lt;&gt;"",bargiri[[#This Row],[مانده مبلغ]]-bargiri[[#This Row],[مبلغ واریزی]],bargiri[[#This Row],[مانده مبلغ]])</f>
        <v>0</v>
      </c>
      <c r="O521" s="159">
        <v>0</v>
      </c>
      <c r="P521" s="159">
        <f>VLOOKUP(bargiri[[#This Row],[شماره سند مبنا]],invoice[[شماره پیش فاکتور]:[پیش دریافت به ازای هر کیلوگرم]],14,0)</f>
        <v>97900</v>
      </c>
      <c r="Q521" s="159">
        <f>IF(bargiri[[#This Row],[مبلغ ناخالص]]-(bargiri[[#This Row],[نرخ استهلاک]]*bargiri[[#This Row],[مقدار]])&lt;0,0,bargiri[[#This Row],[مبلغ ناخالص]]-(bargiri[[#This Row],[نرخ استهلاک]]*bargiri[[#This Row],[مقدار]]))</f>
        <v>0</v>
      </c>
    </row>
    <row r="522" spans="1:17" s="22" customFormat="1" ht="13.8" x14ac:dyDescent="0.25">
      <c r="A522" s="22">
        <v>981</v>
      </c>
      <c r="B522" s="22" t="s">
        <v>737</v>
      </c>
      <c r="C522" s="22" t="s">
        <v>461</v>
      </c>
      <c r="D522" s="22" t="s">
        <v>35</v>
      </c>
      <c r="E522" s="158">
        <v>20045</v>
      </c>
      <c r="F522" s="159">
        <v>142000</v>
      </c>
      <c r="G522" s="159">
        <v>2846390000</v>
      </c>
      <c r="H522" s="159">
        <v>284639000</v>
      </c>
      <c r="I522" s="159">
        <v>3131029000</v>
      </c>
      <c r="J522" s="159">
        <f>bargiri[[#This Row],[مقدار]]*INDEX(invoice[پیش دریافت به ازای هر کیلوگرم],MATCH(bargiri[[#This Row],[شماره سند مبنا]],invoice[شماره پیش فاکتور],0))</f>
        <v>657841853.28574717</v>
      </c>
      <c r="K522" s="159">
        <f>bargiri[[#This Row],[مبلغ خالص]]-bargiri[[#This Row],[میزان استهلاک پیش دریافتی]]</f>
        <v>2473187146.7142529</v>
      </c>
      <c r="L522" s="160" t="s">
        <v>593</v>
      </c>
      <c r="M522" s="159"/>
      <c r="N522" s="159">
        <f>IF(bargiri[[#This Row],[مبلغ واریزی]]&lt;&gt;"",bargiri[[#This Row],[مانده مبلغ]]-bargiri[[#This Row],[مبلغ واریزی]],bargiri[[#This Row],[مانده مبلغ]])</f>
        <v>2473187146.7142529</v>
      </c>
      <c r="O522" s="159" t="s">
        <v>593</v>
      </c>
      <c r="P522" s="159">
        <f>VLOOKUP(bargiri[[#This Row],[شماره سند مبنا]],invoice[[شماره پیش فاکتور]:[پیش دریافت به ازای هر کیلوگرم]],14,0)</f>
        <v>32818.251598191426</v>
      </c>
      <c r="Q522" s="159">
        <f>IF(bargiri[[#This Row],[مبلغ ناخالص]]-(bargiri[[#This Row],[نرخ استهلاک]]*bargiri[[#This Row],[مقدار]])&lt;0,0,bargiri[[#This Row],[مبلغ ناخالص]]-(bargiri[[#This Row],[نرخ استهلاک]]*bargiri[[#This Row],[مقدار]]))</f>
        <v>2188548146.7142529</v>
      </c>
    </row>
    <row r="523" spans="1:17" s="22" customFormat="1" ht="13.8" x14ac:dyDescent="0.25">
      <c r="A523" s="22">
        <v>980</v>
      </c>
      <c r="B523" s="22" t="s">
        <v>737</v>
      </c>
      <c r="C523" s="22" t="s">
        <v>187</v>
      </c>
      <c r="D523" s="22" t="s">
        <v>43</v>
      </c>
      <c r="E523" s="158">
        <v>22280</v>
      </c>
      <c r="F523" s="159">
        <v>80000</v>
      </c>
      <c r="G523" s="159">
        <v>1782400000</v>
      </c>
      <c r="H523" s="159">
        <v>178240000</v>
      </c>
      <c r="I523" s="159">
        <v>1960640000</v>
      </c>
      <c r="J523" s="159">
        <f>bargiri[[#This Row],[مقدار]]*INDEX(invoice[پیش دریافت به ازای هر کیلوگرم],MATCH(bargiri[[#This Row],[شماره سند مبنا]],invoice[شماره پیش فاکتور],0))</f>
        <v>392128000</v>
      </c>
      <c r="K523" s="159">
        <f>bargiri[[#This Row],[مبلغ خالص]]-bargiri[[#This Row],[میزان استهلاک پیش دریافتی]]</f>
        <v>1568512000</v>
      </c>
      <c r="L523" s="160" t="s">
        <v>593</v>
      </c>
      <c r="M523" s="159"/>
      <c r="N523" s="159">
        <f>IF(bargiri[[#This Row],[مبلغ واریزی]]&lt;&gt;"",bargiri[[#This Row],[مانده مبلغ]]-bargiri[[#This Row],[مبلغ واریزی]],bargiri[[#This Row],[مانده مبلغ]])</f>
        <v>1568512000</v>
      </c>
      <c r="O523" s="159" t="s">
        <v>593</v>
      </c>
      <c r="P523" s="159">
        <f>VLOOKUP(bargiri[[#This Row],[شماره سند مبنا]],invoice[[شماره پیش فاکتور]:[پیش دریافت به ازای هر کیلوگرم]],14,0)</f>
        <v>17600</v>
      </c>
      <c r="Q523" s="159">
        <f>IF(bargiri[[#This Row],[مبلغ ناخالص]]-(bargiri[[#This Row],[نرخ استهلاک]]*bargiri[[#This Row],[مقدار]])&lt;0,0,bargiri[[#This Row],[مبلغ ناخالص]]-(bargiri[[#This Row],[نرخ استهلاک]]*bargiri[[#This Row],[مقدار]]))</f>
        <v>1390272000</v>
      </c>
    </row>
    <row r="524" spans="1:17" s="22" customFormat="1" ht="13.8" x14ac:dyDescent="0.25">
      <c r="A524" s="22">
        <v>979</v>
      </c>
      <c r="B524" s="22" t="s">
        <v>775</v>
      </c>
      <c r="C524" s="22" t="s">
        <v>187</v>
      </c>
      <c r="D524" s="22" t="s">
        <v>43</v>
      </c>
      <c r="E524" s="158">
        <v>22245</v>
      </c>
      <c r="F524" s="159">
        <v>80000</v>
      </c>
      <c r="G524" s="159">
        <v>1779600000</v>
      </c>
      <c r="H524" s="159">
        <v>177960000</v>
      </c>
      <c r="I524" s="159">
        <v>1957560000</v>
      </c>
      <c r="J524" s="159">
        <f>bargiri[[#This Row],[مقدار]]*INDEX(invoice[پیش دریافت به ازای هر کیلوگرم],MATCH(bargiri[[#This Row],[شماره سند مبنا]],invoice[شماره پیش فاکتور],0))</f>
        <v>391512000</v>
      </c>
      <c r="K524" s="159">
        <f>bargiri[[#This Row],[مبلغ خالص]]-bargiri[[#This Row],[میزان استهلاک پیش دریافتی]]</f>
        <v>1566048000</v>
      </c>
      <c r="L524" s="160" t="s">
        <v>593</v>
      </c>
      <c r="M524" s="159"/>
      <c r="N524" s="159">
        <f>IF(bargiri[[#This Row],[مبلغ واریزی]]&lt;&gt;"",bargiri[[#This Row],[مانده مبلغ]]-bargiri[[#This Row],[مبلغ واریزی]],bargiri[[#This Row],[مانده مبلغ]])</f>
        <v>1566048000</v>
      </c>
      <c r="O524" s="159" t="s">
        <v>593</v>
      </c>
      <c r="P524" s="159">
        <f>VLOOKUP(bargiri[[#This Row],[شماره سند مبنا]],invoice[[شماره پیش فاکتور]:[پیش دریافت به ازای هر کیلوگرم]],14,0)</f>
        <v>17600</v>
      </c>
      <c r="Q524" s="159">
        <f>IF(bargiri[[#This Row],[مبلغ ناخالص]]-(bargiri[[#This Row],[نرخ استهلاک]]*bargiri[[#This Row],[مقدار]])&lt;0,0,bargiri[[#This Row],[مبلغ ناخالص]]-(bargiri[[#This Row],[نرخ استهلاک]]*bargiri[[#This Row],[مقدار]]))</f>
        <v>1388088000</v>
      </c>
    </row>
    <row r="525" spans="1:17" s="22" customFormat="1" ht="13.8" x14ac:dyDescent="0.25">
      <c r="A525" s="22">
        <v>978</v>
      </c>
      <c r="B525" s="22" t="s">
        <v>775</v>
      </c>
      <c r="C525" s="22" t="s">
        <v>607</v>
      </c>
      <c r="D525" s="22" t="s">
        <v>180</v>
      </c>
      <c r="E525" s="158">
        <v>7785</v>
      </c>
      <c r="F525" s="159">
        <v>142000</v>
      </c>
      <c r="G525" s="159">
        <v>1105470000</v>
      </c>
      <c r="H525" s="159">
        <v>110547000</v>
      </c>
      <c r="I525" s="159">
        <v>1216017000</v>
      </c>
      <c r="J525" s="159">
        <f>bargiri[[#This Row],[مقدار]]*INDEX(invoice[پیش دریافت به ازای هر کیلوگرم],MATCH(bargiri[[#This Row],[شماره سند مبنا]],invoice[شماره پیش فاکتور],0))</f>
        <v>581126039.85981798</v>
      </c>
      <c r="K525" s="159">
        <f>bargiri[[#This Row],[مبلغ خالص]]-bargiri[[#This Row],[میزان استهلاک پیش دریافتی]]</f>
        <v>634890960.14018202</v>
      </c>
      <c r="L525" s="160" t="s">
        <v>593</v>
      </c>
      <c r="M525" s="159"/>
      <c r="N525" s="159">
        <f>IF(bargiri[[#This Row],[مبلغ واریزی]]&lt;&gt;"",bargiri[[#This Row],[مانده مبلغ]]-bargiri[[#This Row],[مبلغ واریزی]],bargiri[[#This Row],[مانده مبلغ]])</f>
        <v>634890960.14018202</v>
      </c>
      <c r="O525" s="159" t="s">
        <v>593</v>
      </c>
      <c r="P525" s="159">
        <f>VLOOKUP(bargiri[[#This Row],[شماره سند مبنا]],invoice[[شماره پیش فاکتور]:[پیش دریافت به ازای هر کیلوگرم]],14,0)</f>
        <v>74646.890155403729</v>
      </c>
      <c r="Q525" s="159">
        <f>IF(bargiri[[#This Row],[مبلغ ناخالص]]-(bargiri[[#This Row],[نرخ استهلاک]]*bargiri[[#This Row],[مقدار]])&lt;0,0,bargiri[[#This Row],[مبلغ ناخالص]]-(bargiri[[#This Row],[نرخ استهلاک]]*bargiri[[#This Row],[مقدار]]))</f>
        <v>524343960.14018202</v>
      </c>
    </row>
    <row r="526" spans="1:17" s="22" customFormat="1" ht="13.8" x14ac:dyDescent="0.25">
      <c r="A526" s="22">
        <v>975</v>
      </c>
      <c r="B526" s="22" t="s">
        <v>776</v>
      </c>
      <c r="C526" s="22" t="s">
        <v>461</v>
      </c>
      <c r="D526" s="22" t="s">
        <v>35</v>
      </c>
      <c r="E526" s="158">
        <v>19980</v>
      </c>
      <c r="F526" s="159">
        <v>142000</v>
      </c>
      <c r="G526" s="159">
        <v>2837160000</v>
      </c>
      <c r="H526" s="159">
        <v>283716000</v>
      </c>
      <c r="I526" s="159">
        <v>3120876000</v>
      </c>
      <c r="J526" s="159">
        <f>bargiri[[#This Row],[مقدار]]*INDEX(invoice[پیش دریافت به ازای هر کیلوگرم],MATCH(bargiri[[#This Row],[شماره سند مبنا]],invoice[شماره پیش فاکتور],0))</f>
        <v>655708666.93186474</v>
      </c>
      <c r="K526" s="159">
        <f>bargiri[[#This Row],[مبلغ خالص]]-bargiri[[#This Row],[میزان استهلاک پیش دریافتی]]</f>
        <v>2465167333.0681353</v>
      </c>
      <c r="L526" s="160" t="s">
        <v>392</v>
      </c>
      <c r="M526" s="159"/>
      <c r="N526" s="159">
        <f>IF(bargiri[[#This Row],[مبلغ واریزی]]&lt;&gt;"",bargiri[[#This Row],[مانده مبلغ]]-bargiri[[#This Row],[مبلغ واریزی]],bargiri[[#This Row],[مانده مبلغ]])</f>
        <v>2465167333.0681353</v>
      </c>
      <c r="O526" s="159">
        <v>0</v>
      </c>
      <c r="P526" s="159">
        <f>VLOOKUP(bargiri[[#This Row],[شماره سند مبنا]],invoice[[شماره پیش فاکتور]:[پیش دریافت به ازای هر کیلوگرم]],14,0)</f>
        <v>32818.251598191426</v>
      </c>
      <c r="Q526" s="159">
        <f>IF(bargiri[[#This Row],[مبلغ ناخالص]]-(bargiri[[#This Row],[نرخ استهلاک]]*bargiri[[#This Row],[مقدار]])&lt;0,0,bargiri[[#This Row],[مبلغ ناخالص]]-(bargiri[[#This Row],[نرخ استهلاک]]*bargiri[[#This Row],[مقدار]]))</f>
        <v>2181451333.0681353</v>
      </c>
    </row>
    <row r="527" spans="1:17" s="22" customFormat="1" ht="13.8" x14ac:dyDescent="0.25">
      <c r="A527" s="22">
        <v>974</v>
      </c>
      <c r="B527" s="22" t="s">
        <v>776</v>
      </c>
      <c r="C527" s="22" t="s">
        <v>464</v>
      </c>
      <c r="D527" s="22" t="s">
        <v>221</v>
      </c>
      <c r="E527" s="158">
        <v>14465</v>
      </c>
      <c r="F527" s="159">
        <v>142000</v>
      </c>
      <c r="G527" s="159">
        <v>2054030000</v>
      </c>
      <c r="H527" s="159">
        <v>205403000</v>
      </c>
      <c r="I527" s="159">
        <v>2259433000</v>
      </c>
      <c r="J527" s="159">
        <f>bargiri[[#This Row],[مقدار]]*INDEX(invoice[پیش دریافت به ازای هر کیلوگرم],MATCH(bargiri[[#This Row],[شماره سند مبنا]],invoice[شماره پیش فاکتور],0))</f>
        <v>338914950</v>
      </c>
      <c r="K527" s="159">
        <f>bargiri[[#This Row],[مبلغ خالص]]-bargiri[[#This Row],[میزان استهلاک پیش دریافتی]]</f>
        <v>1920518050</v>
      </c>
      <c r="L527" s="160" t="s">
        <v>192</v>
      </c>
      <c r="M527" s="159"/>
      <c r="N527" s="159">
        <f>IF(bargiri[[#This Row],[مبلغ واریزی]]&lt;&gt;"",bargiri[[#This Row],[مانده مبلغ]]-bargiri[[#This Row],[مبلغ واریزی]],bargiri[[#This Row],[مانده مبلغ]])</f>
        <v>1920518050</v>
      </c>
      <c r="O527" s="159">
        <v>0</v>
      </c>
      <c r="P527" s="159">
        <f>VLOOKUP(bargiri[[#This Row],[شماره سند مبنا]],invoice[[شماره پیش فاکتور]:[پیش دریافت به ازای هر کیلوگرم]],14,0)</f>
        <v>23430</v>
      </c>
      <c r="Q527" s="159">
        <f>IF(bargiri[[#This Row],[مبلغ ناخالص]]-(bargiri[[#This Row],[نرخ استهلاک]]*bargiri[[#This Row],[مقدار]])&lt;0,0,bargiri[[#This Row],[مبلغ ناخالص]]-(bargiri[[#This Row],[نرخ استهلاک]]*bargiri[[#This Row],[مقدار]]))</f>
        <v>1715115050</v>
      </c>
    </row>
    <row r="528" spans="1:17" s="22" customFormat="1" ht="13.8" x14ac:dyDescent="0.25">
      <c r="A528" s="22">
        <v>973</v>
      </c>
      <c r="B528" s="22" t="s">
        <v>740</v>
      </c>
      <c r="C528" s="22" t="s">
        <v>456</v>
      </c>
      <c r="D528" s="22" t="s">
        <v>213</v>
      </c>
      <c r="E528" s="158">
        <v>7275</v>
      </c>
      <c r="F528" s="159">
        <v>142000</v>
      </c>
      <c r="G528" s="159">
        <v>1033050000</v>
      </c>
      <c r="H528" s="159">
        <v>103305000</v>
      </c>
      <c r="I528" s="159">
        <v>1136355000</v>
      </c>
      <c r="J528" s="159">
        <f>bargiri[[#This Row],[مقدار]]*INDEX(invoice[پیش دریافت به ازای هر کیلوگرم],MATCH(bargiri[[#This Row],[شماره سند مبنا]],invoice[شماره پیش فاکتور],0))</f>
        <v>863281609.33735871</v>
      </c>
      <c r="K528" s="159">
        <f>bargiri[[#This Row],[مبلغ خالص]]-bargiri[[#This Row],[میزان استهلاک پیش دریافتی]]</f>
        <v>273073390.66264129</v>
      </c>
      <c r="L528" s="160" t="s">
        <v>593</v>
      </c>
      <c r="M528" s="159"/>
      <c r="N528" s="159">
        <f>IF(bargiri[[#This Row],[مبلغ واریزی]]&lt;&gt;"",bargiri[[#This Row],[مانده مبلغ]]-bargiri[[#This Row],[مبلغ واریزی]],bargiri[[#This Row],[مانده مبلغ]])</f>
        <v>273073390.66264129</v>
      </c>
      <c r="O528" s="159" t="s">
        <v>593</v>
      </c>
      <c r="P528" s="159">
        <f>VLOOKUP(bargiri[[#This Row],[شماره سند مبنا]],invoice[[شماره پیش فاکتور]:[پیش دریافت به ازای هر کیلوگرم]],14,0)</f>
        <v>118664.13874053041</v>
      </c>
      <c r="Q528" s="159">
        <f>IF(bargiri[[#This Row],[مبلغ ناخالص]]-(bargiri[[#This Row],[نرخ استهلاک]]*bargiri[[#This Row],[مقدار]])&lt;0,0,bargiri[[#This Row],[مبلغ ناخالص]]-(bargiri[[#This Row],[نرخ استهلاک]]*bargiri[[#This Row],[مقدار]]))</f>
        <v>169768390.66264129</v>
      </c>
    </row>
    <row r="529" spans="1:17" s="22" customFormat="1" ht="13.8" x14ac:dyDescent="0.25">
      <c r="A529" s="22">
        <v>972</v>
      </c>
      <c r="B529" s="22" t="s">
        <v>740</v>
      </c>
      <c r="C529" s="22" t="s">
        <v>608</v>
      </c>
      <c r="D529" s="22" t="s">
        <v>40</v>
      </c>
      <c r="E529" s="158">
        <v>17410</v>
      </c>
      <c r="F529" s="159">
        <v>142000</v>
      </c>
      <c r="G529" s="159">
        <v>2472220000</v>
      </c>
      <c r="H529" s="159">
        <v>247222000</v>
      </c>
      <c r="I529" s="159">
        <v>2719442000</v>
      </c>
      <c r="J529" s="159">
        <f>bargiri[[#This Row],[مقدار]]*INDEX(invoice[پیش دریافت به ازای هر کیلوگرم],MATCH(bargiri[[#This Row],[شماره سند مبنا]],invoice[شماره پیش فاکتور],0))</f>
        <v>407916300</v>
      </c>
      <c r="K529" s="159">
        <f>bargiri[[#This Row],[مبلغ خالص]]-bargiri[[#This Row],[میزان استهلاک پیش دریافتی]]</f>
        <v>2311525700</v>
      </c>
      <c r="L529" s="160" t="s">
        <v>593</v>
      </c>
      <c r="M529" s="159"/>
      <c r="N529" s="159">
        <f>IF(bargiri[[#This Row],[مبلغ واریزی]]&lt;&gt;"",bargiri[[#This Row],[مانده مبلغ]]-bargiri[[#This Row],[مبلغ واریزی]],bargiri[[#This Row],[مانده مبلغ]])</f>
        <v>2311525700</v>
      </c>
      <c r="O529" s="159" t="s">
        <v>593</v>
      </c>
      <c r="P529" s="159">
        <f>VLOOKUP(bargiri[[#This Row],[شماره سند مبنا]],invoice[[شماره پیش فاکتور]:[پیش دریافت به ازای هر کیلوگرم]],14,0)</f>
        <v>23430</v>
      </c>
      <c r="Q529" s="159">
        <f>IF(bargiri[[#This Row],[مبلغ ناخالص]]-(bargiri[[#This Row],[نرخ استهلاک]]*bargiri[[#This Row],[مقدار]])&lt;0,0,bargiri[[#This Row],[مبلغ ناخالص]]-(bargiri[[#This Row],[نرخ استهلاک]]*bargiri[[#This Row],[مقدار]]))</f>
        <v>2064303700</v>
      </c>
    </row>
    <row r="530" spans="1:17" s="22" customFormat="1" ht="13.8" x14ac:dyDescent="0.25">
      <c r="A530" s="22">
        <v>972</v>
      </c>
      <c r="B530" s="22" t="s">
        <v>740</v>
      </c>
      <c r="C530" s="22" t="s">
        <v>728</v>
      </c>
      <c r="D530" s="22" t="s">
        <v>40</v>
      </c>
      <c r="E530" s="158">
        <v>2615</v>
      </c>
      <c r="F530" s="159">
        <v>167500</v>
      </c>
      <c r="G530" s="159">
        <v>438012500</v>
      </c>
      <c r="H530" s="159">
        <v>43801250</v>
      </c>
      <c r="I530" s="159">
        <v>481813750</v>
      </c>
      <c r="J530" s="159">
        <f>bargiri[[#This Row],[مقدار]]*INDEX(invoice[پیش دریافت به ازای هر کیلوگرم],MATCH(bargiri[[#This Row],[شماره سند مبنا]],invoice[شماره پیش فاکتور],0))</f>
        <v>481813750</v>
      </c>
      <c r="K530" s="159">
        <f>bargiri[[#This Row],[مبلغ خالص]]-bargiri[[#This Row],[میزان استهلاک پیش دریافتی]]</f>
        <v>0</v>
      </c>
      <c r="L530" s="160" t="s">
        <v>593</v>
      </c>
      <c r="M530" s="159"/>
      <c r="N530" s="159">
        <f>IF(bargiri[[#This Row],[مبلغ واریزی]]&lt;&gt;"",bargiri[[#This Row],[مانده مبلغ]]-bargiri[[#This Row],[مبلغ واریزی]],bargiri[[#This Row],[مانده مبلغ]])</f>
        <v>0</v>
      </c>
      <c r="O530" s="159" t="s">
        <v>593</v>
      </c>
      <c r="P530" s="159">
        <f>VLOOKUP(bargiri[[#This Row],[شماره سند مبنا]],invoice[[شماره پیش فاکتور]:[پیش دریافت به ازای هر کیلوگرم]],14,0)</f>
        <v>184250</v>
      </c>
      <c r="Q530" s="159">
        <f>IF(bargiri[[#This Row],[مبلغ ناخالص]]-(bargiri[[#This Row],[نرخ استهلاک]]*bargiri[[#This Row],[مقدار]])&lt;0,0,bargiri[[#This Row],[مبلغ ناخالص]]-(bargiri[[#This Row],[نرخ استهلاک]]*bargiri[[#This Row],[مقدار]]))</f>
        <v>0</v>
      </c>
    </row>
    <row r="531" spans="1:17" s="22" customFormat="1" ht="13.8" x14ac:dyDescent="0.25">
      <c r="A531" s="22">
        <v>971</v>
      </c>
      <c r="B531" s="22" t="s">
        <v>777</v>
      </c>
      <c r="C531" s="22" t="s">
        <v>602</v>
      </c>
      <c r="D531" s="22" t="s">
        <v>30</v>
      </c>
      <c r="E531" s="158">
        <v>11990</v>
      </c>
      <c r="F531" s="159">
        <v>142000</v>
      </c>
      <c r="G531" s="159">
        <v>1702580000</v>
      </c>
      <c r="H531" s="159">
        <v>170258000</v>
      </c>
      <c r="I531" s="159">
        <v>1872838000</v>
      </c>
      <c r="J531" s="159">
        <f>bargiri[[#This Row],[مقدار]]*INDEX(invoice[پیش دریافت به ازای هر کیلوگرم],MATCH(bargiri[[#This Row],[شماره سند مبنا]],invoice[شماره پیش فاکتور],0))</f>
        <v>1356707647.7284489</v>
      </c>
      <c r="K531" s="159">
        <f>bargiri[[#This Row],[مبلغ خالص]]-bargiri[[#This Row],[میزان استهلاک پیش دریافتی]]</f>
        <v>516130352.27155113</v>
      </c>
      <c r="L531" s="160" t="s">
        <v>593</v>
      </c>
      <c r="M531" s="159"/>
      <c r="N531" s="159">
        <f>IF(bargiri[[#This Row],[مبلغ واریزی]]&lt;&gt;"",bargiri[[#This Row],[مانده مبلغ]]-bargiri[[#This Row],[مبلغ واریزی]],bargiri[[#This Row],[مانده مبلغ]])</f>
        <v>516130352.27155113</v>
      </c>
      <c r="O531" s="159" t="s">
        <v>593</v>
      </c>
      <c r="P531" s="159">
        <f>VLOOKUP(bargiri[[#This Row],[شماره سند مبنا]],invoice[[شماره پیش فاکتور]:[پیش دریافت به ازای هر کیلوگرم]],14,0)</f>
        <v>113153.2650315637</v>
      </c>
      <c r="Q531" s="159">
        <f>IF(bargiri[[#This Row],[مبلغ ناخالص]]-(bargiri[[#This Row],[نرخ استهلاک]]*bargiri[[#This Row],[مقدار]])&lt;0,0,bargiri[[#This Row],[مبلغ ناخالص]]-(bargiri[[#This Row],[نرخ استهلاک]]*bargiri[[#This Row],[مقدار]]))</f>
        <v>345872352.27155113</v>
      </c>
    </row>
    <row r="532" spans="1:17" s="22" customFormat="1" ht="13.8" x14ac:dyDescent="0.25">
      <c r="A532" s="22">
        <v>970</v>
      </c>
      <c r="B532" s="22" t="s">
        <v>777</v>
      </c>
      <c r="C532" s="22" t="s">
        <v>668</v>
      </c>
      <c r="D532" s="22" t="s">
        <v>70</v>
      </c>
      <c r="E532" s="158">
        <v>9625</v>
      </c>
      <c r="F532" s="159">
        <v>116500</v>
      </c>
      <c r="G532" s="159">
        <v>1121312500</v>
      </c>
      <c r="H532" s="159">
        <v>112131250</v>
      </c>
      <c r="I532" s="159">
        <v>1233443750</v>
      </c>
      <c r="J532" s="159">
        <f>bargiri[[#This Row],[مقدار]]*INDEX(invoice[پیش دریافت به ازای هر کیلوگرم],MATCH(bargiri[[#This Row],[شماره سند مبنا]],invoice[شماره پیش فاکتور],0))</f>
        <v>185016562.5</v>
      </c>
      <c r="K532" s="159">
        <f>bargiri[[#This Row],[مبلغ خالص]]-bargiri[[#This Row],[میزان استهلاک پیش دریافتی]]</f>
        <v>1048427187.5</v>
      </c>
      <c r="L532" s="160" t="s">
        <v>593</v>
      </c>
      <c r="M532" s="159"/>
      <c r="N532" s="159">
        <f>IF(bargiri[[#This Row],[مبلغ واریزی]]&lt;&gt;"",bargiri[[#This Row],[مانده مبلغ]]-bargiri[[#This Row],[مبلغ واریزی]],bargiri[[#This Row],[مانده مبلغ]])</f>
        <v>1048427187.5</v>
      </c>
      <c r="O532" s="159" t="s">
        <v>593</v>
      </c>
      <c r="P532" s="159">
        <f>VLOOKUP(bargiri[[#This Row],[شماره سند مبنا]],invoice[[شماره پیش فاکتور]:[پیش دریافت به ازای هر کیلوگرم]],14,0)</f>
        <v>19222.5</v>
      </c>
      <c r="Q532" s="159">
        <f>IF(bargiri[[#This Row],[مبلغ ناخالص]]-(bargiri[[#This Row],[نرخ استهلاک]]*bargiri[[#This Row],[مقدار]])&lt;0,0,bargiri[[#This Row],[مبلغ ناخالص]]-(bargiri[[#This Row],[نرخ استهلاک]]*bargiri[[#This Row],[مقدار]]))</f>
        <v>936295937.5</v>
      </c>
    </row>
    <row r="533" spans="1:17" s="22" customFormat="1" ht="13.8" x14ac:dyDescent="0.25">
      <c r="A533" s="22">
        <v>970</v>
      </c>
      <c r="B533" s="22" t="s">
        <v>777</v>
      </c>
      <c r="C533" s="22" t="s">
        <v>678</v>
      </c>
      <c r="D533" s="22" t="s">
        <v>70</v>
      </c>
      <c r="E533" s="158">
        <v>10445</v>
      </c>
      <c r="F533" s="159">
        <v>116500</v>
      </c>
      <c r="G533" s="159">
        <v>1216842500</v>
      </c>
      <c r="H533" s="159">
        <v>121684250</v>
      </c>
      <c r="I533" s="159">
        <v>1338526750</v>
      </c>
      <c r="J533" s="159">
        <f>bargiri[[#This Row],[مقدار]]*INDEX(invoice[پیش دریافت به ازای هر کیلوگرم],MATCH(bargiri[[#This Row],[شماره سند مبنا]],invoice[شماره پیش فاکتور],0))</f>
        <v>200779012.5</v>
      </c>
      <c r="K533" s="159">
        <f>bargiri[[#This Row],[مبلغ خالص]]-bargiri[[#This Row],[میزان استهلاک پیش دریافتی]]</f>
        <v>1137747737.5</v>
      </c>
      <c r="L533" s="160" t="s">
        <v>291</v>
      </c>
      <c r="M533" s="159"/>
      <c r="N533" s="159">
        <f>IF(bargiri[[#This Row],[مبلغ واریزی]]&lt;&gt;"",bargiri[[#This Row],[مانده مبلغ]]-bargiri[[#This Row],[مبلغ واریزی]],bargiri[[#This Row],[مانده مبلغ]])</f>
        <v>1137747737.5</v>
      </c>
      <c r="O533" s="159">
        <v>0</v>
      </c>
      <c r="P533" s="159">
        <f>VLOOKUP(bargiri[[#This Row],[شماره سند مبنا]],invoice[[شماره پیش فاکتور]:[پیش دریافت به ازای هر کیلوگرم]],14,0)</f>
        <v>19222.5</v>
      </c>
      <c r="Q533" s="159">
        <f>IF(bargiri[[#This Row],[مبلغ ناخالص]]-(bargiri[[#This Row],[نرخ استهلاک]]*bargiri[[#This Row],[مقدار]])&lt;0,0,bargiri[[#This Row],[مبلغ ناخالص]]-(bargiri[[#This Row],[نرخ استهلاک]]*bargiri[[#This Row],[مقدار]]))</f>
        <v>1016063487.5</v>
      </c>
    </row>
    <row r="534" spans="1:17" s="22" customFormat="1" ht="13.8" x14ac:dyDescent="0.25">
      <c r="A534" s="22">
        <v>969</v>
      </c>
      <c r="B534" s="22" t="s">
        <v>777</v>
      </c>
      <c r="C534" s="22" t="s">
        <v>187</v>
      </c>
      <c r="D534" s="22" t="s">
        <v>43</v>
      </c>
      <c r="E534" s="158">
        <v>22240</v>
      </c>
      <c r="F534" s="159">
        <v>80000</v>
      </c>
      <c r="G534" s="159">
        <v>1779200000</v>
      </c>
      <c r="H534" s="159">
        <v>177920000</v>
      </c>
      <c r="I534" s="159">
        <v>1957120000</v>
      </c>
      <c r="J534" s="159">
        <f>bargiri[[#This Row],[مقدار]]*INDEX(invoice[پیش دریافت به ازای هر کیلوگرم],MATCH(bargiri[[#This Row],[شماره سند مبنا]],invoice[شماره پیش فاکتور],0))</f>
        <v>391424000</v>
      </c>
      <c r="K534" s="159">
        <f>bargiri[[#This Row],[مبلغ خالص]]-bargiri[[#This Row],[میزان استهلاک پیش دریافتی]]</f>
        <v>1565696000</v>
      </c>
      <c r="L534" s="160" t="s">
        <v>593</v>
      </c>
      <c r="M534" s="159"/>
      <c r="N534" s="159">
        <f>IF(bargiri[[#This Row],[مبلغ واریزی]]&lt;&gt;"",bargiri[[#This Row],[مانده مبلغ]]-bargiri[[#This Row],[مبلغ واریزی]],bargiri[[#This Row],[مانده مبلغ]])</f>
        <v>1565696000</v>
      </c>
      <c r="O534" s="159" t="s">
        <v>593</v>
      </c>
      <c r="P534" s="159">
        <f>VLOOKUP(bargiri[[#This Row],[شماره سند مبنا]],invoice[[شماره پیش فاکتور]:[پیش دریافت به ازای هر کیلوگرم]],14,0)</f>
        <v>17600</v>
      </c>
      <c r="Q534" s="159">
        <f>IF(bargiri[[#This Row],[مبلغ ناخالص]]-(bargiri[[#This Row],[نرخ استهلاک]]*bargiri[[#This Row],[مقدار]])&lt;0,0,bargiri[[#This Row],[مبلغ ناخالص]]-(bargiri[[#This Row],[نرخ استهلاک]]*bargiri[[#This Row],[مقدار]]))</f>
        <v>1387776000</v>
      </c>
    </row>
    <row r="535" spans="1:17" s="22" customFormat="1" ht="13.8" x14ac:dyDescent="0.25">
      <c r="A535" s="22">
        <v>968</v>
      </c>
      <c r="B535" s="22" t="s">
        <v>778</v>
      </c>
      <c r="C535" s="22" t="s">
        <v>119</v>
      </c>
      <c r="D535" s="22" t="s">
        <v>25</v>
      </c>
      <c r="E535" s="158">
        <v>4430</v>
      </c>
      <c r="F535" s="159">
        <v>75000</v>
      </c>
      <c r="G535" s="159">
        <v>332250000</v>
      </c>
      <c r="H535" s="159">
        <v>33225000</v>
      </c>
      <c r="I535" s="159">
        <v>365475000</v>
      </c>
      <c r="J535" s="159">
        <f>bargiri[[#This Row],[مقدار]]*INDEX(invoice[پیش دریافت به ازای هر کیلوگرم],MATCH(bargiri[[#This Row],[شماره سند مبنا]],invoice[شماره پیش فاکتور],0))</f>
        <v>54821250</v>
      </c>
      <c r="K535" s="159">
        <f>bargiri[[#This Row],[مبلغ خالص]]-bargiri[[#This Row],[میزان استهلاک پیش دریافتی]]</f>
        <v>310653750</v>
      </c>
      <c r="L535" s="160" t="s">
        <v>593</v>
      </c>
      <c r="M535" s="159"/>
      <c r="N535" s="159">
        <f>IF(bargiri[[#This Row],[مبلغ واریزی]]&lt;&gt;"",bargiri[[#This Row],[مانده مبلغ]]-bargiri[[#This Row],[مبلغ واریزی]],bargiri[[#This Row],[مانده مبلغ]])</f>
        <v>310653750</v>
      </c>
      <c r="O535" s="159" t="s">
        <v>593</v>
      </c>
      <c r="P535" s="159">
        <f>VLOOKUP(bargiri[[#This Row],[شماره سند مبنا]],invoice[[شماره پیش فاکتور]:[پیش دریافت به ازای هر کیلوگرم]],14,0)</f>
        <v>12375</v>
      </c>
      <c r="Q535" s="159">
        <f>IF(bargiri[[#This Row],[مبلغ ناخالص]]-(bargiri[[#This Row],[نرخ استهلاک]]*bargiri[[#This Row],[مقدار]])&lt;0,0,bargiri[[#This Row],[مبلغ ناخالص]]-(bargiri[[#This Row],[نرخ استهلاک]]*bargiri[[#This Row],[مقدار]]))</f>
        <v>277428750</v>
      </c>
    </row>
    <row r="536" spans="1:17" s="22" customFormat="1" ht="13.8" x14ac:dyDescent="0.25">
      <c r="A536" s="22">
        <v>968</v>
      </c>
      <c r="B536" s="22" t="s">
        <v>778</v>
      </c>
      <c r="C536" s="22" t="s">
        <v>601</v>
      </c>
      <c r="D536" s="22" t="s">
        <v>25</v>
      </c>
      <c r="E536" s="158">
        <v>17725</v>
      </c>
      <c r="F536" s="159">
        <v>142000</v>
      </c>
      <c r="G536" s="159">
        <v>2516950000</v>
      </c>
      <c r="H536" s="159">
        <v>251695000</v>
      </c>
      <c r="I536" s="159">
        <v>2768645000</v>
      </c>
      <c r="J536" s="159">
        <f>bargiri[[#This Row],[مقدار]]*INDEX(invoice[پیش دریافت به ازای هر کیلوگرم],MATCH(bargiri[[#This Row],[شماره سند مبنا]],invoice[شماره پیش فاکتور],0))</f>
        <v>415296750</v>
      </c>
      <c r="K536" s="159">
        <f>bargiri[[#This Row],[مبلغ خالص]]-bargiri[[#This Row],[میزان استهلاک پیش دریافتی]]</f>
        <v>2353348250</v>
      </c>
      <c r="L536" s="160" t="s">
        <v>593</v>
      </c>
      <c r="M536" s="159"/>
      <c r="N536" s="159">
        <f>IF(bargiri[[#This Row],[مبلغ واریزی]]&lt;&gt;"",bargiri[[#This Row],[مانده مبلغ]]-bargiri[[#This Row],[مبلغ واریزی]],bargiri[[#This Row],[مانده مبلغ]])</f>
        <v>2353348250</v>
      </c>
      <c r="O536" s="159" t="s">
        <v>593</v>
      </c>
      <c r="P536" s="159">
        <f>VLOOKUP(bargiri[[#This Row],[شماره سند مبنا]],invoice[[شماره پیش فاکتور]:[پیش دریافت به ازای هر کیلوگرم]],14,0)</f>
        <v>23430</v>
      </c>
      <c r="Q536" s="159">
        <f>IF(bargiri[[#This Row],[مبلغ ناخالص]]-(bargiri[[#This Row],[نرخ استهلاک]]*bargiri[[#This Row],[مقدار]])&lt;0,0,bargiri[[#This Row],[مبلغ ناخالص]]-(bargiri[[#This Row],[نرخ استهلاک]]*bargiri[[#This Row],[مقدار]]))</f>
        <v>2101653250</v>
      </c>
    </row>
    <row r="537" spans="1:17" s="22" customFormat="1" ht="13.8" x14ac:dyDescent="0.25">
      <c r="A537" s="22">
        <v>967</v>
      </c>
      <c r="B537" s="22" t="s">
        <v>778</v>
      </c>
      <c r="C537" s="22" t="s">
        <v>684</v>
      </c>
      <c r="D537" s="22" t="s">
        <v>17</v>
      </c>
      <c r="E537" s="158">
        <v>540</v>
      </c>
      <c r="F537" s="159">
        <v>167500</v>
      </c>
      <c r="G537" s="159">
        <v>90450000</v>
      </c>
      <c r="H537" s="159">
        <v>9045000</v>
      </c>
      <c r="I537" s="159">
        <v>99495000</v>
      </c>
      <c r="J537" s="159">
        <f>bargiri[[#This Row],[مقدار]]*INDEX(invoice[پیش دریافت به ازای هر کیلوگرم],MATCH(bargiri[[#This Row],[شماره سند مبنا]],invoice[شماره پیش فاکتور],0))</f>
        <v>99495000</v>
      </c>
      <c r="K537" s="159">
        <f>bargiri[[#This Row],[مبلغ خالص]]-bargiri[[#This Row],[میزان استهلاک پیش دریافتی]]</f>
        <v>0</v>
      </c>
      <c r="L537" s="160" t="s">
        <v>593</v>
      </c>
      <c r="M537" s="159"/>
      <c r="N537" s="159">
        <f>IF(bargiri[[#This Row],[مبلغ واریزی]]&lt;&gt;"",bargiri[[#This Row],[مانده مبلغ]]-bargiri[[#This Row],[مبلغ واریزی]],bargiri[[#This Row],[مانده مبلغ]])</f>
        <v>0</v>
      </c>
      <c r="O537" s="159" t="s">
        <v>593</v>
      </c>
      <c r="P537" s="159">
        <f>VLOOKUP(bargiri[[#This Row],[شماره سند مبنا]],invoice[[شماره پیش فاکتور]:[پیش دریافت به ازای هر کیلوگرم]],14,0)</f>
        <v>184250</v>
      </c>
      <c r="Q537" s="159">
        <f>IF(bargiri[[#This Row],[مبلغ ناخالص]]-(bargiri[[#This Row],[نرخ استهلاک]]*bargiri[[#This Row],[مقدار]])&lt;0,0,bargiri[[#This Row],[مبلغ ناخالص]]-(bargiri[[#This Row],[نرخ استهلاک]]*bargiri[[#This Row],[مقدار]]))</f>
        <v>0</v>
      </c>
    </row>
    <row r="538" spans="1:17" s="22" customFormat="1" ht="13.8" x14ac:dyDescent="0.25">
      <c r="A538" s="22">
        <v>967</v>
      </c>
      <c r="B538" s="22" t="s">
        <v>778</v>
      </c>
      <c r="C538" s="22" t="s">
        <v>729</v>
      </c>
      <c r="D538" s="22" t="s">
        <v>17</v>
      </c>
      <c r="E538" s="158">
        <v>21605</v>
      </c>
      <c r="F538" s="159">
        <v>167500</v>
      </c>
      <c r="G538" s="159">
        <v>3618837500</v>
      </c>
      <c r="H538" s="159">
        <v>361883750</v>
      </c>
      <c r="I538" s="159">
        <v>3980721250</v>
      </c>
      <c r="J538" s="159">
        <f>bargiri[[#This Row],[مقدار]]*INDEX(invoice[پیش دریافت به ازای هر کیلوگرم],MATCH(bargiri[[#This Row],[شماره سند مبنا]],invoice[شماره پیش فاکتور],0))</f>
        <v>3980721250</v>
      </c>
      <c r="K538" s="159">
        <f>bargiri[[#This Row],[مبلغ خالص]]-bargiri[[#This Row],[میزان استهلاک پیش دریافتی]]</f>
        <v>0</v>
      </c>
      <c r="L538" s="160" t="s">
        <v>593</v>
      </c>
      <c r="M538" s="159"/>
      <c r="N538" s="159">
        <f>IF(bargiri[[#This Row],[مبلغ واریزی]]&lt;&gt;"",bargiri[[#This Row],[مانده مبلغ]]-bargiri[[#This Row],[مبلغ واریزی]],bargiri[[#This Row],[مانده مبلغ]])</f>
        <v>0</v>
      </c>
      <c r="O538" s="159" t="s">
        <v>593</v>
      </c>
      <c r="P538" s="159">
        <f>VLOOKUP(bargiri[[#This Row],[شماره سند مبنا]],invoice[[شماره پیش فاکتور]:[پیش دریافت به ازای هر کیلوگرم]],14,0)</f>
        <v>184250</v>
      </c>
      <c r="Q538" s="159">
        <f>IF(bargiri[[#This Row],[مبلغ ناخالص]]-(bargiri[[#This Row],[نرخ استهلاک]]*bargiri[[#This Row],[مقدار]])&lt;0,0,bargiri[[#This Row],[مبلغ ناخالص]]-(bargiri[[#This Row],[نرخ استهلاک]]*bargiri[[#This Row],[مقدار]]))</f>
        <v>0</v>
      </c>
    </row>
    <row r="539" spans="1:17" s="22" customFormat="1" ht="13.8" x14ac:dyDescent="0.25">
      <c r="A539" s="22">
        <v>966</v>
      </c>
      <c r="B539" s="22" t="s">
        <v>768</v>
      </c>
      <c r="C539" s="22" t="s">
        <v>458</v>
      </c>
      <c r="D539" s="22" t="s">
        <v>156</v>
      </c>
      <c r="E539" s="158">
        <v>15170</v>
      </c>
      <c r="F539" s="159">
        <v>142000</v>
      </c>
      <c r="G539" s="159">
        <v>2154140000</v>
      </c>
      <c r="H539" s="159">
        <v>215414000</v>
      </c>
      <c r="I539" s="159">
        <v>2369554000</v>
      </c>
      <c r="J539" s="159">
        <f>bargiri[[#This Row],[مقدار]]*INDEX(invoice[پیش دریافت به ازای هر کیلوگرم],MATCH(bargiri[[#This Row],[شماره سند مبنا]],invoice[شماره پیش فاکتور],0))</f>
        <v>428499387.16871947</v>
      </c>
      <c r="K539" s="159">
        <f>bargiri[[#This Row],[مبلغ خالص]]-bargiri[[#This Row],[میزان استهلاک پیش دریافتی]]</f>
        <v>1941054612.8312805</v>
      </c>
      <c r="L539" s="160" t="s">
        <v>593</v>
      </c>
      <c r="M539" s="159"/>
      <c r="N539" s="159">
        <f>IF(bargiri[[#This Row],[مبلغ واریزی]]&lt;&gt;"",bargiri[[#This Row],[مانده مبلغ]]-bargiri[[#This Row],[مبلغ واریزی]],bargiri[[#This Row],[مانده مبلغ]])</f>
        <v>1941054612.8312805</v>
      </c>
      <c r="O539" s="159" t="s">
        <v>593</v>
      </c>
      <c r="P539" s="159">
        <f>VLOOKUP(bargiri[[#This Row],[شماره سند مبنا]],invoice[[شماره پیش فاکتور]:[پیش دریافت به ازای هر کیلوگرم]],14,0)</f>
        <v>28246.498824569509</v>
      </c>
      <c r="Q539" s="159">
        <f>IF(bargiri[[#This Row],[مبلغ ناخالص]]-(bargiri[[#This Row],[نرخ استهلاک]]*bargiri[[#This Row],[مقدار]])&lt;0,0,bargiri[[#This Row],[مبلغ ناخالص]]-(bargiri[[#This Row],[نرخ استهلاک]]*bargiri[[#This Row],[مقدار]]))</f>
        <v>1725640612.8312805</v>
      </c>
    </row>
    <row r="540" spans="1:17" s="22" customFormat="1" ht="13.8" x14ac:dyDescent="0.25">
      <c r="A540" s="22">
        <v>965</v>
      </c>
      <c r="B540" s="22" t="s">
        <v>768</v>
      </c>
      <c r="C540" s="22" t="s">
        <v>72</v>
      </c>
      <c r="D540" s="22" t="s">
        <v>73</v>
      </c>
      <c r="E540" s="158">
        <v>20735</v>
      </c>
      <c r="F540" s="159">
        <v>57273</v>
      </c>
      <c r="G540" s="159">
        <v>1187555655</v>
      </c>
      <c r="H540" s="159">
        <v>118755566</v>
      </c>
      <c r="I540" s="159">
        <v>1306311221</v>
      </c>
      <c r="J540" s="159" t="e">
        <f>bargiri[[#This Row],[مقدار]]*INDEX(invoice[پیش دریافت به ازای هر کیلوگرم],MATCH(bargiri[[#This Row],[شماره سند مبنا]],invoice[شماره پیش فاکتور],0))</f>
        <v>#N/A</v>
      </c>
      <c r="K540" s="159" t="e">
        <f>bargiri[[#This Row],[مبلغ خالص]]-bargiri[[#This Row],[میزان استهلاک پیش دریافتی]]</f>
        <v>#N/A</v>
      </c>
      <c r="L540" s="160" t="s">
        <v>593</v>
      </c>
      <c r="M540" s="159"/>
      <c r="N540" s="159" t="e">
        <f>IF(bargiri[[#This Row],[مبلغ واریزی]]&lt;&gt;"",bargiri[[#This Row],[مانده مبلغ]]-bargiri[[#This Row],[مبلغ واریزی]],bargiri[[#This Row],[مانده مبلغ]])</f>
        <v>#N/A</v>
      </c>
      <c r="O540" s="159" t="s">
        <v>593</v>
      </c>
      <c r="P540" s="159" t="e">
        <f>VLOOKUP(bargiri[[#This Row],[شماره سند مبنا]],invoice[[شماره پیش فاکتور]:[پیش دریافت به ازای هر کیلوگرم]],14,0)</f>
        <v>#N/A</v>
      </c>
      <c r="Q540" s="159" t="e">
        <f>IF(bargiri[[#This Row],[مبلغ ناخالص]]-(bargiri[[#This Row],[نرخ استهلاک]]*bargiri[[#This Row],[مقدار]])&lt;0,0,bargiri[[#This Row],[مبلغ ناخالص]]-(bargiri[[#This Row],[نرخ استهلاک]]*bargiri[[#This Row],[مقدار]]))</f>
        <v>#N/A</v>
      </c>
    </row>
    <row r="541" spans="1:17" s="22" customFormat="1" ht="13.8" x14ac:dyDescent="0.25">
      <c r="A541" s="22">
        <v>964</v>
      </c>
      <c r="B541" s="22" t="s">
        <v>768</v>
      </c>
      <c r="C541" s="22" t="s">
        <v>72</v>
      </c>
      <c r="D541" s="22" t="s">
        <v>73</v>
      </c>
      <c r="E541" s="158">
        <v>21420</v>
      </c>
      <c r="F541" s="159">
        <v>57273</v>
      </c>
      <c r="G541" s="159">
        <v>1226787660</v>
      </c>
      <c r="H541" s="159">
        <v>122678766</v>
      </c>
      <c r="I541" s="159">
        <v>1349466426</v>
      </c>
      <c r="J541" s="159" t="e">
        <f>bargiri[[#This Row],[مقدار]]*INDEX(invoice[پیش دریافت به ازای هر کیلوگرم],MATCH(bargiri[[#This Row],[شماره سند مبنا]],invoice[شماره پیش فاکتور],0))</f>
        <v>#N/A</v>
      </c>
      <c r="K541" s="159" t="e">
        <f>bargiri[[#This Row],[مبلغ خالص]]-bargiri[[#This Row],[میزان استهلاک پیش دریافتی]]</f>
        <v>#N/A</v>
      </c>
      <c r="L541" s="160" t="s">
        <v>593</v>
      </c>
      <c r="M541" s="159"/>
      <c r="N541" s="159" t="e">
        <f>IF(bargiri[[#This Row],[مبلغ واریزی]]&lt;&gt;"",bargiri[[#This Row],[مانده مبلغ]]-bargiri[[#This Row],[مبلغ واریزی]],bargiri[[#This Row],[مانده مبلغ]])</f>
        <v>#N/A</v>
      </c>
      <c r="O541" s="159" t="s">
        <v>593</v>
      </c>
      <c r="P541" s="159" t="e">
        <f>VLOOKUP(bargiri[[#This Row],[شماره سند مبنا]],invoice[[شماره پیش فاکتور]:[پیش دریافت به ازای هر کیلوگرم]],14,0)</f>
        <v>#N/A</v>
      </c>
      <c r="Q541" s="159" t="e">
        <f>IF(bargiri[[#This Row],[مبلغ ناخالص]]-(bargiri[[#This Row],[نرخ استهلاک]]*bargiri[[#This Row],[مقدار]])&lt;0,0,bargiri[[#This Row],[مبلغ ناخالص]]-(bargiri[[#This Row],[نرخ استهلاک]]*bargiri[[#This Row],[مقدار]]))</f>
        <v>#N/A</v>
      </c>
    </row>
    <row r="542" spans="1:17" s="22" customFormat="1" ht="13.8" x14ac:dyDescent="0.25">
      <c r="A542" s="22">
        <v>963</v>
      </c>
      <c r="B542" s="22" t="s">
        <v>768</v>
      </c>
      <c r="C542" s="22" t="s">
        <v>72</v>
      </c>
      <c r="D542" s="22" t="s">
        <v>73</v>
      </c>
      <c r="E542" s="158">
        <v>20930</v>
      </c>
      <c r="F542" s="159">
        <v>57273</v>
      </c>
      <c r="G542" s="159">
        <v>1198723890</v>
      </c>
      <c r="H542" s="159">
        <v>119872389</v>
      </c>
      <c r="I542" s="159">
        <v>1318596279</v>
      </c>
      <c r="J542" s="159" t="e">
        <f>bargiri[[#This Row],[مقدار]]*INDEX(invoice[پیش دریافت به ازای هر کیلوگرم],MATCH(bargiri[[#This Row],[شماره سند مبنا]],invoice[شماره پیش فاکتور],0))</f>
        <v>#N/A</v>
      </c>
      <c r="K542" s="159" t="e">
        <f>bargiri[[#This Row],[مبلغ خالص]]-bargiri[[#This Row],[میزان استهلاک پیش دریافتی]]</f>
        <v>#N/A</v>
      </c>
      <c r="L542" s="160" t="s">
        <v>593</v>
      </c>
      <c r="M542" s="159"/>
      <c r="N542" s="159" t="e">
        <f>IF(bargiri[[#This Row],[مبلغ واریزی]]&lt;&gt;"",bargiri[[#This Row],[مانده مبلغ]]-bargiri[[#This Row],[مبلغ واریزی]],bargiri[[#This Row],[مانده مبلغ]])</f>
        <v>#N/A</v>
      </c>
      <c r="O542" s="159" t="s">
        <v>593</v>
      </c>
      <c r="P542" s="159" t="e">
        <f>VLOOKUP(bargiri[[#This Row],[شماره سند مبنا]],invoice[[شماره پیش فاکتور]:[پیش دریافت به ازای هر کیلوگرم]],14,0)</f>
        <v>#N/A</v>
      </c>
      <c r="Q542" s="159" t="e">
        <f>IF(bargiri[[#This Row],[مبلغ ناخالص]]-(bargiri[[#This Row],[نرخ استهلاک]]*bargiri[[#This Row],[مقدار]])&lt;0,0,bargiri[[#This Row],[مبلغ ناخالص]]-(bargiri[[#This Row],[نرخ استهلاک]]*bargiri[[#This Row],[مقدار]]))</f>
        <v>#N/A</v>
      </c>
    </row>
    <row r="543" spans="1:17" s="22" customFormat="1" ht="13.8" x14ac:dyDescent="0.25">
      <c r="A543" s="22">
        <v>962</v>
      </c>
      <c r="B543" s="22" t="s">
        <v>779</v>
      </c>
      <c r="C543" s="22" t="s">
        <v>208</v>
      </c>
      <c r="D543" s="22" t="s">
        <v>30</v>
      </c>
      <c r="E543" s="158">
        <v>11495</v>
      </c>
      <c r="F543" s="159">
        <v>89000</v>
      </c>
      <c r="G543" s="159">
        <v>1023055000</v>
      </c>
      <c r="H543" s="159">
        <v>102305500</v>
      </c>
      <c r="I543" s="159">
        <v>1125360500</v>
      </c>
      <c r="J543" s="159">
        <f>bargiri[[#This Row],[مقدار]]*INDEX(invoice[پیش دریافت به ازای هر کیلوگرم],MATCH(bargiri[[#This Row],[شماره سند مبنا]],invoice[شماره پیش فاکتور],0))</f>
        <v>1125360500</v>
      </c>
      <c r="K543" s="159">
        <f>bargiri[[#This Row],[مبلغ خالص]]-bargiri[[#This Row],[میزان استهلاک پیش دریافتی]]</f>
        <v>0</v>
      </c>
      <c r="L543" s="160" t="s">
        <v>593</v>
      </c>
      <c r="M543" s="159"/>
      <c r="N543" s="159">
        <f>IF(bargiri[[#This Row],[مبلغ واریزی]]&lt;&gt;"",bargiri[[#This Row],[مانده مبلغ]]-bargiri[[#This Row],[مبلغ واریزی]],bargiri[[#This Row],[مانده مبلغ]])</f>
        <v>0</v>
      </c>
      <c r="O543" s="159" t="s">
        <v>593</v>
      </c>
      <c r="P543" s="159">
        <f>VLOOKUP(bargiri[[#This Row],[شماره سند مبنا]],invoice[[شماره پیش فاکتور]:[پیش دریافت به ازای هر کیلوگرم]],14,0)</f>
        <v>97900</v>
      </c>
      <c r="Q543" s="159">
        <f>IF(bargiri[[#This Row],[مبلغ ناخالص]]-(bargiri[[#This Row],[نرخ استهلاک]]*bargiri[[#This Row],[مقدار]])&lt;0,0,bargiri[[#This Row],[مبلغ ناخالص]]-(bargiri[[#This Row],[نرخ استهلاک]]*bargiri[[#This Row],[مقدار]]))</f>
        <v>0</v>
      </c>
    </row>
    <row r="544" spans="1:17" s="22" customFormat="1" ht="13.8" x14ac:dyDescent="0.25">
      <c r="A544" s="22">
        <v>961</v>
      </c>
      <c r="B544" s="22" t="s">
        <v>779</v>
      </c>
      <c r="C544" s="22" t="s">
        <v>463</v>
      </c>
      <c r="D544" s="22" t="s">
        <v>207</v>
      </c>
      <c r="E544" s="158">
        <v>6825</v>
      </c>
      <c r="F544" s="159">
        <v>142000</v>
      </c>
      <c r="G544" s="159">
        <v>969150000</v>
      </c>
      <c r="H544" s="159">
        <v>96915000</v>
      </c>
      <c r="I544" s="159">
        <v>1066065000</v>
      </c>
      <c r="J544" s="159">
        <f>bargiri[[#This Row],[مقدار]]*INDEX(invoice[پیش دریافت به ازای هر کیلوگرم],MATCH(bargiri[[#This Row],[شماره سند مبنا]],invoice[شماره پیش فاکتور],0))</f>
        <v>205477699.86807388</v>
      </c>
      <c r="K544" s="159">
        <f>bargiri[[#This Row],[مبلغ خالص]]-bargiri[[#This Row],[میزان استهلاک پیش دریافتی]]</f>
        <v>860587300.13192606</v>
      </c>
      <c r="L544" s="160" t="s">
        <v>291</v>
      </c>
      <c r="M544" s="159"/>
      <c r="N544" s="159">
        <f>IF(bargiri[[#This Row],[مبلغ واریزی]]&lt;&gt;"",bargiri[[#This Row],[مانده مبلغ]]-bargiri[[#This Row],[مبلغ واریزی]],bargiri[[#This Row],[مانده مبلغ]])</f>
        <v>860587300.13192606</v>
      </c>
      <c r="O544" s="159">
        <v>0</v>
      </c>
      <c r="P544" s="159">
        <f>VLOOKUP(bargiri[[#This Row],[شماره سند مبنا]],invoice[[شماره پیش فاکتور]:[پیش دریافت به ازای هر کیلوگرم]],14,0)</f>
        <v>30106.622691292876</v>
      </c>
      <c r="Q544" s="159">
        <f>IF(bargiri[[#This Row],[مبلغ ناخالص]]-(bargiri[[#This Row],[نرخ استهلاک]]*bargiri[[#This Row],[مقدار]])&lt;0,0,bargiri[[#This Row],[مبلغ ناخالص]]-(bargiri[[#This Row],[نرخ استهلاک]]*bargiri[[#This Row],[مقدار]]))</f>
        <v>763672300.13192606</v>
      </c>
    </row>
    <row r="545" spans="1:17" s="22" customFormat="1" ht="13.8" x14ac:dyDescent="0.25">
      <c r="A545" s="22">
        <v>960</v>
      </c>
      <c r="B545" s="22" t="s">
        <v>779</v>
      </c>
      <c r="C545" s="22" t="s">
        <v>606</v>
      </c>
      <c r="D545" s="22" t="s">
        <v>219</v>
      </c>
      <c r="E545" s="158">
        <v>21095</v>
      </c>
      <c r="F545" s="159">
        <v>142000</v>
      </c>
      <c r="G545" s="159">
        <v>2995490000</v>
      </c>
      <c r="H545" s="159">
        <v>299549000</v>
      </c>
      <c r="I545" s="159">
        <v>3295039000</v>
      </c>
      <c r="J545" s="159">
        <f>bargiri[[#This Row],[مقدار]]*INDEX(invoice[پیش دریافت به ازای هر کیلوگرم],MATCH(bargiri[[#This Row],[شماره سند مبنا]],invoice[شماره پیش فاکتور],0))</f>
        <v>916468906.89075649</v>
      </c>
      <c r="K545" s="159">
        <f>bargiri[[#This Row],[مبلغ خالص]]-bargiri[[#This Row],[میزان استهلاک پیش دریافتی]]</f>
        <v>2378570093.1092434</v>
      </c>
      <c r="L545" s="160" t="s">
        <v>593</v>
      </c>
      <c r="M545" s="159"/>
      <c r="N545" s="159">
        <f>IF(bargiri[[#This Row],[مبلغ واریزی]]&lt;&gt;"",bargiri[[#This Row],[مانده مبلغ]]-bargiri[[#This Row],[مبلغ واریزی]],bargiri[[#This Row],[مانده مبلغ]])</f>
        <v>2378570093.1092434</v>
      </c>
      <c r="O545" s="159" t="s">
        <v>593</v>
      </c>
      <c r="P545" s="159">
        <f>VLOOKUP(bargiri[[#This Row],[شماره سند مبنا]],invoice[[شماره پیش فاکتور]:[پیش دریافت به ازای هر کیلوگرم]],14,0)</f>
        <v>43444.840336134461</v>
      </c>
      <c r="Q545" s="159">
        <f>IF(bargiri[[#This Row],[مبلغ ناخالص]]-(bargiri[[#This Row],[نرخ استهلاک]]*bargiri[[#This Row],[مقدار]])&lt;0,0,bargiri[[#This Row],[مبلغ ناخالص]]-(bargiri[[#This Row],[نرخ استهلاک]]*bargiri[[#This Row],[مقدار]]))</f>
        <v>2079021093.1092434</v>
      </c>
    </row>
    <row r="546" spans="1:17" s="22" customFormat="1" ht="13.8" x14ac:dyDescent="0.25">
      <c r="A546" s="22">
        <v>959</v>
      </c>
      <c r="B546" s="22" t="s">
        <v>732</v>
      </c>
      <c r="C546" s="22" t="s">
        <v>187</v>
      </c>
      <c r="D546" s="22" t="s">
        <v>43</v>
      </c>
      <c r="E546" s="158">
        <v>22625</v>
      </c>
      <c r="F546" s="159">
        <v>80000</v>
      </c>
      <c r="G546" s="159">
        <v>1810000000</v>
      </c>
      <c r="H546" s="159">
        <v>181000000</v>
      </c>
      <c r="I546" s="159">
        <v>1991000000</v>
      </c>
      <c r="J546" s="159">
        <f>bargiri[[#This Row],[مقدار]]*INDEX(invoice[پیش دریافت به ازای هر کیلوگرم],MATCH(bargiri[[#This Row],[شماره سند مبنا]],invoice[شماره پیش فاکتور],0))</f>
        <v>398200000</v>
      </c>
      <c r="K546" s="159">
        <f>bargiri[[#This Row],[مبلغ خالص]]-bargiri[[#This Row],[میزان استهلاک پیش دریافتی]]</f>
        <v>1592800000</v>
      </c>
      <c r="L546" s="160" t="s">
        <v>593</v>
      </c>
      <c r="M546" s="159"/>
      <c r="N546" s="159">
        <f>IF(bargiri[[#This Row],[مبلغ واریزی]]&lt;&gt;"",bargiri[[#This Row],[مانده مبلغ]]-bargiri[[#This Row],[مبلغ واریزی]],bargiri[[#This Row],[مانده مبلغ]])</f>
        <v>1592800000</v>
      </c>
      <c r="O546" s="159" t="s">
        <v>593</v>
      </c>
      <c r="P546" s="159">
        <f>VLOOKUP(bargiri[[#This Row],[شماره سند مبنا]],invoice[[شماره پیش فاکتور]:[پیش دریافت به ازای هر کیلوگرم]],14,0)</f>
        <v>17600</v>
      </c>
      <c r="Q546" s="159">
        <f>IF(bargiri[[#This Row],[مبلغ ناخالص]]-(bargiri[[#This Row],[نرخ استهلاک]]*bargiri[[#This Row],[مقدار]])&lt;0,0,bargiri[[#This Row],[مبلغ ناخالص]]-(bargiri[[#This Row],[نرخ استهلاک]]*bargiri[[#This Row],[مقدار]]))</f>
        <v>1411800000</v>
      </c>
    </row>
    <row r="547" spans="1:17" s="22" customFormat="1" ht="13.8" x14ac:dyDescent="0.25">
      <c r="A547" s="22">
        <v>958</v>
      </c>
      <c r="B547" s="22" t="s">
        <v>736</v>
      </c>
      <c r="C547" s="22" t="s">
        <v>644</v>
      </c>
      <c r="D547" s="22" t="s">
        <v>67</v>
      </c>
      <c r="E547" s="158">
        <v>12100</v>
      </c>
      <c r="F547" s="159">
        <v>95000</v>
      </c>
      <c r="G547" s="159">
        <v>1149500000</v>
      </c>
      <c r="H547" s="159">
        <v>114950000</v>
      </c>
      <c r="I547" s="159">
        <v>1264450000</v>
      </c>
      <c r="J547" s="159">
        <f>bargiri[[#This Row],[مقدار]]*INDEX(invoice[پیش دریافت به ازای هر کیلوگرم],MATCH(bargiri[[#This Row],[شماره سند مبنا]],invoice[شماره پیش فاکتور],0))</f>
        <v>367909755.04840052</v>
      </c>
      <c r="K547" s="159">
        <f>bargiri[[#This Row],[مبلغ خالص]]-bargiri[[#This Row],[میزان استهلاک پیش دریافتی]]</f>
        <v>896540244.95159948</v>
      </c>
      <c r="L547" s="160" t="s">
        <v>593</v>
      </c>
      <c r="M547" s="159"/>
      <c r="N547" s="159">
        <f>IF(bargiri[[#This Row],[مبلغ واریزی]]&lt;&gt;"",bargiri[[#This Row],[مانده مبلغ]]-bargiri[[#This Row],[مبلغ واریزی]],bargiri[[#This Row],[مانده مبلغ]])</f>
        <v>896540244.95159948</v>
      </c>
      <c r="O547" s="159" t="s">
        <v>593</v>
      </c>
      <c r="P547" s="159">
        <f>VLOOKUP(bargiri[[#This Row],[شماره سند مبنا]],invoice[[شماره پیش فاکتور]:[پیش دریافت به ازای هر کیلوگرم]],14,0)</f>
        <v>30405.764880033101</v>
      </c>
      <c r="Q547" s="159">
        <f>IF(bargiri[[#This Row],[مبلغ ناخالص]]-(bargiri[[#This Row],[نرخ استهلاک]]*bargiri[[#This Row],[مقدار]])&lt;0,0,bargiri[[#This Row],[مبلغ ناخالص]]-(bargiri[[#This Row],[نرخ استهلاک]]*bargiri[[#This Row],[مقدار]]))</f>
        <v>781590244.95159948</v>
      </c>
    </row>
    <row r="548" spans="1:17" s="22" customFormat="1" ht="13.8" x14ac:dyDescent="0.25">
      <c r="A548" s="22">
        <v>957</v>
      </c>
      <c r="B548" s="22" t="s">
        <v>736</v>
      </c>
      <c r="C548" s="22" t="s">
        <v>715</v>
      </c>
      <c r="D548" s="22" t="s">
        <v>67</v>
      </c>
      <c r="E548" s="158">
        <v>8070</v>
      </c>
      <c r="F548" s="159">
        <v>167500</v>
      </c>
      <c r="G548" s="159">
        <v>1351725000</v>
      </c>
      <c r="H548" s="159">
        <v>135172500</v>
      </c>
      <c r="I548" s="159">
        <v>1486897500</v>
      </c>
      <c r="J548" s="159">
        <f>bargiri[[#This Row],[مقدار]]*INDEX(invoice[پیش دریافت به ازای هر کیلوگرم],MATCH(bargiri[[#This Row],[شماره سند مبنا]],invoice[شماره پیش فاکتور],0))</f>
        <v>1486897500</v>
      </c>
      <c r="K548" s="159">
        <f>bargiri[[#This Row],[مبلغ خالص]]-bargiri[[#This Row],[میزان استهلاک پیش دریافتی]]</f>
        <v>0</v>
      </c>
      <c r="L548" s="160" t="s">
        <v>593</v>
      </c>
      <c r="M548" s="159"/>
      <c r="N548" s="159">
        <f>IF(bargiri[[#This Row],[مبلغ واریزی]]&lt;&gt;"",bargiri[[#This Row],[مانده مبلغ]]-bargiri[[#This Row],[مبلغ واریزی]],bargiri[[#This Row],[مانده مبلغ]])</f>
        <v>0</v>
      </c>
      <c r="O548" s="159" t="s">
        <v>593</v>
      </c>
      <c r="P548" s="159">
        <f>VLOOKUP(bargiri[[#This Row],[شماره سند مبنا]],invoice[[شماره پیش فاکتور]:[پیش دریافت به ازای هر کیلوگرم]],14,0)</f>
        <v>184250</v>
      </c>
      <c r="Q548" s="159">
        <f>IF(bargiri[[#This Row],[مبلغ ناخالص]]-(bargiri[[#This Row],[نرخ استهلاک]]*bargiri[[#This Row],[مقدار]])&lt;0,0,bargiri[[#This Row],[مبلغ ناخالص]]-(bargiri[[#This Row],[نرخ استهلاک]]*bargiri[[#This Row],[مقدار]]))</f>
        <v>0</v>
      </c>
    </row>
    <row r="549" spans="1:17" s="22" customFormat="1" ht="13.8" x14ac:dyDescent="0.25">
      <c r="A549" s="22">
        <v>956</v>
      </c>
      <c r="B549" s="22" t="s">
        <v>736</v>
      </c>
      <c r="C549" s="22" t="s">
        <v>464</v>
      </c>
      <c r="D549" s="22" t="s">
        <v>221</v>
      </c>
      <c r="E549" s="158">
        <v>14600</v>
      </c>
      <c r="F549" s="159">
        <v>142000</v>
      </c>
      <c r="G549" s="159">
        <v>2073200000</v>
      </c>
      <c r="H549" s="159">
        <v>207320000</v>
      </c>
      <c r="I549" s="159">
        <v>2280520000</v>
      </c>
      <c r="J549" s="159">
        <f>bargiri[[#This Row],[مقدار]]*INDEX(invoice[پیش دریافت به ازای هر کیلوگرم],MATCH(bargiri[[#This Row],[شماره سند مبنا]],invoice[شماره پیش فاکتور],0))</f>
        <v>342078000</v>
      </c>
      <c r="K549" s="159">
        <f>bargiri[[#This Row],[مبلغ خالص]]-bargiri[[#This Row],[میزان استهلاک پیش دریافتی]]</f>
        <v>1938442000</v>
      </c>
      <c r="L549" s="160" t="s">
        <v>291</v>
      </c>
      <c r="M549" s="159"/>
      <c r="N549" s="159">
        <f>IF(bargiri[[#This Row],[مبلغ واریزی]]&lt;&gt;"",bargiri[[#This Row],[مانده مبلغ]]-bargiri[[#This Row],[مبلغ واریزی]],bargiri[[#This Row],[مانده مبلغ]])</f>
        <v>1938442000</v>
      </c>
      <c r="O549" s="159" t="s">
        <v>292</v>
      </c>
      <c r="P549" s="159">
        <f>VLOOKUP(bargiri[[#This Row],[شماره سند مبنا]],invoice[[شماره پیش فاکتور]:[پیش دریافت به ازای هر کیلوگرم]],14,0)</f>
        <v>23430</v>
      </c>
      <c r="Q549" s="159">
        <f>IF(bargiri[[#This Row],[مبلغ ناخالص]]-(bargiri[[#This Row],[نرخ استهلاک]]*bargiri[[#This Row],[مقدار]])&lt;0,0,bargiri[[#This Row],[مبلغ ناخالص]]-(bargiri[[#This Row],[نرخ استهلاک]]*bargiri[[#This Row],[مقدار]]))</f>
        <v>1731122000</v>
      </c>
    </row>
    <row r="550" spans="1:17" s="22" customFormat="1" ht="13.8" x14ac:dyDescent="0.25">
      <c r="A550" s="22">
        <v>955</v>
      </c>
      <c r="B550" s="22" t="s">
        <v>780</v>
      </c>
      <c r="C550" s="22" t="s">
        <v>187</v>
      </c>
      <c r="D550" s="22" t="s">
        <v>43</v>
      </c>
      <c r="E550" s="158">
        <v>5445</v>
      </c>
      <c r="F550" s="159">
        <v>80000</v>
      </c>
      <c r="G550" s="159">
        <v>435600000</v>
      </c>
      <c r="H550" s="159">
        <v>43560000</v>
      </c>
      <c r="I550" s="159">
        <v>479160000</v>
      </c>
      <c r="J550" s="159">
        <f>bargiri[[#This Row],[مقدار]]*INDEX(invoice[پیش دریافت به ازای هر کیلوگرم],MATCH(bargiri[[#This Row],[شماره سند مبنا]],invoice[شماره پیش فاکتور],0))</f>
        <v>95832000</v>
      </c>
      <c r="K550" s="159">
        <f>bargiri[[#This Row],[مبلغ خالص]]-bargiri[[#This Row],[میزان استهلاک پیش دریافتی]]</f>
        <v>383328000</v>
      </c>
      <c r="L550" s="160" t="s">
        <v>593</v>
      </c>
      <c r="M550" s="159"/>
      <c r="N550" s="159">
        <f>IF(bargiri[[#This Row],[مبلغ واریزی]]&lt;&gt;"",bargiri[[#This Row],[مانده مبلغ]]-bargiri[[#This Row],[مبلغ واریزی]],bargiri[[#This Row],[مانده مبلغ]])</f>
        <v>383328000</v>
      </c>
      <c r="O550" s="159" t="s">
        <v>593</v>
      </c>
      <c r="P550" s="159">
        <f>VLOOKUP(bargiri[[#This Row],[شماره سند مبنا]],invoice[[شماره پیش فاکتور]:[پیش دریافت به ازای هر کیلوگرم]],14,0)</f>
        <v>17600</v>
      </c>
      <c r="Q550" s="159">
        <f>IF(bargiri[[#This Row],[مبلغ ناخالص]]-(bargiri[[#This Row],[نرخ استهلاک]]*bargiri[[#This Row],[مقدار]])&lt;0,0,bargiri[[#This Row],[مبلغ ناخالص]]-(bargiri[[#This Row],[نرخ استهلاک]]*bargiri[[#This Row],[مقدار]]))</f>
        <v>339768000</v>
      </c>
    </row>
    <row r="551" spans="1:17" s="22" customFormat="1" ht="13.8" x14ac:dyDescent="0.25">
      <c r="A551" s="22">
        <v>954</v>
      </c>
      <c r="B551" s="22" t="s">
        <v>780</v>
      </c>
      <c r="C551" s="22" t="s">
        <v>463</v>
      </c>
      <c r="D551" s="22" t="s">
        <v>207</v>
      </c>
      <c r="E551" s="158">
        <v>6600</v>
      </c>
      <c r="F551" s="159">
        <v>142000</v>
      </c>
      <c r="G551" s="159">
        <v>937200000</v>
      </c>
      <c r="H551" s="159">
        <v>93720000</v>
      </c>
      <c r="I551" s="159">
        <v>1030920000</v>
      </c>
      <c r="J551" s="159">
        <f>bargiri[[#This Row],[مقدار]]*INDEX(invoice[پیش دریافت به ازای هر کیلوگرم],MATCH(bargiri[[#This Row],[شماره سند مبنا]],invoice[شماره پیش فاکتور],0))</f>
        <v>198703709.76253298</v>
      </c>
      <c r="K551" s="159">
        <f>bargiri[[#This Row],[مبلغ خالص]]-bargiri[[#This Row],[میزان استهلاک پیش دریافتی]]</f>
        <v>832216290.23746705</v>
      </c>
      <c r="L551" s="160" t="s">
        <v>593</v>
      </c>
      <c r="M551" s="159"/>
      <c r="N551" s="159">
        <f>IF(bargiri[[#This Row],[مبلغ واریزی]]&lt;&gt;"",bargiri[[#This Row],[مانده مبلغ]]-bargiri[[#This Row],[مبلغ واریزی]],bargiri[[#This Row],[مانده مبلغ]])</f>
        <v>832216290.23746705</v>
      </c>
      <c r="O551" s="159" t="s">
        <v>593</v>
      </c>
      <c r="P551" s="159">
        <f>VLOOKUP(bargiri[[#This Row],[شماره سند مبنا]],invoice[[شماره پیش فاکتور]:[پیش دریافت به ازای هر کیلوگرم]],14,0)</f>
        <v>30106.622691292876</v>
      </c>
      <c r="Q551" s="159">
        <f>IF(bargiri[[#This Row],[مبلغ ناخالص]]-(bargiri[[#This Row],[نرخ استهلاک]]*bargiri[[#This Row],[مقدار]])&lt;0,0,bargiri[[#This Row],[مبلغ ناخالص]]-(bargiri[[#This Row],[نرخ استهلاک]]*bargiri[[#This Row],[مقدار]]))</f>
        <v>738496290.23746705</v>
      </c>
    </row>
    <row r="552" spans="1:17" s="22" customFormat="1" ht="13.8" x14ac:dyDescent="0.25">
      <c r="A552" s="22">
        <v>953</v>
      </c>
      <c r="B552" s="22" t="s">
        <v>781</v>
      </c>
      <c r="C552" s="22" t="s">
        <v>461</v>
      </c>
      <c r="D552" s="22" t="s">
        <v>35</v>
      </c>
      <c r="E552" s="158">
        <v>20360</v>
      </c>
      <c r="F552" s="159">
        <v>142000</v>
      </c>
      <c r="G552" s="159">
        <v>2891120000</v>
      </c>
      <c r="H552" s="159">
        <v>289112000</v>
      </c>
      <c r="I552" s="159">
        <v>3180232000</v>
      </c>
      <c r="J552" s="159">
        <f>bargiri[[#This Row],[مقدار]]*INDEX(invoice[پیش دریافت به ازای هر کیلوگرم],MATCH(bargiri[[#This Row],[شماره سند مبنا]],invoice[شماره پیش فاکتور],0))</f>
        <v>668179602.53917742</v>
      </c>
      <c r="K552" s="159">
        <f>bargiri[[#This Row],[مبلغ خالص]]-bargiri[[#This Row],[میزان استهلاک پیش دریافتی]]</f>
        <v>2512052397.4608226</v>
      </c>
      <c r="L552" s="160" t="s">
        <v>593</v>
      </c>
      <c r="M552" s="159"/>
      <c r="N552" s="159">
        <f>IF(bargiri[[#This Row],[مبلغ واریزی]]&lt;&gt;"",bargiri[[#This Row],[مانده مبلغ]]-bargiri[[#This Row],[مبلغ واریزی]],bargiri[[#This Row],[مانده مبلغ]])</f>
        <v>2512052397.4608226</v>
      </c>
      <c r="O552" s="159" t="s">
        <v>593</v>
      </c>
      <c r="P552" s="159">
        <f>VLOOKUP(bargiri[[#This Row],[شماره سند مبنا]],invoice[[شماره پیش فاکتور]:[پیش دریافت به ازای هر کیلوگرم]],14,0)</f>
        <v>32818.251598191426</v>
      </c>
      <c r="Q552" s="159">
        <f>IF(bargiri[[#This Row],[مبلغ ناخالص]]-(bargiri[[#This Row],[نرخ استهلاک]]*bargiri[[#This Row],[مقدار]])&lt;0,0,bargiri[[#This Row],[مبلغ ناخالص]]-(bargiri[[#This Row],[نرخ استهلاک]]*bargiri[[#This Row],[مقدار]]))</f>
        <v>2222940397.4608226</v>
      </c>
    </row>
    <row r="553" spans="1:17" s="22" customFormat="1" ht="13.8" x14ac:dyDescent="0.25">
      <c r="A553" s="22">
        <v>952</v>
      </c>
      <c r="B553" s="22" t="s">
        <v>781</v>
      </c>
      <c r="C553" s="22" t="s">
        <v>684</v>
      </c>
      <c r="D553" s="22" t="s">
        <v>17</v>
      </c>
      <c r="E553" s="158">
        <v>22210</v>
      </c>
      <c r="F553" s="159">
        <v>167500</v>
      </c>
      <c r="G553" s="159">
        <v>3720175000</v>
      </c>
      <c r="H553" s="159">
        <v>372017500</v>
      </c>
      <c r="I553" s="159">
        <v>4092192500</v>
      </c>
      <c r="J553" s="159">
        <f>bargiri[[#This Row],[مقدار]]*INDEX(invoice[پیش دریافت به ازای هر کیلوگرم],MATCH(bargiri[[#This Row],[شماره سند مبنا]],invoice[شماره پیش فاکتور],0))</f>
        <v>4092192500</v>
      </c>
      <c r="K553" s="159">
        <f>bargiri[[#This Row],[مبلغ خالص]]-bargiri[[#This Row],[میزان استهلاک پیش دریافتی]]</f>
        <v>0</v>
      </c>
      <c r="L553" s="160" t="s">
        <v>593</v>
      </c>
      <c r="M553" s="159"/>
      <c r="N553" s="159">
        <f>IF(bargiri[[#This Row],[مبلغ واریزی]]&lt;&gt;"",bargiri[[#This Row],[مانده مبلغ]]-bargiri[[#This Row],[مبلغ واریزی]],bargiri[[#This Row],[مانده مبلغ]])</f>
        <v>0</v>
      </c>
      <c r="O553" s="159" t="s">
        <v>593</v>
      </c>
      <c r="P553" s="159">
        <f>VLOOKUP(bargiri[[#This Row],[شماره سند مبنا]],invoice[[شماره پیش فاکتور]:[پیش دریافت به ازای هر کیلوگرم]],14,0)</f>
        <v>184250</v>
      </c>
      <c r="Q553" s="159">
        <f>IF(bargiri[[#This Row],[مبلغ ناخالص]]-(bargiri[[#This Row],[نرخ استهلاک]]*bargiri[[#This Row],[مقدار]])&lt;0,0,bargiri[[#This Row],[مبلغ ناخالص]]-(bargiri[[#This Row],[نرخ استهلاک]]*bargiri[[#This Row],[مقدار]]))</f>
        <v>0</v>
      </c>
    </row>
    <row r="554" spans="1:17" s="22" customFormat="1" ht="13.8" x14ac:dyDescent="0.25">
      <c r="A554" s="22">
        <v>951</v>
      </c>
      <c r="B554" s="22" t="s">
        <v>781</v>
      </c>
      <c r="C554" s="22" t="s">
        <v>711</v>
      </c>
      <c r="D554" s="22" t="s">
        <v>67</v>
      </c>
      <c r="E554" s="158">
        <v>3510</v>
      </c>
      <c r="F554" s="159">
        <v>167500</v>
      </c>
      <c r="G554" s="159">
        <v>587925000</v>
      </c>
      <c r="H554" s="159">
        <v>58792500</v>
      </c>
      <c r="I554" s="159">
        <v>646717500</v>
      </c>
      <c r="J554" s="159">
        <f>bargiri[[#This Row],[مقدار]]*INDEX(invoice[پیش دریافت به ازای هر کیلوگرم],MATCH(bargiri[[#This Row],[شماره سند مبنا]],invoice[شماره پیش فاکتور],0))</f>
        <v>646717500</v>
      </c>
      <c r="K554" s="159">
        <f>bargiri[[#This Row],[مبلغ خالص]]-bargiri[[#This Row],[میزان استهلاک پیش دریافتی]]</f>
        <v>0</v>
      </c>
      <c r="L554" s="160" t="s">
        <v>593</v>
      </c>
      <c r="M554" s="159"/>
      <c r="N554" s="159">
        <f>IF(bargiri[[#This Row],[مبلغ واریزی]]&lt;&gt;"",bargiri[[#This Row],[مانده مبلغ]]-bargiri[[#This Row],[مبلغ واریزی]],bargiri[[#This Row],[مانده مبلغ]])</f>
        <v>0</v>
      </c>
      <c r="O554" s="159" t="s">
        <v>593</v>
      </c>
      <c r="P554" s="159">
        <f>VLOOKUP(bargiri[[#This Row],[شماره سند مبنا]],invoice[[شماره پیش فاکتور]:[پیش دریافت به ازای هر کیلوگرم]],14,0)</f>
        <v>184250</v>
      </c>
      <c r="Q554" s="159">
        <f>IF(bargiri[[#This Row],[مبلغ ناخالص]]-(bargiri[[#This Row],[نرخ استهلاک]]*bargiri[[#This Row],[مقدار]])&lt;0,0,bargiri[[#This Row],[مبلغ ناخالص]]-(bargiri[[#This Row],[نرخ استهلاک]]*bargiri[[#This Row],[مقدار]]))</f>
        <v>0</v>
      </c>
    </row>
    <row r="555" spans="1:17" s="22" customFormat="1" ht="13.8" x14ac:dyDescent="0.25">
      <c r="A555" s="22">
        <v>951</v>
      </c>
      <c r="B555" s="22" t="s">
        <v>781</v>
      </c>
      <c r="C555" s="22" t="s">
        <v>715</v>
      </c>
      <c r="D555" s="22" t="s">
        <v>67</v>
      </c>
      <c r="E555" s="158">
        <v>4970</v>
      </c>
      <c r="F555" s="159">
        <v>167500</v>
      </c>
      <c r="G555" s="159">
        <v>832475000</v>
      </c>
      <c r="H555" s="159">
        <v>83247500</v>
      </c>
      <c r="I555" s="159">
        <v>915722500</v>
      </c>
      <c r="J555" s="159">
        <f>bargiri[[#This Row],[مقدار]]*INDEX(invoice[پیش دریافت به ازای هر کیلوگرم],MATCH(bargiri[[#This Row],[شماره سند مبنا]],invoice[شماره پیش فاکتور],0))</f>
        <v>915722500</v>
      </c>
      <c r="K555" s="159">
        <f>bargiri[[#This Row],[مبلغ خالص]]-bargiri[[#This Row],[میزان استهلاک پیش دریافتی]]</f>
        <v>0</v>
      </c>
      <c r="L555" s="160" t="s">
        <v>593</v>
      </c>
      <c r="M555" s="159"/>
      <c r="N555" s="159">
        <f>IF(bargiri[[#This Row],[مبلغ واریزی]]&lt;&gt;"",bargiri[[#This Row],[مانده مبلغ]]-bargiri[[#This Row],[مبلغ واریزی]],bargiri[[#This Row],[مانده مبلغ]])</f>
        <v>0</v>
      </c>
      <c r="O555" s="159" t="s">
        <v>593</v>
      </c>
      <c r="P555" s="159">
        <f>VLOOKUP(bargiri[[#This Row],[شماره سند مبنا]],invoice[[شماره پیش فاکتور]:[پیش دریافت به ازای هر کیلوگرم]],14,0)</f>
        <v>184250</v>
      </c>
      <c r="Q555" s="159">
        <f>IF(bargiri[[#This Row],[مبلغ ناخالص]]-(bargiri[[#This Row],[نرخ استهلاک]]*bargiri[[#This Row],[مقدار]])&lt;0,0,bargiri[[#This Row],[مبلغ ناخالص]]-(bargiri[[#This Row],[نرخ استهلاک]]*bargiri[[#This Row],[مقدار]]))</f>
        <v>0</v>
      </c>
    </row>
    <row r="556" spans="1:17" s="22" customFormat="1" ht="13.8" x14ac:dyDescent="0.25">
      <c r="A556" s="22">
        <v>950</v>
      </c>
      <c r="B556" s="22" t="s">
        <v>781</v>
      </c>
      <c r="C556" s="22" t="s">
        <v>187</v>
      </c>
      <c r="D556" s="22" t="s">
        <v>43</v>
      </c>
      <c r="E556" s="158">
        <v>13005</v>
      </c>
      <c r="F556" s="159">
        <v>80000</v>
      </c>
      <c r="G556" s="159">
        <v>1040400000</v>
      </c>
      <c r="H556" s="159">
        <v>104040000</v>
      </c>
      <c r="I556" s="159">
        <v>1144440000</v>
      </c>
      <c r="J556" s="159">
        <f>bargiri[[#This Row],[مقدار]]*INDEX(invoice[پیش دریافت به ازای هر کیلوگرم],MATCH(bargiri[[#This Row],[شماره سند مبنا]],invoice[شماره پیش فاکتور],0))</f>
        <v>228888000</v>
      </c>
      <c r="K556" s="159">
        <f>bargiri[[#This Row],[مبلغ خالص]]-bargiri[[#This Row],[میزان استهلاک پیش دریافتی]]</f>
        <v>915552000</v>
      </c>
      <c r="L556" s="160" t="s">
        <v>593</v>
      </c>
      <c r="M556" s="159"/>
      <c r="N556" s="159">
        <f>IF(bargiri[[#This Row],[مبلغ واریزی]]&lt;&gt;"",bargiri[[#This Row],[مانده مبلغ]]-bargiri[[#This Row],[مبلغ واریزی]],bargiri[[#This Row],[مانده مبلغ]])</f>
        <v>915552000</v>
      </c>
      <c r="O556" s="159" t="s">
        <v>593</v>
      </c>
      <c r="P556" s="159">
        <f>VLOOKUP(bargiri[[#This Row],[شماره سند مبنا]],invoice[[شماره پیش فاکتور]:[پیش دریافت به ازای هر کیلوگرم]],14,0)</f>
        <v>17600</v>
      </c>
      <c r="Q556" s="159">
        <f>IF(bargiri[[#This Row],[مبلغ ناخالص]]-(bargiri[[#This Row],[نرخ استهلاک]]*bargiri[[#This Row],[مقدار]])&lt;0,0,bargiri[[#This Row],[مبلغ ناخالص]]-(bargiri[[#This Row],[نرخ استهلاک]]*bargiri[[#This Row],[مقدار]]))</f>
        <v>811512000</v>
      </c>
    </row>
    <row r="557" spans="1:17" s="22" customFormat="1" ht="13.8" x14ac:dyDescent="0.25">
      <c r="A557" s="22">
        <v>949</v>
      </c>
      <c r="B557" s="22" t="s">
        <v>781</v>
      </c>
      <c r="C557" s="22" t="s">
        <v>189</v>
      </c>
      <c r="D557" s="22" t="s">
        <v>173</v>
      </c>
      <c r="E557" s="158">
        <v>23270</v>
      </c>
      <c r="F557" s="159">
        <v>75000</v>
      </c>
      <c r="G557" s="159">
        <v>1745250000</v>
      </c>
      <c r="H557" s="159">
        <v>174525000</v>
      </c>
      <c r="I557" s="159">
        <v>1919775000</v>
      </c>
      <c r="J557" s="159">
        <f>bargiri[[#This Row],[مقدار]]*INDEX(invoice[پیش دریافت به ازای هر کیلوگرم],MATCH(bargiri[[#This Row],[شماره سند مبنا]],invoice[شماره پیش فاکتور],0))</f>
        <v>287966250</v>
      </c>
      <c r="K557" s="159">
        <f>bargiri[[#This Row],[مبلغ خالص]]-bargiri[[#This Row],[میزان استهلاک پیش دریافتی]]</f>
        <v>1631808750</v>
      </c>
      <c r="L557" s="160" t="s">
        <v>593</v>
      </c>
      <c r="M557" s="159"/>
      <c r="N557" s="159">
        <f>IF(bargiri[[#This Row],[مبلغ واریزی]]&lt;&gt;"",bargiri[[#This Row],[مانده مبلغ]]-bargiri[[#This Row],[مبلغ واریزی]],bargiri[[#This Row],[مانده مبلغ]])</f>
        <v>1631808750</v>
      </c>
      <c r="O557" s="159" t="s">
        <v>593</v>
      </c>
      <c r="P557" s="159">
        <f>VLOOKUP(bargiri[[#This Row],[شماره سند مبنا]],invoice[[شماره پیش فاکتور]:[پیش دریافت به ازای هر کیلوگرم]],14,0)</f>
        <v>12375</v>
      </c>
      <c r="Q557" s="159">
        <f>IF(bargiri[[#This Row],[مبلغ ناخالص]]-(bargiri[[#This Row],[نرخ استهلاک]]*bargiri[[#This Row],[مقدار]])&lt;0,0,bargiri[[#This Row],[مبلغ ناخالص]]-(bargiri[[#This Row],[نرخ استهلاک]]*bargiri[[#This Row],[مقدار]]))</f>
        <v>1457283750</v>
      </c>
    </row>
    <row r="558" spans="1:17" s="22" customFormat="1" ht="13.8" x14ac:dyDescent="0.25">
      <c r="A558" s="22">
        <v>948</v>
      </c>
      <c r="B558" s="22" t="s">
        <v>781</v>
      </c>
      <c r="C558" s="22" t="s">
        <v>616</v>
      </c>
      <c r="D558" s="22" t="s">
        <v>67</v>
      </c>
      <c r="E558" s="158">
        <v>20965</v>
      </c>
      <c r="F558" s="159">
        <v>142000</v>
      </c>
      <c r="G558" s="159">
        <v>2977030000</v>
      </c>
      <c r="H558" s="159">
        <v>297703000</v>
      </c>
      <c r="I558" s="159">
        <v>3274733000</v>
      </c>
      <c r="J558" s="159">
        <f>bargiri[[#This Row],[مقدار]]*INDEX(invoice[پیش دریافت به ازای هر کیلوگرم],MATCH(bargiri[[#This Row],[شماره سند مبنا]],invoice[شماره پیش فاکتور],0))</f>
        <v>491209950</v>
      </c>
      <c r="K558" s="159">
        <f>bargiri[[#This Row],[مبلغ خالص]]-bargiri[[#This Row],[میزان استهلاک پیش دریافتی]]</f>
        <v>2783523050</v>
      </c>
      <c r="L558" s="160" t="s">
        <v>593</v>
      </c>
      <c r="M558" s="159"/>
      <c r="N558" s="159">
        <f>IF(bargiri[[#This Row],[مبلغ واریزی]]&lt;&gt;"",bargiri[[#This Row],[مانده مبلغ]]-bargiri[[#This Row],[مبلغ واریزی]],bargiri[[#This Row],[مانده مبلغ]])</f>
        <v>2783523050</v>
      </c>
      <c r="O558" s="159" t="s">
        <v>593</v>
      </c>
      <c r="P558" s="159">
        <f>VLOOKUP(bargiri[[#This Row],[شماره سند مبنا]],invoice[[شماره پیش فاکتور]:[پیش دریافت به ازای هر کیلوگرم]],14,0)</f>
        <v>23430</v>
      </c>
      <c r="Q558" s="159">
        <f>IF(bargiri[[#This Row],[مبلغ ناخالص]]-(bargiri[[#This Row],[نرخ استهلاک]]*bargiri[[#This Row],[مقدار]])&lt;0,0,bargiri[[#This Row],[مبلغ ناخالص]]-(bargiri[[#This Row],[نرخ استهلاک]]*bargiri[[#This Row],[مقدار]]))</f>
        <v>2485820050</v>
      </c>
    </row>
    <row r="559" spans="1:17" s="22" customFormat="1" ht="13.8" x14ac:dyDescent="0.25">
      <c r="A559" s="22">
        <v>947</v>
      </c>
      <c r="B559" s="22" t="s">
        <v>781</v>
      </c>
      <c r="C559" s="22" t="s">
        <v>187</v>
      </c>
      <c r="D559" s="22" t="s">
        <v>43</v>
      </c>
      <c r="E559" s="158">
        <v>5505</v>
      </c>
      <c r="F559" s="159">
        <v>80000</v>
      </c>
      <c r="G559" s="159">
        <v>440400000</v>
      </c>
      <c r="H559" s="159">
        <v>44040000</v>
      </c>
      <c r="I559" s="159">
        <v>484440000</v>
      </c>
      <c r="J559" s="159">
        <f>bargiri[[#This Row],[مقدار]]*INDEX(invoice[پیش دریافت به ازای هر کیلوگرم],MATCH(bargiri[[#This Row],[شماره سند مبنا]],invoice[شماره پیش فاکتور],0))</f>
        <v>96888000</v>
      </c>
      <c r="K559" s="159">
        <f>bargiri[[#This Row],[مبلغ خالص]]-bargiri[[#This Row],[میزان استهلاک پیش دریافتی]]</f>
        <v>387552000</v>
      </c>
      <c r="L559" s="160" t="s">
        <v>593</v>
      </c>
      <c r="M559" s="159"/>
      <c r="N559" s="159">
        <f>IF(bargiri[[#This Row],[مبلغ واریزی]]&lt;&gt;"",bargiri[[#This Row],[مانده مبلغ]]-bargiri[[#This Row],[مبلغ واریزی]],bargiri[[#This Row],[مانده مبلغ]])</f>
        <v>387552000</v>
      </c>
      <c r="O559" s="159" t="s">
        <v>593</v>
      </c>
      <c r="P559" s="159">
        <f>VLOOKUP(bargiri[[#This Row],[شماره سند مبنا]],invoice[[شماره پیش فاکتور]:[پیش دریافت به ازای هر کیلوگرم]],14,0)</f>
        <v>17600</v>
      </c>
      <c r="Q559" s="159">
        <f>IF(bargiri[[#This Row],[مبلغ ناخالص]]-(bargiri[[#This Row],[نرخ استهلاک]]*bargiri[[#This Row],[مقدار]])&lt;0,0,bargiri[[#This Row],[مبلغ ناخالص]]-(bargiri[[#This Row],[نرخ استهلاک]]*bargiri[[#This Row],[مقدار]]))</f>
        <v>343512000</v>
      </c>
    </row>
    <row r="560" spans="1:17" s="22" customFormat="1" ht="13.8" x14ac:dyDescent="0.25">
      <c r="A560" s="22">
        <v>946</v>
      </c>
      <c r="B560" s="22" t="s">
        <v>731</v>
      </c>
      <c r="C560" s="22" t="s">
        <v>644</v>
      </c>
      <c r="D560" s="22" t="s">
        <v>67</v>
      </c>
      <c r="E560" s="158">
        <v>21145</v>
      </c>
      <c r="F560" s="159">
        <v>95000</v>
      </c>
      <c r="G560" s="159">
        <v>2008775000</v>
      </c>
      <c r="H560" s="159">
        <v>200877500</v>
      </c>
      <c r="I560" s="159">
        <v>2209652500</v>
      </c>
      <c r="J560" s="159">
        <f>bargiri[[#This Row],[مقدار]]*INDEX(invoice[پیش دریافت به ازای هر کیلوگرم],MATCH(bargiri[[#This Row],[شماره سند مبنا]],invoice[شماره پیش فاکتور],0))</f>
        <v>642929898.38829994</v>
      </c>
      <c r="K560" s="159">
        <f>bargiri[[#This Row],[مبلغ خالص]]-bargiri[[#This Row],[میزان استهلاک پیش دریافتی]]</f>
        <v>1566722601.6117001</v>
      </c>
      <c r="L560" s="160" t="s">
        <v>593</v>
      </c>
      <c r="M560" s="159"/>
      <c r="N560" s="159">
        <f>IF(bargiri[[#This Row],[مبلغ واریزی]]&lt;&gt;"",bargiri[[#This Row],[مانده مبلغ]]-bargiri[[#This Row],[مبلغ واریزی]],bargiri[[#This Row],[مانده مبلغ]])</f>
        <v>1566722601.6117001</v>
      </c>
      <c r="O560" s="159" t="s">
        <v>593</v>
      </c>
      <c r="P560" s="159">
        <f>VLOOKUP(bargiri[[#This Row],[شماره سند مبنا]],invoice[[شماره پیش فاکتور]:[پیش دریافت به ازای هر کیلوگرم]],14,0)</f>
        <v>30405.764880033101</v>
      </c>
      <c r="Q560" s="159">
        <f>IF(bargiri[[#This Row],[مبلغ ناخالص]]-(bargiri[[#This Row],[نرخ استهلاک]]*bargiri[[#This Row],[مقدار]])&lt;0,0,bargiri[[#This Row],[مبلغ ناخالص]]-(bargiri[[#This Row],[نرخ استهلاک]]*bargiri[[#This Row],[مقدار]]))</f>
        <v>1365845101.6117001</v>
      </c>
    </row>
    <row r="561" spans="1:17" s="22" customFormat="1" ht="13.8" x14ac:dyDescent="0.25">
      <c r="A561" s="22">
        <v>945</v>
      </c>
      <c r="B561" s="22" t="s">
        <v>731</v>
      </c>
      <c r="C561" s="22" t="s">
        <v>187</v>
      </c>
      <c r="D561" s="22" t="s">
        <v>43</v>
      </c>
      <c r="E561" s="158">
        <v>20200</v>
      </c>
      <c r="F561" s="159">
        <v>80000</v>
      </c>
      <c r="G561" s="159">
        <v>1616000000</v>
      </c>
      <c r="H561" s="159">
        <v>161600000</v>
      </c>
      <c r="I561" s="159">
        <v>1777600000</v>
      </c>
      <c r="J561" s="159">
        <f>bargiri[[#This Row],[مقدار]]*INDEX(invoice[پیش دریافت به ازای هر کیلوگرم],MATCH(bargiri[[#This Row],[شماره سند مبنا]],invoice[شماره پیش فاکتور],0))</f>
        <v>355520000</v>
      </c>
      <c r="K561" s="159">
        <f>bargiri[[#This Row],[مبلغ خالص]]-bargiri[[#This Row],[میزان استهلاک پیش دریافتی]]</f>
        <v>1422080000</v>
      </c>
      <c r="L561" s="160" t="s">
        <v>593</v>
      </c>
      <c r="M561" s="159"/>
      <c r="N561" s="159">
        <f>IF(bargiri[[#This Row],[مبلغ واریزی]]&lt;&gt;"",bargiri[[#This Row],[مانده مبلغ]]-bargiri[[#This Row],[مبلغ واریزی]],bargiri[[#This Row],[مانده مبلغ]])</f>
        <v>1422080000</v>
      </c>
      <c r="O561" s="159" t="s">
        <v>593</v>
      </c>
      <c r="P561" s="159">
        <f>VLOOKUP(bargiri[[#This Row],[شماره سند مبنا]],invoice[[شماره پیش فاکتور]:[پیش دریافت به ازای هر کیلوگرم]],14,0)</f>
        <v>17600</v>
      </c>
      <c r="Q561" s="159">
        <f>IF(bargiri[[#This Row],[مبلغ ناخالص]]-(bargiri[[#This Row],[نرخ استهلاک]]*bargiri[[#This Row],[مقدار]])&lt;0,0,bargiri[[#This Row],[مبلغ ناخالص]]-(bargiri[[#This Row],[نرخ استهلاک]]*bargiri[[#This Row],[مقدار]]))</f>
        <v>1260480000</v>
      </c>
    </row>
    <row r="562" spans="1:17" s="22" customFormat="1" ht="13.8" x14ac:dyDescent="0.25">
      <c r="A562" s="22">
        <v>944</v>
      </c>
      <c r="B562" s="22" t="s">
        <v>731</v>
      </c>
      <c r="C562" s="22" t="s">
        <v>711</v>
      </c>
      <c r="D562" s="22" t="s">
        <v>67</v>
      </c>
      <c r="E562" s="158">
        <v>12085</v>
      </c>
      <c r="F562" s="159">
        <v>167500</v>
      </c>
      <c r="G562" s="159">
        <v>2024237500</v>
      </c>
      <c r="H562" s="159">
        <v>202423750</v>
      </c>
      <c r="I562" s="159">
        <v>2226661250</v>
      </c>
      <c r="J562" s="159">
        <f>bargiri[[#This Row],[مقدار]]*INDEX(invoice[پیش دریافت به ازای هر کیلوگرم],MATCH(bargiri[[#This Row],[شماره سند مبنا]],invoice[شماره پیش فاکتور],0))</f>
        <v>2226661250</v>
      </c>
      <c r="K562" s="159">
        <f>bargiri[[#This Row],[مبلغ خالص]]-bargiri[[#This Row],[میزان استهلاک پیش دریافتی]]</f>
        <v>0</v>
      </c>
      <c r="L562" s="160" t="s">
        <v>392</v>
      </c>
      <c r="M562" s="159"/>
      <c r="N562" s="159">
        <f>IF(bargiri[[#This Row],[مبلغ واریزی]]&lt;&gt;"",bargiri[[#This Row],[مانده مبلغ]]-bargiri[[#This Row],[مبلغ واریزی]],bargiri[[#This Row],[مانده مبلغ]])</f>
        <v>0</v>
      </c>
      <c r="O562" s="159">
        <v>0</v>
      </c>
      <c r="P562" s="159">
        <f>VLOOKUP(bargiri[[#This Row],[شماره سند مبنا]],invoice[[شماره پیش فاکتور]:[پیش دریافت به ازای هر کیلوگرم]],14,0)</f>
        <v>184250</v>
      </c>
      <c r="Q562" s="159">
        <f>IF(bargiri[[#This Row],[مبلغ ناخالص]]-(bargiri[[#This Row],[نرخ استهلاک]]*bargiri[[#This Row],[مقدار]])&lt;0,0,bargiri[[#This Row],[مبلغ ناخالص]]-(bargiri[[#This Row],[نرخ استهلاک]]*bargiri[[#This Row],[مقدار]]))</f>
        <v>0</v>
      </c>
    </row>
    <row r="563" spans="1:17" s="22" customFormat="1" ht="13.8" x14ac:dyDescent="0.25">
      <c r="A563" s="22">
        <v>943</v>
      </c>
      <c r="B563" s="22" t="s">
        <v>731</v>
      </c>
      <c r="C563" s="22" t="s">
        <v>711</v>
      </c>
      <c r="D563" s="22" t="s">
        <v>67</v>
      </c>
      <c r="E563" s="158">
        <v>18735</v>
      </c>
      <c r="F563" s="159">
        <v>167500</v>
      </c>
      <c r="G563" s="159">
        <v>3138112500</v>
      </c>
      <c r="H563" s="159">
        <v>313811250</v>
      </c>
      <c r="I563" s="159">
        <v>3451923750</v>
      </c>
      <c r="J563" s="159">
        <f>bargiri[[#This Row],[مقدار]]*INDEX(invoice[پیش دریافت به ازای هر کیلوگرم],MATCH(bargiri[[#This Row],[شماره سند مبنا]],invoice[شماره پیش فاکتور],0))</f>
        <v>3451923750</v>
      </c>
      <c r="K563" s="159">
        <f>bargiri[[#This Row],[مبلغ خالص]]-bargiri[[#This Row],[میزان استهلاک پیش دریافتی]]</f>
        <v>0</v>
      </c>
      <c r="L563" s="160" t="s">
        <v>245</v>
      </c>
      <c r="M563" s="159"/>
      <c r="N563" s="159">
        <f>IF(bargiri[[#This Row],[مبلغ واریزی]]&lt;&gt;"",bargiri[[#This Row],[مانده مبلغ]]-bargiri[[#This Row],[مبلغ واریزی]],bargiri[[#This Row],[مانده مبلغ]])</f>
        <v>0</v>
      </c>
      <c r="O563" s="159">
        <v>0</v>
      </c>
      <c r="P563" s="159">
        <f>VLOOKUP(bargiri[[#This Row],[شماره سند مبنا]],invoice[[شماره پیش فاکتور]:[پیش دریافت به ازای هر کیلوگرم]],14,0)</f>
        <v>184250</v>
      </c>
      <c r="Q563" s="159">
        <f>IF(bargiri[[#This Row],[مبلغ ناخالص]]-(bargiri[[#This Row],[نرخ استهلاک]]*bargiri[[#This Row],[مقدار]])&lt;0,0,bargiri[[#This Row],[مبلغ ناخالص]]-(bargiri[[#This Row],[نرخ استهلاک]]*bargiri[[#This Row],[مقدار]]))</f>
        <v>0</v>
      </c>
    </row>
    <row r="564" spans="1:17" s="22" customFormat="1" ht="13.8" x14ac:dyDescent="0.25">
      <c r="A564" s="22">
        <v>942</v>
      </c>
      <c r="B564" s="22" t="s">
        <v>731</v>
      </c>
      <c r="C564" s="22" t="s">
        <v>187</v>
      </c>
      <c r="D564" s="22" t="s">
        <v>43</v>
      </c>
      <c r="E564" s="158">
        <v>22310</v>
      </c>
      <c r="F564" s="159">
        <v>80000</v>
      </c>
      <c r="G564" s="159">
        <v>1784800000</v>
      </c>
      <c r="H564" s="159">
        <v>178480000</v>
      </c>
      <c r="I564" s="159">
        <v>1963280000</v>
      </c>
      <c r="J564" s="159">
        <f>bargiri[[#This Row],[مقدار]]*INDEX(invoice[پیش دریافت به ازای هر کیلوگرم],MATCH(bargiri[[#This Row],[شماره سند مبنا]],invoice[شماره پیش فاکتور],0))</f>
        <v>392656000</v>
      </c>
      <c r="K564" s="159">
        <f>bargiri[[#This Row],[مبلغ خالص]]-bargiri[[#This Row],[میزان استهلاک پیش دریافتی]]</f>
        <v>1570624000</v>
      </c>
      <c r="L564" s="160" t="s">
        <v>178</v>
      </c>
      <c r="M564" s="159"/>
      <c r="N564" s="159">
        <f>IF(bargiri[[#This Row],[مبلغ واریزی]]&lt;&gt;"",bargiri[[#This Row],[مانده مبلغ]]-bargiri[[#This Row],[مبلغ واریزی]],bargiri[[#This Row],[مانده مبلغ]])</f>
        <v>1570624000</v>
      </c>
      <c r="O564" s="159">
        <v>0</v>
      </c>
      <c r="P564" s="159">
        <f>VLOOKUP(bargiri[[#This Row],[شماره سند مبنا]],invoice[[شماره پیش فاکتور]:[پیش دریافت به ازای هر کیلوگرم]],14,0)</f>
        <v>17600</v>
      </c>
      <c r="Q564" s="159">
        <f>IF(bargiri[[#This Row],[مبلغ ناخالص]]-(bargiri[[#This Row],[نرخ استهلاک]]*bargiri[[#This Row],[مقدار]])&lt;0,0,bargiri[[#This Row],[مبلغ ناخالص]]-(bargiri[[#This Row],[نرخ استهلاک]]*bargiri[[#This Row],[مقدار]]))</f>
        <v>1392144000</v>
      </c>
    </row>
    <row r="565" spans="1:17" s="22" customFormat="1" ht="13.8" x14ac:dyDescent="0.25">
      <c r="A565" s="22">
        <v>941</v>
      </c>
      <c r="B565" s="22" t="s">
        <v>731</v>
      </c>
      <c r="C565" s="22" t="s">
        <v>602</v>
      </c>
      <c r="D565" s="22" t="s">
        <v>30</v>
      </c>
      <c r="E565" s="158">
        <v>11460</v>
      </c>
      <c r="F565" s="159">
        <v>142000</v>
      </c>
      <c r="G565" s="159">
        <v>1627320000</v>
      </c>
      <c r="H565" s="159">
        <v>162732000</v>
      </c>
      <c r="I565" s="159">
        <v>1790052000</v>
      </c>
      <c r="J565" s="159">
        <f>bargiri[[#This Row],[مقدار]]*INDEX(invoice[پیش دریافت به ازای هر کیلوگرم],MATCH(bargiri[[#This Row],[شماره سند مبنا]],invoice[شماره پیش فاکتور],0))</f>
        <v>1296736417.2617199</v>
      </c>
      <c r="K565" s="159">
        <f>bargiri[[#This Row],[مبلغ خالص]]-bargiri[[#This Row],[میزان استهلاک پیش دریافتی]]</f>
        <v>493315582.73828006</v>
      </c>
      <c r="L565" s="160" t="s">
        <v>146</v>
      </c>
      <c r="M565" s="159"/>
      <c r="N565" s="159">
        <f>IF(bargiri[[#This Row],[مبلغ واریزی]]&lt;&gt;"",bargiri[[#This Row],[مانده مبلغ]]-bargiri[[#This Row],[مبلغ واریزی]],bargiri[[#This Row],[مانده مبلغ]])</f>
        <v>493315582.73828006</v>
      </c>
      <c r="O565" s="159">
        <v>0</v>
      </c>
      <c r="P565" s="159">
        <f>VLOOKUP(bargiri[[#This Row],[شماره سند مبنا]],invoice[[شماره پیش فاکتور]:[پیش دریافت به ازای هر کیلوگرم]],14,0)</f>
        <v>113153.2650315637</v>
      </c>
      <c r="Q565" s="159">
        <f>IF(bargiri[[#This Row],[مبلغ ناخالص]]-(bargiri[[#This Row],[نرخ استهلاک]]*bargiri[[#This Row],[مقدار]])&lt;0,0,bargiri[[#This Row],[مبلغ ناخالص]]-(bargiri[[#This Row],[نرخ استهلاک]]*bargiri[[#This Row],[مقدار]]))</f>
        <v>330583582.73828006</v>
      </c>
    </row>
    <row r="566" spans="1:17" s="22" customFormat="1" ht="13.8" x14ac:dyDescent="0.25">
      <c r="A566" s="22">
        <v>940</v>
      </c>
      <c r="B566" s="22" t="s">
        <v>731</v>
      </c>
      <c r="C566" s="22" t="s">
        <v>668</v>
      </c>
      <c r="D566" s="22" t="s">
        <v>70</v>
      </c>
      <c r="E566" s="158">
        <v>20150</v>
      </c>
      <c r="F566" s="159">
        <v>116500</v>
      </c>
      <c r="G566" s="159">
        <v>2347475000</v>
      </c>
      <c r="H566" s="159">
        <v>234747500</v>
      </c>
      <c r="I566" s="159">
        <v>2582222500</v>
      </c>
      <c r="J566" s="159">
        <f>bargiri[[#This Row],[مقدار]]*INDEX(invoice[پیش دریافت به ازای هر کیلوگرم],MATCH(bargiri[[#This Row],[شماره سند مبنا]],invoice[شماره پیش فاکتور],0))</f>
        <v>387333375</v>
      </c>
      <c r="K566" s="159">
        <f>bargiri[[#This Row],[مبلغ خالص]]-bargiri[[#This Row],[میزان استهلاک پیش دریافتی]]</f>
        <v>2194889125</v>
      </c>
      <c r="L566" s="160" t="s">
        <v>593</v>
      </c>
      <c r="M566" s="159"/>
      <c r="N566" s="159">
        <f>IF(bargiri[[#This Row],[مبلغ واریزی]]&lt;&gt;"",bargiri[[#This Row],[مانده مبلغ]]-bargiri[[#This Row],[مبلغ واریزی]],bargiri[[#This Row],[مانده مبلغ]])</f>
        <v>2194889125</v>
      </c>
      <c r="O566" s="159" t="s">
        <v>593</v>
      </c>
      <c r="P566" s="159">
        <f>VLOOKUP(bargiri[[#This Row],[شماره سند مبنا]],invoice[[شماره پیش فاکتور]:[پیش دریافت به ازای هر کیلوگرم]],14,0)</f>
        <v>19222.5</v>
      </c>
      <c r="Q566" s="159">
        <f>IF(bargiri[[#This Row],[مبلغ ناخالص]]-(bargiri[[#This Row],[نرخ استهلاک]]*bargiri[[#This Row],[مقدار]])&lt;0,0,bargiri[[#This Row],[مبلغ ناخالص]]-(bargiri[[#This Row],[نرخ استهلاک]]*bargiri[[#This Row],[مقدار]]))</f>
        <v>1960141625</v>
      </c>
    </row>
    <row r="567" spans="1:17" s="22" customFormat="1" ht="13.8" x14ac:dyDescent="0.25">
      <c r="A567" s="22">
        <v>939</v>
      </c>
      <c r="B567" s="22" t="s">
        <v>782</v>
      </c>
      <c r="C567" s="22" t="s">
        <v>182</v>
      </c>
      <c r="D567" s="22" t="s">
        <v>20</v>
      </c>
      <c r="E567" s="158">
        <v>19200</v>
      </c>
      <c r="F567" s="159">
        <v>86500</v>
      </c>
      <c r="G567" s="159">
        <v>1660800000</v>
      </c>
      <c r="H567" s="159">
        <v>166080000</v>
      </c>
      <c r="I567" s="159">
        <v>1826880000</v>
      </c>
      <c r="J567" s="159">
        <f>bargiri[[#This Row],[مقدار]]*INDEX(invoice[پیش دریافت به ازای هر کیلوگرم],MATCH(bargiri[[#This Row],[شماره سند مبنا]],invoice[شماره پیش فاکتور],0))</f>
        <v>249120000</v>
      </c>
      <c r="K567" s="159">
        <f>bargiri[[#This Row],[مبلغ خالص]]-bargiri[[#This Row],[میزان استهلاک پیش دریافتی]]</f>
        <v>1577760000</v>
      </c>
      <c r="L567" s="160" t="s">
        <v>593</v>
      </c>
      <c r="M567" s="159"/>
      <c r="N567" s="159">
        <f>IF(bargiri[[#This Row],[مبلغ واریزی]]&lt;&gt;"",bargiri[[#This Row],[مانده مبلغ]]-bargiri[[#This Row],[مبلغ واریزی]],bargiri[[#This Row],[مانده مبلغ]])</f>
        <v>1577760000</v>
      </c>
      <c r="O567" s="159" t="s">
        <v>593</v>
      </c>
      <c r="P567" s="159">
        <f>VLOOKUP(bargiri[[#This Row],[شماره سند مبنا]],invoice[[شماره پیش فاکتور]:[پیش دریافت به ازای هر کیلوگرم]],14,0)</f>
        <v>12975</v>
      </c>
      <c r="Q567" s="159">
        <f>IF(bargiri[[#This Row],[مبلغ ناخالص]]-(bargiri[[#This Row],[نرخ استهلاک]]*bargiri[[#This Row],[مقدار]])&lt;0,0,bargiri[[#This Row],[مبلغ ناخالص]]-(bargiri[[#This Row],[نرخ استهلاک]]*bargiri[[#This Row],[مقدار]]))</f>
        <v>1411680000</v>
      </c>
    </row>
    <row r="568" spans="1:17" s="22" customFormat="1" ht="13.8" x14ac:dyDescent="0.25">
      <c r="A568" s="22">
        <v>938</v>
      </c>
      <c r="B568" s="22" t="s">
        <v>782</v>
      </c>
      <c r="C568" s="22" t="s">
        <v>616</v>
      </c>
      <c r="D568" s="22" t="s">
        <v>67</v>
      </c>
      <c r="E568" s="158">
        <v>21055</v>
      </c>
      <c r="F568" s="159">
        <v>142000</v>
      </c>
      <c r="G568" s="159">
        <v>2989810000</v>
      </c>
      <c r="H568" s="159">
        <v>298981000</v>
      </c>
      <c r="I568" s="159">
        <v>3288791000</v>
      </c>
      <c r="J568" s="159">
        <f>bargiri[[#This Row],[مقدار]]*INDEX(invoice[پیش دریافت به ازای هر کیلوگرم],MATCH(bargiri[[#This Row],[شماره سند مبنا]],invoice[شماره پیش فاکتور],0))</f>
        <v>493318650</v>
      </c>
      <c r="K568" s="159">
        <f>bargiri[[#This Row],[مبلغ خالص]]-bargiri[[#This Row],[میزان استهلاک پیش دریافتی]]</f>
        <v>2795472350</v>
      </c>
      <c r="L568" s="160" t="s">
        <v>593</v>
      </c>
      <c r="M568" s="159"/>
      <c r="N568" s="159">
        <f>IF(bargiri[[#This Row],[مبلغ واریزی]]&lt;&gt;"",bargiri[[#This Row],[مانده مبلغ]]-bargiri[[#This Row],[مبلغ واریزی]],bargiri[[#This Row],[مانده مبلغ]])</f>
        <v>2795472350</v>
      </c>
      <c r="O568" s="159" t="s">
        <v>593</v>
      </c>
      <c r="P568" s="159">
        <f>VLOOKUP(bargiri[[#This Row],[شماره سند مبنا]],invoice[[شماره پیش فاکتور]:[پیش دریافت به ازای هر کیلوگرم]],14,0)</f>
        <v>23430</v>
      </c>
      <c r="Q568" s="159">
        <f>IF(bargiri[[#This Row],[مبلغ ناخالص]]-(bargiri[[#This Row],[نرخ استهلاک]]*bargiri[[#This Row],[مقدار]])&lt;0,0,bargiri[[#This Row],[مبلغ ناخالص]]-(bargiri[[#This Row],[نرخ استهلاک]]*bargiri[[#This Row],[مقدار]]))</f>
        <v>2496491350</v>
      </c>
    </row>
    <row r="569" spans="1:17" s="22" customFormat="1" ht="13.8" x14ac:dyDescent="0.25">
      <c r="A569" s="22">
        <v>937</v>
      </c>
      <c r="B569" s="22" t="s">
        <v>782</v>
      </c>
      <c r="C569" s="22" t="s">
        <v>72</v>
      </c>
      <c r="D569" s="22" t="s">
        <v>73</v>
      </c>
      <c r="E569" s="158">
        <v>20710</v>
      </c>
      <c r="F569" s="159">
        <v>57273</v>
      </c>
      <c r="G569" s="159">
        <v>1186123830</v>
      </c>
      <c r="H569" s="159">
        <v>118612383</v>
      </c>
      <c r="I569" s="159">
        <v>1304736213</v>
      </c>
      <c r="J569" s="159" t="e">
        <f>bargiri[[#This Row],[مقدار]]*INDEX(invoice[پیش دریافت به ازای هر کیلوگرم],MATCH(bargiri[[#This Row],[شماره سند مبنا]],invoice[شماره پیش فاکتور],0))</f>
        <v>#N/A</v>
      </c>
      <c r="K569" s="159" t="e">
        <f>bargiri[[#This Row],[مبلغ خالص]]-bargiri[[#This Row],[میزان استهلاک پیش دریافتی]]</f>
        <v>#N/A</v>
      </c>
      <c r="L569" s="160" t="s">
        <v>593</v>
      </c>
      <c r="M569" s="159"/>
      <c r="N569" s="159" t="e">
        <f>IF(bargiri[[#This Row],[مبلغ واریزی]]&lt;&gt;"",bargiri[[#This Row],[مانده مبلغ]]-bargiri[[#This Row],[مبلغ واریزی]],bargiri[[#This Row],[مانده مبلغ]])</f>
        <v>#N/A</v>
      </c>
      <c r="O569" s="159" t="s">
        <v>593</v>
      </c>
      <c r="P569" s="159" t="e">
        <f>VLOOKUP(bargiri[[#This Row],[شماره سند مبنا]],invoice[[شماره پیش فاکتور]:[پیش دریافت به ازای هر کیلوگرم]],14,0)</f>
        <v>#N/A</v>
      </c>
      <c r="Q569" s="159" t="e">
        <f>IF(bargiri[[#This Row],[مبلغ ناخالص]]-(bargiri[[#This Row],[نرخ استهلاک]]*bargiri[[#This Row],[مقدار]])&lt;0,0,bargiri[[#This Row],[مبلغ ناخالص]]-(bargiri[[#This Row],[نرخ استهلاک]]*bargiri[[#This Row],[مقدار]]))</f>
        <v>#N/A</v>
      </c>
    </row>
    <row r="570" spans="1:17" s="22" customFormat="1" ht="13.8" x14ac:dyDescent="0.25">
      <c r="A570" s="22">
        <v>936</v>
      </c>
      <c r="B570" s="22" t="s">
        <v>782</v>
      </c>
      <c r="C570" s="22" t="s">
        <v>72</v>
      </c>
      <c r="D570" s="22" t="s">
        <v>73</v>
      </c>
      <c r="E570" s="158">
        <v>20545</v>
      </c>
      <c r="F570" s="159">
        <v>57273</v>
      </c>
      <c r="G570" s="159">
        <v>1176673785</v>
      </c>
      <c r="H570" s="159">
        <v>117667379</v>
      </c>
      <c r="I570" s="159">
        <v>1294341164</v>
      </c>
      <c r="J570" s="159" t="e">
        <f>bargiri[[#This Row],[مقدار]]*INDEX(invoice[پیش دریافت به ازای هر کیلوگرم],MATCH(bargiri[[#This Row],[شماره سند مبنا]],invoice[شماره پیش فاکتور],0))</f>
        <v>#N/A</v>
      </c>
      <c r="K570" s="159" t="e">
        <f>bargiri[[#This Row],[مبلغ خالص]]-bargiri[[#This Row],[میزان استهلاک پیش دریافتی]]</f>
        <v>#N/A</v>
      </c>
      <c r="L570" s="160" t="s">
        <v>593</v>
      </c>
      <c r="M570" s="159"/>
      <c r="N570" s="159" t="e">
        <f>IF(bargiri[[#This Row],[مبلغ واریزی]]&lt;&gt;"",bargiri[[#This Row],[مانده مبلغ]]-bargiri[[#This Row],[مبلغ واریزی]],bargiri[[#This Row],[مانده مبلغ]])</f>
        <v>#N/A</v>
      </c>
      <c r="O570" s="159" t="s">
        <v>593</v>
      </c>
      <c r="P570" s="159" t="e">
        <f>VLOOKUP(bargiri[[#This Row],[شماره سند مبنا]],invoice[[شماره پیش فاکتور]:[پیش دریافت به ازای هر کیلوگرم]],14,0)</f>
        <v>#N/A</v>
      </c>
      <c r="Q570" s="159" t="e">
        <f>IF(bargiri[[#This Row],[مبلغ ناخالص]]-(bargiri[[#This Row],[نرخ استهلاک]]*bargiri[[#This Row],[مقدار]])&lt;0,0,bargiri[[#This Row],[مبلغ ناخالص]]-(bargiri[[#This Row],[نرخ استهلاک]]*bargiri[[#This Row],[مقدار]]))</f>
        <v>#N/A</v>
      </c>
    </row>
    <row r="571" spans="1:17" s="22" customFormat="1" ht="13.8" x14ac:dyDescent="0.25">
      <c r="A571" s="22">
        <v>935</v>
      </c>
      <c r="B571" s="22" t="s">
        <v>782</v>
      </c>
      <c r="C571" s="22" t="s">
        <v>607</v>
      </c>
      <c r="D571" s="22" t="s">
        <v>180</v>
      </c>
      <c r="E571" s="158">
        <v>7855</v>
      </c>
      <c r="F571" s="159">
        <v>142000</v>
      </c>
      <c r="G571" s="159">
        <v>1115410000</v>
      </c>
      <c r="H571" s="159">
        <v>111541000</v>
      </c>
      <c r="I571" s="159">
        <v>1226951000</v>
      </c>
      <c r="J571" s="159">
        <f>bargiri[[#This Row],[مقدار]]*INDEX(invoice[پیش دریافت به ازای هر کیلوگرم],MATCH(bargiri[[#This Row],[شماره سند مبنا]],invoice[شماره پیش فاکتور],0))</f>
        <v>586351322.17069626</v>
      </c>
      <c r="K571" s="159">
        <f>bargiri[[#This Row],[مبلغ خالص]]-bargiri[[#This Row],[میزان استهلاک پیش دریافتی]]</f>
        <v>640599677.82930374</v>
      </c>
      <c r="L571" s="160" t="s">
        <v>593</v>
      </c>
      <c r="M571" s="159"/>
      <c r="N571" s="159">
        <f>IF(bargiri[[#This Row],[مبلغ واریزی]]&lt;&gt;"",bargiri[[#This Row],[مانده مبلغ]]-bargiri[[#This Row],[مبلغ واریزی]],bargiri[[#This Row],[مانده مبلغ]])</f>
        <v>640599677.82930374</v>
      </c>
      <c r="O571" s="159" t="s">
        <v>593</v>
      </c>
      <c r="P571" s="159">
        <f>VLOOKUP(bargiri[[#This Row],[شماره سند مبنا]],invoice[[شماره پیش فاکتور]:[پیش دریافت به ازای هر کیلوگرم]],14,0)</f>
        <v>74646.890155403729</v>
      </c>
      <c r="Q571" s="159">
        <f>IF(bargiri[[#This Row],[مبلغ ناخالص]]-(bargiri[[#This Row],[نرخ استهلاک]]*bargiri[[#This Row],[مقدار]])&lt;0,0,bargiri[[#This Row],[مبلغ ناخالص]]-(bargiri[[#This Row],[نرخ استهلاک]]*bargiri[[#This Row],[مقدار]]))</f>
        <v>529058677.82930374</v>
      </c>
    </row>
    <row r="572" spans="1:17" s="22" customFormat="1" ht="13.8" x14ac:dyDescent="0.25">
      <c r="A572" s="22">
        <v>934</v>
      </c>
      <c r="B572" s="22" t="s">
        <v>783</v>
      </c>
      <c r="C572" s="22" t="s">
        <v>684</v>
      </c>
      <c r="D572" s="22" t="s">
        <v>17</v>
      </c>
      <c r="E572" s="158">
        <v>7250</v>
      </c>
      <c r="F572" s="159">
        <v>167500</v>
      </c>
      <c r="G572" s="159">
        <v>1214375000</v>
      </c>
      <c r="H572" s="159">
        <v>121437500</v>
      </c>
      <c r="I572" s="159">
        <v>1335812500</v>
      </c>
      <c r="J572" s="159">
        <f>bargiri[[#This Row],[مقدار]]*INDEX(invoice[پیش دریافت به ازای هر کیلوگرم],MATCH(bargiri[[#This Row],[شماره سند مبنا]],invoice[شماره پیش فاکتور],0))</f>
        <v>1335812500</v>
      </c>
      <c r="K572" s="159">
        <f>bargiri[[#This Row],[مبلغ خالص]]-bargiri[[#This Row],[میزان استهلاک پیش دریافتی]]</f>
        <v>0</v>
      </c>
      <c r="L572" s="160" t="s">
        <v>593</v>
      </c>
      <c r="M572" s="159"/>
      <c r="N572" s="159">
        <f>IF(bargiri[[#This Row],[مبلغ واریزی]]&lt;&gt;"",bargiri[[#This Row],[مانده مبلغ]]-bargiri[[#This Row],[مبلغ واریزی]],bargiri[[#This Row],[مانده مبلغ]])</f>
        <v>0</v>
      </c>
      <c r="O572" s="159" t="s">
        <v>593</v>
      </c>
      <c r="P572" s="159">
        <f>VLOOKUP(bargiri[[#This Row],[شماره سند مبنا]],invoice[[شماره پیش فاکتور]:[پیش دریافت به ازای هر کیلوگرم]],14,0)</f>
        <v>184250</v>
      </c>
      <c r="Q572" s="159">
        <f>IF(bargiri[[#This Row],[مبلغ ناخالص]]-(bargiri[[#This Row],[نرخ استهلاک]]*bargiri[[#This Row],[مقدار]])&lt;0,0,bargiri[[#This Row],[مبلغ ناخالص]]-(bargiri[[#This Row],[نرخ استهلاک]]*bargiri[[#This Row],[مقدار]]))</f>
        <v>0</v>
      </c>
    </row>
    <row r="573" spans="1:17" s="22" customFormat="1" ht="13.8" x14ac:dyDescent="0.25">
      <c r="A573" s="22">
        <v>934</v>
      </c>
      <c r="B573" s="22" t="s">
        <v>783</v>
      </c>
      <c r="C573" s="22" t="s">
        <v>690</v>
      </c>
      <c r="D573" s="22" t="s">
        <v>17</v>
      </c>
      <c r="E573" s="158">
        <v>16035</v>
      </c>
      <c r="F573" s="159">
        <v>116500</v>
      </c>
      <c r="G573" s="159">
        <v>1868077500</v>
      </c>
      <c r="H573" s="159">
        <v>186807750</v>
      </c>
      <c r="I573" s="159">
        <v>2054885250</v>
      </c>
      <c r="J573" s="159">
        <f>bargiri[[#This Row],[مقدار]]*INDEX(invoice[پیش دریافت به ازای هر کیلوگرم],MATCH(bargiri[[#This Row],[شماره سند مبنا]],invoice[شماره پیش فاکتور],0))</f>
        <v>2054885250</v>
      </c>
      <c r="K573" s="159">
        <f>bargiri[[#This Row],[مبلغ خالص]]-bargiri[[#This Row],[میزان استهلاک پیش دریافتی]]</f>
        <v>0</v>
      </c>
      <c r="L573" s="160" t="s">
        <v>593</v>
      </c>
      <c r="M573" s="159"/>
      <c r="N573" s="159">
        <f>IF(bargiri[[#This Row],[مبلغ واریزی]]&lt;&gt;"",bargiri[[#This Row],[مانده مبلغ]]-bargiri[[#This Row],[مبلغ واریزی]],bargiri[[#This Row],[مانده مبلغ]])</f>
        <v>0</v>
      </c>
      <c r="O573" s="159" t="s">
        <v>593</v>
      </c>
      <c r="P573" s="159">
        <f>VLOOKUP(bargiri[[#This Row],[شماره سند مبنا]],invoice[[شماره پیش فاکتور]:[پیش دریافت به ازای هر کیلوگرم]],14,0)</f>
        <v>128150</v>
      </c>
      <c r="Q573" s="159">
        <f>IF(bargiri[[#This Row],[مبلغ ناخالص]]-(bargiri[[#This Row],[نرخ استهلاک]]*bargiri[[#This Row],[مقدار]])&lt;0,0,bargiri[[#This Row],[مبلغ ناخالص]]-(bargiri[[#This Row],[نرخ استهلاک]]*bargiri[[#This Row],[مقدار]]))</f>
        <v>0</v>
      </c>
    </row>
    <row r="574" spans="1:17" s="22" customFormat="1" ht="13.8" x14ac:dyDescent="0.25">
      <c r="A574" s="22">
        <v>933</v>
      </c>
      <c r="B574" s="22" t="s">
        <v>784</v>
      </c>
      <c r="C574" s="22" t="s">
        <v>72</v>
      </c>
      <c r="D574" s="22" t="s">
        <v>73</v>
      </c>
      <c r="E574" s="158">
        <v>20265</v>
      </c>
      <c r="F574" s="159">
        <v>57273</v>
      </c>
      <c r="G574" s="159">
        <v>1160637345</v>
      </c>
      <c r="H574" s="159">
        <v>116063735</v>
      </c>
      <c r="I574" s="159">
        <v>1276701080</v>
      </c>
      <c r="J574" s="159" t="e">
        <f>bargiri[[#This Row],[مقدار]]*INDEX(invoice[پیش دریافت به ازای هر کیلوگرم],MATCH(bargiri[[#This Row],[شماره سند مبنا]],invoice[شماره پیش فاکتور],0))</f>
        <v>#N/A</v>
      </c>
      <c r="K574" s="159" t="e">
        <f>bargiri[[#This Row],[مبلغ خالص]]-bargiri[[#This Row],[میزان استهلاک پیش دریافتی]]</f>
        <v>#N/A</v>
      </c>
      <c r="L574" s="160" t="s">
        <v>593</v>
      </c>
      <c r="M574" s="159"/>
      <c r="N574" s="159" t="e">
        <f>IF(bargiri[[#This Row],[مبلغ واریزی]]&lt;&gt;"",bargiri[[#This Row],[مانده مبلغ]]-bargiri[[#This Row],[مبلغ واریزی]],bargiri[[#This Row],[مانده مبلغ]])</f>
        <v>#N/A</v>
      </c>
      <c r="O574" s="159" t="s">
        <v>593</v>
      </c>
      <c r="P574" s="159" t="e">
        <f>VLOOKUP(bargiri[[#This Row],[شماره سند مبنا]],invoice[[شماره پیش فاکتور]:[پیش دریافت به ازای هر کیلوگرم]],14,0)</f>
        <v>#N/A</v>
      </c>
      <c r="Q574" s="159" t="e">
        <f>IF(bargiri[[#This Row],[مبلغ ناخالص]]-(bargiri[[#This Row],[نرخ استهلاک]]*bargiri[[#This Row],[مقدار]])&lt;0,0,bargiri[[#This Row],[مبلغ ناخالص]]-(bargiri[[#This Row],[نرخ استهلاک]]*bargiri[[#This Row],[مقدار]]))</f>
        <v>#N/A</v>
      </c>
    </row>
    <row r="575" spans="1:17" s="22" customFormat="1" ht="13.8" x14ac:dyDescent="0.25">
      <c r="A575" s="22">
        <v>932</v>
      </c>
      <c r="B575" s="22" t="s">
        <v>784</v>
      </c>
      <c r="C575" s="22" t="s">
        <v>72</v>
      </c>
      <c r="D575" s="22" t="s">
        <v>73</v>
      </c>
      <c r="E575" s="158">
        <v>20450</v>
      </c>
      <c r="F575" s="159">
        <v>57273</v>
      </c>
      <c r="G575" s="159">
        <v>1171232850</v>
      </c>
      <c r="H575" s="159">
        <v>117123285</v>
      </c>
      <c r="I575" s="159">
        <v>1288356135</v>
      </c>
      <c r="J575" s="159" t="e">
        <f>bargiri[[#This Row],[مقدار]]*INDEX(invoice[پیش دریافت به ازای هر کیلوگرم],MATCH(bargiri[[#This Row],[شماره سند مبنا]],invoice[شماره پیش فاکتور],0))</f>
        <v>#N/A</v>
      </c>
      <c r="K575" s="159" t="e">
        <f>bargiri[[#This Row],[مبلغ خالص]]-bargiri[[#This Row],[میزان استهلاک پیش دریافتی]]</f>
        <v>#N/A</v>
      </c>
      <c r="L575" s="160" t="s">
        <v>593</v>
      </c>
      <c r="M575" s="159"/>
      <c r="N575" s="159" t="e">
        <f>IF(bargiri[[#This Row],[مبلغ واریزی]]&lt;&gt;"",bargiri[[#This Row],[مانده مبلغ]]-bargiri[[#This Row],[مبلغ واریزی]],bargiri[[#This Row],[مانده مبلغ]])</f>
        <v>#N/A</v>
      </c>
      <c r="O575" s="159" t="s">
        <v>593</v>
      </c>
      <c r="P575" s="159" t="e">
        <f>VLOOKUP(bargiri[[#This Row],[شماره سند مبنا]],invoice[[شماره پیش فاکتور]:[پیش دریافت به ازای هر کیلوگرم]],14,0)</f>
        <v>#N/A</v>
      </c>
      <c r="Q575" s="159" t="e">
        <f>IF(bargiri[[#This Row],[مبلغ ناخالص]]-(bargiri[[#This Row],[نرخ استهلاک]]*bargiri[[#This Row],[مقدار]])&lt;0,0,bargiri[[#This Row],[مبلغ ناخالص]]-(bargiri[[#This Row],[نرخ استهلاک]]*bargiri[[#This Row],[مقدار]]))</f>
        <v>#N/A</v>
      </c>
    </row>
    <row r="576" spans="1:17" s="22" customFormat="1" ht="13.8" x14ac:dyDescent="0.25">
      <c r="A576" s="22">
        <v>931</v>
      </c>
      <c r="B576" s="22" t="s">
        <v>784</v>
      </c>
      <c r="C576" s="22" t="s">
        <v>208</v>
      </c>
      <c r="D576" s="22" t="s">
        <v>30</v>
      </c>
      <c r="E576" s="158">
        <v>11375</v>
      </c>
      <c r="F576" s="159">
        <v>89000</v>
      </c>
      <c r="G576" s="159">
        <v>1012375000</v>
      </c>
      <c r="H576" s="159">
        <v>101237500</v>
      </c>
      <c r="I576" s="159">
        <v>1113612500</v>
      </c>
      <c r="J576" s="159">
        <f>bargiri[[#This Row],[مقدار]]*INDEX(invoice[پیش دریافت به ازای هر کیلوگرم],MATCH(bargiri[[#This Row],[شماره سند مبنا]],invoice[شماره پیش فاکتور],0))</f>
        <v>1113612500</v>
      </c>
      <c r="K576" s="159">
        <f>bargiri[[#This Row],[مبلغ خالص]]-bargiri[[#This Row],[میزان استهلاک پیش دریافتی]]</f>
        <v>0</v>
      </c>
      <c r="L576" s="160" t="s">
        <v>593</v>
      </c>
      <c r="M576" s="159"/>
      <c r="N576" s="159">
        <f>IF(bargiri[[#This Row],[مبلغ واریزی]]&lt;&gt;"",bargiri[[#This Row],[مانده مبلغ]]-bargiri[[#This Row],[مبلغ واریزی]],bargiri[[#This Row],[مانده مبلغ]])</f>
        <v>0</v>
      </c>
      <c r="O576" s="159" t="s">
        <v>593</v>
      </c>
      <c r="P576" s="159">
        <f>VLOOKUP(bargiri[[#This Row],[شماره سند مبنا]],invoice[[شماره پیش فاکتور]:[پیش دریافت به ازای هر کیلوگرم]],14,0)</f>
        <v>97900</v>
      </c>
      <c r="Q576" s="159">
        <f>IF(bargiri[[#This Row],[مبلغ ناخالص]]-(bargiri[[#This Row],[نرخ استهلاک]]*bargiri[[#This Row],[مقدار]])&lt;0,0,bargiri[[#This Row],[مبلغ ناخالص]]-(bargiri[[#This Row],[نرخ استهلاک]]*bargiri[[#This Row],[مقدار]]))</f>
        <v>0</v>
      </c>
    </row>
    <row r="577" spans="1:17" s="22" customFormat="1" ht="13.8" x14ac:dyDescent="0.25">
      <c r="A577" s="22">
        <v>930</v>
      </c>
      <c r="B577" s="22" t="s">
        <v>784</v>
      </c>
      <c r="C577" s="22" t="s">
        <v>187</v>
      </c>
      <c r="D577" s="22" t="s">
        <v>43</v>
      </c>
      <c r="E577" s="158">
        <v>22245</v>
      </c>
      <c r="F577" s="159">
        <v>80000</v>
      </c>
      <c r="G577" s="159">
        <v>1779600000</v>
      </c>
      <c r="H577" s="159">
        <v>177960000</v>
      </c>
      <c r="I577" s="159">
        <v>1957560000</v>
      </c>
      <c r="J577" s="159">
        <f>bargiri[[#This Row],[مقدار]]*INDEX(invoice[پیش دریافت به ازای هر کیلوگرم],MATCH(bargiri[[#This Row],[شماره سند مبنا]],invoice[شماره پیش فاکتور],0))</f>
        <v>391512000</v>
      </c>
      <c r="K577" s="159">
        <f>bargiri[[#This Row],[مبلغ خالص]]-bargiri[[#This Row],[میزان استهلاک پیش دریافتی]]</f>
        <v>1566048000</v>
      </c>
      <c r="L577" s="160" t="s">
        <v>318</v>
      </c>
      <c r="M577" s="159"/>
      <c r="N577" s="159">
        <f>IF(bargiri[[#This Row],[مبلغ واریزی]]&lt;&gt;"",bargiri[[#This Row],[مانده مبلغ]]-bargiri[[#This Row],[مبلغ واریزی]],bargiri[[#This Row],[مانده مبلغ]])</f>
        <v>1566048000</v>
      </c>
      <c r="O577" s="159">
        <v>0</v>
      </c>
      <c r="P577" s="159">
        <f>VLOOKUP(bargiri[[#This Row],[شماره سند مبنا]],invoice[[شماره پیش فاکتور]:[پیش دریافت به ازای هر کیلوگرم]],14,0)</f>
        <v>17600</v>
      </c>
      <c r="Q577" s="159">
        <f>IF(bargiri[[#This Row],[مبلغ ناخالص]]-(bargiri[[#This Row],[نرخ استهلاک]]*bargiri[[#This Row],[مقدار]])&lt;0,0,bargiri[[#This Row],[مبلغ ناخالص]]-(bargiri[[#This Row],[نرخ استهلاک]]*bargiri[[#This Row],[مقدار]]))</f>
        <v>1388088000</v>
      </c>
    </row>
    <row r="578" spans="1:17" s="22" customFormat="1" ht="13.8" x14ac:dyDescent="0.25">
      <c r="A578" s="22">
        <v>929</v>
      </c>
      <c r="B578" s="22" t="s">
        <v>783</v>
      </c>
      <c r="C578" s="22" t="s">
        <v>187</v>
      </c>
      <c r="D578" s="22" t="s">
        <v>43</v>
      </c>
      <c r="E578" s="158">
        <v>22205</v>
      </c>
      <c r="F578" s="159">
        <v>80000</v>
      </c>
      <c r="G578" s="159">
        <v>1776400000</v>
      </c>
      <c r="H578" s="159">
        <v>177640000</v>
      </c>
      <c r="I578" s="159">
        <v>1954040000</v>
      </c>
      <c r="J578" s="159">
        <f>bargiri[[#This Row],[مقدار]]*INDEX(invoice[پیش دریافت به ازای هر کیلوگرم],MATCH(bargiri[[#This Row],[شماره سند مبنا]],invoice[شماره پیش فاکتور],0))</f>
        <v>390808000</v>
      </c>
      <c r="K578" s="159">
        <f>bargiri[[#This Row],[مبلغ خالص]]-bargiri[[#This Row],[میزان استهلاک پیش دریافتی]]</f>
        <v>1563232000</v>
      </c>
      <c r="L578" s="160" t="s">
        <v>311</v>
      </c>
      <c r="M578" s="159"/>
      <c r="N578" s="159">
        <f>IF(bargiri[[#This Row],[مبلغ واریزی]]&lt;&gt;"",bargiri[[#This Row],[مانده مبلغ]]-bargiri[[#This Row],[مبلغ واریزی]],bargiri[[#This Row],[مانده مبلغ]])</f>
        <v>1563232000</v>
      </c>
      <c r="O578" s="159">
        <v>0</v>
      </c>
      <c r="P578" s="159">
        <f>VLOOKUP(bargiri[[#This Row],[شماره سند مبنا]],invoice[[شماره پیش فاکتور]:[پیش دریافت به ازای هر کیلوگرم]],14,0)</f>
        <v>17600</v>
      </c>
      <c r="Q578" s="159">
        <f>IF(bargiri[[#This Row],[مبلغ ناخالص]]-(bargiri[[#This Row],[نرخ استهلاک]]*bargiri[[#This Row],[مقدار]])&lt;0,0,bargiri[[#This Row],[مبلغ ناخالص]]-(bargiri[[#This Row],[نرخ استهلاک]]*bargiri[[#This Row],[مقدار]]))</f>
        <v>1385592000</v>
      </c>
    </row>
    <row r="579" spans="1:17" s="22" customFormat="1" ht="13.8" x14ac:dyDescent="0.25">
      <c r="A579" s="22">
        <v>928</v>
      </c>
      <c r="B579" s="22" t="s">
        <v>783</v>
      </c>
      <c r="C579" s="22" t="s">
        <v>644</v>
      </c>
      <c r="D579" s="22" t="s">
        <v>67</v>
      </c>
      <c r="E579" s="158">
        <v>20870</v>
      </c>
      <c r="F579" s="159">
        <v>95000</v>
      </c>
      <c r="G579" s="159">
        <v>1982650000</v>
      </c>
      <c r="H579" s="159">
        <v>198265000</v>
      </c>
      <c r="I579" s="159">
        <v>2180915000</v>
      </c>
      <c r="J579" s="159">
        <f>bargiri[[#This Row],[مقدار]]*INDEX(invoice[پیش دریافت به ازای هر کیلوگرم],MATCH(bargiri[[#This Row],[شماره سند مبنا]],invoice[شماره پیش فاکتور],0))</f>
        <v>634568313.04629076</v>
      </c>
      <c r="K579" s="159">
        <f>bargiri[[#This Row],[مبلغ خالص]]-bargiri[[#This Row],[میزان استهلاک پیش دریافتی]]</f>
        <v>1546346686.9537091</v>
      </c>
      <c r="L579" s="160" t="s">
        <v>593</v>
      </c>
      <c r="M579" s="159"/>
      <c r="N579" s="159">
        <f>IF(bargiri[[#This Row],[مبلغ واریزی]]&lt;&gt;"",bargiri[[#This Row],[مانده مبلغ]]-bargiri[[#This Row],[مبلغ واریزی]],bargiri[[#This Row],[مانده مبلغ]])</f>
        <v>1546346686.9537091</v>
      </c>
      <c r="O579" s="159" t="s">
        <v>593</v>
      </c>
      <c r="P579" s="159">
        <f>VLOOKUP(bargiri[[#This Row],[شماره سند مبنا]],invoice[[شماره پیش فاکتور]:[پیش دریافت به ازای هر کیلوگرم]],14,0)</f>
        <v>30405.764880033101</v>
      </c>
      <c r="Q579" s="159">
        <f>IF(bargiri[[#This Row],[مبلغ ناخالص]]-(bargiri[[#This Row],[نرخ استهلاک]]*bargiri[[#This Row],[مقدار]])&lt;0,0,bargiri[[#This Row],[مبلغ ناخالص]]-(bargiri[[#This Row],[نرخ استهلاک]]*bargiri[[#This Row],[مقدار]]))</f>
        <v>1348081686.9537091</v>
      </c>
    </row>
    <row r="580" spans="1:17" s="22" customFormat="1" ht="13.8" x14ac:dyDescent="0.25">
      <c r="A580" s="22">
        <v>927</v>
      </c>
      <c r="B580" s="22" t="s">
        <v>783</v>
      </c>
      <c r="C580" s="22" t="s">
        <v>187</v>
      </c>
      <c r="D580" s="22" t="s">
        <v>43</v>
      </c>
      <c r="E580" s="158">
        <v>5510</v>
      </c>
      <c r="F580" s="159">
        <v>80000</v>
      </c>
      <c r="G580" s="159">
        <v>440800000</v>
      </c>
      <c r="H580" s="159">
        <v>44080000</v>
      </c>
      <c r="I580" s="159">
        <v>484880000</v>
      </c>
      <c r="J580" s="159">
        <f>bargiri[[#This Row],[مقدار]]*INDEX(invoice[پیش دریافت به ازای هر کیلوگرم],MATCH(bargiri[[#This Row],[شماره سند مبنا]],invoice[شماره پیش فاکتور],0))</f>
        <v>96976000</v>
      </c>
      <c r="K580" s="159">
        <f>bargiri[[#This Row],[مبلغ خالص]]-bargiri[[#This Row],[میزان استهلاک پیش دریافتی]]</f>
        <v>387904000</v>
      </c>
      <c r="L580" s="160" t="s">
        <v>593</v>
      </c>
      <c r="M580" s="159"/>
      <c r="N580" s="159">
        <f>IF(bargiri[[#This Row],[مبلغ واریزی]]&lt;&gt;"",bargiri[[#This Row],[مانده مبلغ]]-bargiri[[#This Row],[مبلغ واریزی]],bargiri[[#This Row],[مانده مبلغ]])</f>
        <v>387904000</v>
      </c>
      <c r="O580" s="159" t="s">
        <v>593</v>
      </c>
      <c r="P580" s="159">
        <f>VLOOKUP(bargiri[[#This Row],[شماره سند مبنا]],invoice[[شماره پیش فاکتور]:[پیش دریافت به ازای هر کیلوگرم]],14,0)</f>
        <v>17600</v>
      </c>
      <c r="Q580" s="159">
        <f>IF(bargiri[[#This Row],[مبلغ ناخالص]]-(bargiri[[#This Row],[نرخ استهلاک]]*bargiri[[#This Row],[مقدار]])&lt;0,0,bargiri[[#This Row],[مبلغ ناخالص]]-(bargiri[[#This Row],[نرخ استهلاک]]*bargiri[[#This Row],[مقدار]]))</f>
        <v>343824000</v>
      </c>
    </row>
    <row r="581" spans="1:17" s="22" customFormat="1" ht="13.8" x14ac:dyDescent="0.25">
      <c r="A581" s="22">
        <v>926</v>
      </c>
      <c r="B581" s="22" t="s">
        <v>783</v>
      </c>
      <c r="C581" s="22" t="s">
        <v>187</v>
      </c>
      <c r="D581" s="22" t="s">
        <v>43</v>
      </c>
      <c r="E581" s="158">
        <v>5655</v>
      </c>
      <c r="F581" s="159">
        <v>80000</v>
      </c>
      <c r="G581" s="159">
        <v>452400000</v>
      </c>
      <c r="H581" s="159">
        <v>45240000</v>
      </c>
      <c r="I581" s="159">
        <v>497640000</v>
      </c>
      <c r="J581" s="159">
        <f>bargiri[[#This Row],[مقدار]]*INDEX(invoice[پیش دریافت به ازای هر کیلوگرم],MATCH(bargiri[[#This Row],[شماره سند مبنا]],invoice[شماره پیش فاکتور],0))</f>
        <v>99528000</v>
      </c>
      <c r="K581" s="159">
        <f>bargiri[[#This Row],[مبلغ خالص]]-bargiri[[#This Row],[میزان استهلاک پیش دریافتی]]</f>
        <v>398112000</v>
      </c>
      <c r="L581" s="160" t="s">
        <v>593</v>
      </c>
      <c r="M581" s="159"/>
      <c r="N581" s="159">
        <f>IF(bargiri[[#This Row],[مبلغ واریزی]]&lt;&gt;"",bargiri[[#This Row],[مانده مبلغ]]-bargiri[[#This Row],[مبلغ واریزی]],bargiri[[#This Row],[مانده مبلغ]])</f>
        <v>398112000</v>
      </c>
      <c r="O581" s="159" t="s">
        <v>593</v>
      </c>
      <c r="P581" s="159">
        <f>VLOOKUP(bargiri[[#This Row],[شماره سند مبنا]],invoice[[شماره پیش فاکتور]:[پیش دریافت به ازای هر کیلوگرم]],14,0)</f>
        <v>17600</v>
      </c>
      <c r="Q581" s="159">
        <f>IF(bargiri[[#This Row],[مبلغ ناخالص]]-(bargiri[[#This Row],[نرخ استهلاک]]*bargiri[[#This Row],[مقدار]])&lt;0,0,bargiri[[#This Row],[مبلغ ناخالص]]-(bargiri[[#This Row],[نرخ استهلاک]]*bargiri[[#This Row],[مقدار]]))</f>
        <v>352872000</v>
      </c>
    </row>
    <row r="582" spans="1:17" s="22" customFormat="1" ht="13.8" x14ac:dyDescent="0.25">
      <c r="A582" s="22">
        <v>925</v>
      </c>
      <c r="B582" s="22" t="s">
        <v>783</v>
      </c>
      <c r="C582" s="22" t="s">
        <v>464</v>
      </c>
      <c r="D582" s="22" t="s">
        <v>221</v>
      </c>
      <c r="E582" s="158">
        <v>14455</v>
      </c>
      <c r="F582" s="159">
        <v>142000</v>
      </c>
      <c r="G582" s="159">
        <v>2052610000</v>
      </c>
      <c r="H582" s="159">
        <v>205261000</v>
      </c>
      <c r="I582" s="159">
        <v>2257871000</v>
      </c>
      <c r="J582" s="159">
        <f>bargiri[[#This Row],[مقدار]]*INDEX(invoice[پیش دریافت به ازای هر کیلوگرم],MATCH(bargiri[[#This Row],[شماره سند مبنا]],invoice[شماره پیش فاکتور],0))</f>
        <v>338680650</v>
      </c>
      <c r="K582" s="159">
        <f>bargiri[[#This Row],[مبلغ خالص]]-bargiri[[#This Row],[میزان استهلاک پیش دریافتی]]</f>
        <v>1919190350</v>
      </c>
      <c r="L582" s="160" t="s">
        <v>593</v>
      </c>
      <c r="M582" s="159"/>
      <c r="N582" s="159">
        <f>IF(bargiri[[#This Row],[مبلغ واریزی]]&lt;&gt;"",bargiri[[#This Row],[مانده مبلغ]]-bargiri[[#This Row],[مبلغ واریزی]],bargiri[[#This Row],[مانده مبلغ]])</f>
        <v>1919190350</v>
      </c>
      <c r="O582" s="159" t="s">
        <v>593</v>
      </c>
      <c r="P582" s="159">
        <f>VLOOKUP(bargiri[[#This Row],[شماره سند مبنا]],invoice[[شماره پیش فاکتور]:[پیش دریافت به ازای هر کیلوگرم]],14,0)</f>
        <v>23430</v>
      </c>
      <c r="Q582" s="159">
        <f>IF(bargiri[[#This Row],[مبلغ ناخالص]]-(bargiri[[#This Row],[نرخ استهلاک]]*bargiri[[#This Row],[مقدار]])&lt;0,0,bargiri[[#This Row],[مبلغ ناخالص]]-(bargiri[[#This Row],[نرخ استهلاک]]*bargiri[[#This Row],[مقدار]]))</f>
        <v>1713929350</v>
      </c>
    </row>
    <row r="583" spans="1:17" s="22" customFormat="1" ht="13.8" x14ac:dyDescent="0.25">
      <c r="A583" s="22">
        <v>924</v>
      </c>
      <c r="B583" s="22" t="s">
        <v>785</v>
      </c>
      <c r="C583" s="22" t="s">
        <v>187</v>
      </c>
      <c r="D583" s="22" t="s">
        <v>43</v>
      </c>
      <c r="E583" s="158">
        <v>4465</v>
      </c>
      <c r="F583" s="159">
        <v>80000</v>
      </c>
      <c r="G583" s="159">
        <v>357200000</v>
      </c>
      <c r="H583" s="159">
        <v>35720000</v>
      </c>
      <c r="I583" s="159">
        <v>392920000</v>
      </c>
      <c r="J583" s="159">
        <f>bargiri[[#This Row],[مقدار]]*INDEX(invoice[پیش دریافت به ازای هر کیلوگرم],MATCH(bargiri[[#This Row],[شماره سند مبنا]],invoice[شماره پیش فاکتور],0))</f>
        <v>78584000</v>
      </c>
      <c r="K583" s="159">
        <f>bargiri[[#This Row],[مبلغ خالص]]-bargiri[[#This Row],[میزان استهلاک پیش دریافتی]]</f>
        <v>314336000</v>
      </c>
      <c r="L583" s="160" t="s">
        <v>593</v>
      </c>
      <c r="M583" s="159"/>
      <c r="N583" s="159">
        <f>IF(bargiri[[#This Row],[مبلغ واریزی]]&lt;&gt;"",bargiri[[#This Row],[مانده مبلغ]]-bargiri[[#This Row],[مبلغ واریزی]],bargiri[[#This Row],[مانده مبلغ]])</f>
        <v>314336000</v>
      </c>
      <c r="O583" s="159" t="s">
        <v>593</v>
      </c>
      <c r="P583" s="159">
        <f>VLOOKUP(bargiri[[#This Row],[شماره سند مبنا]],invoice[[شماره پیش فاکتور]:[پیش دریافت به ازای هر کیلوگرم]],14,0)</f>
        <v>17600</v>
      </c>
      <c r="Q583" s="159">
        <f>IF(bargiri[[#This Row],[مبلغ ناخالص]]-(bargiri[[#This Row],[نرخ استهلاک]]*bargiri[[#This Row],[مقدار]])&lt;0,0,bargiri[[#This Row],[مبلغ ناخالص]]-(bargiri[[#This Row],[نرخ استهلاک]]*bargiri[[#This Row],[مقدار]]))</f>
        <v>278616000</v>
      </c>
    </row>
    <row r="584" spans="1:17" s="22" customFormat="1" ht="13.8" x14ac:dyDescent="0.25">
      <c r="A584" s="22">
        <v>923</v>
      </c>
      <c r="B584" s="22" t="s">
        <v>785</v>
      </c>
      <c r="C584" s="22" t="s">
        <v>644</v>
      </c>
      <c r="D584" s="22" t="s">
        <v>67</v>
      </c>
      <c r="E584" s="158">
        <v>7105</v>
      </c>
      <c r="F584" s="159">
        <v>95000</v>
      </c>
      <c r="G584" s="159">
        <v>674975000</v>
      </c>
      <c r="H584" s="159">
        <v>67497500</v>
      </c>
      <c r="I584" s="159">
        <v>742472500</v>
      </c>
      <c r="J584" s="159">
        <f>bargiri[[#This Row],[مقدار]]*INDEX(invoice[پیش دریافت به ازای هر کیلوگرم],MATCH(bargiri[[#This Row],[شماره سند مبنا]],invoice[شماره پیش فاکتور],0))</f>
        <v>216032959.47263518</v>
      </c>
      <c r="K584" s="159">
        <f>bargiri[[#This Row],[مبلغ خالص]]-bargiri[[#This Row],[میزان استهلاک پیش دریافتی]]</f>
        <v>526439540.52736485</v>
      </c>
      <c r="L584" s="160" t="s">
        <v>593</v>
      </c>
      <c r="M584" s="159"/>
      <c r="N584" s="159">
        <f>IF(bargiri[[#This Row],[مبلغ واریزی]]&lt;&gt;"",bargiri[[#This Row],[مانده مبلغ]]-bargiri[[#This Row],[مبلغ واریزی]],bargiri[[#This Row],[مانده مبلغ]])</f>
        <v>526439540.52736485</v>
      </c>
      <c r="O584" s="159" t="s">
        <v>593</v>
      </c>
      <c r="P584" s="159">
        <f>VLOOKUP(bargiri[[#This Row],[شماره سند مبنا]],invoice[[شماره پیش فاکتور]:[پیش دریافت به ازای هر کیلوگرم]],14,0)</f>
        <v>30405.764880033101</v>
      </c>
      <c r="Q584" s="159">
        <f>IF(bargiri[[#This Row],[مبلغ ناخالص]]-(bargiri[[#This Row],[نرخ استهلاک]]*bargiri[[#This Row],[مقدار]])&lt;0,0,bargiri[[#This Row],[مبلغ ناخالص]]-(bargiri[[#This Row],[نرخ استهلاک]]*bargiri[[#This Row],[مقدار]]))</f>
        <v>458942040.52736485</v>
      </c>
    </row>
    <row r="585" spans="1:17" s="22" customFormat="1" ht="13.8" x14ac:dyDescent="0.25">
      <c r="A585" s="22">
        <v>922</v>
      </c>
      <c r="B585" s="22" t="s">
        <v>785</v>
      </c>
      <c r="C585" s="22" t="s">
        <v>119</v>
      </c>
      <c r="D585" s="22" t="s">
        <v>25</v>
      </c>
      <c r="E585" s="158">
        <v>22085</v>
      </c>
      <c r="F585" s="159">
        <v>75000</v>
      </c>
      <c r="G585" s="159">
        <v>1656375000</v>
      </c>
      <c r="H585" s="159">
        <v>165637500</v>
      </c>
      <c r="I585" s="159">
        <v>1822012500</v>
      </c>
      <c r="J585" s="159">
        <f>bargiri[[#This Row],[مقدار]]*INDEX(invoice[پیش دریافت به ازای هر کیلوگرم],MATCH(bargiri[[#This Row],[شماره سند مبنا]],invoice[شماره پیش فاکتور],0))</f>
        <v>273301875</v>
      </c>
      <c r="K585" s="159">
        <f>bargiri[[#This Row],[مبلغ خالص]]-bargiri[[#This Row],[میزان استهلاک پیش دریافتی]]</f>
        <v>1548710625</v>
      </c>
      <c r="L585" s="160" t="s">
        <v>593</v>
      </c>
      <c r="M585" s="159"/>
      <c r="N585" s="159">
        <f>IF(bargiri[[#This Row],[مبلغ واریزی]]&lt;&gt;"",bargiri[[#This Row],[مانده مبلغ]]-bargiri[[#This Row],[مبلغ واریزی]],bargiri[[#This Row],[مانده مبلغ]])</f>
        <v>1548710625</v>
      </c>
      <c r="O585" s="159" t="s">
        <v>593</v>
      </c>
      <c r="P585" s="159">
        <f>VLOOKUP(bargiri[[#This Row],[شماره سند مبنا]],invoice[[شماره پیش فاکتور]:[پیش دریافت به ازای هر کیلوگرم]],14,0)</f>
        <v>12375</v>
      </c>
      <c r="Q585" s="159">
        <f>IF(bargiri[[#This Row],[مبلغ ناخالص]]-(bargiri[[#This Row],[نرخ استهلاک]]*bargiri[[#This Row],[مقدار]])&lt;0,0,bargiri[[#This Row],[مبلغ ناخالص]]-(bargiri[[#This Row],[نرخ استهلاک]]*bargiri[[#This Row],[مقدار]]))</f>
        <v>1383073125</v>
      </c>
    </row>
    <row r="586" spans="1:17" s="22" customFormat="1" ht="13.8" x14ac:dyDescent="0.25">
      <c r="A586" s="22">
        <v>921</v>
      </c>
      <c r="B586" s="22" t="s">
        <v>785</v>
      </c>
      <c r="C586" s="22" t="s">
        <v>713</v>
      </c>
      <c r="D586" s="22" t="s">
        <v>40</v>
      </c>
      <c r="E586" s="158">
        <v>15825</v>
      </c>
      <c r="F586" s="159">
        <v>167500</v>
      </c>
      <c r="G586" s="159">
        <v>2650687500</v>
      </c>
      <c r="H586" s="159">
        <v>265068750</v>
      </c>
      <c r="I586" s="159">
        <v>2915756250</v>
      </c>
      <c r="J586" s="159">
        <f>bargiri[[#This Row],[مقدار]]*INDEX(invoice[پیش دریافت به ازای هر کیلوگرم],MATCH(bargiri[[#This Row],[شماره سند مبنا]],invoice[شماره پیش فاکتور],0))</f>
        <v>2915756250</v>
      </c>
      <c r="K586" s="159">
        <f>bargiri[[#This Row],[مبلغ خالص]]-bargiri[[#This Row],[میزان استهلاک پیش دریافتی]]</f>
        <v>0</v>
      </c>
      <c r="L586" s="160" t="s">
        <v>593</v>
      </c>
      <c r="M586" s="159"/>
      <c r="N586" s="159">
        <f>IF(bargiri[[#This Row],[مبلغ واریزی]]&lt;&gt;"",bargiri[[#This Row],[مانده مبلغ]]-bargiri[[#This Row],[مبلغ واریزی]],bargiri[[#This Row],[مانده مبلغ]])</f>
        <v>0</v>
      </c>
      <c r="O586" s="159" t="s">
        <v>593</v>
      </c>
      <c r="P586" s="159">
        <f>VLOOKUP(bargiri[[#This Row],[شماره سند مبنا]],invoice[[شماره پیش فاکتور]:[پیش دریافت به ازای هر کیلوگرم]],14,0)</f>
        <v>184250</v>
      </c>
      <c r="Q586" s="159">
        <f>IF(bargiri[[#This Row],[مبلغ ناخالص]]-(bargiri[[#This Row],[نرخ استهلاک]]*bargiri[[#This Row],[مقدار]])&lt;0,0,bargiri[[#This Row],[مبلغ ناخالص]]-(bargiri[[#This Row],[نرخ استهلاک]]*bargiri[[#This Row],[مقدار]]))</f>
        <v>0</v>
      </c>
    </row>
    <row r="587" spans="1:17" s="22" customFormat="1" ht="13.8" x14ac:dyDescent="0.25">
      <c r="A587" s="22">
        <v>921</v>
      </c>
      <c r="B587" s="22" t="s">
        <v>785</v>
      </c>
      <c r="C587" s="22" t="s">
        <v>728</v>
      </c>
      <c r="D587" s="22" t="s">
        <v>40</v>
      </c>
      <c r="E587" s="158">
        <v>3325</v>
      </c>
      <c r="F587" s="159">
        <v>167500</v>
      </c>
      <c r="G587" s="159">
        <v>556937500</v>
      </c>
      <c r="H587" s="159">
        <v>55693750</v>
      </c>
      <c r="I587" s="159">
        <v>612631250</v>
      </c>
      <c r="J587" s="159">
        <f>bargiri[[#This Row],[مقدار]]*INDEX(invoice[پیش دریافت به ازای هر کیلوگرم],MATCH(bargiri[[#This Row],[شماره سند مبنا]],invoice[شماره پیش فاکتور],0))</f>
        <v>612631250</v>
      </c>
      <c r="K587" s="159">
        <f>bargiri[[#This Row],[مبلغ خالص]]-bargiri[[#This Row],[میزان استهلاک پیش دریافتی]]</f>
        <v>0</v>
      </c>
      <c r="L587" s="160" t="s">
        <v>593</v>
      </c>
      <c r="M587" s="159"/>
      <c r="N587" s="159">
        <f>IF(bargiri[[#This Row],[مبلغ واریزی]]&lt;&gt;"",bargiri[[#This Row],[مانده مبلغ]]-bargiri[[#This Row],[مبلغ واریزی]],bargiri[[#This Row],[مانده مبلغ]])</f>
        <v>0</v>
      </c>
      <c r="O587" s="159" t="s">
        <v>593</v>
      </c>
      <c r="P587" s="159">
        <f>VLOOKUP(bargiri[[#This Row],[شماره سند مبنا]],invoice[[شماره پیش فاکتور]:[پیش دریافت به ازای هر کیلوگرم]],14,0)</f>
        <v>184250</v>
      </c>
      <c r="Q587" s="159">
        <f>IF(bargiri[[#This Row],[مبلغ ناخالص]]-(bargiri[[#This Row],[نرخ استهلاک]]*bargiri[[#This Row],[مقدار]])&lt;0,0,bargiri[[#This Row],[مبلغ ناخالص]]-(bargiri[[#This Row],[نرخ استهلاک]]*bargiri[[#This Row],[مقدار]]))</f>
        <v>0</v>
      </c>
    </row>
    <row r="588" spans="1:17" s="22" customFormat="1" ht="13.8" x14ac:dyDescent="0.25">
      <c r="A588" s="22">
        <v>920</v>
      </c>
      <c r="B588" s="22" t="s">
        <v>785</v>
      </c>
      <c r="C588" s="22" t="s">
        <v>72</v>
      </c>
      <c r="D588" s="22" t="s">
        <v>73</v>
      </c>
      <c r="E588" s="158">
        <v>21160</v>
      </c>
      <c r="F588" s="159">
        <v>57273</v>
      </c>
      <c r="G588" s="159">
        <v>1211896680</v>
      </c>
      <c r="H588" s="159">
        <v>121189668</v>
      </c>
      <c r="I588" s="159">
        <v>1333086348</v>
      </c>
      <c r="J588" s="159" t="e">
        <f>bargiri[[#This Row],[مقدار]]*INDEX(invoice[پیش دریافت به ازای هر کیلوگرم],MATCH(bargiri[[#This Row],[شماره سند مبنا]],invoice[شماره پیش فاکتور],0))</f>
        <v>#N/A</v>
      </c>
      <c r="K588" s="159" t="e">
        <f>bargiri[[#This Row],[مبلغ خالص]]-bargiri[[#This Row],[میزان استهلاک پیش دریافتی]]</f>
        <v>#N/A</v>
      </c>
      <c r="L588" s="160" t="s">
        <v>593</v>
      </c>
      <c r="M588" s="159"/>
      <c r="N588" s="159" t="e">
        <f>IF(bargiri[[#This Row],[مبلغ واریزی]]&lt;&gt;"",bargiri[[#This Row],[مانده مبلغ]]-bargiri[[#This Row],[مبلغ واریزی]],bargiri[[#This Row],[مانده مبلغ]])</f>
        <v>#N/A</v>
      </c>
      <c r="O588" s="159" t="s">
        <v>593</v>
      </c>
      <c r="P588" s="159" t="e">
        <f>VLOOKUP(bargiri[[#This Row],[شماره سند مبنا]],invoice[[شماره پیش فاکتور]:[پیش دریافت به ازای هر کیلوگرم]],14,0)</f>
        <v>#N/A</v>
      </c>
      <c r="Q588" s="159" t="e">
        <f>IF(bargiri[[#This Row],[مبلغ ناخالص]]-(bargiri[[#This Row],[نرخ استهلاک]]*bargiri[[#This Row],[مقدار]])&lt;0,0,bargiri[[#This Row],[مبلغ ناخالص]]-(bargiri[[#This Row],[نرخ استهلاک]]*bargiri[[#This Row],[مقدار]]))</f>
        <v>#N/A</v>
      </c>
    </row>
    <row r="589" spans="1:17" s="22" customFormat="1" ht="13.8" x14ac:dyDescent="0.25">
      <c r="A589" s="22">
        <v>919</v>
      </c>
      <c r="B589" s="22" t="s">
        <v>785</v>
      </c>
      <c r="C589" s="22" t="s">
        <v>72</v>
      </c>
      <c r="D589" s="22" t="s">
        <v>73</v>
      </c>
      <c r="E589" s="158">
        <v>21050</v>
      </c>
      <c r="F589" s="159">
        <v>57273</v>
      </c>
      <c r="G589" s="159">
        <v>1205596650</v>
      </c>
      <c r="H589" s="159">
        <v>120559665</v>
      </c>
      <c r="I589" s="159">
        <v>1326156315</v>
      </c>
      <c r="J589" s="159" t="e">
        <f>bargiri[[#This Row],[مقدار]]*INDEX(invoice[پیش دریافت به ازای هر کیلوگرم],MATCH(bargiri[[#This Row],[شماره سند مبنا]],invoice[شماره پیش فاکتور],0))</f>
        <v>#N/A</v>
      </c>
      <c r="K589" s="159" t="e">
        <f>bargiri[[#This Row],[مبلغ خالص]]-bargiri[[#This Row],[میزان استهلاک پیش دریافتی]]</f>
        <v>#N/A</v>
      </c>
      <c r="L589" s="160" t="s">
        <v>593</v>
      </c>
      <c r="M589" s="159"/>
      <c r="N589" s="159" t="e">
        <f>IF(bargiri[[#This Row],[مبلغ واریزی]]&lt;&gt;"",bargiri[[#This Row],[مانده مبلغ]]-bargiri[[#This Row],[مبلغ واریزی]],bargiri[[#This Row],[مانده مبلغ]])</f>
        <v>#N/A</v>
      </c>
      <c r="O589" s="159" t="s">
        <v>593</v>
      </c>
      <c r="P589" s="159" t="e">
        <f>VLOOKUP(bargiri[[#This Row],[شماره سند مبنا]],invoice[[شماره پیش فاکتور]:[پیش دریافت به ازای هر کیلوگرم]],14,0)</f>
        <v>#N/A</v>
      </c>
      <c r="Q589" s="159" t="e">
        <f>IF(bargiri[[#This Row],[مبلغ ناخالص]]-(bargiri[[#This Row],[نرخ استهلاک]]*bargiri[[#This Row],[مقدار]])&lt;0,0,bargiri[[#This Row],[مبلغ ناخالص]]-(bargiri[[#This Row],[نرخ استهلاک]]*bargiri[[#This Row],[مقدار]]))</f>
        <v>#N/A</v>
      </c>
    </row>
    <row r="590" spans="1:17" s="22" customFormat="1" ht="13.8" x14ac:dyDescent="0.25">
      <c r="A590" s="22">
        <v>918</v>
      </c>
      <c r="B590" s="22" t="s">
        <v>785</v>
      </c>
      <c r="C590" s="22" t="s">
        <v>187</v>
      </c>
      <c r="D590" s="22" t="s">
        <v>43</v>
      </c>
      <c r="E590" s="158">
        <v>22135</v>
      </c>
      <c r="F590" s="159">
        <v>80000</v>
      </c>
      <c r="G590" s="159">
        <v>1770800000</v>
      </c>
      <c r="H590" s="159">
        <v>177080000</v>
      </c>
      <c r="I590" s="159">
        <v>1947880000</v>
      </c>
      <c r="J590" s="159">
        <f>bargiri[[#This Row],[مقدار]]*INDEX(invoice[پیش دریافت به ازای هر کیلوگرم],MATCH(bargiri[[#This Row],[شماره سند مبنا]],invoice[شماره پیش فاکتور],0))</f>
        <v>389576000</v>
      </c>
      <c r="K590" s="159">
        <f>bargiri[[#This Row],[مبلغ خالص]]-bargiri[[#This Row],[میزان استهلاک پیش دریافتی]]</f>
        <v>1558304000</v>
      </c>
      <c r="L590" s="160" t="s">
        <v>593</v>
      </c>
      <c r="M590" s="159"/>
      <c r="N590" s="159">
        <f>IF(bargiri[[#This Row],[مبلغ واریزی]]&lt;&gt;"",bargiri[[#This Row],[مانده مبلغ]]-bargiri[[#This Row],[مبلغ واریزی]],bargiri[[#This Row],[مانده مبلغ]])</f>
        <v>1558304000</v>
      </c>
      <c r="O590" s="159" t="s">
        <v>593</v>
      </c>
      <c r="P590" s="159">
        <f>VLOOKUP(bargiri[[#This Row],[شماره سند مبنا]],invoice[[شماره پیش فاکتور]:[پیش دریافت به ازای هر کیلوگرم]],14,0)</f>
        <v>17600</v>
      </c>
      <c r="Q590" s="159">
        <f>IF(bargiri[[#This Row],[مبلغ ناخالص]]-(bargiri[[#This Row],[نرخ استهلاک]]*bargiri[[#This Row],[مقدار]])&lt;0,0,bargiri[[#This Row],[مبلغ ناخالص]]-(bargiri[[#This Row],[نرخ استهلاک]]*bargiri[[#This Row],[مقدار]]))</f>
        <v>1381224000</v>
      </c>
    </row>
    <row r="591" spans="1:17" s="22" customFormat="1" ht="13.8" x14ac:dyDescent="0.25">
      <c r="A591" s="22">
        <v>917</v>
      </c>
      <c r="B591" s="22" t="s">
        <v>786</v>
      </c>
      <c r="C591" s="22" t="s">
        <v>187</v>
      </c>
      <c r="D591" s="22" t="s">
        <v>43</v>
      </c>
      <c r="E591" s="158">
        <v>22185</v>
      </c>
      <c r="F591" s="159">
        <v>80000</v>
      </c>
      <c r="G591" s="159">
        <v>1774800000</v>
      </c>
      <c r="H591" s="159">
        <v>177480000</v>
      </c>
      <c r="I591" s="159">
        <v>1952280000</v>
      </c>
      <c r="J591" s="159">
        <f>bargiri[[#This Row],[مقدار]]*INDEX(invoice[پیش دریافت به ازای هر کیلوگرم],MATCH(bargiri[[#This Row],[شماره سند مبنا]],invoice[شماره پیش فاکتور],0))</f>
        <v>390456000</v>
      </c>
      <c r="K591" s="159">
        <f>bargiri[[#This Row],[مبلغ خالص]]-bargiri[[#This Row],[میزان استهلاک پیش دریافتی]]</f>
        <v>1561824000</v>
      </c>
      <c r="L591" s="160" t="s">
        <v>593</v>
      </c>
      <c r="M591" s="159"/>
      <c r="N591" s="159">
        <f>IF(bargiri[[#This Row],[مبلغ واریزی]]&lt;&gt;"",bargiri[[#This Row],[مانده مبلغ]]-bargiri[[#This Row],[مبلغ واریزی]],bargiri[[#This Row],[مانده مبلغ]])</f>
        <v>1561824000</v>
      </c>
      <c r="O591" s="159" t="s">
        <v>593</v>
      </c>
      <c r="P591" s="159">
        <f>VLOOKUP(bargiri[[#This Row],[شماره سند مبنا]],invoice[[شماره پیش فاکتور]:[پیش دریافت به ازای هر کیلوگرم]],14,0)</f>
        <v>17600</v>
      </c>
      <c r="Q591" s="159">
        <f>IF(bargiri[[#This Row],[مبلغ ناخالص]]-(bargiri[[#This Row],[نرخ استهلاک]]*bargiri[[#This Row],[مقدار]])&lt;0,0,bargiri[[#This Row],[مبلغ ناخالص]]-(bargiri[[#This Row],[نرخ استهلاک]]*bargiri[[#This Row],[مقدار]]))</f>
        <v>1384344000</v>
      </c>
    </row>
    <row r="592" spans="1:17" s="22" customFormat="1" ht="13.8" x14ac:dyDescent="0.25">
      <c r="A592" s="22">
        <v>916</v>
      </c>
      <c r="B592" s="22" t="s">
        <v>786</v>
      </c>
      <c r="C592" s="22" t="s">
        <v>602</v>
      </c>
      <c r="D592" s="22" t="s">
        <v>30</v>
      </c>
      <c r="E592" s="158">
        <v>11375</v>
      </c>
      <c r="F592" s="159">
        <v>142000</v>
      </c>
      <c r="G592" s="159">
        <v>1615250000</v>
      </c>
      <c r="H592" s="159">
        <v>161525000</v>
      </c>
      <c r="I592" s="159">
        <v>1776775000</v>
      </c>
      <c r="J592" s="159">
        <f>bargiri[[#This Row],[مقدار]]*INDEX(invoice[پیش دریافت به ازای هر کیلوگرم],MATCH(bargiri[[#This Row],[شماره سند مبنا]],invoice[شماره پیش فاکتور],0))</f>
        <v>1287118389.7340372</v>
      </c>
      <c r="K592" s="159">
        <f>bargiri[[#This Row],[مبلغ خالص]]-bargiri[[#This Row],[میزان استهلاک پیش دریافتی]]</f>
        <v>489656610.26596284</v>
      </c>
      <c r="L592" s="160" t="s">
        <v>593</v>
      </c>
      <c r="M592" s="159"/>
      <c r="N592" s="159">
        <f>IF(bargiri[[#This Row],[مبلغ واریزی]]&lt;&gt;"",bargiri[[#This Row],[مانده مبلغ]]-bargiri[[#This Row],[مبلغ واریزی]],bargiri[[#This Row],[مانده مبلغ]])</f>
        <v>489656610.26596284</v>
      </c>
      <c r="O592" s="159" t="s">
        <v>593</v>
      </c>
      <c r="P592" s="159">
        <f>VLOOKUP(bargiri[[#This Row],[شماره سند مبنا]],invoice[[شماره پیش فاکتور]:[پیش دریافت به ازای هر کیلوگرم]],14,0)</f>
        <v>113153.2650315637</v>
      </c>
      <c r="Q592" s="159">
        <f>IF(bargiri[[#This Row],[مبلغ ناخالص]]-(bargiri[[#This Row],[نرخ استهلاک]]*bargiri[[#This Row],[مقدار]])&lt;0,0,bargiri[[#This Row],[مبلغ ناخالص]]-(bargiri[[#This Row],[نرخ استهلاک]]*bargiri[[#This Row],[مقدار]]))</f>
        <v>328131610.26596284</v>
      </c>
    </row>
    <row r="593" spans="1:17" s="22" customFormat="1" ht="13.8" x14ac:dyDescent="0.25">
      <c r="A593" s="22">
        <v>915</v>
      </c>
      <c r="B593" s="22" t="s">
        <v>786</v>
      </c>
      <c r="C593" s="22" t="s">
        <v>187</v>
      </c>
      <c r="D593" s="22" t="s">
        <v>43</v>
      </c>
      <c r="E593" s="158">
        <v>19360</v>
      </c>
      <c r="F593" s="159">
        <v>80000</v>
      </c>
      <c r="G593" s="159">
        <v>1548800000</v>
      </c>
      <c r="H593" s="159">
        <v>154880000</v>
      </c>
      <c r="I593" s="159">
        <v>1703680000</v>
      </c>
      <c r="J593" s="159">
        <f>bargiri[[#This Row],[مقدار]]*INDEX(invoice[پیش دریافت به ازای هر کیلوگرم],MATCH(bargiri[[#This Row],[شماره سند مبنا]],invoice[شماره پیش فاکتور],0))</f>
        <v>340736000</v>
      </c>
      <c r="K593" s="159">
        <f>bargiri[[#This Row],[مبلغ خالص]]-bargiri[[#This Row],[میزان استهلاک پیش دریافتی]]</f>
        <v>1362944000</v>
      </c>
      <c r="L593" s="160" t="s">
        <v>593</v>
      </c>
      <c r="M593" s="159"/>
      <c r="N593" s="159">
        <f>IF(bargiri[[#This Row],[مبلغ واریزی]]&lt;&gt;"",bargiri[[#This Row],[مانده مبلغ]]-bargiri[[#This Row],[مبلغ واریزی]],bargiri[[#This Row],[مانده مبلغ]])</f>
        <v>1362944000</v>
      </c>
      <c r="O593" s="159" t="s">
        <v>593</v>
      </c>
      <c r="P593" s="159">
        <f>VLOOKUP(bargiri[[#This Row],[شماره سند مبنا]],invoice[[شماره پیش فاکتور]:[پیش دریافت به ازای هر کیلوگرم]],14,0)</f>
        <v>17600</v>
      </c>
      <c r="Q593" s="159">
        <f>IF(bargiri[[#This Row],[مبلغ ناخالص]]-(bargiri[[#This Row],[نرخ استهلاک]]*bargiri[[#This Row],[مقدار]])&lt;0,0,bargiri[[#This Row],[مبلغ ناخالص]]-(bargiri[[#This Row],[نرخ استهلاک]]*bargiri[[#This Row],[مقدار]]))</f>
        <v>1208064000</v>
      </c>
    </row>
    <row r="594" spans="1:17" s="22" customFormat="1" ht="13.8" x14ac:dyDescent="0.25">
      <c r="A594" s="22">
        <v>914</v>
      </c>
      <c r="B594" s="22" t="s">
        <v>786</v>
      </c>
      <c r="C594" s="22" t="s">
        <v>668</v>
      </c>
      <c r="D594" s="22" t="s">
        <v>70</v>
      </c>
      <c r="E594" s="158">
        <v>20075</v>
      </c>
      <c r="F594" s="159">
        <v>116500</v>
      </c>
      <c r="G594" s="159">
        <v>2338737500</v>
      </c>
      <c r="H594" s="159">
        <v>233873750</v>
      </c>
      <c r="I594" s="159">
        <v>2572611250</v>
      </c>
      <c r="J594" s="159">
        <f>bargiri[[#This Row],[مقدار]]*INDEX(invoice[پیش دریافت به ازای هر کیلوگرم],MATCH(bargiri[[#This Row],[شماره سند مبنا]],invoice[شماره پیش فاکتور],0))</f>
        <v>385891687.5</v>
      </c>
      <c r="K594" s="159">
        <f>bargiri[[#This Row],[مبلغ خالص]]-bargiri[[#This Row],[میزان استهلاک پیش دریافتی]]</f>
        <v>2186719562.5</v>
      </c>
      <c r="L594" s="160" t="s">
        <v>593</v>
      </c>
      <c r="M594" s="159"/>
      <c r="N594" s="159">
        <f>IF(bargiri[[#This Row],[مبلغ واریزی]]&lt;&gt;"",bargiri[[#This Row],[مانده مبلغ]]-bargiri[[#This Row],[مبلغ واریزی]],bargiri[[#This Row],[مانده مبلغ]])</f>
        <v>2186719562.5</v>
      </c>
      <c r="O594" s="159" t="s">
        <v>593</v>
      </c>
      <c r="P594" s="159">
        <f>VLOOKUP(bargiri[[#This Row],[شماره سند مبنا]],invoice[[شماره پیش فاکتور]:[پیش دریافت به ازای هر کیلوگرم]],14,0)</f>
        <v>19222.5</v>
      </c>
      <c r="Q594" s="159">
        <f>IF(bargiri[[#This Row],[مبلغ ناخالص]]-(bargiri[[#This Row],[نرخ استهلاک]]*bargiri[[#This Row],[مقدار]])&lt;0,0,bargiri[[#This Row],[مبلغ ناخالص]]-(bargiri[[#This Row],[نرخ استهلاک]]*bargiri[[#This Row],[مقدار]]))</f>
        <v>1952845812.5</v>
      </c>
    </row>
    <row r="595" spans="1:17" s="22" customFormat="1" ht="13.8" x14ac:dyDescent="0.25">
      <c r="A595" s="22">
        <v>913</v>
      </c>
      <c r="B595" s="22" t="s">
        <v>787</v>
      </c>
      <c r="C595" s="22" t="s">
        <v>461</v>
      </c>
      <c r="D595" s="22" t="s">
        <v>35</v>
      </c>
      <c r="E595" s="158">
        <v>19985</v>
      </c>
      <c r="F595" s="159">
        <v>142000</v>
      </c>
      <c r="G595" s="159">
        <v>2837870000</v>
      </c>
      <c r="H595" s="159">
        <v>283787000</v>
      </c>
      <c r="I595" s="159">
        <v>3121657000</v>
      </c>
      <c r="J595" s="159">
        <f>bargiri[[#This Row],[مقدار]]*INDEX(invoice[پیش دریافت به ازای هر کیلوگرم],MATCH(bargiri[[#This Row],[شماره سند مبنا]],invoice[شماره پیش فاکتور],0))</f>
        <v>655872758.18985569</v>
      </c>
      <c r="K595" s="159">
        <f>bargiri[[#This Row],[مبلغ خالص]]-bargiri[[#This Row],[میزان استهلاک پیش دریافتی]]</f>
        <v>2465784241.8101444</v>
      </c>
      <c r="L595" s="160" t="s">
        <v>593</v>
      </c>
      <c r="M595" s="159"/>
      <c r="N595" s="159">
        <f>IF(bargiri[[#This Row],[مبلغ واریزی]]&lt;&gt;"",bargiri[[#This Row],[مانده مبلغ]]-bargiri[[#This Row],[مبلغ واریزی]],bargiri[[#This Row],[مانده مبلغ]])</f>
        <v>2465784241.8101444</v>
      </c>
      <c r="O595" s="159" t="s">
        <v>593</v>
      </c>
      <c r="P595" s="159">
        <f>VLOOKUP(bargiri[[#This Row],[شماره سند مبنا]],invoice[[شماره پیش فاکتور]:[پیش دریافت به ازای هر کیلوگرم]],14,0)</f>
        <v>32818.251598191426</v>
      </c>
      <c r="Q595" s="159">
        <f>IF(bargiri[[#This Row],[مبلغ ناخالص]]-(bargiri[[#This Row],[نرخ استهلاک]]*bargiri[[#This Row],[مقدار]])&lt;0,0,bargiri[[#This Row],[مبلغ ناخالص]]-(bargiri[[#This Row],[نرخ استهلاک]]*bargiri[[#This Row],[مقدار]]))</f>
        <v>2181997241.8101444</v>
      </c>
    </row>
    <row r="596" spans="1:17" s="22" customFormat="1" ht="13.8" x14ac:dyDescent="0.25">
      <c r="A596" s="22">
        <v>912</v>
      </c>
      <c r="B596" s="22" t="s">
        <v>787</v>
      </c>
      <c r="C596" s="22" t="s">
        <v>189</v>
      </c>
      <c r="D596" s="22" t="s">
        <v>173</v>
      </c>
      <c r="E596" s="158">
        <v>21985</v>
      </c>
      <c r="F596" s="159">
        <v>75000</v>
      </c>
      <c r="G596" s="159">
        <v>1648875000</v>
      </c>
      <c r="H596" s="159">
        <v>164887500</v>
      </c>
      <c r="I596" s="159">
        <v>1813762500</v>
      </c>
      <c r="J596" s="159">
        <f>bargiri[[#This Row],[مقدار]]*INDEX(invoice[پیش دریافت به ازای هر کیلوگرم],MATCH(bargiri[[#This Row],[شماره سند مبنا]],invoice[شماره پیش فاکتور],0))</f>
        <v>272064375</v>
      </c>
      <c r="K596" s="159">
        <f>bargiri[[#This Row],[مبلغ خالص]]-bargiri[[#This Row],[میزان استهلاک پیش دریافتی]]</f>
        <v>1541698125</v>
      </c>
      <c r="L596" s="160" t="s">
        <v>593</v>
      </c>
      <c r="M596" s="159"/>
      <c r="N596" s="159">
        <f>IF(bargiri[[#This Row],[مبلغ واریزی]]&lt;&gt;"",bargiri[[#This Row],[مانده مبلغ]]-bargiri[[#This Row],[مبلغ واریزی]],bargiri[[#This Row],[مانده مبلغ]])</f>
        <v>1541698125</v>
      </c>
      <c r="O596" s="159" t="s">
        <v>593</v>
      </c>
      <c r="P596" s="159">
        <f>VLOOKUP(bargiri[[#This Row],[شماره سند مبنا]],invoice[[شماره پیش فاکتور]:[پیش دریافت به ازای هر کیلوگرم]],14,0)</f>
        <v>12375</v>
      </c>
      <c r="Q596" s="159">
        <f>IF(bargiri[[#This Row],[مبلغ ناخالص]]-(bargiri[[#This Row],[نرخ استهلاک]]*bargiri[[#This Row],[مقدار]])&lt;0,0,bargiri[[#This Row],[مبلغ ناخالص]]-(bargiri[[#This Row],[نرخ استهلاک]]*bargiri[[#This Row],[مقدار]]))</f>
        <v>1376810625</v>
      </c>
    </row>
    <row r="597" spans="1:17" s="22" customFormat="1" ht="13.8" x14ac:dyDescent="0.25">
      <c r="A597" s="22">
        <v>911</v>
      </c>
      <c r="B597" s="22" t="s">
        <v>788</v>
      </c>
      <c r="C597" s="22" t="s">
        <v>72</v>
      </c>
      <c r="D597" s="22" t="s">
        <v>73</v>
      </c>
      <c r="E597" s="158">
        <v>20670</v>
      </c>
      <c r="F597" s="159">
        <v>57273</v>
      </c>
      <c r="G597" s="159">
        <v>1183832910</v>
      </c>
      <c r="H597" s="159">
        <v>118383291</v>
      </c>
      <c r="I597" s="159">
        <v>1302216201</v>
      </c>
      <c r="J597" s="159" t="e">
        <f>bargiri[[#This Row],[مقدار]]*INDEX(invoice[پیش دریافت به ازای هر کیلوگرم],MATCH(bargiri[[#This Row],[شماره سند مبنا]],invoice[شماره پیش فاکتور],0))</f>
        <v>#N/A</v>
      </c>
      <c r="K597" s="159" t="e">
        <f>bargiri[[#This Row],[مبلغ خالص]]-bargiri[[#This Row],[میزان استهلاک پیش دریافتی]]</f>
        <v>#N/A</v>
      </c>
      <c r="L597" s="160" t="s">
        <v>593</v>
      </c>
      <c r="M597" s="159"/>
      <c r="N597" s="159" t="e">
        <f>IF(bargiri[[#This Row],[مبلغ واریزی]]&lt;&gt;"",bargiri[[#This Row],[مانده مبلغ]]-bargiri[[#This Row],[مبلغ واریزی]],bargiri[[#This Row],[مانده مبلغ]])</f>
        <v>#N/A</v>
      </c>
      <c r="O597" s="159" t="s">
        <v>593</v>
      </c>
      <c r="P597" s="159" t="e">
        <f>VLOOKUP(bargiri[[#This Row],[شماره سند مبنا]],invoice[[شماره پیش فاکتور]:[پیش دریافت به ازای هر کیلوگرم]],14,0)</f>
        <v>#N/A</v>
      </c>
      <c r="Q597" s="159" t="e">
        <f>IF(bargiri[[#This Row],[مبلغ ناخالص]]-(bargiri[[#This Row],[نرخ استهلاک]]*bargiri[[#This Row],[مقدار]])&lt;0,0,bargiri[[#This Row],[مبلغ ناخالص]]-(bargiri[[#This Row],[نرخ استهلاک]]*bargiri[[#This Row],[مقدار]]))</f>
        <v>#N/A</v>
      </c>
    </row>
    <row r="598" spans="1:17" s="22" customFormat="1" ht="13.8" x14ac:dyDescent="0.25">
      <c r="A598" s="22">
        <v>910</v>
      </c>
      <c r="B598" s="22" t="s">
        <v>788</v>
      </c>
      <c r="C598" s="22" t="s">
        <v>72</v>
      </c>
      <c r="D598" s="22" t="s">
        <v>73</v>
      </c>
      <c r="E598" s="158">
        <v>20665</v>
      </c>
      <c r="F598" s="159">
        <v>57273</v>
      </c>
      <c r="G598" s="159">
        <v>1183546545</v>
      </c>
      <c r="H598" s="159">
        <v>118354655</v>
      </c>
      <c r="I598" s="159">
        <v>1301901200</v>
      </c>
      <c r="J598" s="159" t="e">
        <f>bargiri[[#This Row],[مقدار]]*INDEX(invoice[پیش دریافت به ازای هر کیلوگرم],MATCH(bargiri[[#This Row],[شماره سند مبنا]],invoice[شماره پیش فاکتور],0))</f>
        <v>#N/A</v>
      </c>
      <c r="K598" s="159" t="e">
        <f>bargiri[[#This Row],[مبلغ خالص]]-bargiri[[#This Row],[میزان استهلاک پیش دریافتی]]</f>
        <v>#N/A</v>
      </c>
      <c r="L598" s="160" t="s">
        <v>593</v>
      </c>
      <c r="M598" s="159"/>
      <c r="N598" s="159" t="e">
        <f>IF(bargiri[[#This Row],[مبلغ واریزی]]&lt;&gt;"",bargiri[[#This Row],[مانده مبلغ]]-bargiri[[#This Row],[مبلغ واریزی]],bargiri[[#This Row],[مانده مبلغ]])</f>
        <v>#N/A</v>
      </c>
      <c r="O598" s="159" t="s">
        <v>593</v>
      </c>
      <c r="P598" s="159" t="e">
        <f>VLOOKUP(bargiri[[#This Row],[شماره سند مبنا]],invoice[[شماره پیش فاکتور]:[پیش دریافت به ازای هر کیلوگرم]],14,0)</f>
        <v>#N/A</v>
      </c>
      <c r="Q598" s="159" t="e">
        <f>IF(bargiri[[#This Row],[مبلغ ناخالص]]-(bargiri[[#This Row],[نرخ استهلاک]]*bargiri[[#This Row],[مقدار]])&lt;0,0,bargiri[[#This Row],[مبلغ ناخالص]]-(bargiri[[#This Row],[نرخ استهلاک]]*bargiri[[#This Row],[مقدار]]))</f>
        <v>#N/A</v>
      </c>
    </row>
    <row r="599" spans="1:17" s="22" customFormat="1" ht="13.8" x14ac:dyDescent="0.25">
      <c r="A599" s="22">
        <v>909</v>
      </c>
      <c r="B599" s="22" t="s">
        <v>788</v>
      </c>
      <c r="C599" s="22" t="s">
        <v>72</v>
      </c>
      <c r="D599" s="22" t="s">
        <v>73</v>
      </c>
      <c r="E599" s="158">
        <v>20580</v>
      </c>
      <c r="F599" s="159">
        <v>57273</v>
      </c>
      <c r="G599" s="159">
        <v>1178678340</v>
      </c>
      <c r="H599" s="159">
        <v>117867834</v>
      </c>
      <c r="I599" s="159">
        <v>1296546174</v>
      </c>
      <c r="J599" s="159" t="e">
        <f>bargiri[[#This Row],[مقدار]]*INDEX(invoice[پیش دریافت به ازای هر کیلوگرم],MATCH(bargiri[[#This Row],[شماره سند مبنا]],invoice[شماره پیش فاکتور],0))</f>
        <v>#N/A</v>
      </c>
      <c r="K599" s="159" t="e">
        <f>bargiri[[#This Row],[مبلغ خالص]]-bargiri[[#This Row],[میزان استهلاک پیش دریافتی]]</f>
        <v>#N/A</v>
      </c>
      <c r="L599" s="160" t="s">
        <v>593</v>
      </c>
      <c r="M599" s="159"/>
      <c r="N599" s="159" t="e">
        <f>IF(bargiri[[#This Row],[مبلغ واریزی]]&lt;&gt;"",bargiri[[#This Row],[مانده مبلغ]]-bargiri[[#This Row],[مبلغ واریزی]],bargiri[[#This Row],[مانده مبلغ]])</f>
        <v>#N/A</v>
      </c>
      <c r="O599" s="159" t="s">
        <v>593</v>
      </c>
      <c r="P599" s="159" t="e">
        <f>VLOOKUP(bargiri[[#This Row],[شماره سند مبنا]],invoice[[شماره پیش فاکتور]:[پیش دریافت به ازای هر کیلوگرم]],14,0)</f>
        <v>#N/A</v>
      </c>
      <c r="Q599" s="159" t="e">
        <f>IF(bargiri[[#This Row],[مبلغ ناخالص]]-(bargiri[[#This Row],[نرخ استهلاک]]*bargiri[[#This Row],[مقدار]])&lt;0,0,bargiri[[#This Row],[مبلغ ناخالص]]-(bargiri[[#This Row],[نرخ استهلاک]]*bargiri[[#This Row],[مقدار]]))</f>
        <v>#N/A</v>
      </c>
    </row>
    <row r="600" spans="1:17" s="22" customFormat="1" ht="13.8" x14ac:dyDescent="0.25">
      <c r="A600" s="22">
        <v>908</v>
      </c>
      <c r="B600" s="22" t="s">
        <v>788</v>
      </c>
      <c r="C600" s="22" t="s">
        <v>617</v>
      </c>
      <c r="D600" s="22" t="s">
        <v>211</v>
      </c>
      <c r="E600" s="158">
        <v>20130</v>
      </c>
      <c r="F600" s="159">
        <v>142000</v>
      </c>
      <c r="G600" s="159">
        <v>2858460000</v>
      </c>
      <c r="H600" s="159">
        <v>285846000</v>
      </c>
      <c r="I600" s="159">
        <v>3144306000</v>
      </c>
      <c r="J600" s="159">
        <f>bargiri[[#This Row],[مقدار]]*INDEX(invoice[پیش دریافت به ازای هر کیلوگرم],MATCH(bargiri[[#This Row],[شماره سند مبنا]],invoice[شماره پیش فاکتور],0))</f>
        <v>904720547.33207583</v>
      </c>
      <c r="K600" s="159">
        <f>bargiri[[#This Row],[مبلغ خالص]]-bargiri[[#This Row],[میزان استهلاک پیش دریافتی]]</f>
        <v>2239585452.6679239</v>
      </c>
      <c r="L600" s="160" t="s">
        <v>593</v>
      </c>
      <c r="M600" s="159"/>
      <c r="N600" s="159">
        <f>IF(bargiri[[#This Row],[مبلغ واریزی]]&lt;&gt;"",bargiri[[#This Row],[مانده مبلغ]]-bargiri[[#This Row],[مبلغ واریزی]],bargiri[[#This Row],[مانده مبلغ]])</f>
        <v>2239585452.6679239</v>
      </c>
      <c r="O600" s="159" t="s">
        <v>593</v>
      </c>
      <c r="P600" s="159">
        <f>VLOOKUP(bargiri[[#This Row],[شماره سند مبنا]],invoice[[شماره پیش فاکتور]:[پیش دریافت به ازای هر کیلوگرم]],14,0)</f>
        <v>44943.892068160749</v>
      </c>
      <c r="Q600" s="159">
        <f>IF(bargiri[[#This Row],[مبلغ ناخالص]]-(bargiri[[#This Row],[نرخ استهلاک]]*bargiri[[#This Row],[مقدار]])&lt;0,0,bargiri[[#This Row],[مبلغ ناخالص]]-(bargiri[[#This Row],[نرخ استهلاک]]*bargiri[[#This Row],[مقدار]]))</f>
        <v>1953739452.6679242</v>
      </c>
    </row>
    <row r="601" spans="1:17" s="22" customFormat="1" ht="13.8" x14ac:dyDescent="0.25">
      <c r="A601" s="22">
        <v>907</v>
      </c>
      <c r="B601" s="22" t="s">
        <v>789</v>
      </c>
      <c r="C601" s="22" t="s">
        <v>458</v>
      </c>
      <c r="D601" s="22" t="s">
        <v>156</v>
      </c>
      <c r="E601" s="158">
        <v>21705</v>
      </c>
      <c r="F601" s="159">
        <v>142000</v>
      </c>
      <c r="G601" s="159">
        <v>3082110000</v>
      </c>
      <c r="H601" s="159">
        <v>308211000</v>
      </c>
      <c r="I601" s="159">
        <v>3390321000</v>
      </c>
      <c r="J601" s="159">
        <f>bargiri[[#This Row],[مقدار]]*INDEX(invoice[پیش دریافت به ازای هر کیلوگرم],MATCH(bargiri[[#This Row],[شماره سند مبنا]],invoice[شماره پیش فاکتور],0))</f>
        <v>613090256.9872812</v>
      </c>
      <c r="K601" s="159">
        <f>bargiri[[#This Row],[مبلغ خالص]]-bargiri[[#This Row],[میزان استهلاک پیش دریافتی]]</f>
        <v>2777230743.0127187</v>
      </c>
      <c r="L601" s="160" t="s">
        <v>593</v>
      </c>
      <c r="M601" s="159"/>
      <c r="N601" s="159">
        <f>IF(bargiri[[#This Row],[مبلغ واریزی]]&lt;&gt;"",bargiri[[#This Row],[مانده مبلغ]]-bargiri[[#This Row],[مبلغ واریزی]],bargiri[[#This Row],[مانده مبلغ]])</f>
        <v>2777230743.0127187</v>
      </c>
      <c r="O601" s="159" t="s">
        <v>593</v>
      </c>
      <c r="P601" s="159">
        <f>VLOOKUP(bargiri[[#This Row],[شماره سند مبنا]],invoice[[شماره پیش فاکتور]:[پیش دریافت به ازای هر کیلوگرم]],14,0)</f>
        <v>28246.498824569509</v>
      </c>
      <c r="Q601" s="159">
        <f>IF(bargiri[[#This Row],[مبلغ ناخالص]]-(bargiri[[#This Row],[نرخ استهلاک]]*bargiri[[#This Row],[مقدار]])&lt;0,0,bargiri[[#This Row],[مبلغ ناخالص]]-(bargiri[[#This Row],[نرخ استهلاک]]*bargiri[[#This Row],[مقدار]]))</f>
        <v>2469019743.0127187</v>
      </c>
    </row>
    <row r="602" spans="1:17" s="22" customFormat="1" ht="13.8" x14ac:dyDescent="0.25">
      <c r="A602" s="22">
        <v>906</v>
      </c>
      <c r="B602" s="22" t="s">
        <v>789</v>
      </c>
      <c r="C602" s="22" t="s">
        <v>607</v>
      </c>
      <c r="D602" s="22" t="s">
        <v>180</v>
      </c>
      <c r="E602" s="158">
        <v>7760</v>
      </c>
      <c r="F602" s="159">
        <v>142000</v>
      </c>
      <c r="G602" s="159">
        <v>1101920000</v>
      </c>
      <c r="H602" s="159">
        <v>110192000</v>
      </c>
      <c r="I602" s="159">
        <v>1212112000</v>
      </c>
      <c r="J602" s="159">
        <f>bargiri[[#This Row],[مقدار]]*INDEX(invoice[پیش دریافت به ازای هر کیلوگرم],MATCH(bargiri[[#This Row],[شماره سند مبنا]],invoice[شماره پیش فاکتور],0))</f>
        <v>579259867.60593295</v>
      </c>
      <c r="K602" s="159">
        <f>bargiri[[#This Row],[مبلغ خالص]]-bargiri[[#This Row],[میزان استهلاک پیش دریافتی]]</f>
        <v>632852132.39406705</v>
      </c>
      <c r="L602" s="160" t="s">
        <v>593</v>
      </c>
      <c r="M602" s="159"/>
      <c r="N602" s="159">
        <f>IF(bargiri[[#This Row],[مبلغ واریزی]]&lt;&gt;"",bargiri[[#This Row],[مانده مبلغ]]-bargiri[[#This Row],[مبلغ واریزی]],bargiri[[#This Row],[مانده مبلغ]])</f>
        <v>632852132.39406705</v>
      </c>
      <c r="O602" s="159" t="s">
        <v>593</v>
      </c>
      <c r="P602" s="159">
        <f>VLOOKUP(bargiri[[#This Row],[شماره سند مبنا]],invoice[[شماره پیش فاکتور]:[پیش دریافت به ازای هر کیلوگرم]],14,0)</f>
        <v>74646.890155403729</v>
      </c>
      <c r="Q602" s="159">
        <f>IF(bargiri[[#This Row],[مبلغ ناخالص]]-(bargiri[[#This Row],[نرخ استهلاک]]*bargiri[[#This Row],[مقدار]])&lt;0,0,bargiri[[#This Row],[مبلغ ناخالص]]-(bargiri[[#This Row],[نرخ استهلاک]]*bargiri[[#This Row],[مقدار]]))</f>
        <v>522660132.39406705</v>
      </c>
    </row>
    <row r="603" spans="1:17" s="22" customFormat="1" ht="13.8" x14ac:dyDescent="0.25">
      <c r="A603" s="22">
        <v>905</v>
      </c>
      <c r="B603" s="22" t="s">
        <v>727</v>
      </c>
      <c r="C603" s="22" t="s">
        <v>463</v>
      </c>
      <c r="D603" s="22" t="s">
        <v>207</v>
      </c>
      <c r="E603" s="158">
        <v>6640</v>
      </c>
      <c r="F603" s="159">
        <v>142000</v>
      </c>
      <c r="G603" s="159">
        <v>942880000</v>
      </c>
      <c r="H603" s="159">
        <v>94288000</v>
      </c>
      <c r="I603" s="159">
        <v>1037168000</v>
      </c>
      <c r="J603" s="159">
        <f>bargiri[[#This Row],[مقدار]]*INDEX(invoice[پیش دریافت به ازای هر کیلوگرم],MATCH(bargiri[[#This Row],[شماره سند مبنا]],invoice[شماره پیش فاکتور],0))</f>
        <v>199907974.6701847</v>
      </c>
      <c r="K603" s="159">
        <f>bargiri[[#This Row],[مبلغ خالص]]-bargiri[[#This Row],[میزان استهلاک پیش دریافتی]]</f>
        <v>837260025.32981527</v>
      </c>
      <c r="L603" s="160" t="s">
        <v>593</v>
      </c>
      <c r="M603" s="159"/>
      <c r="N603" s="159">
        <f>IF(bargiri[[#This Row],[مبلغ واریزی]]&lt;&gt;"",bargiri[[#This Row],[مانده مبلغ]]-bargiri[[#This Row],[مبلغ واریزی]],bargiri[[#This Row],[مانده مبلغ]])</f>
        <v>837260025.32981527</v>
      </c>
      <c r="O603" s="159" t="s">
        <v>593</v>
      </c>
      <c r="P603" s="159">
        <f>VLOOKUP(bargiri[[#This Row],[شماره سند مبنا]],invoice[[شماره پیش فاکتور]:[پیش دریافت به ازای هر کیلوگرم]],14,0)</f>
        <v>30106.622691292876</v>
      </c>
      <c r="Q603" s="159">
        <f>IF(bargiri[[#This Row],[مبلغ ناخالص]]-(bargiri[[#This Row],[نرخ استهلاک]]*bargiri[[#This Row],[مقدار]])&lt;0,0,bargiri[[#This Row],[مبلغ ناخالص]]-(bargiri[[#This Row],[نرخ استهلاک]]*bargiri[[#This Row],[مقدار]]))</f>
        <v>742972025.32981527</v>
      </c>
    </row>
    <row r="604" spans="1:17" s="22" customFormat="1" ht="13.8" x14ac:dyDescent="0.25">
      <c r="A604" s="22">
        <v>904</v>
      </c>
      <c r="B604" s="22" t="s">
        <v>727</v>
      </c>
      <c r="C604" s="22" t="s">
        <v>464</v>
      </c>
      <c r="D604" s="22" t="s">
        <v>221</v>
      </c>
      <c r="E604" s="158">
        <v>13675</v>
      </c>
      <c r="F604" s="159">
        <v>142000</v>
      </c>
      <c r="G604" s="159">
        <v>1941850000</v>
      </c>
      <c r="H604" s="159">
        <v>194185000</v>
      </c>
      <c r="I604" s="159">
        <v>2136035000</v>
      </c>
      <c r="J604" s="159">
        <f>bargiri[[#This Row],[مقدار]]*INDEX(invoice[پیش دریافت به ازای هر کیلوگرم],MATCH(bargiri[[#This Row],[شماره سند مبنا]],invoice[شماره پیش فاکتور],0))</f>
        <v>320405250</v>
      </c>
      <c r="K604" s="159">
        <f>bargiri[[#This Row],[مبلغ خالص]]-bargiri[[#This Row],[میزان استهلاک پیش دریافتی]]</f>
        <v>1815629750</v>
      </c>
      <c r="L604" s="160" t="s">
        <v>593</v>
      </c>
      <c r="M604" s="159"/>
      <c r="N604" s="159">
        <f>IF(bargiri[[#This Row],[مبلغ واریزی]]&lt;&gt;"",bargiri[[#This Row],[مانده مبلغ]]-bargiri[[#This Row],[مبلغ واریزی]],bargiri[[#This Row],[مانده مبلغ]])</f>
        <v>1815629750</v>
      </c>
      <c r="O604" s="159" t="s">
        <v>593</v>
      </c>
      <c r="P604" s="159">
        <f>VLOOKUP(bargiri[[#This Row],[شماره سند مبنا]],invoice[[شماره پیش فاکتور]:[پیش دریافت به ازای هر کیلوگرم]],14,0)</f>
        <v>23430</v>
      </c>
      <c r="Q604" s="159">
        <f>IF(bargiri[[#This Row],[مبلغ ناخالص]]-(bargiri[[#This Row],[نرخ استهلاک]]*bargiri[[#This Row],[مقدار]])&lt;0,0,bargiri[[#This Row],[مبلغ ناخالص]]-(bargiri[[#This Row],[نرخ استهلاک]]*bargiri[[#This Row],[مقدار]]))</f>
        <v>1621444750</v>
      </c>
    </row>
    <row r="605" spans="1:17" s="22" customFormat="1" ht="13.8" x14ac:dyDescent="0.25">
      <c r="A605" s="22">
        <v>903</v>
      </c>
      <c r="B605" s="22" t="s">
        <v>727</v>
      </c>
      <c r="C605" s="22" t="s">
        <v>72</v>
      </c>
      <c r="D605" s="22" t="s">
        <v>73</v>
      </c>
      <c r="E605" s="158">
        <v>21155</v>
      </c>
      <c r="F605" s="159">
        <v>57273</v>
      </c>
      <c r="G605" s="159">
        <v>1211610315</v>
      </c>
      <c r="H605" s="159">
        <v>121161032</v>
      </c>
      <c r="I605" s="159">
        <v>1332771347</v>
      </c>
      <c r="J605" s="159" t="e">
        <f>bargiri[[#This Row],[مقدار]]*INDEX(invoice[پیش دریافت به ازای هر کیلوگرم],MATCH(bargiri[[#This Row],[شماره سند مبنا]],invoice[شماره پیش فاکتور],0))</f>
        <v>#N/A</v>
      </c>
      <c r="K605" s="159" t="e">
        <f>bargiri[[#This Row],[مبلغ خالص]]-bargiri[[#This Row],[میزان استهلاک پیش دریافتی]]</f>
        <v>#N/A</v>
      </c>
      <c r="L605" s="160" t="s">
        <v>593</v>
      </c>
      <c r="M605" s="159"/>
      <c r="N605" s="159" t="e">
        <f>IF(bargiri[[#This Row],[مبلغ واریزی]]&lt;&gt;"",bargiri[[#This Row],[مانده مبلغ]]-bargiri[[#This Row],[مبلغ واریزی]],bargiri[[#This Row],[مانده مبلغ]])</f>
        <v>#N/A</v>
      </c>
      <c r="O605" s="159" t="s">
        <v>593</v>
      </c>
      <c r="P605" s="159" t="e">
        <f>VLOOKUP(bargiri[[#This Row],[شماره سند مبنا]],invoice[[شماره پیش فاکتور]:[پیش دریافت به ازای هر کیلوگرم]],14,0)</f>
        <v>#N/A</v>
      </c>
      <c r="Q605" s="159" t="e">
        <f>IF(bargiri[[#This Row],[مبلغ ناخالص]]-(bargiri[[#This Row],[نرخ استهلاک]]*bargiri[[#This Row],[مقدار]])&lt;0,0,bargiri[[#This Row],[مبلغ ناخالص]]-(bargiri[[#This Row],[نرخ استهلاک]]*bargiri[[#This Row],[مقدار]]))</f>
        <v>#N/A</v>
      </c>
    </row>
    <row r="606" spans="1:17" s="22" customFormat="1" ht="13.8" x14ac:dyDescent="0.25">
      <c r="A606" s="22">
        <v>902</v>
      </c>
      <c r="B606" s="22" t="s">
        <v>727</v>
      </c>
      <c r="C606" s="22" t="s">
        <v>72</v>
      </c>
      <c r="D606" s="22" t="s">
        <v>73</v>
      </c>
      <c r="E606" s="158">
        <v>20500</v>
      </c>
      <c r="F606" s="159">
        <v>57273</v>
      </c>
      <c r="G606" s="159">
        <v>1174096500</v>
      </c>
      <c r="H606" s="159">
        <v>117409650</v>
      </c>
      <c r="I606" s="159">
        <v>1291506150</v>
      </c>
      <c r="J606" s="159" t="e">
        <f>bargiri[[#This Row],[مقدار]]*INDEX(invoice[پیش دریافت به ازای هر کیلوگرم],MATCH(bargiri[[#This Row],[شماره سند مبنا]],invoice[شماره پیش فاکتور],0))</f>
        <v>#N/A</v>
      </c>
      <c r="K606" s="159" t="e">
        <f>bargiri[[#This Row],[مبلغ خالص]]-bargiri[[#This Row],[میزان استهلاک پیش دریافتی]]</f>
        <v>#N/A</v>
      </c>
      <c r="L606" s="160" t="s">
        <v>593</v>
      </c>
      <c r="M606" s="159"/>
      <c r="N606" s="159" t="e">
        <f>IF(bargiri[[#This Row],[مبلغ واریزی]]&lt;&gt;"",bargiri[[#This Row],[مانده مبلغ]]-bargiri[[#This Row],[مبلغ واریزی]],bargiri[[#This Row],[مانده مبلغ]])</f>
        <v>#N/A</v>
      </c>
      <c r="O606" s="159" t="s">
        <v>593</v>
      </c>
      <c r="P606" s="159" t="e">
        <f>VLOOKUP(bargiri[[#This Row],[شماره سند مبنا]],invoice[[شماره پیش فاکتور]:[پیش دریافت به ازای هر کیلوگرم]],14,0)</f>
        <v>#N/A</v>
      </c>
      <c r="Q606" s="159" t="e">
        <f>IF(bargiri[[#This Row],[مبلغ ناخالص]]-(bargiri[[#This Row],[نرخ استهلاک]]*bargiri[[#This Row],[مقدار]])&lt;0,0,bargiri[[#This Row],[مبلغ ناخالص]]-(bargiri[[#This Row],[نرخ استهلاک]]*bargiri[[#This Row],[مقدار]]))</f>
        <v>#N/A</v>
      </c>
    </row>
    <row r="607" spans="1:17" s="22" customFormat="1" ht="13.8" x14ac:dyDescent="0.25">
      <c r="A607" s="22">
        <v>901</v>
      </c>
      <c r="B607" s="22" t="s">
        <v>790</v>
      </c>
      <c r="C607" s="22" t="s">
        <v>187</v>
      </c>
      <c r="D607" s="22" t="s">
        <v>43</v>
      </c>
      <c r="E607" s="158">
        <v>20195</v>
      </c>
      <c r="F607" s="159">
        <v>80000</v>
      </c>
      <c r="G607" s="159">
        <v>1615600000</v>
      </c>
      <c r="H607" s="159">
        <v>161560000</v>
      </c>
      <c r="I607" s="159">
        <v>1777160000</v>
      </c>
      <c r="J607" s="159">
        <f>bargiri[[#This Row],[مقدار]]*INDEX(invoice[پیش دریافت به ازای هر کیلوگرم],MATCH(bargiri[[#This Row],[شماره سند مبنا]],invoice[شماره پیش فاکتور],0))</f>
        <v>355432000</v>
      </c>
      <c r="K607" s="159">
        <f>bargiri[[#This Row],[مبلغ خالص]]-bargiri[[#This Row],[میزان استهلاک پیش دریافتی]]</f>
        <v>1421728000</v>
      </c>
      <c r="L607" s="160" t="s">
        <v>593</v>
      </c>
      <c r="M607" s="159"/>
      <c r="N607" s="159">
        <f>IF(bargiri[[#This Row],[مبلغ واریزی]]&lt;&gt;"",bargiri[[#This Row],[مانده مبلغ]]-bargiri[[#This Row],[مبلغ واریزی]],bargiri[[#This Row],[مانده مبلغ]])</f>
        <v>1421728000</v>
      </c>
      <c r="O607" s="159" t="s">
        <v>593</v>
      </c>
      <c r="P607" s="159">
        <f>VLOOKUP(bargiri[[#This Row],[شماره سند مبنا]],invoice[[شماره پیش فاکتور]:[پیش دریافت به ازای هر کیلوگرم]],14,0)</f>
        <v>17600</v>
      </c>
      <c r="Q607" s="159">
        <f>IF(bargiri[[#This Row],[مبلغ ناخالص]]-(bargiri[[#This Row],[نرخ استهلاک]]*bargiri[[#This Row],[مقدار]])&lt;0,0,bargiri[[#This Row],[مبلغ ناخالص]]-(bargiri[[#This Row],[نرخ استهلاک]]*bargiri[[#This Row],[مقدار]]))</f>
        <v>1260168000</v>
      </c>
    </row>
    <row r="608" spans="1:17" s="22" customFormat="1" ht="13.8" x14ac:dyDescent="0.25">
      <c r="A608" s="22">
        <v>900</v>
      </c>
      <c r="B608" s="22" t="s">
        <v>790</v>
      </c>
      <c r="C608" s="22" t="s">
        <v>661</v>
      </c>
      <c r="D608" s="22" t="s">
        <v>17</v>
      </c>
      <c r="E608" s="158">
        <v>8155</v>
      </c>
      <c r="F608" s="159">
        <v>116500</v>
      </c>
      <c r="G608" s="159">
        <v>950057500</v>
      </c>
      <c r="H608" s="159">
        <v>95005750</v>
      </c>
      <c r="I608" s="159">
        <v>1045063250</v>
      </c>
      <c r="J608" s="159">
        <f>bargiri[[#This Row],[مقدار]]*INDEX(invoice[پیش دریافت به ازای هر کیلوگرم],MATCH(bargiri[[#This Row],[شماره سند مبنا]],invoice[شماره پیش فاکتور],0))</f>
        <v>156759487.5</v>
      </c>
      <c r="K608" s="159">
        <f>bargiri[[#This Row],[مبلغ خالص]]-bargiri[[#This Row],[میزان استهلاک پیش دریافتی]]</f>
        <v>888303762.5</v>
      </c>
      <c r="L608" s="160" t="s">
        <v>593</v>
      </c>
      <c r="M608" s="159"/>
      <c r="N608" s="159">
        <f>IF(bargiri[[#This Row],[مبلغ واریزی]]&lt;&gt;"",bargiri[[#This Row],[مانده مبلغ]]-bargiri[[#This Row],[مبلغ واریزی]],bargiri[[#This Row],[مانده مبلغ]])</f>
        <v>888303762.5</v>
      </c>
      <c r="O608" s="159" t="s">
        <v>593</v>
      </c>
      <c r="P608" s="159">
        <f>VLOOKUP(bargiri[[#This Row],[شماره سند مبنا]],invoice[[شماره پیش فاکتور]:[پیش دریافت به ازای هر کیلوگرم]],14,0)</f>
        <v>19222.5</v>
      </c>
      <c r="Q608" s="159">
        <f>IF(bargiri[[#This Row],[مبلغ ناخالص]]-(bargiri[[#This Row],[نرخ استهلاک]]*bargiri[[#This Row],[مقدار]])&lt;0,0,bargiri[[#This Row],[مبلغ ناخالص]]-(bargiri[[#This Row],[نرخ استهلاک]]*bargiri[[#This Row],[مقدار]]))</f>
        <v>793298012.5</v>
      </c>
    </row>
    <row r="609" spans="1:17" s="22" customFormat="1" ht="13.8" x14ac:dyDescent="0.25">
      <c r="A609" s="22">
        <v>900</v>
      </c>
      <c r="B609" s="22" t="s">
        <v>790</v>
      </c>
      <c r="C609" s="22" t="s">
        <v>690</v>
      </c>
      <c r="D609" s="22" t="s">
        <v>17</v>
      </c>
      <c r="E609" s="158">
        <v>13965</v>
      </c>
      <c r="F609" s="159">
        <v>116500</v>
      </c>
      <c r="G609" s="159">
        <v>1626922500</v>
      </c>
      <c r="H609" s="159">
        <v>162692250</v>
      </c>
      <c r="I609" s="159">
        <v>1789614750</v>
      </c>
      <c r="J609" s="159">
        <f>bargiri[[#This Row],[مقدار]]*INDEX(invoice[پیش دریافت به ازای هر کیلوگرم],MATCH(bargiri[[#This Row],[شماره سند مبنا]],invoice[شماره پیش فاکتور],0))</f>
        <v>1789614750</v>
      </c>
      <c r="K609" s="159">
        <f>bargiri[[#This Row],[مبلغ خالص]]-bargiri[[#This Row],[میزان استهلاک پیش دریافتی]]</f>
        <v>0</v>
      </c>
      <c r="L609" s="160" t="s">
        <v>252</v>
      </c>
      <c r="M609" s="159"/>
      <c r="N609" s="159">
        <f>IF(bargiri[[#This Row],[مبلغ واریزی]]&lt;&gt;"",bargiri[[#This Row],[مانده مبلغ]]-bargiri[[#This Row],[مبلغ واریزی]],bargiri[[#This Row],[مانده مبلغ]])</f>
        <v>0</v>
      </c>
      <c r="O609" s="159">
        <v>0</v>
      </c>
      <c r="P609" s="159">
        <f>VLOOKUP(bargiri[[#This Row],[شماره سند مبنا]],invoice[[شماره پیش فاکتور]:[پیش دریافت به ازای هر کیلوگرم]],14,0)</f>
        <v>128150</v>
      </c>
      <c r="Q609" s="159">
        <f>IF(bargiri[[#This Row],[مبلغ ناخالص]]-(bargiri[[#This Row],[نرخ استهلاک]]*bargiri[[#This Row],[مقدار]])&lt;0,0,bargiri[[#This Row],[مبلغ ناخالص]]-(bargiri[[#This Row],[نرخ استهلاک]]*bargiri[[#This Row],[مقدار]]))</f>
        <v>0</v>
      </c>
    </row>
    <row r="610" spans="1:17" s="22" customFormat="1" ht="13.8" x14ac:dyDescent="0.25">
      <c r="A610" s="22">
        <v>899</v>
      </c>
      <c r="B610" s="22" t="s">
        <v>790</v>
      </c>
      <c r="C610" s="22" t="s">
        <v>72</v>
      </c>
      <c r="D610" s="22" t="s">
        <v>73</v>
      </c>
      <c r="E610" s="158">
        <v>21030</v>
      </c>
      <c r="F610" s="159">
        <v>57273</v>
      </c>
      <c r="G610" s="159">
        <v>1204451190</v>
      </c>
      <c r="H610" s="159">
        <v>120445119</v>
      </c>
      <c r="I610" s="159">
        <v>1324896309</v>
      </c>
      <c r="J610" s="159" t="e">
        <f>bargiri[[#This Row],[مقدار]]*INDEX(invoice[پیش دریافت به ازای هر کیلوگرم],MATCH(bargiri[[#This Row],[شماره سند مبنا]],invoice[شماره پیش فاکتور],0))</f>
        <v>#N/A</v>
      </c>
      <c r="K610" s="159" t="e">
        <f>bargiri[[#This Row],[مبلغ خالص]]-bargiri[[#This Row],[میزان استهلاک پیش دریافتی]]</f>
        <v>#N/A</v>
      </c>
      <c r="L610" s="160" t="s">
        <v>593</v>
      </c>
      <c r="M610" s="159"/>
      <c r="N610" s="159" t="e">
        <f>IF(bargiri[[#This Row],[مبلغ واریزی]]&lt;&gt;"",bargiri[[#This Row],[مانده مبلغ]]-bargiri[[#This Row],[مبلغ واریزی]],bargiri[[#This Row],[مانده مبلغ]])</f>
        <v>#N/A</v>
      </c>
      <c r="O610" s="159" t="s">
        <v>593</v>
      </c>
      <c r="P610" s="159" t="e">
        <f>VLOOKUP(bargiri[[#This Row],[شماره سند مبنا]],invoice[[شماره پیش فاکتور]:[پیش دریافت به ازای هر کیلوگرم]],14,0)</f>
        <v>#N/A</v>
      </c>
      <c r="Q610" s="159" t="e">
        <f>IF(bargiri[[#This Row],[مبلغ ناخالص]]-(bargiri[[#This Row],[نرخ استهلاک]]*bargiri[[#This Row],[مقدار]])&lt;0,0,bargiri[[#This Row],[مبلغ ناخالص]]-(bargiri[[#This Row],[نرخ استهلاک]]*bargiri[[#This Row],[مقدار]]))</f>
        <v>#N/A</v>
      </c>
    </row>
    <row r="611" spans="1:17" s="22" customFormat="1" ht="13.8" x14ac:dyDescent="0.25">
      <c r="A611" s="22">
        <v>898</v>
      </c>
      <c r="B611" s="22" t="s">
        <v>790</v>
      </c>
      <c r="C611" s="22" t="s">
        <v>72</v>
      </c>
      <c r="D611" s="22" t="s">
        <v>73</v>
      </c>
      <c r="E611" s="158">
        <v>21020</v>
      </c>
      <c r="F611" s="159">
        <v>57273</v>
      </c>
      <c r="G611" s="159">
        <v>1203878460</v>
      </c>
      <c r="H611" s="159">
        <v>120387846</v>
      </c>
      <c r="I611" s="159">
        <v>1324266306</v>
      </c>
      <c r="J611" s="159" t="e">
        <f>bargiri[[#This Row],[مقدار]]*INDEX(invoice[پیش دریافت به ازای هر کیلوگرم],MATCH(bargiri[[#This Row],[شماره سند مبنا]],invoice[شماره پیش فاکتور],0))</f>
        <v>#N/A</v>
      </c>
      <c r="K611" s="159" t="e">
        <f>bargiri[[#This Row],[مبلغ خالص]]-bargiri[[#This Row],[میزان استهلاک پیش دریافتی]]</f>
        <v>#N/A</v>
      </c>
      <c r="L611" s="160" t="s">
        <v>593</v>
      </c>
      <c r="M611" s="159"/>
      <c r="N611" s="159" t="e">
        <f>IF(bargiri[[#This Row],[مبلغ واریزی]]&lt;&gt;"",bargiri[[#This Row],[مانده مبلغ]]-bargiri[[#This Row],[مبلغ واریزی]],bargiri[[#This Row],[مانده مبلغ]])</f>
        <v>#N/A</v>
      </c>
      <c r="O611" s="159" t="s">
        <v>593</v>
      </c>
      <c r="P611" s="159" t="e">
        <f>VLOOKUP(bargiri[[#This Row],[شماره سند مبنا]],invoice[[شماره پیش فاکتور]:[پیش دریافت به ازای هر کیلوگرم]],14,0)</f>
        <v>#N/A</v>
      </c>
      <c r="Q611" s="159" t="e">
        <f>IF(bargiri[[#This Row],[مبلغ ناخالص]]-(bargiri[[#This Row],[نرخ استهلاک]]*bargiri[[#This Row],[مقدار]])&lt;0,0,bargiri[[#This Row],[مبلغ ناخالص]]-(bargiri[[#This Row],[نرخ استهلاک]]*bargiri[[#This Row],[مقدار]]))</f>
        <v>#N/A</v>
      </c>
    </row>
    <row r="612" spans="1:17" s="22" customFormat="1" ht="13.8" x14ac:dyDescent="0.25">
      <c r="A612" s="22">
        <v>897</v>
      </c>
      <c r="B612" s="22" t="s">
        <v>790</v>
      </c>
      <c r="C612" s="22" t="s">
        <v>617</v>
      </c>
      <c r="D612" s="22" t="s">
        <v>211</v>
      </c>
      <c r="E612" s="158">
        <v>22025</v>
      </c>
      <c r="F612" s="159">
        <v>142000</v>
      </c>
      <c r="G612" s="159">
        <v>3127550000</v>
      </c>
      <c r="H612" s="159">
        <v>312755000</v>
      </c>
      <c r="I612" s="159">
        <v>3440305000</v>
      </c>
      <c r="J612" s="159">
        <f>bargiri[[#This Row],[مقدار]]*INDEX(invoice[پیش دریافت به ازای هر کیلوگرم],MATCH(bargiri[[#This Row],[شماره سند مبنا]],invoice[شماره پیش فاکتور],0))</f>
        <v>989889222.80124044</v>
      </c>
      <c r="K612" s="159">
        <f>bargiri[[#This Row],[مبلغ خالص]]-bargiri[[#This Row],[میزان استهلاک پیش دریافتی]]</f>
        <v>2450415777.1987596</v>
      </c>
      <c r="L612" s="160" t="s">
        <v>593</v>
      </c>
      <c r="M612" s="159"/>
      <c r="N612" s="159">
        <f>IF(bargiri[[#This Row],[مبلغ واریزی]]&lt;&gt;"",bargiri[[#This Row],[مانده مبلغ]]-bargiri[[#This Row],[مبلغ واریزی]],bargiri[[#This Row],[مانده مبلغ]])</f>
        <v>2450415777.1987596</v>
      </c>
      <c r="O612" s="159" t="s">
        <v>593</v>
      </c>
      <c r="P612" s="159">
        <f>VLOOKUP(bargiri[[#This Row],[شماره سند مبنا]],invoice[[شماره پیش فاکتور]:[پیش دریافت به ازای هر کیلوگرم]],14,0)</f>
        <v>44943.892068160749</v>
      </c>
      <c r="Q612" s="159">
        <f>IF(bargiri[[#This Row],[مبلغ ناخالص]]-(bargiri[[#This Row],[نرخ استهلاک]]*bargiri[[#This Row],[مقدار]])&lt;0,0,bargiri[[#This Row],[مبلغ ناخالص]]-(bargiri[[#This Row],[نرخ استهلاک]]*bargiri[[#This Row],[مقدار]]))</f>
        <v>2137660777.1987596</v>
      </c>
    </row>
    <row r="613" spans="1:17" s="22" customFormat="1" ht="13.8" x14ac:dyDescent="0.25">
      <c r="A613" s="22">
        <v>896</v>
      </c>
      <c r="B613" s="22" t="s">
        <v>791</v>
      </c>
      <c r="C613" s="22" t="s">
        <v>608</v>
      </c>
      <c r="D613" s="22" t="s">
        <v>40</v>
      </c>
      <c r="E613" s="158">
        <v>16175</v>
      </c>
      <c r="F613" s="159">
        <v>142000</v>
      </c>
      <c r="G613" s="159">
        <v>2296850000</v>
      </c>
      <c r="H613" s="159">
        <v>229685000</v>
      </c>
      <c r="I613" s="159">
        <v>2526535000</v>
      </c>
      <c r="J613" s="159">
        <f>bargiri[[#This Row],[مقدار]]*INDEX(invoice[پیش دریافت به ازای هر کیلوگرم],MATCH(bargiri[[#This Row],[شماره سند مبنا]],invoice[شماره پیش فاکتور],0))</f>
        <v>378980250</v>
      </c>
      <c r="K613" s="159">
        <f>bargiri[[#This Row],[مبلغ خالص]]-bargiri[[#This Row],[میزان استهلاک پیش دریافتی]]</f>
        <v>2147554750</v>
      </c>
      <c r="L613" s="160" t="s">
        <v>593</v>
      </c>
      <c r="M613" s="159"/>
      <c r="N613" s="159">
        <f>IF(bargiri[[#This Row],[مبلغ واریزی]]&lt;&gt;"",bargiri[[#This Row],[مانده مبلغ]]-bargiri[[#This Row],[مبلغ واریزی]],bargiri[[#This Row],[مانده مبلغ]])</f>
        <v>2147554750</v>
      </c>
      <c r="O613" s="159" t="s">
        <v>593</v>
      </c>
      <c r="P613" s="159">
        <f>VLOOKUP(bargiri[[#This Row],[شماره سند مبنا]],invoice[[شماره پیش فاکتور]:[پیش دریافت به ازای هر کیلوگرم]],14,0)</f>
        <v>23430</v>
      </c>
      <c r="Q613" s="159">
        <f>IF(bargiri[[#This Row],[مبلغ ناخالص]]-(bargiri[[#This Row],[نرخ استهلاک]]*bargiri[[#This Row],[مقدار]])&lt;0,0,bargiri[[#This Row],[مبلغ ناخالص]]-(bargiri[[#This Row],[نرخ استهلاک]]*bargiri[[#This Row],[مقدار]]))</f>
        <v>1917869750</v>
      </c>
    </row>
    <row r="614" spans="1:17" s="22" customFormat="1" ht="13.8" x14ac:dyDescent="0.25">
      <c r="A614" s="22">
        <v>895</v>
      </c>
      <c r="B614" s="22" t="s">
        <v>791</v>
      </c>
      <c r="C614" s="22" t="s">
        <v>119</v>
      </c>
      <c r="D614" s="22" t="s">
        <v>25</v>
      </c>
      <c r="E614" s="158">
        <v>23025</v>
      </c>
      <c r="F614" s="159">
        <v>75000</v>
      </c>
      <c r="G614" s="159">
        <v>1726875000</v>
      </c>
      <c r="H614" s="159">
        <v>172687500</v>
      </c>
      <c r="I614" s="159">
        <v>1899562500</v>
      </c>
      <c r="J614" s="159">
        <f>bargiri[[#This Row],[مقدار]]*INDEX(invoice[پیش دریافت به ازای هر کیلوگرم],MATCH(bargiri[[#This Row],[شماره سند مبنا]],invoice[شماره پیش فاکتور],0))</f>
        <v>284934375</v>
      </c>
      <c r="K614" s="159">
        <f>bargiri[[#This Row],[مبلغ خالص]]-bargiri[[#This Row],[میزان استهلاک پیش دریافتی]]</f>
        <v>1614628125</v>
      </c>
      <c r="L614" s="160" t="s">
        <v>593</v>
      </c>
      <c r="M614" s="159"/>
      <c r="N614" s="159">
        <f>IF(bargiri[[#This Row],[مبلغ واریزی]]&lt;&gt;"",bargiri[[#This Row],[مانده مبلغ]]-bargiri[[#This Row],[مبلغ واریزی]],bargiri[[#This Row],[مانده مبلغ]])</f>
        <v>1614628125</v>
      </c>
      <c r="O614" s="159" t="s">
        <v>593</v>
      </c>
      <c r="P614" s="159">
        <f>VLOOKUP(bargiri[[#This Row],[شماره سند مبنا]],invoice[[شماره پیش فاکتور]:[پیش دریافت به ازای هر کیلوگرم]],14,0)</f>
        <v>12375</v>
      </c>
      <c r="Q614" s="159">
        <f>IF(bargiri[[#This Row],[مبلغ ناخالص]]-(bargiri[[#This Row],[نرخ استهلاک]]*bargiri[[#This Row],[مقدار]])&lt;0,0,bargiri[[#This Row],[مبلغ ناخالص]]-(bargiri[[#This Row],[نرخ استهلاک]]*bargiri[[#This Row],[مقدار]]))</f>
        <v>1441940625</v>
      </c>
    </row>
    <row r="615" spans="1:17" s="22" customFormat="1" ht="13.8" x14ac:dyDescent="0.25">
      <c r="A615" s="22">
        <v>894</v>
      </c>
      <c r="B615" s="22" t="s">
        <v>791</v>
      </c>
      <c r="C615" s="22" t="s">
        <v>456</v>
      </c>
      <c r="D615" s="22" t="s">
        <v>213</v>
      </c>
      <c r="E615" s="158">
        <v>7485</v>
      </c>
      <c r="F615" s="159">
        <v>142000</v>
      </c>
      <c r="G615" s="159">
        <v>1062870000</v>
      </c>
      <c r="H615" s="159">
        <v>106287000</v>
      </c>
      <c r="I615" s="159">
        <v>1169157000</v>
      </c>
      <c r="J615" s="159">
        <f>bargiri[[#This Row],[مقدار]]*INDEX(invoice[پیش دریافت به ازای هر کیلوگرم],MATCH(bargiri[[#This Row],[شماره سند مبنا]],invoice[شماره پیش فاکتور],0))</f>
        <v>888201078.47287011</v>
      </c>
      <c r="K615" s="159">
        <f>bargiri[[#This Row],[مبلغ خالص]]-bargiri[[#This Row],[میزان استهلاک پیش دریافتی]]</f>
        <v>280955921.52712989</v>
      </c>
      <c r="L615" s="160" t="s">
        <v>593</v>
      </c>
      <c r="M615" s="159"/>
      <c r="N615" s="159">
        <f>IF(bargiri[[#This Row],[مبلغ واریزی]]&lt;&gt;"",bargiri[[#This Row],[مانده مبلغ]]-bargiri[[#This Row],[مبلغ واریزی]],bargiri[[#This Row],[مانده مبلغ]])</f>
        <v>280955921.52712989</v>
      </c>
      <c r="O615" s="159" t="s">
        <v>593</v>
      </c>
      <c r="P615" s="159">
        <f>VLOOKUP(bargiri[[#This Row],[شماره سند مبنا]],invoice[[شماره پیش فاکتور]:[پیش دریافت به ازای هر کیلوگرم]],14,0)</f>
        <v>118664.13874053041</v>
      </c>
      <c r="Q615" s="159">
        <f>IF(bargiri[[#This Row],[مبلغ ناخالص]]-(bargiri[[#This Row],[نرخ استهلاک]]*bargiri[[#This Row],[مقدار]])&lt;0,0,bargiri[[#This Row],[مبلغ ناخالص]]-(bargiri[[#This Row],[نرخ استهلاک]]*bargiri[[#This Row],[مقدار]]))</f>
        <v>174668921.52712989</v>
      </c>
    </row>
    <row r="616" spans="1:17" s="22" customFormat="1" ht="13.8" x14ac:dyDescent="0.25">
      <c r="A616" s="22">
        <v>893</v>
      </c>
      <c r="B616" s="22" t="s">
        <v>791</v>
      </c>
      <c r="C616" s="22" t="s">
        <v>182</v>
      </c>
      <c r="D616" s="22" t="s">
        <v>20</v>
      </c>
      <c r="E616" s="158">
        <v>21040</v>
      </c>
      <c r="F616" s="159">
        <v>86500</v>
      </c>
      <c r="G616" s="159">
        <v>1819960000</v>
      </c>
      <c r="H616" s="159">
        <v>181996000</v>
      </c>
      <c r="I616" s="159">
        <v>2001956000</v>
      </c>
      <c r="J616" s="159">
        <f>bargiri[[#This Row],[مقدار]]*INDEX(invoice[پیش دریافت به ازای هر کیلوگرم],MATCH(bargiri[[#This Row],[شماره سند مبنا]],invoice[شماره پیش فاکتور],0))</f>
        <v>272994000</v>
      </c>
      <c r="K616" s="159">
        <f>bargiri[[#This Row],[مبلغ خالص]]-bargiri[[#This Row],[میزان استهلاک پیش دریافتی]]</f>
        <v>1728962000</v>
      </c>
      <c r="L616" s="160" t="s">
        <v>593</v>
      </c>
      <c r="M616" s="159"/>
      <c r="N616" s="159">
        <f>IF(bargiri[[#This Row],[مبلغ واریزی]]&lt;&gt;"",bargiri[[#This Row],[مانده مبلغ]]-bargiri[[#This Row],[مبلغ واریزی]],bargiri[[#This Row],[مانده مبلغ]])</f>
        <v>1728962000</v>
      </c>
      <c r="O616" s="159" t="s">
        <v>593</v>
      </c>
      <c r="P616" s="159">
        <f>VLOOKUP(bargiri[[#This Row],[شماره سند مبنا]],invoice[[شماره پیش فاکتور]:[پیش دریافت به ازای هر کیلوگرم]],14,0)</f>
        <v>12975</v>
      </c>
      <c r="Q616" s="159">
        <f>IF(bargiri[[#This Row],[مبلغ ناخالص]]-(bargiri[[#This Row],[نرخ استهلاک]]*bargiri[[#This Row],[مقدار]])&lt;0,0,bargiri[[#This Row],[مبلغ ناخالص]]-(bargiri[[#This Row],[نرخ استهلاک]]*bargiri[[#This Row],[مقدار]]))</f>
        <v>1546966000</v>
      </c>
    </row>
    <row r="617" spans="1:17" s="22" customFormat="1" ht="13.8" x14ac:dyDescent="0.25">
      <c r="A617" s="22">
        <v>892</v>
      </c>
      <c r="B617" s="22" t="s">
        <v>791</v>
      </c>
      <c r="C617" s="22" t="s">
        <v>644</v>
      </c>
      <c r="D617" s="22" t="s">
        <v>67</v>
      </c>
      <c r="E617" s="158">
        <v>20075</v>
      </c>
      <c r="F617" s="159">
        <v>95000</v>
      </c>
      <c r="G617" s="159">
        <v>1907125000</v>
      </c>
      <c r="H617" s="159">
        <v>190712500</v>
      </c>
      <c r="I617" s="159">
        <v>2097837500</v>
      </c>
      <c r="J617" s="159">
        <f>bargiri[[#This Row],[مقدار]]*INDEX(invoice[پیش دریافت به ازای هر کیلوگرم],MATCH(bargiri[[#This Row],[شماره سند مبنا]],invoice[شماره پیش فاکتور],0))</f>
        <v>610395729.96666455</v>
      </c>
      <c r="K617" s="159">
        <f>bargiri[[#This Row],[مبلغ خالص]]-bargiri[[#This Row],[میزان استهلاک پیش دریافتی]]</f>
        <v>1487441770.0333354</v>
      </c>
      <c r="L617" s="160" t="s">
        <v>593</v>
      </c>
      <c r="M617" s="159"/>
      <c r="N617" s="159">
        <f>IF(bargiri[[#This Row],[مبلغ واریزی]]&lt;&gt;"",bargiri[[#This Row],[مانده مبلغ]]-bargiri[[#This Row],[مبلغ واریزی]],bargiri[[#This Row],[مانده مبلغ]])</f>
        <v>1487441770.0333354</v>
      </c>
      <c r="O617" s="159" t="s">
        <v>593</v>
      </c>
      <c r="P617" s="159">
        <f>VLOOKUP(bargiri[[#This Row],[شماره سند مبنا]],invoice[[شماره پیش فاکتور]:[پیش دریافت به ازای هر کیلوگرم]],14,0)</f>
        <v>30405.764880033101</v>
      </c>
      <c r="Q617" s="159">
        <f>IF(bargiri[[#This Row],[مبلغ ناخالص]]-(bargiri[[#This Row],[نرخ استهلاک]]*bargiri[[#This Row],[مقدار]])&lt;0,0,bargiri[[#This Row],[مبلغ ناخالص]]-(bargiri[[#This Row],[نرخ استهلاک]]*bargiri[[#This Row],[مقدار]]))</f>
        <v>1296729270.0333354</v>
      </c>
    </row>
    <row r="618" spans="1:17" s="22" customFormat="1" ht="13.8" x14ac:dyDescent="0.25">
      <c r="A618" s="22">
        <v>891</v>
      </c>
      <c r="B618" s="22" t="s">
        <v>791</v>
      </c>
      <c r="C618" s="22" t="s">
        <v>187</v>
      </c>
      <c r="D618" s="22" t="s">
        <v>43</v>
      </c>
      <c r="E618" s="158">
        <v>22185</v>
      </c>
      <c r="F618" s="159">
        <v>80000</v>
      </c>
      <c r="G618" s="159">
        <v>1774800000</v>
      </c>
      <c r="H618" s="159">
        <v>177480000</v>
      </c>
      <c r="I618" s="159">
        <v>1952280000</v>
      </c>
      <c r="J618" s="159">
        <f>bargiri[[#This Row],[مقدار]]*INDEX(invoice[پیش دریافت به ازای هر کیلوگرم],MATCH(bargiri[[#This Row],[شماره سند مبنا]],invoice[شماره پیش فاکتور],0))</f>
        <v>390456000</v>
      </c>
      <c r="K618" s="159">
        <f>bargiri[[#This Row],[مبلغ خالص]]-bargiri[[#This Row],[میزان استهلاک پیش دریافتی]]</f>
        <v>1561824000</v>
      </c>
      <c r="L618" s="160" t="s">
        <v>593</v>
      </c>
      <c r="M618" s="159"/>
      <c r="N618" s="159">
        <f>IF(bargiri[[#This Row],[مبلغ واریزی]]&lt;&gt;"",bargiri[[#This Row],[مانده مبلغ]]-bargiri[[#This Row],[مبلغ واریزی]],bargiri[[#This Row],[مانده مبلغ]])</f>
        <v>1561824000</v>
      </c>
      <c r="O618" s="159" t="s">
        <v>593</v>
      </c>
      <c r="P618" s="159">
        <f>VLOOKUP(bargiri[[#This Row],[شماره سند مبنا]],invoice[[شماره پیش فاکتور]:[پیش دریافت به ازای هر کیلوگرم]],14,0)</f>
        <v>17600</v>
      </c>
      <c r="Q618" s="159">
        <f>IF(bargiri[[#This Row],[مبلغ ناخالص]]-(bargiri[[#This Row],[نرخ استهلاک]]*bargiri[[#This Row],[مقدار]])&lt;0,0,bargiri[[#This Row],[مبلغ ناخالص]]-(bargiri[[#This Row],[نرخ استهلاک]]*bargiri[[#This Row],[مقدار]]))</f>
        <v>1384344000</v>
      </c>
    </row>
    <row r="619" spans="1:17" s="22" customFormat="1" ht="13.8" x14ac:dyDescent="0.25">
      <c r="A619" s="22">
        <v>890</v>
      </c>
      <c r="B619" s="22" t="s">
        <v>791</v>
      </c>
      <c r="C619" s="22" t="s">
        <v>456</v>
      </c>
      <c r="D619" s="22" t="s">
        <v>213</v>
      </c>
      <c r="E619" s="158">
        <v>7685</v>
      </c>
      <c r="F619" s="159">
        <v>142000</v>
      </c>
      <c r="G619" s="159">
        <v>1091270000</v>
      </c>
      <c r="H619" s="159">
        <v>109127000</v>
      </c>
      <c r="I619" s="159">
        <v>1200397000</v>
      </c>
      <c r="J619" s="159">
        <f>bargiri[[#This Row],[مقدار]]*INDEX(invoice[پیش دریافت به ازای هر کیلوگرم],MATCH(bargiri[[#This Row],[شماره سند مبنا]],invoice[شماره پیش فاکتور],0))</f>
        <v>911933906.22097623</v>
      </c>
      <c r="K619" s="159">
        <f>bargiri[[#This Row],[مبلغ خالص]]-bargiri[[#This Row],[میزان استهلاک پیش دریافتی]]</f>
        <v>288463093.77902377</v>
      </c>
      <c r="L619" s="160" t="s">
        <v>593</v>
      </c>
      <c r="M619" s="159"/>
      <c r="N619" s="159">
        <f>IF(bargiri[[#This Row],[مبلغ واریزی]]&lt;&gt;"",bargiri[[#This Row],[مانده مبلغ]]-bargiri[[#This Row],[مبلغ واریزی]],bargiri[[#This Row],[مانده مبلغ]])</f>
        <v>288463093.77902377</v>
      </c>
      <c r="O619" s="159" t="s">
        <v>593</v>
      </c>
      <c r="P619" s="159">
        <f>VLOOKUP(bargiri[[#This Row],[شماره سند مبنا]],invoice[[شماره پیش فاکتور]:[پیش دریافت به ازای هر کیلوگرم]],14,0)</f>
        <v>118664.13874053041</v>
      </c>
      <c r="Q619" s="159">
        <f>IF(bargiri[[#This Row],[مبلغ ناخالص]]-(bargiri[[#This Row],[نرخ استهلاک]]*bargiri[[#This Row],[مقدار]])&lt;0,0,bargiri[[#This Row],[مبلغ ناخالص]]-(bargiri[[#This Row],[نرخ استهلاک]]*bargiri[[#This Row],[مقدار]]))</f>
        <v>179336093.77902377</v>
      </c>
    </row>
    <row r="620" spans="1:17" s="22" customFormat="1" ht="13.8" x14ac:dyDescent="0.25">
      <c r="A620" s="22">
        <v>889</v>
      </c>
      <c r="B620" s="22" t="s">
        <v>792</v>
      </c>
      <c r="C620" s="22" t="s">
        <v>693</v>
      </c>
      <c r="D620" s="22" t="s">
        <v>67</v>
      </c>
      <c r="E620" s="158">
        <v>5425</v>
      </c>
      <c r="F620" s="159">
        <v>167500</v>
      </c>
      <c r="G620" s="159">
        <v>908687500</v>
      </c>
      <c r="H620" s="159">
        <v>90868750</v>
      </c>
      <c r="I620" s="159">
        <v>999556250</v>
      </c>
      <c r="J620" s="159">
        <f>bargiri[[#This Row],[مقدار]]*INDEX(invoice[پیش دریافت به ازای هر کیلوگرم],MATCH(bargiri[[#This Row],[شماره سند مبنا]],invoice[شماره پیش فاکتور],0))</f>
        <v>999556250</v>
      </c>
      <c r="K620" s="159">
        <f>bargiri[[#This Row],[مبلغ خالص]]-bargiri[[#This Row],[میزان استهلاک پیش دریافتی]]</f>
        <v>0</v>
      </c>
      <c r="L620" s="160" t="s">
        <v>593</v>
      </c>
      <c r="M620" s="159"/>
      <c r="N620" s="159">
        <f>IF(bargiri[[#This Row],[مبلغ واریزی]]&lt;&gt;"",bargiri[[#This Row],[مانده مبلغ]]-bargiri[[#This Row],[مبلغ واریزی]],bargiri[[#This Row],[مانده مبلغ]])</f>
        <v>0</v>
      </c>
      <c r="O620" s="159" t="s">
        <v>593</v>
      </c>
      <c r="P620" s="159">
        <f>VLOOKUP(bargiri[[#This Row],[شماره سند مبنا]],invoice[[شماره پیش فاکتور]:[پیش دریافت به ازای هر کیلوگرم]],14,0)</f>
        <v>184250</v>
      </c>
      <c r="Q620" s="159">
        <f>IF(bargiri[[#This Row],[مبلغ ناخالص]]-(bargiri[[#This Row],[نرخ استهلاک]]*bargiri[[#This Row],[مقدار]])&lt;0,0,bargiri[[#This Row],[مبلغ ناخالص]]-(bargiri[[#This Row],[نرخ استهلاک]]*bargiri[[#This Row],[مقدار]]))</f>
        <v>0</v>
      </c>
    </row>
    <row r="621" spans="1:17" s="22" customFormat="1" ht="13.8" x14ac:dyDescent="0.25">
      <c r="A621" s="22">
        <v>889</v>
      </c>
      <c r="B621" s="22" t="s">
        <v>792</v>
      </c>
      <c r="C621" s="22" t="s">
        <v>711</v>
      </c>
      <c r="D621" s="22" t="s">
        <v>67</v>
      </c>
      <c r="E621" s="158">
        <v>15670</v>
      </c>
      <c r="F621" s="159">
        <v>167500</v>
      </c>
      <c r="G621" s="159">
        <v>2624725000</v>
      </c>
      <c r="H621" s="159">
        <v>262472500</v>
      </c>
      <c r="I621" s="159">
        <v>2887197500</v>
      </c>
      <c r="J621" s="159">
        <f>bargiri[[#This Row],[مقدار]]*INDEX(invoice[پیش دریافت به ازای هر کیلوگرم],MATCH(bargiri[[#This Row],[شماره سند مبنا]],invoice[شماره پیش فاکتور],0))</f>
        <v>2887197500</v>
      </c>
      <c r="K621" s="159">
        <f>bargiri[[#This Row],[مبلغ خالص]]-bargiri[[#This Row],[میزان استهلاک پیش دریافتی]]</f>
        <v>0</v>
      </c>
      <c r="L621" s="160" t="s">
        <v>593</v>
      </c>
      <c r="M621" s="159"/>
      <c r="N621" s="159">
        <f>IF(bargiri[[#This Row],[مبلغ واریزی]]&lt;&gt;"",bargiri[[#This Row],[مانده مبلغ]]-bargiri[[#This Row],[مبلغ واریزی]],bargiri[[#This Row],[مانده مبلغ]])</f>
        <v>0</v>
      </c>
      <c r="O621" s="159" t="s">
        <v>593</v>
      </c>
      <c r="P621" s="159">
        <f>VLOOKUP(bargiri[[#This Row],[شماره سند مبنا]],invoice[[شماره پیش فاکتور]:[پیش دریافت به ازای هر کیلوگرم]],14,0)</f>
        <v>184250</v>
      </c>
      <c r="Q621" s="159">
        <f>IF(bargiri[[#This Row],[مبلغ ناخالص]]-(bargiri[[#This Row],[نرخ استهلاک]]*bargiri[[#This Row],[مقدار]])&lt;0,0,bargiri[[#This Row],[مبلغ ناخالص]]-(bargiri[[#This Row],[نرخ استهلاک]]*bargiri[[#This Row],[مقدار]]))</f>
        <v>0</v>
      </c>
    </row>
    <row r="622" spans="1:17" s="22" customFormat="1" ht="13.8" x14ac:dyDescent="0.25">
      <c r="A622" s="22">
        <v>888</v>
      </c>
      <c r="B622" s="22" t="s">
        <v>792</v>
      </c>
      <c r="C622" s="22" t="s">
        <v>208</v>
      </c>
      <c r="D622" s="22" t="s">
        <v>30</v>
      </c>
      <c r="E622" s="158">
        <v>10975</v>
      </c>
      <c r="F622" s="159">
        <v>89000</v>
      </c>
      <c r="G622" s="159">
        <v>976775000</v>
      </c>
      <c r="H622" s="159">
        <v>97677500</v>
      </c>
      <c r="I622" s="159">
        <v>1074452500</v>
      </c>
      <c r="J622" s="159">
        <f>bargiri[[#This Row],[مقدار]]*INDEX(invoice[پیش دریافت به ازای هر کیلوگرم],MATCH(bargiri[[#This Row],[شماره سند مبنا]],invoice[شماره پیش فاکتور],0))</f>
        <v>1074452500</v>
      </c>
      <c r="K622" s="159">
        <f>bargiri[[#This Row],[مبلغ خالص]]-bargiri[[#This Row],[میزان استهلاک پیش دریافتی]]</f>
        <v>0</v>
      </c>
      <c r="L622" s="160" t="s">
        <v>593</v>
      </c>
      <c r="M622" s="159"/>
      <c r="N622" s="159">
        <f>IF(bargiri[[#This Row],[مبلغ واریزی]]&lt;&gt;"",bargiri[[#This Row],[مانده مبلغ]]-bargiri[[#This Row],[مبلغ واریزی]],bargiri[[#This Row],[مانده مبلغ]])</f>
        <v>0</v>
      </c>
      <c r="O622" s="159" t="s">
        <v>593</v>
      </c>
      <c r="P622" s="159">
        <f>VLOOKUP(bargiri[[#This Row],[شماره سند مبنا]],invoice[[شماره پیش فاکتور]:[پیش دریافت به ازای هر کیلوگرم]],14,0)</f>
        <v>97900</v>
      </c>
      <c r="Q622" s="159">
        <f>IF(bargiri[[#This Row],[مبلغ ناخالص]]-(bargiri[[#This Row],[نرخ استهلاک]]*bargiri[[#This Row],[مقدار]])&lt;0,0,bargiri[[#This Row],[مبلغ ناخالص]]-(bargiri[[#This Row],[نرخ استهلاک]]*bargiri[[#This Row],[مقدار]]))</f>
        <v>0</v>
      </c>
    </row>
    <row r="623" spans="1:17" s="22" customFormat="1" ht="13.8" x14ac:dyDescent="0.25">
      <c r="A623" s="22">
        <v>887</v>
      </c>
      <c r="B623" s="22" t="s">
        <v>792</v>
      </c>
      <c r="C623" s="22" t="s">
        <v>187</v>
      </c>
      <c r="D623" s="22" t="s">
        <v>43</v>
      </c>
      <c r="E623" s="158">
        <v>22160</v>
      </c>
      <c r="F623" s="159">
        <v>80000</v>
      </c>
      <c r="G623" s="159">
        <v>1772800000</v>
      </c>
      <c r="H623" s="159">
        <v>177280000</v>
      </c>
      <c r="I623" s="159">
        <v>1950080000</v>
      </c>
      <c r="J623" s="159">
        <f>bargiri[[#This Row],[مقدار]]*INDEX(invoice[پیش دریافت به ازای هر کیلوگرم],MATCH(bargiri[[#This Row],[شماره سند مبنا]],invoice[شماره پیش فاکتور],0))</f>
        <v>390016000</v>
      </c>
      <c r="K623" s="159">
        <f>bargiri[[#This Row],[مبلغ خالص]]-bargiri[[#This Row],[میزان استهلاک پیش دریافتی]]</f>
        <v>1560064000</v>
      </c>
      <c r="L623" s="160" t="s">
        <v>593</v>
      </c>
      <c r="M623" s="159"/>
      <c r="N623" s="159">
        <f>IF(bargiri[[#This Row],[مبلغ واریزی]]&lt;&gt;"",bargiri[[#This Row],[مانده مبلغ]]-bargiri[[#This Row],[مبلغ واریزی]],bargiri[[#This Row],[مانده مبلغ]])</f>
        <v>1560064000</v>
      </c>
      <c r="O623" s="159" t="s">
        <v>593</v>
      </c>
      <c r="P623" s="159">
        <f>VLOOKUP(bargiri[[#This Row],[شماره سند مبنا]],invoice[[شماره پیش فاکتور]:[پیش دریافت به ازای هر کیلوگرم]],14,0)</f>
        <v>17600</v>
      </c>
      <c r="Q623" s="159">
        <f>IF(bargiri[[#This Row],[مبلغ ناخالص]]-(bargiri[[#This Row],[نرخ استهلاک]]*bargiri[[#This Row],[مقدار]])&lt;0,0,bargiri[[#This Row],[مبلغ ناخالص]]-(bargiri[[#This Row],[نرخ استهلاک]]*bargiri[[#This Row],[مقدار]]))</f>
        <v>1382784000</v>
      </c>
    </row>
    <row r="624" spans="1:17" s="22" customFormat="1" ht="13.8" x14ac:dyDescent="0.25">
      <c r="A624" s="22">
        <v>886</v>
      </c>
      <c r="B624" s="22" t="s">
        <v>792</v>
      </c>
      <c r="C624" s="22" t="s">
        <v>616</v>
      </c>
      <c r="D624" s="22" t="s">
        <v>67</v>
      </c>
      <c r="E624" s="158">
        <v>21120</v>
      </c>
      <c r="F624" s="159">
        <v>142000</v>
      </c>
      <c r="G624" s="159">
        <v>2999040000</v>
      </c>
      <c r="H624" s="159">
        <v>299904000</v>
      </c>
      <c r="I624" s="159">
        <v>3298944000</v>
      </c>
      <c r="J624" s="159">
        <f>bargiri[[#This Row],[مقدار]]*INDEX(invoice[پیش دریافت به ازای هر کیلوگرم],MATCH(bargiri[[#This Row],[شماره سند مبنا]],invoice[شماره پیش فاکتور],0))</f>
        <v>494841600</v>
      </c>
      <c r="K624" s="159">
        <f>bargiri[[#This Row],[مبلغ خالص]]-bargiri[[#This Row],[میزان استهلاک پیش دریافتی]]</f>
        <v>2804102400</v>
      </c>
      <c r="L624" s="160" t="s">
        <v>593</v>
      </c>
      <c r="M624" s="159"/>
      <c r="N624" s="159">
        <f>IF(bargiri[[#This Row],[مبلغ واریزی]]&lt;&gt;"",bargiri[[#This Row],[مانده مبلغ]]-bargiri[[#This Row],[مبلغ واریزی]],bargiri[[#This Row],[مانده مبلغ]])</f>
        <v>2804102400</v>
      </c>
      <c r="O624" s="159" t="s">
        <v>593</v>
      </c>
      <c r="P624" s="159">
        <f>VLOOKUP(bargiri[[#This Row],[شماره سند مبنا]],invoice[[شماره پیش فاکتور]:[پیش دریافت به ازای هر کیلوگرم]],14,0)</f>
        <v>23430</v>
      </c>
      <c r="Q624" s="159">
        <f>IF(bargiri[[#This Row],[مبلغ ناخالص]]-(bargiri[[#This Row],[نرخ استهلاک]]*bargiri[[#This Row],[مقدار]])&lt;0,0,bargiri[[#This Row],[مبلغ ناخالص]]-(bargiri[[#This Row],[نرخ استهلاک]]*bargiri[[#This Row],[مقدار]]))</f>
        <v>2504198400</v>
      </c>
    </row>
    <row r="625" spans="1:17" s="22" customFormat="1" ht="13.8" x14ac:dyDescent="0.25">
      <c r="A625" s="22">
        <v>885</v>
      </c>
      <c r="B625" s="22" t="s">
        <v>725</v>
      </c>
      <c r="C625" s="22" t="s">
        <v>461</v>
      </c>
      <c r="D625" s="22" t="s">
        <v>35</v>
      </c>
      <c r="E625" s="158">
        <v>20065</v>
      </c>
      <c r="F625" s="159">
        <v>142000</v>
      </c>
      <c r="G625" s="159">
        <v>2849230000</v>
      </c>
      <c r="H625" s="159">
        <v>284923000</v>
      </c>
      <c r="I625" s="159">
        <v>3134153000</v>
      </c>
      <c r="J625" s="159">
        <f>bargiri[[#This Row],[مقدار]]*INDEX(invoice[پیش دریافت به ازای هر کیلوگرم],MATCH(bargiri[[#This Row],[شماره سند مبنا]],invoice[شماره پیش فاکتور],0))</f>
        <v>658498218.317711</v>
      </c>
      <c r="K625" s="159">
        <f>bargiri[[#This Row],[مبلغ خالص]]-bargiri[[#This Row],[میزان استهلاک پیش دریافتی]]</f>
        <v>2475654781.6822891</v>
      </c>
      <c r="L625" s="160" t="s">
        <v>593</v>
      </c>
      <c r="M625" s="159"/>
      <c r="N625" s="159">
        <f>IF(bargiri[[#This Row],[مبلغ واریزی]]&lt;&gt;"",bargiri[[#This Row],[مانده مبلغ]]-bargiri[[#This Row],[مبلغ واریزی]],bargiri[[#This Row],[مانده مبلغ]])</f>
        <v>2475654781.6822891</v>
      </c>
      <c r="O625" s="159" t="s">
        <v>593</v>
      </c>
      <c r="P625" s="159">
        <f>VLOOKUP(bargiri[[#This Row],[شماره سند مبنا]],invoice[[شماره پیش فاکتور]:[پیش دریافت به ازای هر کیلوگرم]],14,0)</f>
        <v>32818.251598191426</v>
      </c>
      <c r="Q625" s="159">
        <f>IF(bargiri[[#This Row],[مبلغ ناخالص]]-(bargiri[[#This Row],[نرخ استهلاک]]*bargiri[[#This Row],[مقدار]])&lt;0,0,bargiri[[#This Row],[مبلغ ناخالص]]-(bargiri[[#This Row],[نرخ استهلاک]]*bargiri[[#This Row],[مقدار]]))</f>
        <v>2190731781.6822891</v>
      </c>
    </row>
    <row r="626" spans="1:17" s="22" customFormat="1" ht="13.8" x14ac:dyDescent="0.25">
      <c r="A626" s="22">
        <v>884</v>
      </c>
      <c r="B626" s="22" t="s">
        <v>725</v>
      </c>
      <c r="C626" s="22" t="s">
        <v>693</v>
      </c>
      <c r="D626" s="22" t="s">
        <v>67</v>
      </c>
      <c r="E626" s="158">
        <v>20045</v>
      </c>
      <c r="F626" s="159">
        <v>167500</v>
      </c>
      <c r="G626" s="159">
        <v>3357537500</v>
      </c>
      <c r="H626" s="159">
        <v>335753750</v>
      </c>
      <c r="I626" s="159">
        <v>3693291250</v>
      </c>
      <c r="J626" s="159">
        <f>bargiri[[#This Row],[مقدار]]*INDEX(invoice[پیش دریافت به ازای هر کیلوگرم],MATCH(bargiri[[#This Row],[شماره سند مبنا]],invoice[شماره پیش فاکتور],0))</f>
        <v>3693291250</v>
      </c>
      <c r="K626" s="159">
        <f>bargiri[[#This Row],[مبلغ خالص]]-bargiri[[#This Row],[میزان استهلاک پیش دریافتی]]</f>
        <v>0</v>
      </c>
      <c r="L626" s="160" t="s">
        <v>593</v>
      </c>
      <c r="M626" s="159"/>
      <c r="N626" s="159">
        <f>IF(bargiri[[#This Row],[مبلغ واریزی]]&lt;&gt;"",bargiri[[#This Row],[مانده مبلغ]]-bargiri[[#This Row],[مبلغ واریزی]],bargiri[[#This Row],[مانده مبلغ]])</f>
        <v>0</v>
      </c>
      <c r="O626" s="159" t="s">
        <v>593</v>
      </c>
      <c r="P626" s="159">
        <f>VLOOKUP(bargiri[[#This Row],[شماره سند مبنا]],invoice[[شماره پیش فاکتور]:[پیش دریافت به ازای هر کیلوگرم]],14,0)</f>
        <v>184250</v>
      </c>
      <c r="Q626" s="159">
        <f>IF(bargiri[[#This Row],[مبلغ ناخالص]]-(bargiri[[#This Row],[نرخ استهلاک]]*bargiri[[#This Row],[مقدار]])&lt;0,0,bargiri[[#This Row],[مبلغ ناخالص]]-(bargiri[[#This Row],[نرخ استهلاک]]*bargiri[[#This Row],[مقدار]]))</f>
        <v>0</v>
      </c>
    </row>
    <row r="627" spans="1:17" s="22" customFormat="1" ht="13.8" x14ac:dyDescent="0.25">
      <c r="A627" s="22">
        <v>883</v>
      </c>
      <c r="B627" s="22" t="s">
        <v>725</v>
      </c>
      <c r="C627" s="22" t="s">
        <v>644</v>
      </c>
      <c r="D627" s="22" t="s">
        <v>67</v>
      </c>
      <c r="E627" s="158">
        <v>19935</v>
      </c>
      <c r="F627" s="159">
        <v>95000</v>
      </c>
      <c r="G627" s="159">
        <v>1893825000</v>
      </c>
      <c r="H627" s="159">
        <v>189382500</v>
      </c>
      <c r="I627" s="159">
        <v>2083207500</v>
      </c>
      <c r="J627" s="159">
        <f>bargiri[[#This Row],[مقدار]]*INDEX(invoice[پیش دریافت به ازای هر کیلوگرم],MATCH(bargiri[[#This Row],[شماره سند مبنا]],invoice[شماره پیش فاکتور],0))</f>
        <v>606138922.88345981</v>
      </c>
      <c r="K627" s="159">
        <f>bargiri[[#This Row],[مبلغ خالص]]-bargiri[[#This Row],[میزان استهلاک پیش دریافتی]]</f>
        <v>1477068577.1165402</v>
      </c>
      <c r="L627" s="160" t="s">
        <v>593</v>
      </c>
      <c r="M627" s="159"/>
      <c r="N627" s="159">
        <f>IF(bargiri[[#This Row],[مبلغ واریزی]]&lt;&gt;"",bargiri[[#This Row],[مانده مبلغ]]-bargiri[[#This Row],[مبلغ واریزی]],bargiri[[#This Row],[مانده مبلغ]])</f>
        <v>1477068577.1165402</v>
      </c>
      <c r="O627" s="159" t="s">
        <v>593</v>
      </c>
      <c r="P627" s="159">
        <f>VLOOKUP(bargiri[[#This Row],[شماره سند مبنا]],invoice[[شماره پیش فاکتور]:[پیش دریافت به ازای هر کیلوگرم]],14,0)</f>
        <v>30405.764880033101</v>
      </c>
      <c r="Q627" s="159">
        <f>IF(bargiri[[#This Row],[مبلغ ناخالص]]-(bargiri[[#This Row],[نرخ استهلاک]]*bargiri[[#This Row],[مقدار]])&lt;0,0,bargiri[[#This Row],[مبلغ ناخالص]]-(bargiri[[#This Row],[نرخ استهلاک]]*bargiri[[#This Row],[مقدار]]))</f>
        <v>1287686077.1165402</v>
      </c>
    </row>
    <row r="628" spans="1:17" s="22" customFormat="1" ht="13.8" x14ac:dyDescent="0.25">
      <c r="A628" s="22">
        <v>882</v>
      </c>
      <c r="B628" s="22" t="s">
        <v>725</v>
      </c>
      <c r="C628" s="22" t="s">
        <v>703</v>
      </c>
      <c r="D628" s="22" t="s">
        <v>40</v>
      </c>
      <c r="E628" s="158">
        <v>15155</v>
      </c>
      <c r="F628" s="159">
        <v>210000</v>
      </c>
      <c r="G628" s="159">
        <v>3182550000</v>
      </c>
      <c r="H628" s="159">
        <v>318255000</v>
      </c>
      <c r="I628" s="159">
        <v>3500805000</v>
      </c>
      <c r="J628" s="159">
        <f>bargiri[[#This Row],[مقدار]]*INDEX(invoice[پیش دریافت به ازای هر کیلوگرم],MATCH(bargiri[[#This Row],[شماره سند مبنا]],invoice[شماره پیش فاکتور],0))</f>
        <v>3500805000</v>
      </c>
      <c r="K628" s="159">
        <f>bargiri[[#This Row],[مبلغ خالص]]-bargiri[[#This Row],[میزان استهلاک پیش دریافتی]]</f>
        <v>0</v>
      </c>
      <c r="L628" s="160" t="s">
        <v>593</v>
      </c>
      <c r="M628" s="159"/>
      <c r="N628" s="159">
        <f>IF(bargiri[[#This Row],[مبلغ واریزی]]&lt;&gt;"",bargiri[[#This Row],[مانده مبلغ]]-bargiri[[#This Row],[مبلغ واریزی]],bargiri[[#This Row],[مانده مبلغ]])</f>
        <v>0</v>
      </c>
      <c r="O628" s="159" t="s">
        <v>593</v>
      </c>
      <c r="P628" s="159">
        <f>VLOOKUP(bargiri[[#This Row],[شماره سند مبنا]],invoice[[شماره پیش فاکتور]:[پیش دریافت به ازای هر کیلوگرم]],14,0)</f>
        <v>231000</v>
      </c>
      <c r="Q628" s="159">
        <f>IF(bargiri[[#This Row],[مبلغ ناخالص]]-(bargiri[[#This Row],[نرخ استهلاک]]*bargiri[[#This Row],[مقدار]])&lt;0,0,bargiri[[#This Row],[مبلغ ناخالص]]-(bargiri[[#This Row],[نرخ استهلاک]]*bargiri[[#This Row],[مقدار]]))</f>
        <v>0</v>
      </c>
    </row>
    <row r="629" spans="1:17" s="22" customFormat="1" ht="13.8" x14ac:dyDescent="0.25">
      <c r="A629" s="22">
        <v>882</v>
      </c>
      <c r="B629" s="22" t="s">
        <v>725</v>
      </c>
      <c r="C629" s="22" t="s">
        <v>713</v>
      </c>
      <c r="D629" s="22" t="s">
        <v>40</v>
      </c>
      <c r="E629" s="158">
        <v>4175</v>
      </c>
      <c r="F629" s="159">
        <v>167500</v>
      </c>
      <c r="G629" s="159">
        <v>699312500</v>
      </c>
      <c r="H629" s="159">
        <v>69931250</v>
      </c>
      <c r="I629" s="159">
        <v>769243750</v>
      </c>
      <c r="J629" s="159">
        <f>bargiri[[#This Row],[مقدار]]*INDEX(invoice[پیش دریافت به ازای هر کیلوگرم],MATCH(bargiri[[#This Row],[شماره سند مبنا]],invoice[شماره پیش فاکتور],0))</f>
        <v>769243750</v>
      </c>
      <c r="K629" s="159">
        <f>bargiri[[#This Row],[مبلغ خالص]]-bargiri[[#This Row],[میزان استهلاک پیش دریافتی]]</f>
        <v>0</v>
      </c>
      <c r="L629" s="160" t="s">
        <v>200</v>
      </c>
      <c r="M629" s="159"/>
      <c r="N629" s="159">
        <f>IF(bargiri[[#This Row],[مبلغ واریزی]]&lt;&gt;"",bargiri[[#This Row],[مانده مبلغ]]-bargiri[[#This Row],[مبلغ واریزی]],bargiri[[#This Row],[مانده مبلغ]])</f>
        <v>0</v>
      </c>
      <c r="O629" s="159">
        <v>0</v>
      </c>
      <c r="P629" s="159">
        <f>VLOOKUP(bargiri[[#This Row],[شماره سند مبنا]],invoice[[شماره پیش فاکتور]:[پیش دریافت به ازای هر کیلوگرم]],14,0)</f>
        <v>184250</v>
      </c>
      <c r="Q629" s="159">
        <f>IF(bargiri[[#This Row],[مبلغ ناخالص]]-(bargiri[[#This Row],[نرخ استهلاک]]*bargiri[[#This Row],[مقدار]])&lt;0,0,bargiri[[#This Row],[مبلغ ناخالص]]-(bargiri[[#This Row],[نرخ استهلاک]]*bargiri[[#This Row],[مقدار]]))</f>
        <v>0</v>
      </c>
    </row>
    <row r="630" spans="1:17" s="22" customFormat="1" ht="13.8" x14ac:dyDescent="0.25">
      <c r="A630" s="22">
        <v>881</v>
      </c>
      <c r="B630" s="22" t="s">
        <v>722</v>
      </c>
      <c r="C630" s="22" t="s">
        <v>72</v>
      </c>
      <c r="D630" s="22" t="s">
        <v>73</v>
      </c>
      <c r="E630" s="158">
        <v>21020</v>
      </c>
      <c r="F630" s="159">
        <v>57273</v>
      </c>
      <c r="G630" s="159">
        <v>1203878460</v>
      </c>
      <c r="H630" s="159">
        <v>120387846</v>
      </c>
      <c r="I630" s="159">
        <v>1324266306</v>
      </c>
      <c r="J630" s="159" t="e">
        <f>bargiri[[#This Row],[مقدار]]*INDEX(invoice[پیش دریافت به ازای هر کیلوگرم],MATCH(bargiri[[#This Row],[شماره سند مبنا]],invoice[شماره پیش فاکتور],0))</f>
        <v>#N/A</v>
      </c>
      <c r="K630" s="159" t="e">
        <f>bargiri[[#This Row],[مبلغ خالص]]-bargiri[[#This Row],[میزان استهلاک پیش دریافتی]]</f>
        <v>#N/A</v>
      </c>
      <c r="L630" s="160" t="s">
        <v>593</v>
      </c>
      <c r="M630" s="159"/>
      <c r="N630" s="159" t="e">
        <f>IF(bargiri[[#This Row],[مبلغ واریزی]]&lt;&gt;"",bargiri[[#This Row],[مانده مبلغ]]-bargiri[[#This Row],[مبلغ واریزی]],bargiri[[#This Row],[مانده مبلغ]])</f>
        <v>#N/A</v>
      </c>
      <c r="O630" s="159" t="s">
        <v>593</v>
      </c>
      <c r="P630" s="159" t="e">
        <f>VLOOKUP(bargiri[[#This Row],[شماره سند مبنا]],invoice[[شماره پیش فاکتور]:[پیش دریافت به ازای هر کیلوگرم]],14,0)</f>
        <v>#N/A</v>
      </c>
      <c r="Q630" s="159" t="e">
        <f>IF(bargiri[[#This Row],[مبلغ ناخالص]]-(bargiri[[#This Row],[نرخ استهلاک]]*bargiri[[#This Row],[مقدار]])&lt;0,0,bargiri[[#This Row],[مبلغ ناخالص]]-(bargiri[[#This Row],[نرخ استهلاک]]*bargiri[[#This Row],[مقدار]]))</f>
        <v>#N/A</v>
      </c>
    </row>
    <row r="631" spans="1:17" s="22" customFormat="1" ht="13.8" x14ac:dyDescent="0.25">
      <c r="A631" s="22">
        <v>880</v>
      </c>
      <c r="B631" s="22" t="s">
        <v>722</v>
      </c>
      <c r="C631" s="22" t="s">
        <v>72</v>
      </c>
      <c r="D631" s="22" t="s">
        <v>73</v>
      </c>
      <c r="E631" s="158">
        <v>20705</v>
      </c>
      <c r="F631" s="159">
        <v>57273</v>
      </c>
      <c r="G631" s="159">
        <v>1185837465</v>
      </c>
      <c r="H631" s="159">
        <v>118583747</v>
      </c>
      <c r="I631" s="159">
        <v>1304421212</v>
      </c>
      <c r="J631" s="159" t="e">
        <f>bargiri[[#This Row],[مقدار]]*INDEX(invoice[پیش دریافت به ازای هر کیلوگرم],MATCH(bargiri[[#This Row],[شماره سند مبنا]],invoice[شماره پیش فاکتور],0))</f>
        <v>#N/A</v>
      </c>
      <c r="K631" s="159" t="e">
        <f>bargiri[[#This Row],[مبلغ خالص]]-bargiri[[#This Row],[میزان استهلاک پیش دریافتی]]</f>
        <v>#N/A</v>
      </c>
      <c r="L631" s="160" t="s">
        <v>593</v>
      </c>
      <c r="M631" s="159"/>
      <c r="N631" s="159" t="e">
        <f>IF(bargiri[[#This Row],[مبلغ واریزی]]&lt;&gt;"",bargiri[[#This Row],[مانده مبلغ]]-bargiri[[#This Row],[مبلغ واریزی]],bargiri[[#This Row],[مانده مبلغ]])</f>
        <v>#N/A</v>
      </c>
      <c r="O631" s="159" t="s">
        <v>593</v>
      </c>
      <c r="P631" s="159" t="e">
        <f>VLOOKUP(bargiri[[#This Row],[شماره سند مبنا]],invoice[[شماره پیش فاکتور]:[پیش دریافت به ازای هر کیلوگرم]],14,0)</f>
        <v>#N/A</v>
      </c>
      <c r="Q631" s="159" t="e">
        <f>IF(bargiri[[#This Row],[مبلغ ناخالص]]-(bargiri[[#This Row],[نرخ استهلاک]]*bargiri[[#This Row],[مقدار]])&lt;0,0,bargiri[[#This Row],[مبلغ ناخالص]]-(bargiri[[#This Row],[نرخ استهلاک]]*bargiri[[#This Row],[مقدار]]))</f>
        <v>#N/A</v>
      </c>
    </row>
    <row r="632" spans="1:17" s="22" customFormat="1" ht="13.8" x14ac:dyDescent="0.25">
      <c r="A632" s="22">
        <v>879</v>
      </c>
      <c r="B632" s="22" t="s">
        <v>722</v>
      </c>
      <c r="C632" s="22" t="s">
        <v>72</v>
      </c>
      <c r="D632" s="22" t="s">
        <v>73</v>
      </c>
      <c r="E632" s="158">
        <v>20630</v>
      </c>
      <c r="F632" s="159">
        <v>57273</v>
      </c>
      <c r="G632" s="159">
        <v>1181541990</v>
      </c>
      <c r="H632" s="159">
        <v>118154199</v>
      </c>
      <c r="I632" s="159">
        <v>1299696189</v>
      </c>
      <c r="J632" s="159" t="e">
        <f>bargiri[[#This Row],[مقدار]]*INDEX(invoice[پیش دریافت به ازای هر کیلوگرم],MATCH(bargiri[[#This Row],[شماره سند مبنا]],invoice[شماره پیش فاکتور],0))</f>
        <v>#N/A</v>
      </c>
      <c r="K632" s="159" t="e">
        <f>bargiri[[#This Row],[مبلغ خالص]]-bargiri[[#This Row],[میزان استهلاک پیش دریافتی]]</f>
        <v>#N/A</v>
      </c>
      <c r="L632" s="160" t="s">
        <v>593</v>
      </c>
      <c r="M632" s="159"/>
      <c r="N632" s="159" t="e">
        <f>IF(bargiri[[#This Row],[مبلغ واریزی]]&lt;&gt;"",bargiri[[#This Row],[مانده مبلغ]]-bargiri[[#This Row],[مبلغ واریزی]],bargiri[[#This Row],[مانده مبلغ]])</f>
        <v>#N/A</v>
      </c>
      <c r="O632" s="159" t="s">
        <v>593</v>
      </c>
      <c r="P632" s="159" t="e">
        <f>VLOOKUP(bargiri[[#This Row],[شماره سند مبنا]],invoice[[شماره پیش فاکتور]:[پیش دریافت به ازای هر کیلوگرم]],14,0)</f>
        <v>#N/A</v>
      </c>
      <c r="Q632" s="159" t="e">
        <f>IF(bargiri[[#This Row],[مبلغ ناخالص]]-(bargiri[[#This Row],[نرخ استهلاک]]*bargiri[[#This Row],[مقدار]])&lt;0,0,bargiri[[#This Row],[مبلغ ناخالص]]-(bargiri[[#This Row],[نرخ استهلاک]]*bargiri[[#This Row],[مقدار]]))</f>
        <v>#N/A</v>
      </c>
    </row>
    <row r="633" spans="1:17" s="22" customFormat="1" ht="13.8" x14ac:dyDescent="0.25">
      <c r="A633" s="22">
        <v>878</v>
      </c>
      <c r="B633" s="22" t="s">
        <v>793</v>
      </c>
      <c r="C633" s="22" t="s">
        <v>616</v>
      </c>
      <c r="D633" s="22" t="s">
        <v>67</v>
      </c>
      <c r="E633" s="158">
        <v>19735</v>
      </c>
      <c r="F633" s="159">
        <v>142000</v>
      </c>
      <c r="G633" s="159">
        <v>2802370000</v>
      </c>
      <c r="H633" s="159">
        <v>280237000</v>
      </c>
      <c r="I633" s="159">
        <v>3082607000</v>
      </c>
      <c r="J633" s="159">
        <f>bargiri[[#This Row],[مقدار]]*INDEX(invoice[پیش دریافت به ازای هر کیلوگرم],MATCH(bargiri[[#This Row],[شماره سند مبنا]],invoice[شماره پیش فاکتور],0))</f>
        <v>462391050</v>
      </c>
      <c r="K633" s="159">
        <f>bargiri[[#This Row],[مبلغ خالص]]-bargiri[[#This Row],[میزان استهلاک پیش دریافتی]]</f>
        <v>2620215950</v>
      </c>
      <c r="L633" s="160" t="s">
        <v>192</v>
      </c>
      <c r="M633" s="159"/>
      <c r="N633" s="159">
        <f>IF(bargiri[[#This Row],[مبلغ واریزی]]&lt;&gt;"",bargiri[[#This Row],[مانده مبلغ]]-bargiri[[#This Row],[مبلغ واریزی]],bargiri[[#This Row],[مانده مبلغ]])</f>
        <v>2620215950</v>
      </c>
      <c r="O633" s="159">
        <v>0</v>
      </c>
      <c r="P633" s="159">
        <f>VLOOKUP(bargiri[[#This Row],[شماره سند مبنا]],invoice[[شماره پیش فاکتور]:[پیش دریافت به ازای هر کیلوگرم]],14,0)</f>
        <v>23430</v>
      </c>
      <c r="Q633" s="159">
        <f>IF(bargiri[[#This Row],[مبلغ ناخالص]]-(bargiri[[#This Row],[نرخ استهلاک]]*bargiri[[#This Row],[مقدار]])&lt;0,0,bargiri[[#This Row],[مبلغ ناخالص]]-(bargiri[[#This Row],[نرخ استهلاک]]*bargiri[[#This Row],[مقدار]]))</f>
        <v>2339978950</v>
      </c>
    </row>
    <row r="634" spans="1:17" s="22" customFormat="1" ht="13.8" x14ac:dyDescent="0.25">
      <c r="A634" s="22">
        <v>877</v>
      </c>
      <c r="B634" s="22" t="s">
        <v>793</v>
      </c>
      <c r="C634" s="22" t="s">
        <v>617</v>
      </c>
      <c r="D634" s="22" t="s">
        <v>211</v>
      </c>
      <c r="E634" s="158">
        <v>21850</v>
      </c>
      <c r="F634" s="159">
        <v>142000</v>
      </c>
      <c r="G634" s="159">
        <v>3102700000</v>
      </c>
      <c r="H634" s="159">
        <v>310270000</v>
      </c>
      <c r="I634" s="159">
        <v>3412970000</v>
      </c>
      <c r="J634" s="159">
        <f>bargiri[[#This Row],[مقدار]]*INDEX(invoice[پیش دریافت به ازای هر کیلوگرم],MATCH(bargiri[[#This Row],[شماره سند مبنا]],invoice[شماره پیش فاکتور],0))</f>
        <v>982024041.68931234</v>
      </c>
      <c r="K634" s="159">
        <f>bargiri[[#This Row],[مبلغ خالص]]-bargiri[[#This Row],[میزان استهلاک پیش دریافتی]]</f>
        <v>2430945958.3106875</v>
      </c>
      <c r="L634" s="160" t="s">
        <v>593</v>
      </c>
      <c r="M634" s="159"/>
      <c r="N634" s="159">
        <f>IF(bargiri[[#This Row],[مبلغ واریزی]]&lt;&gt;"",bargiri[[#This Row],[مانده مبلغ]]-bargiri[[#This Row],[مبلغ واریزی]],bargiri[[#This Row],[مانده مبلغ]])</f>
        <v>2430945958.3106875</v>
      </c>
      <c r="O634" s="159" t="s">
        <v>593</v>
      </c>
      <c r="P634" s="159">
        <f>VLOOKUP(bargiri[[#This Row],[شماره سند مبنا]],invoice[[شماره پیش فاکتور]:[پیش دریافت به ازای هر کیلوگرم]],14,0)</f>
        <v>44943.892068160749</v>
      </c>
      <c r="Q634" s="159">
        <f>IF(bargiri[[#This Row],[مبلغ ناخالص]]-(bargiri[[#This Row],[نرخ استهلاک]]*bargiri[[#This Row],[مقدار]])&lt;0,0,bargiri[[#This Row],[مبلغ ناخالص]]-(bargiri[[#This Row],[نرخ استهلاک]]*bargiri[[#This Row],[مقدار]]))</f>
        <v>2120675958.3106875</v>
      </c>
    </row>
    <row r="635" spans="1:17" s="22" customFormat="1" ht="13.8" x14ac:dyDescent="0.25">
      <c r="A635" s="22">
        <v>876</v>
      </c>
      <c r="B635" s="22" t="s">
        <v>793</v>
      </c>
      <c r="C635" s="22" t="s">
        <v>72</v>
      </c>
      <c r="D635" s="22" t="s">
        <v>73</v>
      </c>
      <c r="E635" s="158">
        <v>21100</v>
      </c>
      <c r="F635" s="159">
        <v>57273</v>
      </c>
      <c r="G635" s="159">
        <v>1208460300</v>
      </c>
      <c r="H635" s="159">
        <v>120846030</v>
      </c>
      <c r="I635" s="159">
        <v>1329306330</v>
      </c>
      <c r="J635" s="159" t="e">
        <f>bargiri[[#This Row],[مقدار]]*INDEX(invoice[پیش دریافت به ازای هر کیلوگرم],MATCH(bargiri[[#This Row],[شماره سند مبنا]],invoice[شماره پیش فاکتور],0))</f>
        <v>#N/A</v>
      </c>
      <c r="K635" s="159" t="e">
        <f>bargiri[[#This Row],[مبلغ خالص]]-bargiri[[#This Row],[میزان استهلاک پیش دریافتی]]</f>
        <v>#N/A</v>
      </c>
      <c r="L635" s="160" t="s">
        <v>593</v>
      </c>
      <c r="M635" s="159"/>
      <c r="N635" s="159" t="e">
        <f>IF(bargiri[[#This Row],[مبلغ واریزی]]&lt;&gt;"",bargiri[[#This Row],[مانده مبلغ]]-bargiri[[#This Row],[مبلغ واریزی]],bargiri[[#This Row],[مانده مبلغ]])</f>
        <v>#N/A</v>
      </c>
      <c r="O635" s="159" t="s">
        <v>593</v>
      </c>
      <c r="P635" s="159" t="e">
        <f>VLOOKUP(bargiri[[#This Row],[شماره سند مبنا]],invoice[[شماره پیش فاکتور]:[پیش دریافت به ازای هر کیلوگرم]],14,0)</f>
        <v>#N/A</v>
      </c>
      <c r="Q635" s="159" t="e">
        <f>IF(bargiri[[#This Row],[مبلغ ناخالص]]-(bargiri[[#This Row],[نرخ استهلاک]]*bargiri[[#This Row],[مقدار]])&lt;0,0,bargiri[[#This Row],[مبلغ ناخالص]]-(bargiri[[#This Row],[نرخ استهلاک]]*bargiri[[#This Row],[مقدار]]))</f>
        <v>#N/A</v>
      </c>
    </row>
    <row r="636" spans="1:17" s="22" customFormat="1" ht="13.8" x14ac:dyDescent="0.25">
      <c r="A636" s="22">
        <v>875</v>
      </c>
      <c r="B636" s="22" t="s">
        <v>793</v>
      </c>
      <c r="C636" s="22" t="s">
        <v>72</v>
      </c>
      <c r="D636" s="22" t="s">
        <v>73</v>
      </c>
      <c r="E636" s="158">
        <v>21000</v>
      </c>
      <c r="F636" s="159">
        <v>57273</v>
      </c>
      <c r="G636" s="159">
        <v>1202733000</v>
      </c>
      <c r="H636" s="159">
        <v>120273300</v>
      </c>
      <c r="I636" s="159">
        <v>1323006300</v>
      </c>
      <c r="J636" s="159" t="e">
        <f>bargiri[[#This Row],[مقدار]]*INDEX(invoice[پیش دریافت به ازای هر کیلوگرم],MATCH(bargiri[[#This Row],[شماره سند مبنا]],invoice[شماره پیش فاکتور],0))</f>
        <v>#N/A</v>
      </c>
      <c r="K636" s="159" t="e">
        <f>bargiri[[#This Row],[مبلغ خالص]]-bargiri[[#This Row],[میزان استهلاک پیش دریافتی]]</f>
        <v>#N/A</v>
      </c>
      <c r="L636" s="160" t="s">
        <v>593</v>
      </c>
      <c r="M636" s="159"/>
      <c r="N636" s="159" t="e">
        <f>IF(bargiri[[#This Row],[مبلغ واریزی]]&lt;&gt;"",bargiri[[#This Row],[مانده مبلغ]]-bargiri[[#This Row],[مبلغ واریزی]],bargiri[[#This Row],[مانده مبلغ]])</f>
        <v>#N/A</v>
      </c>
      <c r="O636" s="159" t="s">
        <v>593</v>
      </c>
      <c r="P636" s="159" t="e">
        <f>VLOOKUP(bargiri[[#This Row],[شماره سند مبنا]],invoice[[شماره پیش فاکتور]:[پیش دریافت به ازای هر کیلوگرم]],14,0)</f>
        <v>#N/A</v>
      </c>
      <c r="Q636" s="159" t="e">
        <f>IF(bargiri[[#This Row],[مبلغ ناخالص]]-(bargiri[[#This Row],[نرخ استهلاک]]*bargiri[[#This Row],[مقدار]])&lt;0,0,bargiri[[#This Row],[مبلغ ناخالص]]-(bargiri[[#This Row],[نرخ استهلاک]]*bargiri[[#This Row],[مقدار]]))</f>
        <v>#N/A</v>
      </c>
    </row>
    <row r="637" spans="1:17" s="22" customFormat="1" ht="13.8" x14ac:dyDescent="0.25">
      <c r="A637" s="22">
        <v>874</v>
      </c>
      <c r="B637" s="22" t="s">
        <v>793</v>
      </c>
      <c r="C637" s="22" t="s">
        <v>72</v>
      </c>
      <c r="D637" s="22" t="s">
        <v>73</v>
      </c>
      <c r="E637" s="158">
        <v>21030</v>
      </c>
      <c r="F637" s="159">
        <v>57273</v>
      </c>
      <c r="G637" s="159">
        <v>1204451190</v>
      </c>
      <c r="H637" s="159">
        <v>120445119</v>
      </c>
      <c r="I637" s="159">
        <v>1324896309</v>
      </c>
      <c r="J637" s="159" t="e">
        <f>bargiri[[#This Row],[مقدار]]*INDEX(invoice[پیش دریافت به ازای هر کیلوگرم],MATCH(bargiri[[#This Row],[شماره سند مبنا]],invoice[شماره پیش فاکتور],0))</f>
        <v>#N/A</v>
      </c>
      <c r="K637" s="159" t="e">
        <f>bargiri[[#This Row],[مبلغ خالص]]-bargiri[[#This Row],[میزان استهلاک پیش دریافتی]]</f>
        <v>#N/A</v>
      </c>
      <c r="L637" s="160" t="s">
        <v>593</v>
      </c>
      <c r="M637" s="159"/>
      <c r="N637" s="159" t="e">
        <f>IF(bargiri[[#This Row],[مبلغ واریزی]]&lt;&gt;"",bargiri[[#This Row],[مانده مبلغ]]-bargiri[[#This Row],[مبلغ واریزی]],bargiri[[#This Row],[مانده مبلغ]])</f>
        <v>#N/A</v>
      </c>
      <c r="O637" s="159" t="s">
        <v>593</v>
      </c>
      <c r="P637" s="159" t="e">
        <f>VLOOKUP(bargiri[[#This Row],[شماره سند مبنا]],invoice[[شماره پیش فاکتور]:[پیش دریافت به ازای هر کیلوگرم]],14,0)</f>
        <v>#N/A</v>
      </c>
      <c r="Q637" s="159" t="e">
        <f>IF(bargiri[[#This Row],[مبلغ ناخالص]]-(bargiri[[#This Row],[نرخ استهلاک]]*bargiri[[#This Row],[مقدار]])&lt;0,0,bargiri[[#This Row],[مبلغ ناخالص]]-(bargiri[[#This Row],[نرخ استهلاک]]*bargiri[[#This Row],[مقدار]]))</f>
        <v>#N/A</v>
      </c>
    </row>
    <row r="638" spans="1:17" s="22" customFormat="1" ht="13.8" x14ac:dyDescent="0.25">
      <c r="A638" s="22">
        <v>873</v>
      </c>
      <c r="B638" s="22" t="s">
        <v>794</v>
      </c>
      <c r="C638" s="22" t="s">
        <v>187</v>
      </c>
      <c r="D638" s="22" t="s">
        <v>43</v>
      </c>
      <c r="E638" s="158">
        <v>19850</v>
      </c>
      <c r="F638" s="159">
        <v>80000</v>
      </c>
      <c r="G638" s="159">
        <v>1588000000</v>
      </c>
      <c r="H638" s="159">
        <v>158800000</v>
      </c>
      <c r="I638" s="159">
        <v>1746800000</v>
      </c>
      <c r="J638" s="159">
        <f>bargiri[[#This Row],[مقدار]]*INDEX(invoice[پیش دریافت به ازای هر کیلوگرم],MATCH(bargiri[[#This Row],[شماره سند مبنا]],invoice[شماره پیش فاکتور],0))</f>
        <v>349360000</v>
      </c>
      <c r="K638" s="159">
        <f>bargiri[[#This Row],[مبلغ خالص]]-bargiri[[#This Row],[میزان استهلاک پیش دریافتی]]</f>
        <v>1397440000</v>
      </c>
      <c r="L638" s="160" t="s">
        <v>593</v>
      </c>
      <c r="M638" s="159"/>
      <c r="N638" s="159">
        <f>IF(bargiri[[#This Row],[مبلغ واریزی]]&lt;&gt;"",bargiri[[#This Row],[مانده مبلغ]]-bargiri[[#This Row],[مبلغ واریزی]],bargiri[[#This Row],[مانده مبلغ]])</f>
        <v>1397440000</v>
      </c>
      <c r="O638" s="159" t="s">
        <v>593</v>
      </c>
      <c r="P638" s="159">
        <f>VLOOKUP(bargiri[[#This Row],[شماره سند مبنا]],invoice[[شماره پیش فاکتور]:[پیش دریافت به ازای هر کیلوگرم]],14,0)</f>
        <v>17600</v>
      </c>
      <c r="Q638" s="159">
        <f>IF(bargiri[[#This Row],[مبلغ ناخالص]]-(bargiri[[#This Row],[نرخ استهلاک]]*bargiri[[#This Row],[مقدار]])&lt;0,0,bargiri[[#This Row],[مبلغ ناخالص]]-(bargiri[[#This Row],[نرخ استهلاک]]*bargiri[[#This Row],[مقدار]]))</f>
        <v>1238640000</v>
      </c>
    </row>
    <row r="639" spans="1:17" s="22" customFormat="1" ht="13.8" x14ac:dyDescent="0.25">
      <c r="A639" s="22">
        <v>872</v>
      </c>
      <c r="B639" s="22" t="s">
        <v>794</v>
      </c>
      <c r="C639" s="22" t="s">
        <v>182</v>
      </c>
      <c r="D639" s="22" t="s">
        <v>20</v>
      </c>
      <c r="E639" s="158">
        <v>22040</v>
      </c>
      <c r="F639" s="159">
        <v>86500</v>
      </c>
      <c r="G639" s="159">
        <v>1906460000</v>
      </c>
      <c r="H639" s="159">
        <v>190646000</v>
      </c>
      <c r="I639" s="159">
        <v>2097106000</v>
      </c>
      <c r="J639" s="159">
        <f>bargiri[[#This Row],[مقدار]]*INDEX(invoice[پیش دریافت به ازای هر کیلوگرم],MATCH(bargiri[[#This Row],[شماره سند مبنا]],invoice[شماره پیش فاکتور],0))</f>
        <v>285969000</v>
      </c>
      <c r="K639" s="159">
        <f>bargiri[[#This Row],[مبلغ خالص]]-bargiri[[#This Row],[میزان استهلاک پیش دریافتی]]</f>
        <v>1811137000</v>
      </c>
      <c r="L639" s="160" t="s">
        <v>593</v>
      </c>
      <c r="M639" s="159"/>
      <c r="N639" s="159">
        <f>IF(bargiri[[#This Row],[مبلغ واریزی]]&lt;&gt;"",bargiri[[#This Row],[مانده مبلغ]]-bargiri[[#This Row],[مبلغ واریزی]],bargiri[[#This Row],[مانده مبلغ]])</f>
        <v>1811137000</v>
      </c>
      <c r="O639" s="159" t="s">
        <v>593</v>
      </c>
      <c r="P639" s="159">
        <f>VLOOKUP(bargiri[[#This Row],[شماره سند مبنا]],invoice[[شماره پیش فاکتور]:[پیش دریافت به ازای هر کیلوگرم]],14,0)</f>
        <v>12975</v>
      </c>
      <c r="Q639" s="159">
        <f>IF(bargiri[[#This Row],[مبلغ ناخالص]]-(bargiri[[#This Row],[نرخ استهلاک]]*bargiri[[#This Row],[مقدار]])&lt;0,0,bargiri[[#This Row],[مبلغ ناخالص]]-(bargiri[[#This Row],[نرخ استهلاک]]*bargiri[[#This Row],[مقدار]]))</f>
        <v>1620491000</v>
      </c>
    </row>
    <row r="640" spans="1:17" s="22" customFormat="1" ht="13.8" x14ac:dyDescent="0.25">
      <c r="A640" s="22">
        <v>871</v>
      </c>
      <c r="B640" s="22" t="s">
        <v>794</v>
      </c>
      <c r="C640" s="22" t="s">
        <v>187</v>
      </c>
      <c r="D640" s="22" t="s">
        <v>43</v>
      </c>
      <c r="E640" s="158">
        <v>17780</v>
      </c>
      <c r="F640" s="159">
        <v>80000</v>
      </c>
      <c r="G640" s="159">
        <v>1422400000</v>
      </c>
      <c r="H640" s="159">
        <v>142240000</v>
      </c>
      <c r="I640" s="159">
        <v>1564640000</v>
      </c>
      <c r="J640" s="159">
        <f>bargiri[[#This Row],[مقدار]]*INDEX(invoice[پیش دریافت به ازای هر کیلوگرم],MATCH(bargiri[[#This Row],[شماره سند مبنا]],invoice[شماره پیش فاکتور],0))</f>
        <v>312928000</v>
      </c>
      <c r="K640" s="159">
        <f>bargiri[[#This Row],[مبلغ خالص]]-bargiri[[#This Row],[میزان استهلاک پیش دریافتی]]</f>
        <v>1251712000</v>
      </c>
      <c r="L640" s="160" t="s">
        <v>593</v>
      </c>
      <c r="M640" s="159"/>
      <c r="N640" s="159">
        <f>IF(bargiri[[#This Row],[مبلغ واریزی]]&lt;&gt;"",bargiri[[#This Row],[مانده مبلغ]]-bargiri[[#This Row],[مبلغ واریزی]],bargiri[[#This Row],[مانده مبلغ]])</f>
        <v>1251712000</v>
      </c>
      <c r="O640" s="159" t="s">
        <v>593</v>
      </c>
      <c r="P640" s="159">
        <f>VLOOKUP(bargiri[[#This Row],[شماره سند مبنا]],invoice[[شماره پیش فاکتور]:[پیش دریافت به ازای هر کیلوگرم]],14,0)</f>
        <v>17600</v>
      </c>
      <c r="Q640" s="159">
        <f>IF(bargiri[[#This Row],[مبلغ ناخالص]]-(bargiri[[#This Row],[نرخ استهلاک]]*bargiri[[#This Row],[مقدار]])&lt;0,0,bargiri[[#This Row],[مبلغ ناخالص]]-(bargiri[[#This Row],[نرخ استهلاک]]*bargiri[[#This Row],[مقدار]]))</f>
        <v>1109472000</v>
      </c>
    </row>
    <row r="641" spans="1:17" s="22" customFormat="1" ht="13.8" x14ac:dyDescent="0.25">
      <c r="A641" s="22">
        <v>870</v>
      </c>
      <c r="B641" s="22" t="s">
        <v>795</v>
      </c>
      <c r="C641" s="22" t="s">
        <v>617</v>
      </c>
      <c r="D641" s="22" t="s">
        <v>211</v>
      </c>
      <c r="E641" s="158">
        <v>20260</v>
      </c>
      <c r="F641" s="159">
        <v>142000</v>
      </c>
      <c r="G641" s="159">
        <v>2876920000</v>
      </c>
      <c r="H641" s="159">
        <v>287692000</v>
      </c>
      <c r="I641" s="159">
        <v>3164612000</v>
      </c>
      <c r="J641" s="159">
        <f>bargiri[[#This Row],[مقدار]]*INDEX(invoice[پیش دریافت به ازای هر کیلوگرم],MATCH(bargiri[[#This Row],[شماره سند مبنا]],invoice[شماره پیش فاکتور],0))</f>
        <v>910563253.30093682</v>
      </c>
      <c r="K641" s="159">
        <f>bargiri[[#This Row],[مبلغ خالص]]-bargiri[[#This Row],[میزان استهلاک پیش دریافتی]]</f>
        <v>2254048746.6990633</v>
      </c>
      <c r="L641" s="160" t="s">
        <v>593</v>
      </c>
      <c r="M641" s="159"/>
      <c r="N641" s="159">
        <f>IF(bargiri[[#This Row],[مبلغ واریزی]]&lt;&gt;"",bargiri[[#This Row],[مانده مبلغ]]-bargiri[[#This Row],[مبلغ واریزی]],bargiri[[#This Row],[مانده مبلغ]])</f>
        <v>2254048746.6990633</v>
      </c>
      <c r="O641" s="159" t="s">
        <v>593</v>
      </c>
      <c r="P641" s="159">
        <f>VLOOKUP(bargiri[[#This Row],[شماره سند مبنا]],invoice[[شماره پیش فاکتور]:[پیش دریافت به ازای هر کیلوگرم]],14,0)</f>
        <v>44943.892068160749</v>
      </c>
      <c r="Q641" s="159">
        <f>IF(bargiri[[#This Row],[مبلغ ناخالص]]-(bargiri[[#This Row],[نرخ استهلاک]]*bargiri[[#This Row],[مقدار]])&lt;0,0,bargiri[[#This Row],[مبلغ ناخالص]]-(bargiri[[#This Row],[نرخ استهلاک]]*bargiri[[#This Row],[مقدار]]))</f>
        <v>1966356746.6990633</v>
      </c>
    </row>
    <row r="642" spans="1:17" s="22" customFormat="1" ht="13.8" x14ac:dyDescent="0.25">
      <c r="A642" s="22">
        <v>869</v>
      </c>
      <c r="B642" s="22" t="s">
        <v>795</v>
      </c>
      <c r="C642" s="22" t="s">
        <v>456</v>
      </c>
      <c r="D642" s="22" t="s">
        <v>213</v>
      </c>
      <c r="E642" s="158">
        <v>19805</v>
      </c>
      <c r="F642" s="159">
        <v>142000</v>
      </c>
      <c r="G642" s="159">
        <v>2812310000</v>
      </c>
      <c r="H642" s="159">
        <v>281231000</v>
      </c>
      <c r="I642" s="159">
        <v>3093541000</v>
      </c>
      <c r="J642" s="159">
        <f>bargiri[[#This Row],[مقدار]]*INDEX(invoice[پیش دریافت به ازای هر کیلوگرم],MATCH(bargiri[[#This Row],[شماره سند مبنا]],invoice[شماره پیش فاکتور],0))</f>
        <v>2350143267.7562046</v>
      </c>
      <c r="K642" s="159">
        <f>bargiri[[#This Row],[مبلغ خالص]]-bargiri[[#This Row],[میزان استهلاک پیش دریافتی]]</f>
        <v>743397732.24379539</v>
      </c>
      <c r="L642" s="160" t="s">
        <v>593</v>
      </c>
      <c r="M642" s="159"/>
      <c r="N642" s="159">
        <f>IF(bargiri[[#This Row],[مبلغ واریزی]]&lt;&gt;"",bargiri[[#This Row],[مانده مبلغ]]-bargiri[[#This Row],[مبلغ واریزی]],bargiri[[#This Row],[مانده مبلغ]])</f>
        <v>743397732.24379539</v>
      </c>
      <c r="O642" s="159" t="s">
        <v>593</v>
      </c>
      <c r="P642" s="159">
        <f>VLOOKUP(bargiri[[#This Row],[شماره سند مبنا]],invoice[[شماره پیش فاکتور]:[پیش دریافت به ازای هر کیلوگرم]],14,0)</f>
        <v>118664.13874053041</v>
      </c>
      <c r="Q642" s="159">
        <f>IF(bargiri[[#This Row],[مبلغ ناخالص]]-(bargiri[[#This Row],[نرخ استهلاک]]*bargiri[[#This Row],[مقدار]])&lt;0,0,bargiri[[#This Row],[مبلغ ناخالص]]-(bargiri[[#This Row],[نرخ استهلاک]]*bargiri[[#This Row],[مقدار]]))</f>
        <v>462166732.24379539</v>
      </c>
    </row>
    <row r="643" spans="1:17" s="22" customFormat="1" ht="13.8" x14ac:dyDescent="0.25">
      <c r="A643" s="22">
        <v>868</v>
      </c>
      <c r="B643" s="22" t="s">
        <v>795</v>
      </c>
      <c r="C643" s="22" t="s">
        <v>644</v>
      </c>
      <c r="D643" s="22" t="s">
        <v>67</v>
      </c>
      <c r="E643" s="158">
        <v>8020</v>
      </c>
      <c r="F643" s="159">
        <v>95000</v>
      </c>
      <c r="G643" s="159">
        <v>761900000</v>
      </c>
      <c r="H643" s="159">
        <v>76190000</v>
      </c>
      <c r="I643" s="159">
        <v>838090000</v>
      </c>
      <c r="J643" s="159">
        <f>bargiri[[#This Row],[مقدار]]*INDEX(invoice[پیش دریافت به ازای هر کیلوگرم],MATCH(bargiri[[#This Row],[شماره سند مبنا]],invoice[شماره پیش فاکتور],0))</f>
        <v>243854234.33786547</v>
      </c>
      <c r="K643" s="159">
        <f>bargiri[[#This Row],[مبلغ خالص]]-bargiri[[#This Row],[میزان استهلاک پیش دریافتی]]</f>
        <v>594235765.66213453</v>
      </c>
      <c r="L643" s="160" t="s">
        <v>593</v>
      </c>
      <c r="M643" s="159"/>
      <c r="N643" s="159">
        <f>IF(bargiri[[#This Row],[مبلغ واریزی]]&lt;&gt;"",bargiri[[#This Row],[مانده مبلغ]]-bargiri[[#This Row],[مبلغ واریزی]],bargiri[[#This Row],[مانده مبلغ]])</f>
        <v>594235765.66213453</v>
      </c>
      <c r="O643" s="159" t="s">
        <v>593</v>
      </c>
      <c r="P643" s="159">
        <f>VLOOKUP(bargiri[[#This Row],[شماره سند مبنا]],invoice[[شماره پیش فاکتور]:[پیش دریافت به ازای هر کیلوگرم]],14,0)</f>
        <v>30405.764880033101</v>
      </c>
      <c r="Q643" s="159">
        <f>IF(bargiri[[#This Row],[مبلغ ناخالص]]-(bargiri[[#This Row],[نرخ استهلاک]]*bargiri[[#This Row],[مقدار]])&lt;0,0,bargiri[[#This Row],[مبلغ ناخالص]]-(bargiri[[#This Row],[نرخ استهلاک]]*bargiri[[#This Row],[مقدار]]))</f>
        <v>518045765.66213453</v>
      </c>
    </row>
    <row r="644" spans="1:17" s="22" customFormat="1" ht="13.8" x14ac:dyDescent="0.25">
      <c r="A644" s="22">
        <v>867</v>
      </c>
      <c r="B644" s="22" t="s">
        <v>795</v>
      </c>
      <c r="C644" s="22" t="s">
        <v>796</v>
      </c>
      <c r="D644" s="22" t="s">
        <v>17</v>
      </c>
      <c r="E644" s="158">
        <v>185</v>
      </c>
      <c r="F644" s="159">
        <v>79520</v>
      </c>
      <c r="G644" s="159">
        <v>14711200</v>
      </c>
      <c r="H644" s="159">
        <v>1471120</v>
      </c>
      <c r="I644" s="159">
        <v>16182320</v>
      </c>
      <c r="J644" s="159">
        <f>bargiri[[#This Row],[مقدار]]*INDEX(invoice[پیش دریافت به ازای هر کیلوگرم],MATCH(bargiri[[#This Row],[شماره سند مبنا]],invoice[شماره پیش فاکتور],0))</f>
        <v>2427348</v>
      </c>
      <c r="K644" s="159">
        <f>bargiri[[#This Row],[مبلغ خالص]]-bargiri[[#This Row],[میزان استهلاک پیش دریافتی]]</f>
        <v>13754972</v>
      </c>
      <c r="L644" s="160" t="s">
        <v>593</v>
      </c>
      <c r="M644" s="159"/>
      <c r="N644" s="159">
        <f>IF(bargiri[[#This Row],[مبلغ واریزی]]&lt;&gt;"",bargiri[[#This Row],[مانده مبلغ]]-bargiri[[#This Row],[مبلغ واریزی]],bargiri[[#This Row],[مانده مبلغ]])</f>
        <v>13754972</v>
      </c>
      <c r="O644" s="159" t="s">
        <v>593</v>
      </c>
      <c r="P644" s="159">
        <f>VLOOKUP(bargiri[[#This Row],[شماره سند مبنا]],invoice[[شماره پیش فاکتور]:[پیش دریافت به ازای هر کیلوگرم]],14,0)</f>
        <v>13120.8</v>
      </c>
      <c r="Q644" s="159">
        <f>IF(bargiri[[#This Row],[مبلغ ناخالص]]-(bargiri[[#This Row],[نرخ استهلاک]]*bargiri[[#This Row],[مقدار]])&lt;0,0,bargiri[[#This Row],[مبلغ ناخالص]]-(bargiri[[#This Row],[نرخ استهلاک]]*bargiri[[#This Row],[مقدار]]))</f>
        <v>12283852</v>
      </c>
    </row>
    <row r="645" spans="1:17" s="22" customFormat="1" ht="13.8" x14ac:dyDescent="0.25">
      <c r="A645" s="22">
        <v>867</v>
      </c>
      <c r="B645" s="22" t="s">
        <v>795</v>
      </c>
      <c r="C645" s="22" t="s">
        <v>661</v>
      </c>
      <c r="D645" s="22" t="s">
        <v>17</v>
      </c>
      <c r="E645" s="158">
        <v>21845</v>
      </c>
      <c r="F645" s="159">
        <v>116500</v>
      </c>
      <c r="G645" s="159">
        <v>2544942500</v>
      </c>
      <c r="H645" s="159">
        <v>254494250</v>
      </c>
      <c r="I645" s="159">
        <v>2799436750</v>
      </c>
      <c r="J645" s="159">
        <f>bargiri[[#This Row],[مقدار]]*INDEX(invoice[پیش دریافت به ازای هر کیلوگرم],MATCH(bargiri[[#This Row],[شماره سند مبنا]],invoice[شماره پیش فاکتور],0))</f>
        <v>419915512.5</v>
      </c>
      <c r="K645" s="159">
        <f>bargiri[[#This Row],[مبلغ خالص]]-bargiri[[#This Row],[میزان استهلاک پیش دریافتی]]</f>
        <v>2379521237.5</v>
      </c>
      <c r="L645" s="160" t="s">
        <v>593</v>
      </c>
      <c r="M645" s="159"/>
      <c r="N645" s="159">
        <f>IF(bargiri[[#This Row],[مبلغ واریزی]]&lt;&gt;"",bargiri[[#This Row],[مانده مبلغ]]-bargiri[[#This Row],[مبلغ واریزی]],bargiri[[#This Row],[مانده مبلغ]])</f>
        <v>2379521237.5</v>
      </c>
      <c r="O645" s="159" t="s">
        <v>593</v>
      </c>
      <c r="P645" s="159">
        <f>VLOOKUP(bargiri[[#This Row],[شماره سند مبنا]],invoice[[شماره پیش فاکتور]:[پیش دریافت به ازای هر کیلوگرم]],14,0)</f>
        <v>19222.5</v>
      </c>
      <c r="Q645" s="159">
        <f>IF(bargiri[[#This Row],[مبلغ ناخالص]]-(bargiri[[#This Row],[نرخ استهلاک]]*bargiri[[#This Row],[مقدار]])&lt;0,0,bargiri[[#This Row],[مبلغ ناخالص]]-(bargiri[[#This Row],[نرخ استهلاک]]*bargiri[[#This Row],[مقدار]]))</f>
        <v>2125026987.5</v>
      </c>
    </row>
    <row r="646" spans="1:17" s="22" customFormat="1" ht="13.8" x14ac:dyDescent="0.25">
      <c r="A646" s="22">
        <v>866</v>
      </c>
      <c r="B646" s="22" t="s">
        <v>795</v>
      </c>
      <c r="C646" s="22" t="s">
        <v>606</v>
      </c>
      <c r="D646" s="22" t="s">
        <v>219</v>
      </c>
      <c r="E646" s="158">
        <v>19040</v>
      </c>
      <c r="F646" s="159">
        <v>142000</v>
      </c>
      <c r="G646" s="159">
        <v>2703680000</v>
      </c>
      <c r="H646" s="159">
        <v>270368000</v>
      </c>
      <c r="I646" s="159">
        <v>2974048000</v>
      </c>
      <c r="J646" s="159">
        <f>bargiri[[#This Row],[مقدار]]*INDEX(invoice[پیش دریافت به ازای هر کیلوگرم],MATCH(bargiri[[#This Row],[شماره سند مبنا]],invoice[شماره پیش فاکتور],0))</f>
        <v>827189760.00000012</v>
      </c>
      <c r="K646" s="159">
        <f>bargiri[[#This Row],[مبلغ خالص]]-bargiri[[#This Row],[میزان استهلاک پیش دریافتی]]</f>
        <v>2146858240</v>
      </c>
      <c r="L646" s="160" t="s">
        <v>593</v>
      </c>
      <c r="M646" s="159"/>
      <c r="N646" s="159">
        <f>IF(bargiri[[#This Row],[مبلغ واریزی]]&lt;&gt;"",bargiri[[#This Row],[مانده مبلغ]]-bargiri[[#This Row],[مبلغ واریزی]],bargiri[[#This Row],[مانده مبلغ]])</f>
        <v>2146858240</v>
      </c>
      <c r="O646" s="159" t="s">
        <v>593</v>
      </c>
      <c r="P646" s="159">
        <f>VLOOKUP(bargiri[[#This Row],[شماره سند مبنا]],invoice[[شماره پیش فاکتور]:[پیش دریافت به ازای هر کیلوگرم]],14,0)</f>
        <v>43444.840336134461</v>
      </c>
      <c r="Q646" s="159">
        <f>IF(bargiri[[#This Row],[مبلغ ناخالص]]-(bargiri[[#This Row],[نرخ استهلاک]]*bargiri[[#This Row],[مقدار]])&lt;0,0,bargiri[[#This Row],[مبلغ ناخالص]]-(bargiri[[#This Row],[نرخ استهلاک]]*bargiri[[#This Row],[مقدار]]))</f>
        <v>1876490240</v>
      </c>
    </row>
    <row r="647" spans="1:17" s="22" customFormat="1" ht="13.8" x14ac:dyDescent="0.25">
      <c r="A647" s="22">
        <v>865</v>
      </c>
      <c r="B647" s="22" t="s">
        <v>795</v>
      </c>
      <c r="C647" s="22" t="s">
        <v>714</v>
      </c>
      <c r="D647" s="22" t="s">
        <v>70</v>
      </c>
      <c r="E647" s="158">
        <v>9895</v>
      </c>
      <c r="F647" s="159">
        <v>167500</v>
      </c>
      <c r="G647" s="159">
        <v>1657412500</v>
      </c>
      <c r="H647" s="159">
        <v>165741250</v>
      </c>
      <c r="I647" s="159">
        <v>1823153750</v>
      </c>
      <c r="J647" s="159">
        <f>bargiri[[#This Row],[مقدار]]*INDEX(invoice[پیش دریافت به ازای هر کیلوگرم],MATCH(bargiri[[#This Row],[شماره سند مبنا]],invoice[شماره پیش فاکتور],0))</f>
        <v>1823153750</v>
      </c>
      <c r="K647" s="159">
        <f>bargiri[[#This Row],[مبلغ خالص]]-bargiri[[#This Row],[میزان استهلاک پیش دریافتی]]</f>
        <v>0</v>
      </c>
      <c r="L647" s="160" t="s">
        <v>593</v>
      </c>
      <c r="M647" s="159"/>
      <c r="N647" s="159">
        <f>IF(bargiri[[#This Row],[مبلغ واریزی]]&lt;&gt;"",bargiri[[#This Row],[مانده مبلغ]]-bargiri[[#This Row],[مبلغ واریزی]],bargiri[[#This Row],[مانده مبلغ]])</f>
        <v>0</v>
      </c>
      <c r="O647" s="159" t="s">
        <v>593</v>
      </c>
      <c r="P647" s="159">
        <f>VLOOKUP(bargiri[[#This Row],[شماره سند مبنا]],invoice[[شماره پیش فاکتور]:[پیش دریافت به ازای هر کیلوگرم]],14,0)</f>
        <v>184250</v>
      </c>
      <c r="Q647" s="159">
        <f>IF(bargiri[[#This Row],[مبلغ ناخالص]]-(bargiri[[#This Row],[نرخ استهلاک]]*bargiri[[#This Row],[مقدار]])&lt;0,0,bargiri[[#This Row],[مبلغ ناخالص]]-(bargiri[[#This Row],[نرخ استهلاک]]*bargiri[[#This Row],[مقدار]]))</f>
        <v>0</v>
      </c>
    </row>
    <row r="648" spans="1:17" s="22" customFormat="1" ht="13.8" x14ac:dyDescent="0.25">
      <c r="A648" s="22">
        <v>865</v>
      </c>
      <c r="B648" s="22" t="s">
        <v>795</v>
      </c>
      <c r="C648" s="22" t="s">
        <v>605</v>
      </c>
      <c r="D648" s="22" t="s">
        <v>70</v>
      </c>
      <c r="E648" s="158">
        <v>10115</v>
      </c>
      <c r="F648" s="159">
        <v>142000</v>
      </c>
      <c r="G648" s="159">
        <v>1436330000</v>
      </c>
      <c r="H648" s="159">
        <v>143633000</v>
      </c>
      <c r="I648" s="159">
        <v>1579963000</v>
      </c>
      <c r="J648" s="159">
        <f>bargiri[[#This Row],[مقدار]]*INDEX(invoice[پیش دریافت به ازای هر کیلوگرم],MATCH(bargiri[[#This Row],[شماره سند مبنا]],invoice[شماره پیش فاکتور],0))</f>
        <v>236994450</v>
      </c>
      <c r="K648" s="159">
        <f>bargiri[[#This Row],[مبلغ خالص]]-bargiri[[#This Row],[میزان استهلاک پیش دریافتی]]</f>
        <v>1342968550</v>
      </c>
      <c r="L648" s="160" t="s">
        <v>593</v>
      </c>
      <c r="M648" s="159"/>
      <c r="N648" s="159">
        <f>IF(bargiri[[#This Row],[مبلغ واریزی]]&lt;&gt;"",bargiri[[#This Row],[مانده مبلغ]]-bargiri[[#This Row],[مبلغ واریزی]],bargiri[[#This Row],[مانده مبلغ]])</f>
        <v>1342968550</v>
      </c>
      <c r="O648" s="159" t="s">
        <v>593</v>
      </c>
      <c r="P648" s="159">
        <f>VLOOKUP(bargiri[[#This Row],[شماره سند مبنا]],invoice[[شماره پیش فاکتور]:[پیش دریافت به ازای هر کیلوگرم]],14,0)</f>
        <v>23430</v>
      </c>
      <c r="Q648" s="159">
        <f>IF(bargiri[[#This Row],[مبلغ ناخالص]]-(bargiri[[#This Row],[نرخ استهلاک]]*bargiri[[#This Row],[مقدار]])&lt;0,0,bargiri[[#This Row],[مبلغ ناخالص]]-(bargiri[[#This Row],[نرخ استهلاک]]*bargiri[[#This Row],[مقدار]]))</f>
        <v>1199335550</v>
      </c>
    </row>
    <row r="649" spans="1:17" s="22" customFormat="1" ht="13.8" x14ac:dyDescent="0.25">
      <c r="A649" s="22">
        <v>864</v>
      </c>
      <c r="B649" s="22" t="s">
        <v>795</v>
      </c>
      <c r="C649" s="22" t="s">
        <v>182</v>
      </c>
      <c r="D649" s="22" t="s">
        <v>20</v>
      </c>
      <c r="E649" s="158">
        <v>21020</v>
      </c>
      <c r="F649" s="159">
        <v>86500</v>
      </c>
      <c r="G649" s="159">
        <v>1818230000</v>
      </c>
      <c r="H649" s="159">
        <v>181823000</v>
      </c>
      <c r="I649" s="159">
        <v>2000053000</v>
      </c>
      <c r="J649" s="159">
        <f>bargiri[[#This Row],[مقدار]]*INDEX(invoice[پیش دریافت به ازای هر کیلوگرم],MATCH(bargiri[[#This Row],[شماره سند مبنا]],invoice[شماره پیش فاکتور],0))</f>
        <v>272734500</v>
      </c>
      <c r="K649" s="159">
        <f>bargiri[[#This Row],[مبلغ خالص]]-bargiri[[#This Row],[میزان استهلاک پیش دریافتی]]</f>
        <v>1727318500</v>
      </c>
      <c r="L649" s="160" t="s">
        <v>593</v>
      </c>
      <c r="M649" s="159"/>
      <c r="N649" s="159">
        <f>IF(bargiri[[#This Row],[مبلغ واریزی]]&lt;&gt;"",bargiri[[#This Row],[مانده مبلغ]]-bargiri[[#This Row],[مبلغ واریزی]],bargiri[[#This Row],[مانده مبلغ]])</f>
        <v>1727318500</v>
      </c>
      <c r="O649" s="159" t="s">
        <v>593</v>
      </c>
      <c r="P649" s="159">
        <f>VLOOKUP(bargiri[[#This Row],[شماره سند مبنا]],invoice[[شماره پیش فاکتور]:[پیش دریافت به ازای هر کیلوگرم]],14,0)</f>
        <v>12975</v>
      </c>
      <c r="Q649" s="159">
        <f>IF(bargiri[[#This Row],[مبلغ ناخالص]]-(bargiri[[#This Row],[نرخ استهلاک]]*bargiri[[#This Row],[مقدار]])&lt;0,0,bargiri[[#This Row],[مبلغ ناخالص]]-(bargiri[[#This Row],[نرخ استهلاک]]*bargiri[[#This Row],[مقدار]]))</f>
        <v>1545495500</v>
      </c>
    </row>
    <row r="650" spans="1:17" s="22" customFormat="1" ht="13.8" x14ac:dyDescent="0.25">
      <c r="A650" s="22">
        <v>863</v>
      </c>
      <c r="B650" s="22" t="s">
        <v>797</v>
      </c>
      <c r="C650" s="22" t="s">
        <v>187</v>
      </c>
      <c r="D650" s="22" t="s">
        <v>43</v>
      </c>
      <c r="E650" s="158">
        <v>22225</v>
      </c>
      <c r="F650" s="159">
        <v>80000</v>
      </c>
      <c r="G650" s="159">
        <v>1778000000</v>
      </c>
      <c r="H650" s="159">
        <v>177800000</v>
      </c>
      <c r="I650" s="159">
        <v>1955800000</v>
      </c>
      <c r="J650" s="159">
        <f>bargiri[[#This Row],[مقدار]]*INDEX(invoice[پیش دریافت به ازای هر کیلوگرم],MATCH(bargiri[[#This Row],[شماره سند مبنا]],invoice[شماره پیش فاکتور],0))</f>
        <v>391160000</v>
      </c>
      <c r="K650" s="159">
        <f>bargiri[[#This Row],[مبلغ خالص]]-bargiri[[#This Row],[میزان استهلاک پیش دریافتی]]</f>
        <v>1564640000</v>
      </c>
      <c r="L650" s="160" t="s">
        <v>593</v>
      </c>
      <c r="M650" s="159"/>
      <c r="N650" s="159">
        <f>IF(bargiri[[#This Row],[مبلغ واریزی]]&lt;&gt;"",bargiri[[#This Row],[مانده مبلغ]]-bargiri[[#This Row],[مبلغ واریزی]],bargiri[[#This Row],[مانده مبلغ]])</f>
        <v>1564640000</v>
      </c>
      <c r="O650" s="159" t="s">
        <v>593</v>
      </c>
      <c r="P650" s="159">
        <f>VLOOKUP(bargiri[[#This Row],[شماره سند مبنا]],invoice[[شماره پیش فاکتور]:[پیش دریافت به ازای هر کیلوگرم]],14,0)</f>
        <v>17600</v>
      </c>
      <c r="Q650" s="159">
        <f>IF(bargiri[[#This Row],[مبلغ ناخالص]]-(bargiri[[#This Row],[نرخ استهلاک]]*bargiri[[#This Row],[مقدار]])&lt;0,0,bargiri[[#This Row],[مبلغ ناخالص]]-(bargiri[[#This Row],[نرخ استهلاک]]*bargiri[[#This Row],[مقدار]]))</f>
        <v>1386840000</v>
      </c>
    </row>
    <row r="651" spans="1:17" s="22" customFormat="1" ht="13.8" x14ac:dyDescent="0.25">
      <c r="A651" s="22">
        <v>862</v>
      </c>
      <c r="B651" s="22" t="s">
        <v>797</v>
      </c>
      <c r="C651" s="22" t="s">
        <v>107</v>
      </c>
      <c r="D651" s="22" t="s">
        <v>30</v>
      </c>
      <c r="E651" s="158">
        <v>5365</v>
      </c>
      <c r="F651" s="159">
        <v>70000</v>
      </c>
      <c r="G651" s="159">
        <v>375550000</v>
      </c>
      <c r="H651" s="159">
        <v>37555000</v>
      </c>
      <c r="I651" s="159">
        <v>413105000</v>
      </c>
      <c r="J651" s="159">
        <f>bargiri[[#This Row],[مقدار]]*INDEX(invoice[پیش دریافت به ازای هر کیلوگرم],MATCH(bargiri[[#This Row],[شماره سند مبنا]],invoice[شماره پیش فاکتور],0))</f>
        <v>206552500</v>
      </c>
      <c r="K651" s="159">
        <f>bargiri[[#This Row],[مبلغ خالص]]-bargiri[[#This Row],[میزان استهلاک پیش دریافتی]]</f>
        <v>206552500</v>
      </c>
      <c r="L651" s="160" t="s">
        <v>593</v>
      </c>
      <c r="M651" s="159"/>
      <c r="N651" s="159">
        <f>IF(bargiri[[#This Row],[مبلغ واریزی]]&lt;&gt;"",bargiri[[#This Row],[مانده مبلغ]]-bargiri[[#This Row],[مبلغ واریزی]],bargiri[[#This Row],[مانده مبلغ]])</f>
        <v>206552500</v>
      </c>
      <c r="O651" s="159" t="s">
        <v>593</v>
      </c>
      <c r="P651" s="159">
        <f>VLOOKUP(bargiri[[#This Row],[شماره سند مبنا]],invoice[[شماره پیش فاکتور]:[پیش دریافت به ازای هر کیلوگرم]],14,0)</f>
        <v>38500</v>
      </c>
      <c r="Q651" s="159">
        <f>IF(bargiri[[#This Row],[مبلغ ناخالص]]-(bargiri[[#This Row],[نرخ استهلاک]]*bargiri[[#This Row],[مقدار]])&lt;0,0,bargiri[[#This Row],[مبلغ ناخالص]]-(bargiri[[#This Row],[نرخ استهلاک]]*bargiri[[#This Row],[مقدار]]))</f>
        <v>168997500</v>
      </c>
    </row>
    <row r="652" spans="1:17" s="22" customFormat="1" ht="13.8" x14ac:dyDescent="0.25">
      <c r="A652" s="22">
        <v>862</v>
      </c>
      <c r="B652" s="22" t="s">
        <v>797</v>
      </c>
      <c r="C652" s="22" t="s">
        <v>602</v>
      </c>
      <c r="D652" s="22" t="s">
        <v>30</v>
      </c>
      <c r="E652" s="158">
        <v>6585</v>
      </c>
      <c r="F652" s="159">
        <v>142000</v>
      </c>
      <c r="G652" s="159">
        <v>935070000</v>
      </c>
      <c r="H652" s="159">
        <v>93507000</v>
      </c>
      <c r="I652" s="159">
        <v>1028577000</v>
      </c>
      <c r="J652" s="159">
        <f>bargiri[[#This Row],[مقدار]]*INDEX(invoice[پیش دریافت به ازای هر کیلوگرم],MATCH(bargiri[[#This Row],[شماره سند مبنا]],invoice[شماره پیش فاکتور],0))</f>
        <v>745114250.23284698</v>
      </c>
      <c r="K652" s="159">
        <f>bargiri[[#This Row],[مبلغ خالص]]-bargiri[[#This Row],[میزان استهلاک پیش دریافتی]]</f>
        <v>283462749.76715302</v>
      </c>
      <c r="L652" s="160" t="s">
        <v>593</v>
      </c>
      <c r="M652" s="159"/>
      <c r="N652" s="159">
        <f>IF(bargiri[[#This Row],[مبلغ واریزی]]&lt;&gt;"",bargiri[[#This Row],[مانده مبلغ]]-bargiri[[#This Row],[مبلغ واریزی]],bargiri[[#This Row],[مانده مبلغ]])</f>
        <v>283462749.76715302</v>
      </c>
      <c r="O652" s="159" t="s">
        <v>593</v>
      </c>
      <c r="P652" s="159">
        <f>VLOOKUP(bargiri[[#This Row],[شماره سند مبنا]],invoice[[شماره پیش فاکتور]:[پیش دریافت به ازای هر کیلوگرم]],14,0)</f>
        <v>113153.2650315637</v>
      </c>
      <c r="Q652" s="159">
        <f>IF(bargiri[[#This Row],[مبلغ ناخالص]]-(bargiri[[#This Row],[نرخ استهلاک]]*bargiri[[#This Row],[مقدار]])&lt;0,0,bargiri[[#This Row],[مبلغ ناخالص]]-(bargiri[[#This Row],[نرخ استهلاک]]*bargiri[[#This Row],[مقدار]]))</f>
        <v>189955749.76715302</v>
      </c>
    </row>
    <row r="653" spans="1:17" s="22" customFormat="1" ht="13.8" x14ac:dyDescent="0.25">
      <c r="A653" s="22">
        <v>861</v>
      </c>
      <c r="B653" s="22" t="s">
        <v>798</v>
      </c>
      <c r="C653" s="22" t="s">
        <v>693</v>
      </c>
      <c r="D653" s="22" t="s">
        <v>67</v>
      </c>
      <c r="E653" s="158">
        <v>9015</v>
      </c>
      <c r="F653" s="159">
        <v>167500</v>
      </c>
      <c r="G653" s="159">
        <v>1510012500</v>
      </c>
      <c r="H653" s="159">
        <v>151001250</v>
      </c>
      <c r="I653" s="159">
        <v>1661013750</v>
      </c>
      <c r="J653" s="159">
        <f>bargiri[[#This Row],[مقدار]]*INDEX(invoice[پیش دریافت به ازای هر کیلوگرم],MATCH(bargiri[[#This Row],[شماره سند مبنا]],invoice[شماره پیش فاکتور],0))</f>
        <v>1661013750</v>
      </c>
      <c r="K653" s="159">
        <f>bargiri[[#This Row],[مبلغ خالص]]-bargiri[[#This Row],[میزان استهلاک پیش دریافتی]]</f>
        <v>0</v>
      </c>
      <c r="L653" s="160" t="s">
        <v>593</v>
      </c>
      <c r="M653" s="159"/>
      <c r="N653" s="159">
        <f>IF(bargiri[[#This Row],[مبلغ واریزی]]&lt;&gt;"",bargiri[[#This Row],[مانده مبلغ]]-bargiri[[#This Row],[مبلغ واریزی]],bargiri[[#This Row],[مانده مبلغ]])</f>
        <v>0</v>
      </c>
      <c r="O653" s="159" t="s">
        <v>593</v>
      </c>
      <c r="P653" s="159">
        <f>VLOOKUP(bargiri[[#This Row],[شماره سند مبنا]],invoice[[شماره پیش فاکتور]:[پیش دریافت به ازای هر کیلوگرم]],14,0)</f>
        <v>184250</v>
      </c>
      <c r="Q653" s="159">
        <f>IF(bargiri[[#This Row],[مبلغ ناخالص]]-(bargiri[[#This Row],[نرخ استهلاک]]*bargiri[[#This Row],[مقدار]])&lt;0,0,bargiri[[#This Row],[مبلغ ناخالص]]-(bargiri[[#This Row],[نرخ استهلاک]]*bargiri[[#This Row],[مقدار]]))</f>
        <v>0</v>
      </c>
    </row>
    <row r="654" spans="1:17" s="22" customFormat="1" ht="13.8" x14ac:dyDescent="0.25">
      <c r="A654" s="22">
        <v>860</v>
      </c>
      <c r="B654" s="22" t="s">
        <v>721</v>
      </c>
      <c r="C654" s="22" t="s">
        <v>461</v>
      </c>
      <c r="D654" s="22" t="s">
        <v>35</v>
      </c>
      <c r="E654" s="158">
        <v>18130</v>
      </c>
      <c r="F654" s="159">
        <v>142000</v>
      </c>
      <c r="G654" s="159">
        <v>2574460000</v>
      </c>
      <c r="H654" s="159">
        <v>257446000</v>
      </c>
      <c r="I654" s="159">
        <v>2831906000</v>
      </c>
      <c r="J654" s="159">
        <f>bargiri[[#This Row],[مقدار]]*INDEX(invoice[پیش دریافت به ازای هر کیلوگرم],MATCH(bargiri[[#This Row],[شماره سند مبنا]],invoice[شماره پیش فاکتور],0))</f>
        <v>594994901.47521055</v>
      </c>
      <c r="K654" s="159">
        <f>bargiri[[#This Row],[مبلغ خالص]]-bargiri[[#This Row],[میزان استهلاک پیش دریافتی]]</f>
        <v>2236911098.5247893</v>
      </c>
      <c r="L654" s="160" t="s">
        <v>593</v>
      </c>
      <c r="M654" s="159"/>
      <c r="N654" s="159">
        <f>IF(bargiri[[#This Row],[مبلغ واریزی]]&lt;&gt;"",bargiri[[#This Row],[مانده مبلغ]]-bargiri[[#This Row],[مبلغ واریزی]],bargiri[[#This Row],[مانده مبلغ]])</f>
        <v>2236911098.5247893</v>
      </c>
      <c r="O654" s="159" t="s">
        <v>593</v>
      </c>
      <c r="P654" s="159">
        <f>VLOOKUP(bargiri[[#This Row],[شماره سند مبنا]],invoice[[شماره پیش فاکتور]:[پیش دریافت به ازای هر کیلوگرم]],14,0)</f>
        <v>32818.251598191426</v>
      </c>
      <c r="Q654" s="159">
        <f>IF(bargiri[[#This Row],[مبلغ ناخالص]]-(bargiri[[#This Row],[نرخ استهلاک]]*bargiri[[#This Row],[مقدار]])&lt;0,0,bargiri[[#This Row],[مبلغ ناخالص]]-(bargiri[[#This Row],[نرخ استهلاک]]*bargiri[[#This Row],[مقدار]]))</f>
        <v>1979465098.5247893</v>
      </c>
    </row>
    <row r="655" spans="1:17" s="22" customFormat="1" ht="13.8" x14ac:dyDescent="0.25">
      <c r="A655" s="22">
        <v>859</v>
      </c>
      <c r="B655" s="22" t="s">
        <v>721</v>
      </c>
      <c r="C655" s="22" t="s">
        <v>72</v>
      </c>
      <c r="D655" s="22" t="s">
        <v>73</v>
      </c>
      <c r="E655" s="158">
        <v>20530</v>
      </c>
      <c r="F655" s="159">
        <v>57273</v>
      </c>
      <c r="G655" s="159">
        <v>1175814690</v>
      </c>
      <c r="H655" s="159">
        <v>117581469</v>
      </c>
      <c r="I655" s="159">
        <v>1293396159</v>
      </c>
      <c r="J655" s="159" t="e">
        <f>bargiri[[#This Row],[مقدار]]*INDEX(invoice[پیش دریافت به ازای هر کیلوگرم],MATCH(bargiri[[#This Row],[شماره سند مبنا]],invoice[شماره پیش فاکتور],0))</f>
        <v>#N/A</v>
      </c>
      <c r="K655" s="159" t="e">
        <f>bargiri[[#This Row],[مبلغ خالص]]-bargiri[[#This Row],[میزان استهلاک پیش دریافتی]]</f>
        <v>#N/A</v>
      </c>
      <c r="L655" s="160" t="s">
        <v>593</v>
      </c>
      <c r="M655" s="159"/>
      <c r="N655" s="159" t="e">
        <f>IF(bargiri[[#This Row],[مبلغ واریزی]]&lt;&gt;"",bargiri[[#This Row],[مانده مبلغ]]-bargiri[[#This Row],[مبلغ واریزی]],bargiri[[#This Row],[مانده مبلغ]])</f>
        <v>#N/A</v>
      </c>
      <c r="O655" s="159" t="s">
        <v>593</v>
      </c>
      <c r="P655" s="159" t="e">
        <f>VLOOKUP(bargiri[[#This Row],[شماره سند مبنا]],invoice[[شماره پیش فاکتور]:[پیش دریافت به ازای هر کیلوگرم]],14,0)</f>
        <v>#N/A</v>
      </c>
      <c r="Q655" s="159" t="e">
        <f>IF(bargiri[[#This Row],[مبلغ ناخالص]]-(bargiri[[#This Row],[نرخ استهلاک]]*bargiri[[#This Row],[مقدار]])&lt;0,0,bargiri[[#This Row],[مبلغ ناخالص]]-(bargiri[[#This Row],[نرخ استهلاک]]*bargiri[[#This Row],[مقدار]]))</f>
        <v>#N/A</v>
      </c>
    </row>
    <row r="656" spans="1:17" s="22" customFormat="1" ht="13.8" x14ac:dyDescent="0.25">
      <c r="A656" s="22">
        <v>858</v>
      </c>
      <c r="B656" s="22" t="s">
        <v>721</v>
      </c>
      <c r="C656" s="22" t="s">
        <v>72</v>
      </c>
      <c r="D656" s="22" t="s">
        <v>73</v>
      </c>
      <c r="E656" s="158">
        <v>20600</v>
      </c>
      <c r="F656" s="159">
        <v>57273</v>
      </c>
      <c r="G656" s="159">
        <v>1179823800</v>
      </c>
      <c r="H656" s="159">
        <v>117982380</v>
      </c>
      <c r="I656" s="159">
        <v>1297806180</v>
      </c>
      <c r="J656" s="159" t="e">
        <f>bargiri[[#This Row],[مقدار]]*INDEX(invoice[پیش دریافت به ازای هر کیلوگرم],MATCH(bargiri[[#This Row],[شماره سند مبنا]],invoice[شماره پیش فاکتور],0))</f>
        <v>#N/A</v>
      </c>
      <c r="K656" s="159" t="e">
        <f>bargiri[[#This Row],[مبلغ خالص]]-bargiri[[#This Row],[میزان استهلاک پیش دریافتی]]</f>
        <v>#N/A</v>
      </c>
      <c r="L656" s="160" t="s">
        <v>593</v>
      </c>
      <c r="M656" s="159"/>
      <c r="N656" s="159" t="e">
        <f>IF(bargiri[[#This Row],[مبلغ واریزی]]&lt;&gt;"",bargiri[[#This Row],[مانده مبلغ]]-bargiri[[#This Row],[مبلغ واریزی]],bargiri[[#This Row],[مانده مبلغ]])</f>
        <v>#N/A</v>
      </c>
      <c r="O656" s="159" t="s">
        <v>593</v>
      </c>
      <c r="P656" s="159" t="e">
        <f>VLOOKUP(bargiri[[#This Row],[شماره سند مبنا]],invoice[[شماره پیش فاکتور]:[پیش دریافت به ازای هر کیلوگرم]],14,0)</f>
        <v>#N/A</v>
      </c>
      <c r="Q656" s="159" t="e">
        <f>IF(bargiri[[#This Row],[مبلغ ناخالص]]-(bargiri[[#This Row],[نرخ استهلاک]]*bargiri[[#This Row],[مقدار]])&lt;0,0,bargiri[[#This Row],[مبلغ ناخالص]]-(bargiri[[#This Row],[نرخ استهلاک]]*bargiri[[#This Row],[مقدار]]))</f>
        <v>#N/A</v>
      </c>
    </row>
    <row r="657" spans="1:17" s="22" customFormat="1" ht="13.8" x14ac:dyDescent="0.25">
      <c r="A657" s="22">
        <v>857</v>
      </c>
      <c r="B657" s="22" t="s">
        <v>799</v>
      </c>
      <c r="C657" s="22" t="s">
        <v>607</v>
      </c>
      <c r="D657" s="22" t="s">
        <v>180</v>
      </c>
      <c r="E657" s="158">
        <v>7735</v>
      </c>
      <c r="F657" s="159">
        <v>142000</v>
      </c>
      <c r="G657" s="159">
        <v>1098370000</v>
      </c>
      <c r="H657" s="159">
        <v>109837000</v>
      </c>
      <c r="I657" s="159">
        <v>1208207000</v>
      </c>
      <c r="J657" s="159">
        <f>bargiri[[#This Row],[مقدار]]*INDEX(invoice[پیش دریافت به ازای هر کیلوگرم],MATCH(bargiri[[#This Row],[شماره سند مبنا]],invoice[شماره پیش فاکتور],0))</f>
        <v>577393695.3520478</v>
      </c>
      <c r="K657" s="159">
        <f>bargiri[[#This Row],[مبلغ خالص]]-bargiri[[#This Row],[میزان استهلاک پیش دریافتی]]</f>
        <v>630813304.6479522</v>
      </c>
      <c r="L657" s="160" t="s">
        <v>593</v>
      </c>
      <c r="M657" s="159"/>
      <c r="N657" s="159">
        <f>IF(bargiri[[#This Row],[مبلغ واریزی]]&lt;&gt;"",bargiri[[#This Row],[مانده مبلغ]]-bargiri[[#This Row],[مبلغ واریزی]],bargiri[[#This Row],[مانده مبلغ]])</f>
        <v>630813304.6479522</v>
      </c>
      <c r="O657" s="159" t="s">
        <v>593</v>
      </c>
      <c r="P657" s="159">
        <f>VLOOKUP(bargiri[[#This Row],[شماره سند مبنا]],invoice[[شماره پیش فاکتور]:[پیش دریافت به ازای هر کیلوگرم]],14,0)</f>
        <v>74646.890155403729</v>
      </c>
      <c r="Q657" s="159">
        <f>IF(bargiri[[#This Row],[مبلغ ناخالص]]-(bargiri[[#This Row],[نرخ استهلاک]]*bargiri[[#This Row],[مقدار]])&lt;0,0,bargiri[[#This Row],[مبلغ ناخالص]]-(bargiri[[#This Row],[نرخ استهلاک]]*bargiri[[#This Row],[مقدار]]))</f>
        <v>520976304.6479522</v>
      </c>
    </row>
    <row r="658" spans="1:17" s="22" customFormat="1" ht="13.8" x14ac:dyDescent="0.25">
      <c r="A658" s="22">
        <v>856</v>
      </c>
      <c r="B658" s="22" t="s">
        <v>800</v>
      </c>
      <c r="C658" s="22" t="s">
        <v>644</v>
      </c>
      <c r="D658" s="22" t="s">
        <v>67</v>
      </c>
      <c r="E658" s="158">
        <v>17925</v>
      </c>
      <c r="F658" s="159">
        <v>95000</v>
      </c>
      <c r="G658" s="159">
        <v>1702875000</v>
      </c>
      <c r="H658" s="159">
        <v>170287500</v>
      </c>
      <c r="I658" s="159">
        <v>1873162500</v>
      </c>
      <c r="J658" s="159">
        <f>bargiri[[#This Row],[مقدار]]*INDEX(invoice[پیش دریافت به ازای هر کیلوگرم],MATCH(bargiri[[#This Row],[شماره سند مبنا]],invoice[شماره پیش فاکتور],0))</f>
        <v>545023335.47459328</v>
      </c>
      <c r="K658" s="159">
        <f>bargiri[[#This Row],[مبلغ خالص]]-bargiri[[#This Row],[میزان استهلاک پیش دریافتی]]</f>
        <v>1328139164.5254068</v>
      </c>
      <c r="L658" s="160" t="s">
        <v>593</v>
      </c>
      <c r="M658" s="159"/>
      <c r="N658" s="159">
        <f>IF(bargiri[[#This Row],[مبلغ واریزی]]&lt;&gt;"",bargiri[[#This Row],[مانده مبلغ]]-bargiri[[#This Row],[مبلغ واریزی]],bargiri[[#This Row],[مانده مبلغ]])</f>
        <v>1328139164.5254068</v>
      </c>
      <c r="O658" s="159" t="s">
        <v>593</v>
      </c>
      <c r="P658" s="159">
        <f>VLOOKUP(bargiri[[#This Row],[شماره سند مبنا]],invoice[[شماره پیش فاکتور]:[پیش دریافت به ازای هر کیلوگرم]],14,0)</f>
        <v>30405.764880033101</v>
      </c>
      <c r="Q658" s="159">
        <f>IF(bargiri[[#This Row],[مبلغ ناخالص]]-(bargiri[[#This Row],[نرخ استهلاک]]*bargiri[[#This Row],[مقدار]])&lt;0,0,bargiri[[#This Row],[مبلغ ناخالص]]-(bargiri[[#This Row],[نرخ استهلاک]]*bargiri[[#This Row],[مقدار]]))</f>
        <v>1157851664.5254068</v>
      </c>
    </row>
    <row r="659" spans="1:17" s="22" customFormat="1" ht="13.8" x14ac:dyDescent="0.25">
      <c r="A659" s="22">
        <v>855</v>
      </c>
      <c r="B659" s="22" t="s">
        <v>800</v>
      </c>
      <c r="C659" s="22" t="s">
        <v>617</v>
      </c>
      <c r="D659" s="22" t="s">
        <v>211</v>
      </c>
      <c r="E659" s="158">
        <v>18265</v>
      </c>
      <c r="F659" s="159">
        <v>142000</v>
      </c>
      <c r="G659" s="159">
        <v>2593630000</v>
      </c>
      <c r="H659" s="159">
        <v>259363000</v>
      </c>
      <c r="I659" s="159">
        <v>2852993000</v>
      </c>
      <c r="J659" s="159">
        <f>bargiri[[#This Row],[مقدار]]*INDEX(invoice[پیش دریافت به ازای هر کیلوگرم],MATCH(bargiri[[#This Row],[شماره سند مبنا]],invoice[شماره پیش فاکتور],0))</f>
        <v>820900188.62495613</v>
      </c>
      <c r="K659" s="159">
        <f>bargiri[[#This Row],[مبلغ خالص]]-bargiri[[#This Row],[میزان استهلاک پیش دریافتی]]</f>
        <v>2032092811.3750439</v>
      </c>
      <c r="L659" s="160" t="s">
        <v>593</v>
      </c>
      <c r="M659" s="159"/>
      <c r="N659" s="159">
        <f>IF(bargiri[[#This Row],[مبلغ واریزی]]&lt;&gt;"",bargiri[[#This Row],[مانده مبلغ]]-bargiri[[#This Row],[مبلغ واریزی]],bargiri[[#This Row],[مانده مبلغ]])</f>
        <v>2032092811.3750439</v>
      </c>
      <c r="O659" s="159" t="s">
        <v>593</v>
      </c>
      <c r="P659" s="159">
        <f>VLOOKUP(bargiri[[#This Row],[شماره سند مبنا]],invoice[[شماره پیش فاکتور]:[پیش دریافت به ازای هر کیلوگرم]],14,0)</f>
        <v>44943.892068160749</v>
      </c>
      <c r="Q659" s="159">
        <f>IF(bargiri[[#This Row],[مبلغ ناخالص]]-(bargiri[[#This Row],[نرخ استهلاک]]*bargiri[[#This Row],[مقدار]])&lt;0,0,bargiri[[#This Row],[مبلغ ناخالص]]-(bargiri[[#This Row],[نرخ استهلاک]]*bargiri[[#This Row],[مقدار]]))</f>
        <v>1772729811.3750439</v>
      </c>
    </row>
    <row r="660" spans="1:17" s="22" customFormat="1" ht="13.8" x14ac:dyDescent="0.25">
      <c r="A660" s="22">
        <v>854</v>
      </c>
      <c r="B660" s="22" t="s">
        <v>800</v>
      </c>
      <c r="C660" s="22" t="s">
        <v>107</v>
      </c>
      <c r="D660" s="22" t="s">
        <v>30</v>
      </c>
      <c r="E660" s="158">
        <v>11435</v>
      </c>
      <c r="F660" s="159">
        <v>70000</v>
      </c>
      <c r="G660" s="159">
        <v>800450000</v>
      </c>
      <c r="H660" s="159">
        <v>80045000</v>
      </c>
      <c r="I660" s="159">
        <v>880495000</v>
      </c>
      <c r="J660" s="159">
        <f>bargiri[[#This Row],[مقدار]]*INDEX(invoice[پیش دریافت به ازای هر کیلوگرم],MATCH(bargiri[[#This Row],[شماره سند مبنا]],invoice[شماره پیش فاکتور],0))</f>
        <v>440247500</v>
      </c>
      <c r="K660" s="159">
        <f>bargiri[[#This Row],[مبلغ خالص]]-bargiri[[#This Row],[میزان استهلاک پیش دریافتی]]</f>
        <v>440247500</v>
      </c>
      <c r="L660" s="160" t="s">
        <v>593</v>
      </c>
      <c r="M660" s="159"/>
      <c r="N660" s="159">
        <f>IF(bargiri[[#This Row],[مبلغ واریزی]]&lt;&gt;"",bargiri[[#This Row],[مانده مبلغ]]-bargiri[[#This Row],[مبلغ واریزی]],bargiri[[#This Row],[مانده مبلغ]])</f>
        <v>440247500</v>
      </c>
      <c r="O660" s="159" t="s">
        <v>593</v>
      </c>
      <c r="P660" s="159">
        <f>VLOOKUP(bargiri[[#This Row],[شماره سند مبنا]],invoice[[شماره پیش فاکتور]:[پیش دریافت به ازای هر کیلوگرم]],14,0)</f>
        <v>38500</v>
      </c>
      <c r="Q660" s="159">
        <f>IF(bargiri[[#This Row],[مبلغ ناخالص]]-(bargiri[[#This Row],[نرخ استهلاک]]*bargiri[[#This Row],[مقدار]])&lt;0,0,bargiri[[#This Row],[مبلغ ناخالص]]-(bargiri[[#This Row],[نرخ استهلاک]]*bargiri[[#This Row],[مقدار]]))</f>
        <v>360202500</v>
      </c>
    </row>
    <row r="661" spans="1:17" s="22" customFormat="1" ht="13.8" x14ac:dyDescent="0.25">
      <c r="A661" s="22">
        <v>853</v>
      </c>
      <c r="B661" s="22" t="s">
        <v>800</v>
      </c>
      <c r="C661" s="22" t="s">
        <v>464</v>
      </c>
      <c r="D661" s="22" t="s">
        <v>221</v>
      </c>
      <c r="E661" s="158">
        <v>14060</v>
      </c>
      <c r="F661" s="159">
        <v>142000</v>
      </c>
      <c r="G661" s="159">
        <v>1996520000</v>
      </c>
      <c r="H661" s="159">
        <v>199652000</v>
      </c>
      <c r="I661" s="159">
        <v>2196172000</v>
      </c>
      <c r="J661" s="159">
        <f>bargiri[[#This Row],[مقدار]]*INDEX(invoice[پیش دریافت به ازای هر کیلوگرم],MATCH(bargiri[[#This Row],[شماره سند مبنا]],invoice[شماره پیش فاکتور],0))</f>
        <v>329425800</v>
      </c>
      <c r="K661" s="159">
        <f>bargiri[[#This Row],[مبلغ خالص]]-bargiri[[#This Row],[میزان استهلاک پیش دریافتی]]</f>
        <v>1866746200</v>
      </c>
      <c r="L661" s="160" t="s">
        <v>593</v>
      </c>
      <c r="M661" s="159"/>
      <c r="N661" s="159">
        <f>IF(bargiri[[#This Row],[مبلغ واریزی]]&lt;&gt;"",bargiri[[#This Row],[مانده مبلغ]]-bargiri[[#This Row],[مبلغ واریزی]],bargiri[[#This Row],[مانده مبلغ]])</f>
        <v>1866746200</v>
      </c>
      <c r="O661" s="159" t="s">
        <v>593</v>
      </c>
      <c r="P661" s="159">
        <f>VLOOKUP(bargiri[[#This Row],[شماره سند مبنا]],invoice[[شماره پیش فاکتور]:[پیش دریافت به ازای هر کیلوگرم]],14,0)</f>
        <v>23430</v>
      </c>
      <c r="Q661" s="159">
        <f>IF(bargiri[[#This Row],[مبلغ ناخالص]]-(bargiri[[#This Row],[نرخ استهلاک]]*bargiri[[#This Row],[مقدار]])&lt;0,0,bargiri[[#This Row],[مبلغ ناخالص]]-(bargiri[[#This Row],[نرخ استهلاک]]*bargiri[[#This Row],[مقدار]]))</f>
        <v>1667094200</v>
      </c>
    </row>
    <row r="662" spans="1:17" s="22" customFormat="1" ht="13.8" x14ac:dyDescent="0.25">
      <c r="A662" s="22">
        <v>852</v>
      </c>
      <c r="B662" s="22" t="s">
        <v>800</v>
      </c>
      <c r="C662" s="22" t="s">
        <v>72</v>
      </c>
      <c r="D662" s="22" t="s">
        <v>73</v>
      </c>
      <c r="E662" s="158">
        <v>20585</v>
      </c>
      <c r="F662" s="159">
        <v>57273</v>
      </c>
      <c r="G662" s="159">
        <v>1178964705</v>
      </c>
      <c r="H662" s="159">
        <v>117896471</v>
      </c>
      <c r="I662" s="159">
        <v>1296861176</v>
      </c>
      <c r="J662" s="159" t="e">
        <f>bargiri[[#This Row],[مقدار]]*INDEX(invoice[پیش دریافت به ازای هر کیلوگرم],MATCH(bargiri[[#This Row],[شماره سند مبنا]],invoice[شماره پیش فاکتور],0))</f>
        <v>#N/A</v>
      </c>
      <c r="K662" s="159" t="e">
        <f>bargiri[[#This Row],[مبلغ خالص]]-bargiri[[#This Row],[میزان استهلاک پیش دریافتی]]</f>
        <v>#N/A</v>
      </c>
      <c r="L662" s="160" t="s">
        <v>593</v>
      </c>
      <c r="M662" s="159"/>
      <c r="N662" s="159" t="e">
        <f>IF(bargiri[[#This Row],[مبلغ واریزی]]&lt;&gt;"",bargiri[[#This Row],[مانده مبلغ]]-bargiri[[#This Row],[مبلغ واریزی]],bargiri[[#This Row],[مانده مبلغ]])</f>
        <v>#N/A</v>
      </c>
      <c r="O662" s="159" t="s">
        <v>593</v>
      </c>
      <c r="P662" s="159" t="e">
        <f>VLOOKUP(bargiri[[#This Row],[شماره سند مبنا]],invoice[[شماره پیش فاکتور]:[پیش دریافت به ازای هر کیلوگرم]],14,0)</f>
        <v>#N/A</v>
      </c>
      <c r="Q662" s="159" t="e">
        <f>IF(bargiri[[#This Row],[مبلغ ناخالص]]-(bargiri[[#This Row],[نرخ استهلاک]]*bargiri[[#This Row],[مقدار]])&lt;0,0,bargiri[[#This Row],[مبلغ ناخالص]]-(bargiri[[#This Row],[نرخ استهلاک]]*bargiri[[#This Row],[مقدار]]))</f>
        <v>#N/A</v>
      </c>
    </row>
    <row r="663" spans="1:17" s="22" customFormat="1" ht="13.8" x14ac:dyDescent="0.25">
      <c r="A663" s="22">
        <v>851</v>
      </c>
      <c r="B663" s="22" t="s">
        <v>800</v>
      </c>
      <c r="C663" s="22" t="s">
        <v>72</v>
      </c>
      <c r="D663" s="22" t="s">
        <v>73</v>
      </c>
      <c r="E663" s="158">
        <v>20580</v>
      </c>
      <c r="F663" s="159">
        <v>57273</v>
      </c>
      <c r="G663" s="159">
        <v>1178678340</v>
      </c>
      <c r="H663" s="159">
        <v>117867834</v>
      </c>
      <c r="I663" s="159">
        <v>1296546174</v>
      </c>
      <c r="J663" s="159" t="e">
        <f>bargiri[[#This Row],[مقدار]]*INDEX(invoice[پیش دریافت به ازای هر کیلوگرم],MATCH(bargiri[[#This Row],[شماره سند مبنا]],invoice[شماره پیش فاکتور],0))</f>
        <v>#N/A</v>
      </c>
      <c r="K663" s="159" t="e">
        <f>bargiri[[#This Row],[مبلغ خالص]]-bargiri[[#This Row],[میزان استهلاک پیش دریافتی]]</f>
        <v>#N/A</v>
      </c>
      <c r="L663" s="160" t="s">
        <v>593</v>
      </c>
      <c r="M663" s="159"/>
      <c r="N663" s="159" t="e">
        <f>IF(bargiri[[#This Row],[مبلغ واریزی]]&lt;&gt;"",bargiri[[#This Row],[مانده مبلغ]]-bargiri[[#This Row],[مبلغ واریزی]],bargiri[[#This Row],[مانده مبلغ]])</f>
        <v>#N/A</v>
      </c>
      <c r="O663" s="159" t="s">
        <v>593</v>
      </c>
      <c r="P663" s="159" t="e">
        <f>VLOOKUP(bargiri[[#This Row],[شماره سند مبنا]],invoice[[شماره پیش فاکتور]:[پیش دریافت به ازای هر کیلوگرم]],14,0)</f>
        <v>#N/A</v>
      </c>
      <c r="Q663" s="159" t="e">
        <f>IF(bargiri[[#This Row],[مبلغ ناخالص]]-(bargiri[[#This Row],[نرخ استهلاک]]*bargiri[[#This Row],[مقدار]])&lt;0,0,bargiri[[#This Row],[مبلغ ناخالص]]-(bargiri[[#This Row],[نرخ استهلاک]]*bargiri[[#This Row],[مقدار]]))</f>
        <v>#N/A</v>
      </c>
    </row>
    <row r="664" spans="1:17" s="22" customFormat="1" ht="13.8" x14ac:dyDescent="0.25">
      <c r="A664" s="22">
        <v>850</v>
      </c>
      <c r="B664" s="22" t="s">
        <v>800</v>
      </c>
      <c r="C664" s="22" t="s">
        <v>72</v>
      </c>
      <c r="D664" s="22" t="s">
        <v>73</v>
      </c>
      <c r="E664" s="158">
        <v>20490</v>
      </c>
      <c r="F664" s="159">
        <v>57273</v>
      </c>
      <c r="G664" s="159">
        <v>1173523770</v>
      </c>
      <c r="H664" s="159">
        <v>117352377</v>
      </c>
      <c r="I664" s="159">
        <v>1290876147</v>
      </c>
      <c r="J664" s="159" t="e">
        <f>bargiri[[#This Row],[مقدار]]*INDEX(invoice[پیش دریافت به ازای هر کیلوگرم],MATCH(bargiri[[#This Row],[شماره سند مبنا]],invoice[شماره پیش فاکتور],0))</f>
        <v>#N/A</v>
      </c>
      <c r="K664" s="159" t="e">
        <f>bargiri[[#This Row],[مبلغ خالص]]-bargiri[[#This Row],[میزان استهلاک پیش دریافتی]]</f>
        <v>#N/A</v>
      </c>
      <c r="L664" s="160" t="s">
        <v>593</v>
      </c>
      <c r="M664" s="159"/>
      <c r="N664" s="159" t="e">
        <f>IF(bargiri[[#This Row],[مبلغ واریزی]]&lt;&gt;"",bargiri[[#This Row],[مانده مبلغ]]-bargiri[[#This Row],[مبلغ واریزی]],bargiri[[#This Row],[مانده مبلغ]])</f>
        <v>#N/A</v>
      </c>
      <c r="O664" s="159" t="s">
        <v>593</v>
      </c>
      <c r="P664" s="159" t="e">
        <f>VLOOKUP(bargiri[[#This Row],[شماره سند مبنا]],invoice[[شماره پیش فاکتور]:[پیش دریافت به ازای هر کیلوگرم]],14,0)</f>
        <v>#N/A</v>
      </c>
      <c r="Q664" s="159" t="e">
        <f>IF(bargiri[[#This Row],[مبلغ ناخالص]]-(bargiri[[#This Row],[نرخ استهلاک]]*bargiri[[#This Row],[مقدار]])&lt;0,0,bargiri[[#This Row],[مبلغ ناخالص]]-(bargiri[[#This Row],[نرخ استهلاک]]*bargiri[[#This Row],[مقدار]]))</f>
        <v>#N/A</v>
      </c>
    </row>
    <row r="665" spans="1:17" s="22" customFormat="1" ht="13.8" x14ac:dyDescent="0.25">
      <c r="A665" s="22">
        <v>849</v>
      </c>
      <c r="B665" s="22" t="s">
        <v>801</v>
      </c>
      <c r="C665" s="22" t="s">
        <v>616</v>
      </c>
      <c r="D665" s="22" t="s">
        <v>67</v>
      </c>
      <c r="E665" s="158">
        <v>14110</v>
      </c>
      <c r="F665" s="159">
        <v>142000</v>
      </c>
      <c r="G665" s="159">
        <v>2003620000</v>
      </c>
      <c r="H665" s="159">
        <v>200362000</v>
      </c>
      <c r="I665" s="159">
        <v>2203982000</v>
      </c>
      <c r="J665" s="159">
        <f>bargiri[[#This Row],[مقدار]]*INDEX(invoice[پیش دریافت به ازای هر کیلوگرم],MATCH(bargiri[[#This Row],[شماره سند مبنا]],invoice[شماره پیش فاکتور],0))</f>
        <v>330597300</v>
      </c>
      <c r="K665" s="159">
        <f>bargiri[[#This Row],[مبلغ خالص]]-bargiri[[#This Row],[میزان استهلاک پیش دریافتی]]</f>
        <v>1873384700</v>
      </c>
      <c r="L665" s="160" t="s">
        <v>593</v>
      </c>
      <c r="M665" s="159"/>
      <c r="N665" s="159">
        <f>IF(bargiri[[#This Row],[مبلغ واریزی]]&lt;&gt;"",bargiri[[#This Row],[مانده مبلغ]]-bargiri[[#This Row],[مبلغ واریزی]],bargiri[[#This Row],[مانده مبلغ]])</f>
        <v>1873384700</v>
      </c>
      <c r="O665" s="159" t="s">
        <v>593</v>
      </c>
      <c r="P665" s="159">
        <f>VLOOKUP(bargiri[[#This Row],[شماره سند مبنا]],invoice[[شماره پیش فاکتور]:[پیش دریافت به ازای هر کیلوگرم]],14,0)</f>
        <v>23430</v>
      </c>
      <c r="Q665" s="159">
        <f>IF(bargiri[[#This Row],[مبلغ ناخالص]]-(bargiri[[#This Row],[نرخ استهلاک]]*bargiri[[#This Row],[مقدار]])&lt;0,0,bargiri[[#This Row],[مبلغ ناخالص]]-(bargiri[[#This Row],[نرخ استهلاک]]*bargiri[[#This Row],[مقدار]]))</f>
        <v>1673022700</v>
      </c>
    </row>
    <row r="666" spans="1:17" s="22" customFormat="1" ht="13.8" x14ac:dyDescent="0.25">
      <c r="A666" s="22">
        <v>848</v>
      </c>
      <c r="B666" s="22" t="s">
        <v>801</v>
      </c>
      <c r="C666" s="22" t="s">
        <v>608</v>
      </c>
      <c r="D666" s="22" t="s">
        <v>40</v>
      </c>
      <c r="E666" s="158">
        <v>18045</v>
      </c>
      <c r="F666" s="159">
        <v>142000</v>
      </c>
      <c r="G666" s="159">
        <v>2562390000</v>
      </c>
      <c r="H666" s="159">
        <v>256239000</v>
      </c>
      <c r="I666" s="159">
        <v>2818629000</v>
      </c>
      <c r="J666" s="159">
        <f>bargiri[[#This Row],[مقدار]]*INDEX(invoice[پیش دریافت به ازای هر کیلوگرم],MATCH(bargiri[[#This Row],[شماره سند مبنا]],invoice[شماره پیش فاکتور],0))</f>
        <v>422794350</v>
      </c>
      <c r="K666" s="159">
        <f>bargiri[[#This Row],[مبلغ خالص]]-bargiri[[#This Row],[میزان استهلاک پیش دریافتی]]</f>
        <v>2395834650</v>
      </c>
      <c r="L666" s="160" t="s">
        <v>593</v>
      </c>
      <c r="M666" s="159"/>
      <c r="N666" s="159">
        <f>IF(bargiri[[#This Row],[مبلغ واریزی]]&lt;&gt;"",bargiri[[#This Row],[مانده مبلغ]]-bargiri[[#This Row],[مبلغ واریزی]],bargiri[[#This Row],[مانده مبلغ]])</f>
        <v>2395834650</v>
      </c>
      <c r="O666" s="159" t="s">
        <v>593</v>
      </c>
      <c r="P666" s="159">
        <f>VLOOKUP(bargiri[[#This Row],[شماره سند مبنا]],invoice[[شماره پیش فاکتور]:[پیش دریافت به ازای هر کیلوگرم]],14,0)</f>
        <v>23430</v>
      </c>
      <c r="Q666" s="159">
        <f>IF(bargiri[[#This Row],[مبلغ ناخالص]]-(bargiri[[#This Row],[نرخ استهلاک]]*bargiri[[#This Row],[مقدار]])&lt;0,0,bargiri[[#This Row],[مبلغ ناخالص]]-(bargiri[[#This Row],[نرخ استهلاک]]*bargiri[[#This Row],[مقدار]]))</f>
        <v>2139595650</v>
      </c>
    </row>
    <row r="667" spans="1:17" s="22" customFormat="1" ht="13.8" x14ac:dyDescent="0.25">
      <c r="A667" s="22">
        <v>847</v>
      </c>
      <c r="B667" s="22" t="s">
        <v>801</v>
      </c>
      <c r="C667" s="22" t="s">
        <v>119</v>
      </c>
      <c r="D667" s="22" t="s">
        <v>25</v>
      </c>
      <c r="E667" s="158">
        <v>18090</v>
      </c>
      <c r="F667" s="159">
        <v>75000</v>
      </c>
      <c r="G667" s="159">
        <v>1356750000</v>
      </c>
      <c r="H667" s="159">
        <v>135675000</v>
      </c>
      <c r="I667" s="159">
        <v>1492425000</v>
      </c>
      <c r="J667" s="159">
        <f>bargiri[[#This Row],[مقدار]]*INDEX(invoice[پیش دریافت به ازای هر کیلوگرم],MATCH(bargiri[[#This Row],[شماره سند مبنا]],invoice[شماره پیش فاکتور],0))</f>
        <v>223863750</v>
      </c>
      <c r="K667" s="159">
        <f>bargiri[[#This Row],[مبلغ خالص]]-bargiri[[#This Row],[میزان استهلاک پیش دریافتی]]</f>
        <v>1268561250</v>
      </c>
      <c r="L667" s="160" t="s">
        <v>593</v>
      </c>
      <c r="M667" s="159"/>
      <c r="N667" s="159">
        <f>IF(bargiri[[#This Row],[مبلغ واریزی]]&lt;&gt;"",bargiri[[#This Row],[مانده مبلغ]]-bargiri[[#This Row],[مبلغ واریزی]],bargiri[[#This Row],[مانده مبلغ]])</f>
        <v>1268561250</v>
      </c>
      <c r="O667" s="159" t="s">
        <v>593</v>
      </c>
      <c r="P667" s="159">
        <f>VLOOKUP(bargiri[[#This Row],[شماره سند مبنا]],invoice[[شماره پیش فاکتور]:[پیش دریافت به ازای هر کیلوگرم]],14,0)</f>
        <v>12375</v>
      </c>
      <c r="Q667" s="159">
        <f>IF(bargiri[[#This Row],[مبلغ ناخالص]]-(bargiri[[#This Row],[نرخ استهلاک]]*bargiri[[#This Row],[مقدار]])&lt;0,0,bargiri[[#This Row],[مبلغ ناخالص]]-(bargiri[[#This Row],[نرخ استهلاک]]*bargiri[[#This Row],[مقدار]]))</f>
        <v>1132886250</v>
      </c>
    </row>
    <row r="668" spans="1:17" s="22" customFormat="1" ht="13.8" x14ac:dyDescent="0.25">
      <c r="A668" s="22">
        <v>846</v>
      </c>
      <c r="B668" s="22" t="s">
        <v>801</v>
      </c>
      <c r="C668" s="22" t="s">
        <v>796</v>
      </c>
      <c r="D668" s="22" t="s">
        <v>17</v>
      </c>
      <c r="E668" s="158">
        <v>19040</v>
      </c>
      <c r="F668" s="159">
        <v>79520</v>
      </c>
      <c r="G668" s="159">
        <v>1514060800</v>
      </c>
      <c r="H668" s="159">
        <v>151406080</v>
      </c>
      <c r="I668" s="159">
        <v>1665466880</v>
      </c>
      <c r="J668" s="159">
        <f>bargiri[[#This Row],[مقدار]]*INDEX(invoice[پیش دریافت به ازای هر کیلوگرم],MATCH(bargiri[[#This Row],[شماره سند مبنا]],invoice[شماره پیش فاکتور],0))</f>
        <v>249820032</v>
      </c>
      <c r="K668" s="159">
        <f>bargiri[[#This Row],[مبلغ خالص]]-bargiri[[#This Row],[میزان استهلاک پیش دریافتی]]</f>
        <v>1415646848</v>
      </c>
      <c r="L668" s="160" t="s">
        <v>593</v>
      </c>
      <c r="M668" s="159"/>
      <c r="N668" s="159">
        <f>IF(bargiri[[#This Row],[مبلغ واریزی]]&lt;&gt;"",bargiri[[#This Row],[مانده مبلغ]]-bargiri[[#This Row],[مبلغ واریزی]],bargiri[[#This Row],[مانده مبلغ]])</f>
        <v>1415646848</v>
      </c>
      <c r="O668" s="159" t="s">
        <v>593</v>
      </c>
      <c r="P668" s="159">
        <f>VLOOKUP(bargiri[[#This Row],[شماره سند مبنا]],invoice[[شماره پیش فاکتور]:[پیش دریافت به ازای هر کیلوگرم]],14,0)</f>
        <v>13120.8</v>
      </c>
      <c r="Q668" s="159">
        <f>IF(bargiri[[#This Row],[مبلغ ناخالص]]-(bargiri[[#This Row],[نرخ استهلاک]]*bargiri[[#This Row],[مقدار]])&lt;0,0,bargiri[[#This Row],[مبلغ ناخالص]]-(bargiri[[#This Row],[نرخ استهلاک]]*bargiri[[#This Row],[مقدار]]))</f>
        <v>1264240768</v>
      </c>
    </row>
    <row r="669" spans="1:17" s="22" customFormat="1" ht="13.8" x14ac:dyDescent="0.25">
      <c r="A669" s="22">
        <v>845</v>
      </c>
      <c r="B669" s="22" t="s">
        <v>802</v>
      </c>
      <c r="C669" s="22" t="s">
        <v>187</v>
      </c>
      <c r="D669" s="22" t="s">
        <v>43</v>
      </c>
      <c r="E669" s="158">
        <v>20560</v>
      </c>
      <c r="F669" s="159">
        <v>80000</v>
      </c>
      <c r="G669" s="159">
        <v>1644800000</v>
      </c>
      <c r="H669" s="159">
        <v>164480000</v>
      </c>
      <c r="I669" s="159">
        <v>1809280000</v>
      </c>
      <c r="J669" s="159">
        <f>bargiri[[#This Row],[مقدار]]*INDEX(invoice[پیش دریافت به ازای هر کیلوگرم],MATCH(bargiri[[#This Row],[شماره سند مبنا]],invoice[شماره پیش فاکتور],0))</f>
        <v>361856000</v>
      </c>
      <c r="K669" s="159">
        <f>bargiri[[#This Row],[مبلغ خالص]]-bargiri[[#This Row],[میزان استهلاک پیش دریافتی]]</f>
        <v>1447424000</v>
      </c>
      <c r="L669" s="160" t="s">
        <v>593</v>
      </c>
      <c r="M669" s="159"/>
      <c r="N669" s="159">
        <f>IF(bargiri[[#This Row],[مبلغ واریزی]]&lt;&gt;"",bargiri[[#This Row],[مانده مبلغ]]-bargiri[[#This Row],[مبلغ واریزی]],bargiri[[#This Row],[مانده مبلغ]])</f>
        <v>1447424000</v>
      </c>
      <c r="O669" s="159" t="s">
        <v>593</v>
      </c>
      <c r="P669" s="159">
        <f>VLOOKUP(bargiri[[#This Row],[شماره سند مبنا]],invoice[[شماره پیش فاکتور]:[پیش دریافت به ازای هر کیلوگرم]],14,0)</f>
        <v>17600</v>
      </c>
      <c r="Q669" s="159">
        <f>IF(bargiri[[#This Row],[مبلغ ناخالص]]-(bargiri[[#This Row],[نرخ استهلاک]]*bargiri[[#This Row],[مقدار]])&lt;0,0,bargiri[[#This Row],[مبلغ ناخالص]]-(bargiri[[#This Row],[نرخ استهلاک]]*bargiri[[#This Row],[مقدار]]))</f>
        <v>1282944000</v>
      </c>
    </row>
    <row r="670" spans="1:17" s="22" customFormat="1" ht="13.8" x14ac:dyDescent="0.25">
      <c r="A670" s="22">
        <v>844</v>
      </c>
      <c r="B670" s="22" t="s">
        <v>802</v>
      </c>
      <c r="C670" s="22" t="s">
        <v>72</v>
      </c>
      <c r="D670" s="22" t="s">
        <v>73</v>
      </c>
      <c r="E670" s="158">
        <v>20725</v>
      </c>
      <c r="F670" s="159">
        <v>57273</v>
      </c>
      <c r="G670" s="159">
        <v>1186982925</v>
      </c>
      <c r="H670" s="159">
        <v>118698293</v>
      </c>
      <c r="I670" s="159">
        <v>1305681218</v>
      </c>
      <c r="J670" s="159" t="e">
        <f>bargiri[[#This Row],[مقدار]]*INDEX(invoice[پیش دریافت به ازای هر کیلوگرم],MATCH(bargiri[[#This Row],[شماره سند مبنا]],invoice[شماره پیش فاکتور],0))</f>
        <v>#N/A</v>
      </c>
      <c r="K670" s="159" t="e">
        <f>bargiri[[#This Row],[مبلغ خالص]]-bargiri[[#This Row],[میزان استهلاک پیش دریافتی]]</f>
        <v>#N/A</v>
      </c>
      <c r="L670" s="160" t="s">
        <v>593</v>
      </c>
      <c r="M670" s="159"/>
      <c r="N670" s="159" t="e">
        <f>IF(bargiri[[#This Row],[مبلغ واریزی]]&lt;&gt;"",bargiri[[#This Row],[مانده مبلغ]]-bargiri[[#This Row],[مبلغ واریزی]],bargiri[[#This Row],[مانده مبلغ]])</f>
        <v>#N/A</v>
      </c>
      <c r="O670" s="159" t="s">
        <v>593</v>
      </c>
      <c r="P670" s="159" t="e">
        <f>VLOOKUP(bargiri[[#This Row],[شماره سند مبنا]],invoice[[شماره پیش فاکتور]:[پیش دریافت به ازای هر کیلوگرم]],14,0)</f>
        <v>#N/A</v>
      </c>
      <c r="Q670" s="159" t="e">
        <f>IF(bargiri[[#This Row],[مبلغ ناخالص]]-(bargiri[[#This Row],[نرخ استهلاک]]*bargiri[[#This Row],[مقدار]])&lt;0,0,bargiri[[#This Row],[مبلغ ناخالص]]-(bargiri[[#This Row],[نرخ استهلاک]]*bargiri[[#This Row],[مقدار]]))</f>
        <v>#N/A</v>
      </c>
    </row>
    <row r="671" spans="1:17" s="22" customFormat="1" ht="13.8" x14ac:dyDescent="0.25">
      <c r="A671" s="22">
        <v>843</v>
      </c>
      <c r="B671" s="22" t="s">
        <v>802</v>
      </c>
      <c r="C671" s="22" t="s">
        <v>72</v>
      </c>
      <c r="D671" s="22" t="s">
        <v>73</v>
      </c>
      <c r="E671" s="158">
        <v>20895</v>
      </c>
      <c r="F671" s="159">
        <v>57273</v>
      </c>
      <c r="G671" s="159">
        <v>1196719335</v>
      </c>
      <c r="H671" s="159">
        <v>119671934</v>
      </c>
      <c r="I671" s="159">
        <v>1316391269</v>
      </c>
      <c r="J671" s="159" t="e">
        <f>bargiri[[#This Row],[مقدار]]*INDEX(invoice[پیش دریافت به ازای هر کیلوگرم],MATCH(bargiri[[#This Row],[شماره سند مبنا]],invoice[شماره پیش فاکتور],0))</f>
        <v>#N/A</v>
      </c>
      <c r="K671" s="159" t="e">
        <f>bargiri[[#This Row],[مبلغ خالص]]-bargiri[[#This Row],[میزان استهلاک پیش دریافتی]]</f>
        <v>#N/A</v>
      </c>
      <c r="L671" s="160" t="s">
        <v>593</v>
      </c>
      <c r="M671" s="159"/>
      <c r="N671" s="159" t="e">
        <f>IF(bargiri[[#This Row],[مبلغ واریزی]]&lt;&gt;"",bargiri[[#This Row],[مانده مبلغ]]-bargiri[[#This Row],[مبلغ واریزی]],bargiri[[#This Row],[مانده مبلغ]])</f>
        <v>#N/A</v>
      </c>
      <c r="O671" s="159" t="s">
        <v>593</v>
      </c>
      <c r="P671" s="159" t="e">
        <f>VLOOKUP(bargiri[[#This Row],[شماره سند مبنا]],invoice[[شماره پیش فاکتور]:[پیش دریافت به ازای هر کیلوگرم]],14,0)</f>
        <v>#N/A</v>
      </c>
      <c r="Q671" s="159" t="e">
        <f>IF(bargiri[[#This Row],[مبلغ ناخالص]]-(bargiri[[#This Row],[نرخ استهلاک]]*bargiri[[#This Row],[مقدار]])&lt;0,0,bargiri[[#This Row],[مبلغ ناخالص]]-(bargiri[[#This Row],[نرخ استهلاک]]*bargiri[[#This Row],[مقدار]]))</f>
        <v>#N/A</v>
      </c>
    </row>
    <row r="672" spans="1:17" s="22" customFormat="1" ht="13.8" x14ac:dyDescent="0.25">
      <c r="A672" s="22">
        <v>842</v>
      </c>
      <c r="B672" s="22" t="s">
        <v>802</v>
      </c>
      <c r="C672" s="22" t="s">
        <v>72</v>
      </c>
      <c r="D672" s="22" t="s">
        <v>73</v>
      </c>
      <c r="E672" s="158">
        <v>20575</v>
      </c>
      <c r="F672" s="159">
        <v>57273</v>
      </c>
      <c r="G672" s="159">
        <v>1178391975</v>
      </c>
      <c r="H672" s="159">
        <v>117839198</v>
      </c>
      <c r="I672" s="159">
        <v>1296231173</v>
      </c>
      <c r="J672" s="159" t="e">
        <f>bargiri[[#This Row],[مقدار]]*INDEX(invoice[پیش دریافت به ازای هر کیلوگرم],MATCH(bargiri[[#This Row],[شماره سند مبنا]],invoice[شماره پیش فاکتور],0))</f>
        <v>#N/A</v>
      </c>
      <c r="K672" s="159" t="e">
        <f>bargiri[[#This Row],[مبلغ خالص]]-bargiri[[#This Row],[میزان استهلاک پیش دریافتی]]</f>
        <v>#N/A</v>
      </c>
      <c r="L672" s="160" t="s">
        <v>593</v>
      </c>
      <c r="M672" s="159"/>
      <c r="N672" s="159" t="e">
        <f>IF(bargiri[[#This Row],[مبلغ واریزی]]&lt;&gt;"",bargiri[[#This Row],[مانده مبلغ]]-bargiri[[#This Row],[مبلغ واریزی]],bargiri[[#This Row],[مانده مبلغ]])</f>
        <v>#N/A</v>
      </c>
      <c r="O672" s="159" t="s">
        <v>593</v>
      </c>
      <c r="P672" s="159" t="e">
        <f>VLOOKUP(bargiri[[#This Row],[شماره سند مبنا]],invoice[[شماره پیش فاکتور]:[پیش دریافت به ازای هر کیلوگرم]],14,0)</f>
        <v>#N/A</v>
      </c>
      <c r="Q672" s="159" t="e">
        <f>IF(bargiri[[#This Row],[مبلغ ناخالص]]-(bargiri[[#This Row],[نرخ استهلاک]]*bargiri[[#This Row],[مقدار]])&lt;0,0,bargiri[[#This Row],[مبلغ ناخالص]]-(bargiri[[#This Row],[نرخ استهلاک]]*bargiri[[#This Row],[مقدار]]))</f>
        <v>#N/A</v>
      </c>
    </row>
    <row r="673" spans="1:17" s="22" customFormat="1" ht="13.8" x14ac:dyDescent="0.25">
      <c r="A673" s="22">
        <v>841</v>
      </c>
      <c r="B673" s="22" t="s">
        <v>802</v>
      </c>
      <c r="C673" s="22" t="s">
        <v>187</v>
      </c>
      <c r="D673" s="22" t="s">
        <v>43</v>
      </c>
      <c r="E673" s="158">
        <v>22075</v>
      </c>
      <c r="F673" s="159">
        <v>80000</v>
      </c>
      <c r="G673" s="159">
        <v>1766000000</v>
      </c>
      <c r="H673" s="159">
        <v>176600000</v>
      </c>
      <c r="I673" s="159">
        <v>1942600000</v>
      </c>
      <c r="J673" s="159">
        <f>bargiri[[#This Row],[مقدار]]*INDEX(invoice[پیش دریافت به ازای هر کیلوگرم],MATCH(bargiri[[#This Row],[شماره سند مبنا]],invoice[شماره پیش فاکتور],0))</f>
        <v>388520000</v>
      </c>
      <c r="K673" s="159">
        <f>bargiri[[#This Row],[مبلغ خالص]]-bargiri[[#This Row],[میزان استهلاک پیش دریافتی]]</f>
        <v>1554080000</v>
      </c>
      <c r="L673" s="160" t="s">
        <v>593</v>
      </c>
      <c r="M673" s="159"/>
      <c r="N673" s="159">
        <f>IF(bargiri[[#This Row],[مبلغ واریزی]]&lt;&gt;"",bargiri[[#This Row],[مانده مبلغ]]-bargiri[[#This Row],[مبلغ واریزی]],bargiri[[#This Row],[مانده مبلغ]])</f>
        <v>1554080000</v>
      </c>
      <c r="O673" s="159" t="s">
        <v>593</v>
      </c>
      <c r="P673" s="159">
        <f>VLOOKUP(bargiri[[#This Row],[شماره سند مبنا]],invoice[[شماره پیش فاکتور]:[پیش دریافت به ازای هر کیلوگرم]],14,0)</f>
        <v>17600</v>
      </c>
      <c r="Q673" s="159">
        <f>IF(bargiri[[#This Row],[مبلغ ناخالص]]-(bargiri[[#This Row],[نرخ استهلاک]]*bargiri[[#This Row],[مقدار]])&lt;0,0,bargiri[[#This Row],[مبلغ ناخالص]]-(bargiri[[#This Row],[نرخ استهلاک]]*bargiri[[#This Row],[مقدار]]))</f>
        <v>1377480000</v>
      </c>
    </row>
    <row r="674" spans="1:17" s="22" customFormat="1" ht="13.8" x14ac:dyDescent="0.25">
      <c r="A674" s="22">
        <v>840</v>
      </c>
      <c r="B674" s="22" t="s">
        <v>802</v>
      </c>
      <c r="C674" s="22" t="s">
        <v>706</v>
      </c>
      <c r="D674" s="22" t="s">
        <v>67</v>
      </c>
      <c r="E674" s="158">
        <v>4525</v>
      </c>
      <c r="F674" s="159">
        <v>210000</v>
      </c>
      <c r="G674" s="159">
        <v>950250000</v>
      </c>
      <c r="H674" s="159">
        <v>95025000</v>
      </c>
      <c r="I674" s="159">
        <v>1045275000</v>
      </c>
      <c r="J674" s="159">
        <f>bargiri[[#This Row],[مقدار]]*INDEX(invoice[پیش دریافت به ازای هر کیلوگرم],MATCH(bargiri[[#This Row],[شماره سند مبنا]],invoice[شماره پیش فاکتور],0))</f>
        <v>1045275000</v>
      </c>
      <c r="K674" s="159">
        <f>bargiri[[#This Row],[مبلغ خالص]]-bargiri[[#This Row],[میزان استهلاک پیش دریافتی]]</f>
        <v>0</v>
      </c>
      <c r="L674" s="160" t="s">
        <v>593</v>
      </c>
      <c r="M674" s="159"/>
      <c r="N674" s="159">
        <f>IF(bargiri[[#This Row],[مبلغ واریزی]]&lt;&gt;"",bargiri[[#This Row],[مانده مبلغ]]-bargiri[[#This Row],[مبلغ واریزی]],bargiri[[#This Row],[مانده مبلغ]])</f>
        <v>0</v>
      </c>
      <c r="O674" s="159" t="s">
        <v>593</v>
      </c>
      <c r="P674" s="159">
        <f>VLOOKUP(bargiri[[#This Row],[شماره سند مبنا]],invoice[[شماره پیش فاکتور]:[پیش دریافت به ازای هر کیلوگرم]],14,0)</f>
        <v>231000</v>
      </c>
      <c r="Q674" s="159">
        <f>IF(bargiri[[#This Row],[مبلغ ناخالص]]-(bargiri[[#This Row],[نرخ استهلاک]]*bargiri[[#This Row],[مقدار]])&lt;0,0,bargiri[[#This Row],[مبلغ ناخالص]]-(bargiri[[#This Row],[نرخ استهلاک]]*bargiri[[#This Row],[مقدار]]))</f>
        <v>0</v>
      </c>
    </row>
    <row r="675" spans="1:17" s="22" customFormat="1" ht="13.8" x14ac:dyDescent="0.25">
      <c r="A675" s="22">
        <v>840</v>
      </c>
      <c r="B675" s="22" t="s">
        <v>802</v>
      </c>
      <c r="C675" s="22" t="s">
        <v>693</v>
      </c>
      <c r="D675" s="22" t="s">
        <v>67</v>
      </c>
      <c r="E675" s="158">
        <v>15515</v>
      </c>
      <c r="F675" s="159">
        <v>167500</v>
      </c>
      <c r="G675" s="159">
        <v>2598762500</v>
      </c>
      <c r="H675" s="159">
        <v>259876250</v>
      </c>
      <c r="I675" s="159">
        <v>2858638750</v>
      </c>
      <c r="J675" s="159">
        <f>bargiri[[#This Row],[مقدار]]*INDEX(invoice[پیش دریافت به ازای هر کیلوگرم],MATCH(bargiri[[#This Row],[شماره سند مبنا]],invoice[شماره پیش فاکتور],0))</f>
        <v>2858638750</v>
      </c>
      <c r="K675" s="159">
        <f>bargiri[[#This Row],[مبلغ خالص]]-bargiri[[#This Row],[میزان استهلاک پیش دریافتی]]</f>
        <v>0</v>
      </c>
      <c r="L675" s="160" t="s">
        <v>593</v>
      </c>
      <c r="M675" s="159"/>
      <c r="N675" s="159">
        <f>IF(bargiri[[#This Row],[مبلغ واریزی]]&lt;&gt;"",bargiri[[#This Row],[مانده مبلغ]]-bargiri[[#This Row],[مبلغ واریزی]],bargiri[[#This Row],[مانده مبلغ]])</f>
        <v>0</v>
      </c>
      <c r="O675" s="159" t="s">
        <v>593</v>
      </c>
      <c r="P675" s="159">
        <f>VLOOKUP(bargiri[[#This Row],[شماره سند مبنا]],invoice[[شماره پیش فاکتور]:[پیش دریافت به ازای هر کیلوگرم]],14,0)</f>
        <v>184250</v>
      </c>
      <c r="Q675" s="159">
        <f>IF(bargiri[[#This Row],[مبلغ ناخالص]]-(bargiri[[#This Row],[نرخ استهلاک]]*bargiri[[#This Row],[مقدار]])&lt;0,0,bargiri[[#This Row],[مبلغ ناخالص]]-(bargiri[[#This Row],[نرخ استهلاک]]*bargiri[[#This Row],[مقدار]]))</f>
        <v>0</v>
      </c>
    </row>
    <row r="676" spans="1:17" s="22" customFormat="1" ht="13.8" x14ac:dyDescent="0.25">
      <c r="A676" s="22">
        <v>839</v>
      </c>
      <c r="B676" s="22" t="s">
        <v>802</v>
      </c>
      <c r="C676" s="22" t="s">
        <v>107</v>
      </c>
      <c r="D676" s="22" t="s">
        <v>30</v>
      </c>
      <c r="E676" s="158">
        <v>11400</v>
      </c>
      <c r="F676" s="159">
        <v>70000</v>
      </c>
      <c r="G676" s="159">
        <v>798000000</v>
      </c>
      <c r="H676" s="159">
        <v>79800000</v>
      </c>
      <c r="I676" s="159">
        <v>877800000</v>
      </c>
      <c r="J676" s="159">
        <f>bargiri[[#This Row],[مقدار]]*INDEX(invoice[پیش دریافت به ازای هر کیلوگرم],MATCH(bargiri[[#This Row],[شماره سند مبنا]],invoice[شماره پیش فاکتور],0))</f>
        <v>438900000</v>
      </c>
      <c r="K676" s="159">
        <f>bargiri[[#This Row],[مبلغ خالص]]-bargiri[[#This Row],[میزان استهلاک پیش دریافتی]]</f>
        <v>438900000</v>
      </c>
      <c r="L676" s="160" t="s">
        <v>593</v>
      </c>
      <c r="M676" s="159"/>
      <c r="N676" s="159">
        <f>IF(bargiri[[#This Row],[مبلغ واریزی]]&lt;&gt;"",bargiri[[#This Row],[مانده مبلغ]]-bargiri[[#This Row],[مبلغ واریزی]],bargiri[[#This Row],[مانده مبلغ]])</f>
        <v>438900000</v>
      </c>
      <c r="O676" s="159" t="s">
        <v>593</v>
      </c>
      <c r="P676" s="159">
        <f>VLOOKUP(bargiri[[#This Row],[شماره سند مبنا]],invoice[[شماره پیش فاکتور]:[پیش دریافت به ازای هر کیلوگرم]],14,0)</f>
        <v>38500</v>
      </c>
      <c r="Q676" s="159">
        <f>IF(bargiri[[#This Row],[مبلغ ناخالص]]-(bargiri[[#This Row],[نرخ استهلاک]]*bargiri[[#This Row],[مقدار]])&lt;0,0,bargiri[[#This Row],[مبلغ ناخالص]]-(bargiri[[#This Row],[نرخ استهلاک]]*bargiri[[#This Row],[مقدار]]))</f>
        <v>359100000</v>
      </c>
    </row>
    <row r="677" spans="1:17" s="22" customFormat="1" ht="13.8" x14ac:dyDescent="0.25">
      <c r="A677" s="22">
        <v>838</v>
      </c>
      <c r="B677" s="22" t="s">
        <v>803</v>
      </c>
      <c r="C677" s="22" t="s">
        <v>644</v>
      </c>
      <c r="D677" s="22" t="s">
        <v>67</v>
      </c>
      <c r="E677" s="158">
        <v>18115</v>
      </c>
      <c r="F677" s="159">
        <v>95000</v>
      </c>
      <c r="G677" s="159">
        <v>1720925000</v>
      </c>
      <c r="H677" s="159">
        <v>172092500</v>
      </c>
      <c r="I677" s="159">
        <v>1893017500</v>
      </c>
      <c r="J677" s="159">
        <f>bargiri[[#This Row],[مقدار]]*INDEX(invoice[پیش دریافت به ازای هر کیلوگرم],MATCH(bargiri[[#This Row],[شماره سند مبنا]],invoice[شماره پیش فاکتور],0))</f>
        <v>550800430.80179965</v>
      </c>
      <c r="K677" s="159">
        <f>bargiri[[#This Row],[مبلغ خالص]]-bargiri[[#This Row],[میزان استهلاک پیش دریافتی]]</f>
        <v>1342217069.1982002</v>
      </c>
      <c r="L677" s="160" t="s">
        <v>593</v>
      </c>
      <c r="M677" s="159"/>
      <c r="N677" s="159">
        <f>IF(bargiri[[#This Row],[مبلغ واریزی]]&lt;&gt;"",bargiri[[#This Row],[مانده مبلغ]]-bargiri[[#This Row],[مبلغ واریزی]],bargiri[[#This Row],[مانده مبلغ]])</f>
        <v>1342217069.1982002</v>
      </c>
      <c r="O677" s="159" t="s">
        <v>593</v>
      </c>
      <c r="P677" s="159">
        <f>VLOOKUP(bargiri[[#This Row],[شماره سند مبنا]],invoice[[شماره پیش فاکتور]:[پیش دریافت به ازای هر کیلوگرم]],14,0)</f>
        <v>30405.764880033101</v>
      </c>
      <c r="Q677" s="159">
        <f>IF(bargiri[[#This Row],[مبلغ ناخالص]]-(bargiri[[#This Row],[نرخ استهلاک]]*bargiri[[#This Row],[مقدار]])&lt;0,0,bargiri[[#This Row],[مبلغ ناخالص]]-(bargiri[[#This Row],[نرخ استهلاک]]*bargiri[[#This Row],[مقدار]]))</f>
        <v>1170124569.1982002</v>
      </c>
    </row>
    <row r="678" spans="1:17" s="22" customFormat="1" ht="13.8" x14ac:dyDescent="0.25">
      <c r="A678" s="22">
        <v>837</v>
      </c>
      <c r="B678" s="22" t="s">
        <v>803</v>
      </c>
      <c r="C678" s="22" t="s">
        <v>461</v>
      </c>
      <c r="D678" s="22" t="s">
        <v>35</v>
      </c>
      <c r="E678" s="158">
        <v>7460</v>
      </c>
      <c r="F678" s="159">
        <v>142000</v>
      </c>
      <c r="G678" s="159">
        <v>1059320000</v>
      </c>
      <c r="H678" s="159">
        <v>105932000</v>
      </c>
      <c r="I678" s="159">
        <v>1165252000</v>
      </c>
      <c r="J678" s="159">
        <f>bargiri[[#This Row],[مقدار]]*INDEX(invoice[پیش دریافت به ازای هر کیلوگرم],MATCH(bargiri[[#This Row],[شماره سند مبنا]],invoice[شماره پیش فاکتور],0))</f>
        <v>244824156.92250803</v>
      </c>
      <c r="K678" s="159">
        <f>bargiri[[#This Row],[مبلغ خالص]]-bargiri[[#This Row],[میزان استهلاک پیش دریافتی]]</f>
        <v>920427843.077492</v>
      </c>
      <c r="L678" s="160" t="s">
        <v>593</v>
      </c>
      <c r="M678" s="159"/>
      <c r="N678" s="159">
        <f>IF(bargiri[[#This Row],[مبلغ واریزی]]&lt;&gt;"",bargiri[[#This Row],[مانده مبلغ]]-bargiri[[#This Row],[مبلغ واریزی]],bargiri[[#This Row],[مانده مبلغ]])</f>
        <v>920427843.077492</v>
      </c>
      <c r="O678" s="159" t="s">
        <v>593</v>
      </c>
      <c r="P678" s="159">
        <f>VLOOKUP(bargiri[[#This Row],[شماره سند مبنا]],invoice[[شماره پیش فاکتور]:[پیش دریافت به ازای هر کیلوگرم]],14,0)</f>
        <v>32818.251598191426</v>
      </c>
      <c r="Q678" s="159">
        <f>IF(bargiri[[#This Row],[مبلغ ناخالص]]-(bargiri[[#This Row],[نرخ استهلاک]]*bargiri[[#This Row],[مقدار]])&lt;0,0,bargiri[[#This Row],[مبلغ ناخالص]]-(bargiri[[#This Row],[نرخ استهلاک]]*bargiri[[#This Row],[مقدار]]))</f>
        <v>814495843.077492</v>
      </c>
    </row>
    <row r="679" spans="1:17" s="22" customFormat="1" ht="13.8" x14ac:dyDescent="0.25">
      <c r="A679" s="22">
        <v>836</v>
      </c>
      <c r="B679" s="22" t="s">
        <v>803</v>
      </c>
      <c r="C679" s="22" t="s">
        <v>456</v>
      </c>
      <c r="D679" s="22" t="s">
        <v>213</v>
      </c>
      <c r="E679" s="158">
        <v>20005</v>
      </c>
      <c r="F679" s="159">
        <v>142000</v>
      </c>
      <c r="G679" s="159">
        <v>2840710000</v>
      </c>
      <c r="H679" s="159">
        <v>284071000</v>
      </c>
      <c r="I679" s="159">
        <v>3124781000</v>
      </c>
      <c r="J679" s="159">
        <f>bargiri[[#This Row],[مقدار]]*INDEX(invoice[پیش دریافت به ازای هر کیلوگرم],MATCH(bargiri[[#This Row],[شماره سند مبنا]],invoice[شماره پیش فاکتور],0))</f>
        <v>2373876095.5043111</v>
      </c>
      <c r="K679" s="159">
        <f>bargiri[[#This Row],[مبلغ خالص]]-bargiri[[#This Row],[میزان استهلاک پیش دریافتی]]</f>
        <v>750904904.49568892</v>
      </c>
      <c r="L679" s="160" t="s">
        <v>392</v>
      </c>
      <c r="M679" s="159"/>
      <c r="N679" s="159">
        <f>IF(bargiri[[#This Row],[مبلغ واریزی]]&lt;&gt;"",bargiri[[#This Row],[مانده مبلغ]]-bargiri[[#This Row],[مبلغ واریزی]],bargiri[[#This Row],[مانده مبلغ]])</f>
        <v>750904904.49568892</v>
      </c>
      <c r="O679" s="159">
        <v>0</v>
      </c>
      <c r="P679" s="159">
        <f>VLOOKUP(bargiri[[#This Row],[شماره سند مبنا]],invoice[[شماره پیش فاکتور]:[پیش دریافت به ازای هر کیلوگرم]],14,0)</f>
        <v>118664.13874053041</v>
      </c>
      <c r="Q679" s="159">
        <f>IF(bargiri[[#This Row],[مبلغ ناخالص]]-(bargiri[[#This Row],[نرخ استهلاک]]*bargiri[[#This Row],[مقدار]])&lt;0,0,bargiri[[#This Row],[مبلغ ناخالص]]-(bargiri[[#This Row],[نرخ استهلاک]]*bargiri[[#This Row],[مقدار]]))</f>
        <v>466833904.49568892</v>
      </c>
    </row>
    <row r="680" spans="1:17" s="22" customFormat="1" ht="13.8" x14ac:dyDescent="0.25">
      <c r="A680" s="22">
        <v>835</v>
      </c>
      <c r="B680" s="22" t="s">
        <v>804</v>
      </c>
      <c r="C680" s="22" t="s">
        <v>616</v>
      </c>
      <c r="D680" s="22" t="s">
        <v>67</v>
      </c>
      <c r="E680" s="158">
        <v>19115</v>
      </c>
      <c r="F680" s="159">
        <v>142000</v>
      </c>
      <c r="G680" s="159">
        <v>2714330000</v>
      </c>
      <c r="H680" s="159">
        <v>271433000</v>
      </c>
      <c r="I680" s="159">
        <v>2985763000</v>
      </c>
      <c r="J680" s="159">
        <f>bargiri[[#This Row],[مقدار]]*INDEX(invoice[پیش دریافت به ازای هر کیلوگرم],MATCH(bargiri[[#This Row],[شماره سند مبنا]],invoice[شماره پیش فاکتور],0))</f>
        <v>447864450</v>
      </c>
      <c r="K680" s="159">
        <f>bargiri[[#This Row],[مبلغ خالص]]-bargiri[[#This Row],[میزان استهلاک پیش دریافتی]]</f>
        <v>2537898550</v>
      </c>
      <c r="L680" s="160" t="s">
        <v>593</v>
      </c>
      <c r="M680" s="159"/>
      <c r="N680" s="159">
        <f>IF(bargiri[[#This Row],[مبلغ واریزی]]&lt;&gt;"",bargiri[[#This Row],[مانده مبلغ]]-bargiri[[#This Row],[مبلغ واریزی]],bargiri[[#This Row],[مانده مبلغ]])</f>
        <v>2537898550</v>
      </c>
      <c r="O680" s="159" t="s">
        <v>593</v>
      </c>
      <c r="P680" s="159">
        <f>VLOOKUP(bargiri[[#This Row],[شماره سند مبنا]],invoice[[شماره پیش فاکتور]:[پیش دریافت به ازای هر کیلوگرم]],14,0)</f>
        <v>23430</v>
      </c>
      <c r="Q680" s="159">
        <f>IF(bargiri[[#This Row],[مبلغ ناخالص]]-(bargiri[[#This Row],[نرخ استهلاک]]*bargiri[[#This Row],[مقدار]])&lt;0,0,bargiri[[#This Row],[مبلغ ناخالص]]-(bargiri[[#This Row],[نرخ استهلاک]]*bargiri[[#This Row],[مقدار]]))</f>
        <v>2266465550</v>
      </c>
    </row>
    <row r="681" spans="1:17" s="22" customFormat="1" ht="13.8" x14ac:dyDescent="0.25">
      <c r="A681" s="22">
        <v>834</v>
      </c>
      <c r="B681" s="22" t="s">
        <v>804</v>
      </c>
      <c r="C681" s="22" t="s">
        <v>189</v>
      </c>
      <c r="D681" s="22" t="s">
        <v>173</v>
      </c>
      <c r="E681" s="158">
        <v>20930</v>
      </c>
      <c r="F681" s="159">
        <v>75000</v>
      </c>
      <c r="G681" s="159">
        <v>1569750000</v>
      </c>
      <c r="H681" s="159">
        <v>156975000</v>
      </c>
      <c r="I681" s="159">
        <v>1726725000</v>
      </c>
      <c r="J681" s="159">
        <f>bargiri[[#This Row],[مقدار]]*INDEX(invoice[پیش دریافت به ازای هر کیلوگرم],MATCH(bargiri[[#This Row],[شماره سند مبنا]],invoice[شماره پیش فاکتور],0))</f>
        <v>259008750</v>
      </c>
      <c r="K681" s="159">
        <f>bargiri[[#This Row],[مبلغ خالص]]-bargiri[[#This Row],[میزان استهلاک پیش دریافتی]]</f>
        <v>1467716250</v>
      </c>
      <c r="L681" s="160" t="s">
        <v>593</v>
      </c>
      <c r="M681" s="159"/>
      <c r="N681" s="159">
        <f>IF(bargiri[[#This Row],[مبلغ واریزی]]&lt;&gt;"",bargiri[[#This Row],[مانده مبلغ]]-bargiri[[#This Row],[مبلغ واریزی]],bargiri[[#This Row],[مانده مبلغ]])</f>
        <v>1467716250</v>
      </c>
      <c r="O681" s="159" t="s">
        <v>593</v>
      </c>
      <c r="P681" s="159">
        <f>VLOOKUP(bargiri[[#This Row],[شماره سند مبنا]],invoice[[شماره پیش فاکتور]:[پیش دریافت به ازای هر کیلوگرم]],14,0)</f>
        <v>12375</v>
      </c>
      <c r="Q681" s="159">
        <f>IF(bargiri[[#This Row],[مبلغ ناخالص]]-(bargiri[[#This Row],[نرخ استهلاک]]*bargiri[[#This Row],[مقدار]])&lt;0,0,bargiri[[#This Row],[مبلغ ناخالص]]-(bargiri[[#This Row],[نرخ استهلاک]]*bargiri[[#This Row],[مقدار]]))</f>
        <v>1310741250</v>
      </c>
    </row>
    <row r="682" spans="1:17" s="22" customFormat="1" ht="13.8" x14ac:dyDescent="0.25">
      <c r="A682" s="22">
        <v>833</v>
      </c>
      <c r="B682" s="22" t="s">
        <v>805</v>
      </c>
      <c r="C682" s="22" t="s">
        <v>72</v>
      </c>
      <c r="D682" s="22" t="s">
        <v>73</v>
      </c>
      <c r="E682" s="158">
        <v>20975</v>
      </c>
      <c r="F682" s="159">
        <v>57273</v>
      </c>
      <c r="G682" s="159">
        <v>1201301175</v>
      </c>
      <c r="H682" s="159">
        <v>120130118</v>
      </c>
      <c r="I682" s="159">
        <v>1321431293</v>
      </c>
      <c r="J682" s="159" t="e">
        <f>bargiri[[#This Row],[مقدار]]*INDEX(invoice[پیش دریافت به ازای هر کیلوگرم],MATCH(bargiri[[#This Row],[شماره سند مبنا]],invoice[شماره پیش فاکتور],0))</f>
        <v>#N/A</v>
      </c>
      <c r="K682" s="159" t="e">
        <f>bargiri[[#This Row],[مبلغ خالص]]-bargiri[[#This Row],[میزان استهلاک پیش دریافتی]]</f>
        <v>#N/A</v>
      </c>
      <c r="L682" s="160" t="s">
        <v>593</v>
      </c>
      <c r="M682" s="159"/>
      <c r="N682" s="159" t="e">
        <f>IF(bargiri[[#This Row],[مبلغ واریزی]]&lt;&gt;"",bargiri[[#This Row],[مانده مبلغ]]-bargiri[[#This Row],[مبلغ واریزی]],bargiri[[#This Row],[مانده مبلغ]])</f>
        <v>#N/A</v>
      </c>
      <c r="O682" s="159" t="s">
        <v>593</v>
      </c>
      <c r="P682" s="159" t="e">
        <f>VLOOKUP(bargiri[[#This Row],[شماره سند مبنا]],invoice[[شماره پیش فاکتور]:[پیش دریافت به ازای هر کیلوگرم]],14,0)</f>
        <v>#N/A</v>
      </c>
      <c r="Q682" s="159" t="e">
        <f>IF(bargiri[[#This Row],[مبلغ ناخالص]]-(bargiri[[#This Row],[نرخ استهلاک]]*bargiri[[#This Row],[مقدار]])&lt;0,0,bargiri[[#This Row],[مبلغ ناخالص]]-(bargiri[[#This Row],[نرخ استهلاک]]*bargiri[[#This Row],[مقدار]]))</f>
        <v>#N/A</v>
      </c>
    </row>
    <row r="683" spans="1:17" s="22" customFormat="1" ht="13.8" x14ac:dyDescent="0.25">
      <c r="A683" s="22">
        <v>832</v>
      </c>
      <c r="B683" s="22" t="s">
        <v>805</v>
      </c>
      <c r="C683" s="22" t="s">
        <v>72</v>
      </c>
      <c r="D683" s="22" t="s">
        <v>73</v>
      </c>
      <c r="E683" s="158">
        <v>20660</v>
      </c>
      <c r="F683" s="159">
        <v>57273</v>
      </c>
      <c r="G683" s="159">
        <v>1183260180</v>
      </c>
      <c r="H683" s="159">
        <v>118326018</v>
      </c>
      <c r="I683" s="159">
        <v>1301586198</v>
      </c>
      <c r="J683" s="159" t="e">
        <f>bargiri[[#This Row],[مقدار]]*INDEX(invoice[پیش دریافت به ازای هر کیلوگرم],MATCH(bargiri[[#This Row],[شماره سند مبنا]],invoice[شماره پیش فاکتور],0))</f>
        <v>#N/A</v>
      </c>
      <c r="K683" s="159" t="e">
        <f>bargiri[[#This Row],[مبلغ خالص]]-bargiri[[#This Row],[میزان استهلاک پیش دریافتی]]</f>
        <v>#N/A</v>
      </c>
      <c r="L683" s="160" t="s">
        <v>593</v>
      </c>
      <c r="M683" s="159"/>
      <c r="N683" s="159" t="e">
        <f>IF(bargiri[[#This Row],[مبلغ واریزی]]&lt;&gt;"",bargiri[[#This Row],[مانده مبلغ]]-bargiri[[#This Row],[مبلغ واریزی]],bargiri[[#This Row],[مانده مبلغ]])</f>
        <v>#N/A</v>
      </c>
      <c r="O683" s="159" t="s">
        <v>593</v>
      </c>
      <c r="P683" s="159" t="e">
        <f>VLOOKUP(bargiri[[#This Row],[شماره سند مبنا]],invoice[[شماره پیش فاکتور]:[پیش دریافت به ازای هر کیلوگرم]],14,0)</f>
        <v>#N/A</v>
      </c>
      <c r="Q683" s="159" t="e">
        <f>IF(bargiri[[#This Row],[مبلغ ناخالص]]-(bargiri[[#This Row],[نرخ استهلاک]]*bargiri[[#This Row],[مقدار]])&lt;0,0,bargiri[[#This Row],[مبلغ ناخالص]]-(bargiri[[#This Row],[نرخ استهلاک]]*bargiri[[#This Row],[مقدار]]))</f>
        <v>#N/A</v>
      </c>
    </row>
    <row r="684" spans="1:17" s="22" customFormat="1" ht="13.8" x14ac:dyDescent="0.25">
      <c r="A684" s="22">
        <v>831</v>
      </c>
      <c r="B684" s="22" t="s">
        <v>806</v>
      </c>
      <c r="C684" s="22" t="s">
        <v>107</v>
      </c>
      <c r="D684" s="22" t="s">
        <v>30</v>
      </c>
      <c r="E684" s="158">
        <v>11370</v>
      </c>
      <c r="F684" s="159">
        <v>70000</v>
      </c>
      <c r="G684" s="159">
        <v>795900000</v>
      </c>
      <c r="H684" s="159">
        <v>79590000</v>
      </c>
      <c r="I684" s="159">
        <v>875490000</v>
      </c>
      <c r="J684" s="159">
        <f>bargiri[[#This Row],[مقدار]]*INDEX(invoice[پیش دریافت به ازای هر کیلوگرم],MATCH(bargiri[[#This Row],[شماره سند مبنا]],invoice[شماره پیش فاکتور],0))</f>
        <v>437745000</v>
      </c>
      <c r="K684" s="159">
        <f>bargiri[[#This Row],[مبلغ خالص]]-bargiri[[#This Row],[میزان استهلاک پیش دریافتی]]</f>
        <v>437745000</v>
      </c>
      <c r="L684" s="160" t="s">
        <v>593</v>
      </c>
      <c r="M684" s="159"/>
      <c r="N684" s="159">
        <f>IF(bargiri[[#This Row],[مبلغ واریزی]]&lt;&gt;"",bargiri[[#This Row],[مانده مبلغ]]-bargiri[[#This Row],[مبلغ واریزی]],bargiri[[#This Row],[مانده مبلغ]])</f>
        <v>437745000</v>
      </c>
      <c r="O684" s="159" t="s">
        <v>593</v>
      </c>
      <c r="P684" s="159">
        <f>VLOOKUP(bargiri[[#This Row],[شماره سند مبنا]],invoice[[شماره پیش فاکتور]:[پیش دریافت به ازای هر کیلوگرم]],14,0)</f>
        <v>38500</v>
      </c>
      <c r="Q684" s="159">
        <f>IF(bargiri[[#This Row],[مبلغ ناخالص]]-(bargiri[[#This Row],[نرخ استهلاک]]*bargiri[[#This Row],[مقدار]])&lt;0,0,bargiri[[#This Row],[مبلغ ناخالص]]-(bargiri[[#This Row],[نرخ استهلاک]]*bargiri[[#This Row],[مقدار]]))</f>
        <v>358155000</v>
      </c>
    </row>
    <row r="685" spans="1:17" s="22" customFormat="1" ht="13.8" x14ac:dyDescent="0.25">
      <c r="A685" s="22">
        <v>830</v>
      </c>
      <c r="B685" s="22" t="s">
        <v>806</v>
      </c>
      <c r="C685" s="22" t="s">
        <v>182</v>
      </c>
      <c r="D685" s="22" t="s">
        <v>20</v>
      </c>
      <c r="E685" s="158">
        <v>20250</v>
      </c>
      <c r="F685" s="159">
        <v>86500</v>
      </c>
      <c r="G685" s="159">
        <v>1751625000</v>
      </c>
      <c r="H685" s="159">
        <v>175162500</v>
      </c>
      <c r="I685" s="159">
        <v>1926787500</v>
      </c>
      <c r="J685" s="159">
        <f>bargiri[[#This Row],[مقدار]]*INDEX(invoice[پیش دریافت به ازای هر کیلوگرم],MATCH(bargiri[[#This Row],[شماره سند مبنا]],invoice[شماره پیش فاکتور],0))</f>
        <v>262743750</v>
      </c>
      <c r="K685" s="159">
        <f>bargiri[[#This Row],[مبلغ خالص]]-bargiri[[#This Row],[میزان استهلاک پیش دریافتی]]</f>
        <v>1664043750</v>
      </c>
      <c r="L685" s="160" t="s">
        <v>593</v>
      </c>
      <c r="M685" s="159"/>
      <c r="N685" s="159">
        <f>IF(bargiri[[#This Row],[مبلغ واریزی]]&lt;&gt;"",bargiri[[#This Row],[مانده مبلغ]]-bargiri[[#This Row],[مبلغ واریزی]],bargiri[[#This Row],[مانده مبلغ]])</f>
        <v>1664043750</v>
      </c>
      <c r="O685" s="159" t="s">
        <v>593</v>
      </c>
      <c r="P685" s="159">
        <f>VLOOKUP(bargiri[[#This Row],[شماره سند مبنا]],invoice[[شماره پیش فاکتور]:[پیش دریافت به ازای هر کیلوگرم]],14,0)</f>
        <v>12975</v>
      </c>
      <c r="Q685" s="159">
        <f>IF(bargiri[[#This Row],[مبلغ ناخالص]]-(bargiri[[#This Row],[نرخ استهلاک]]*bargiri[[#This Row],[مقدار]])&lt;0,0,bargiri[[#This Row],[مبلغ ناخالص]]-(bargiri[[#This Row],[نرخ استهلاک]]*bargiri[[#This Row],[مقدار]]))</f>
        <v>1488881250</v>
      </c>
    </row>
    <row r="686" spans="1:17" s="22" customFormat="1" ht="13.8" x14ac:dyDescent="0.25">
      <c r="A686" s="22">
        <v>829</v>
      </c>
      <c r="B686" s="22" t="s">
        <v>806</v>
      </c>
      <c r="C686" s="22" t="s">
        <v>464</v>
      </c>
      <c r="D686" s="22" t="s">
        <v>221</v>
      </c>
      <c r="E686" s="158">
        <v>14535</v>
      </c>
      <c r="F686" s="159">
        <v>142000</v>
      </c>
      <c r="G686" s="159">
        <v>2063970000</v>
      </c>
      <c r="H686" s="159">
        <v>206397000</v>
      </c>
      <c r="I686" s="159">
        <v>2270367000</v>
      </c>
      <c r="J686" s="159">
        <f>bargiri[[#This Row],[مقدار]]*INDEX(invoice[پیش دریافت به ازای هر کیلوگرم],MATCH(bargiri[[#This Row],[شماره سند مبنا]],invoice[شماره پیش فاکتور],0))</f>
        <v>340555050</v>
      </c>
      <c r="K686" s="159">
        <f>bargiri[[#This Row],[مبلغ خالص]]-bargiri[[#This Row],[میزان استهلاک پیش دریافتی]]</f>
        <v>1929811950</v>
      </c>
      <c r="L686" s="160" t="s">
        <v>593</v>
      </c>
      <c r="M686" s="159"/>
      <c r="N686" s="159">
        <f>IF(bargiri[[#This Row],[مبلغ واریزی]]&lt;&gt;"",bargiri[[#This Row],[مانده مبلغ]]-bargiri[[#This Row],[مبلغ واریزی]],bargiri[[#This Row],[مانده مبلغ]])</f>
        <v>1929811950</v>
      </c>
      <c r="O686" s="159" t="s">
        <v>593</v>
      </c>
      <c r="P686" s="159">
        <f>VLOOKUP(bargiri[[#This Row],[شماره سند مبنا]],invoice[[شماره پیش فاکتور]:[پیش دریافت به ازای هر کیلوگرم]],14,0)</f>
        <v>23430</v>
      </c>
      <c r="Q686" s="159">
        <f>IF(bargiri[[#This Row],[مبلغ ناخالص]]-(bargiri[[#This Row],[نرخ استهلاک]]*bargiri[[#This Row],[مقدار]])&lt;0,0,bargiri[[#This Row],[مبلغ ناخالص]]-(bargiri[[#This Row],[نرخ استهلاک]]*bargiri[[#This Row],[مقدار]]))</f>
        <v>1723414950</v>
      </c>
    </row>
    <row r="687" spans="1:17" s="22" customFormat="1" ht="13.8" x14ac:dyDescent="0.25">
      <c r="A687" s="22">
        <v>828</v>
      </c>
      <c r="B687" s="22" t="s">
        <v>807</v>
      </c>
      <c r="C687" s="22" t="s">
        <v>463</v>
      </c>
      <c r="D687" s="22" t="s">
        <v>207</v>
      </c>
      <c r="E687" s="158">
        <v>6660</v>
      </c>
      <c r="F687" s="159">
        <v>142000</v>
      </c>
      <c r="G687" s="159">
        <v>945720000</v>
      </c>
      <c r="H687" s="159">
        <v>94572000</v>
      </c>
      <c r="I687" s="159">
        <v>1040292000</v>
      </c>
      <c r="J687" s="159">
        <f>bargiri[[#This Row],[مقدار]]*INDEX(invoice[پیش دریافت به ازای هر کیلوگرم],MATCH(bargiri[[#This Row],[شماره سند مبنا]],invoice[شماره پیش فاکتور],0))</f>
        <v>200510107.12401056</v>
      </c>
      <c r="K687" s="159">
        <f>bargiri[[#This Row],[مبلغ خالص]]-bargiri[[#This Row],[میزان استهلاک پیش دریافتی]]</f>
        <v>839781892.87598944</v>
      </c>
      <c r="L687" s="160" t="s">
        <v>593</v>
      </c>
      <c r="M687" s="159"/>
      <c r="N687" s="159">
        <f>IF(bargiri[[#This Row],[مبلغ واریزی]]&lt;&gt;"",bargiri[[#This Row],[مانده مبلغ]]-bargiri[[#This Row],[مبلغ واریزی]],bargiri[[#This Row],[مانده مبلغ]])</f>
        <v>839781892.87598944</v>
      </c>
      <c r="O687" s="159" t="s">
        <v>593</v>
      </c>
      <c r="P687" s="159">
        <f>VLOOKUP(bargiri[[#This Row],[شماره سند مبنا]],invoice[[شماره پیش فاکتور]:[پیش دریافت به ازای هر کیلوگرم]],14,0)</f>
        <v>30106.622691292876</v>
      </c>
      <c r="Q687" s="159">
        <f>IF(bargiri[[#This Row],[مبلغ ناخالص]]-(bargiri[[#This Row],[نرخ استهلاک]]*bargiri[[#This Row],[مقدار]])&lt;0,0,bargiri[[#This Row],[مبلغ ناخالص]]-(bargiri[[#This Row],[نرخ استهلاک]]*bargiri[[#This Row],[مقدار]]))</f>
        <v>745209892.87598944</v>
      </c>
    </row>
    <row r="688" spans="1:17" s="22" customFormat="1" ht="13.8" x14ac:dyDescent="0.25">
      <c r="A688" s="22">
        <v>827</v>
      </c>
      <c r="B688" s="22" t="s">
        <v>807</v>
      </c>
      <c r="C688" s="22" t="s">
        <v>652</v>
      </c>
      <c r="D688" s="22" t="s">
        <v>70</v>
      </c>
      <c r="E688" s="158">
        <v>9950</v>
      </c>
      <c r="F688" s="159">
        <v>83000</v>
      </c>
      <c r="G688" s="159">
        <v>825850000</v>
      </c>
      <c r="H688" s="159">
        <v>82585000</v>
      </c>
      <c r="I688" s="159">
        <v>908435000</v>
      </c>
      <c r="J688" s="159">
        <f>bargiri[[#This Row],[مقدار]]*INDEX(invoice[پیش دریافت به ازای هر کیلوگرم],MATCH(bargiri[[#This Row],[شماره سند مبنا]],invoice[شماره پیش فاکتور],0))</f>
        <v>136265250</v>
      </c>
      <c r="K688" s="159">
        <f>bargiri[[#This Row],[مبلغ خالص]]-bargiri[[#This Row],[میزان استهلاک پیش دریافتی]]</f>
        <v>772169750</v>
      </c>
      <c r="L688" s="160" t="s">
        <v>593</v>
      </c>
      <c r="M688" s="159"/>
      <c r="N688" s="159">
        <f>IF(bargiri[[#This Row],[مبلغ واریزی]]&lt;&gt;"",bargiri[[#This Row],[مانده مبلغ]]-bargiri[[#This Row],[مبلغ واریزی]],bargiri[[#This Row],[مانده مبلغ]])</f>
        <v>772169750</v>
      </c>
      <c r="O688" s="159" t="s">
        <v>593</v>
      </c>
      <c r="P688" s="159">
        <f>VLOOKUP(bargiri[[#This Row],[شماره سند مبنا]],invoice[[شماره پیش فاکتور]:[پیش دریافت به ازای هر کیلوگرم]],14,0)</f>
        <v>13695</v>
      </c>
      <c r="Q688" s="159">
        <f>IF(bargiri[[#This Row],[مبلغ ناخالص]]-(bargiri[[#This Row],[نرخ استهلاک]]*bargiri[[#This Row],[مقدار]])&lt;0,0,bargiri[[#This Row],[مبلغ ناخالص]]-(bargiri[[#This Row],[نرخ استهلاک]]*bargiri[[#This Row],[مقدار]]))</f>
        <v>689584750</v>
      </c>
    </row>
    <row r="689" spans="1:17" s="22" customFormat="1" ht="13.8" x14ac:dyDescent="0.25">
      <c r="A689" s="22">
        <v>827</v>
      </c>
      <c r="B689" s="22" t="s">
        <v>807</v>
      </c>
      <c r="C689" s="22" t="s">
        <v>668</v>
      </c>
      <c r="D689" s="22" t="s">
        <v>70</v>
      </c>
      <c r="E689" s="158">
        <v>10150</v>
      </c>
      <c r="F689" s="159">
        <v>116500</v>
      </c>
      <c r="G689" s="159">
        <v>1182475000</v>
      </c>
      <c r="H689" s="159">
        <v>118247500</v>
      </c>
      <c r="I689" s="159">
        <v>1300722500</v>
      </c>
      <c r="J689" s="159">
        <f>bargiri[[#This Row],[مقدار]]*INDEX(invoice[پیش دریافت به ازای هر کیلوگرم],MATCH(bargiri[[#This Row],[شماره سند مبنا]],invoice[شماره پیش فاکتور],0))</f>
        <v>195108375</v>
      </c>
      <c r="K689" s="159">
        <f>bargiri[[#This Row],[مبلغ خالص]]-bargiri[[#This Row],[میزان استهلاک پیش دریافتی]]</f>
        <v>1105614125</v>
      </c>
      <c r="L689" s="160" t="s">
        <v>593</v>
      </c>
      <c r="M689" s="159"/>
      <c r="N689" s="159">
        <f>IF(bargiri[[#This Row],[مبلغ واریزی]]&lt;&gt;"",bargiri[[#This Row],[مانده مبلغ]]-bargiri[[#This Row],[مبلغ واریزی]],bargiri[[#This Row],[مانده مبلغ]])</f>
        <v>1105614125</v>
      </c>
      <c r="O689" s="159" t="s">
        <v>593</v>
      </c>
      <c r="P689" s="159">
        <f>VLOOKUP(bargiri[[#This Row],[شماره سند مبنا]],invoice[[شماره پیش فاکتور]:[پیش دریافت به ازای هر کیلوگرم]],14,0)</f>
        <v>19222.5</v>
      </c>
      <c r="Q689" s="159">
        <f>IF(bargiri[[#This Row],[مبلغ ناخالص]]-(bargiri[[#This Row],[نرخ استهلاک]]*bargiri[[#This Row],[مقدار]])&lt;0,0,bargiri[[#This Row],[مبلغ ناخالص]]-(bargiri[[#This Row],[نرخ استهلاک]]*bargiri[[#This Row],[مقدار]]))</f>
        <v>987366625</v>
      </c>
    </row>
    <row r="690" spans="1:17" s="22" customFormat="1" ht="13.8" x14ac:dyDescent="0.25">
      <c r="A690" s="22">
        <v>826</v>
      </c>
      <c r="B690" s="22" t="s">
        <v>807</v>
      </c>
      <c r="C690" s="22" t="s">
        <v>706</v>
      </c>
      <c r="D690" s="22" t="s">
        <v>67</v>
      </c>
      <c r="E690" s="158">
        <v>20020</v>
      </c>
      <c r="F690" s="159">
        <v>210000</v>
      </c>
      <c r="G690" s="159">
        <v>4204200000</v>
      </c>
      <c r="H690" s="159">
        <v>420420000</v>
      </c>
      <c r="I690" s="159">
        <v>4624620000</v>
      </c>
      <c r="J690" s="159">
        <f>bargiri[[#This Row],[مقدار]]*INDEX(invoice[پیش دریافت به ازای هر کیلوگرم],MATCH(bargiri[[#This Row],[شماره سند مبنا]],invoice[شماره پیش فاکتور],0))</f>
        <v>4624620000</v>
      </c>
      <c r="K690" s="159">
        <f>bargiri[[#This Row],[مبلغ خالص]]-bargiri[[#This Row],[میزان استهلاک پیش دریافتی]]</f>
        <v>0</v>
      </c>
      <c r="L690" s="160" t="s">
        <v>593</v>
      </c>
      <c r="M690" s="159"/>
      <c r="N690" s="159">
        <f>IF(bargiri[[#This Row],[مبلغ واریزی]]&lt;&gt;"",bargiri[[#This Row],[مانده مبلغ]]-bargiri[[#This Row],[مبلغ واریزی]],bargiri[[#This Row],[مانده مبلغ]])</f>
        <v>0</v>
      </c>
      <c r="O690" s="159" t="s">
        <v>593</v>
      </c>
      <c r="P690" s="159">
        <f>VLOOKUP(bargiri[[#This Row],[شماره سند مبنا]],invoice[[شماره پیش فاکتور]:[پیش دریافت به ازای هر کیلوگرم]],14,0)</f>
        <v>231000</v>
      </c>
      <c r="Q690" s="159">
        <f>IF(bargiri[[#This Row],[مبلغ ناخالص]]-(bargiri[[#This Row],[نرخ استهلاک]]*bargiri[[#This Row],[مقدار]])&lt;0,0,bargiri[[#This Row],[مبلغ ناخالص]]-(bargiri[[#This Row],[نرخ استهلاک]]*bargiri[[#This Row],[مقدار]]))</f>
        <v>0</v>
      </c>
    </row>
    <row r="691" spans="1:17" s="22" customFormat="1" ht="13.8" x14ac:dyDescent="0.25">
      <c r="A691" s="22">
        <v>825</v>
      </c>
      <c r="B691" s="22" t="s">
        <v>618</v>
      </c>
      <c r="C691" s="22" t="s">
        <v>644</v>
      </c>
      <c r="D691" s="22" t="s">
        <v>67</v>
      </c>
      <c r="E691" s="158">
        <v>20220</v>
      </c>
      <c r="F691" s="159">
        <v>95000</v>
      </c>
      <c r="G691" s="159">
        <v>1920900000</v>
      </c>
      <c r="H691" s="159">
        <v>192090000</v>
      </c>
      <c r="I691" s="159">
        <v>2112990000</v>
      </c>
      <c r="J691" s="159">
        <f>bargiri[[#This Row],[مقدار]]*INDEX(invoice[پیش دریافت به ازای هر کیلوگرم],MATCH(bargiri[[#This Row],[شماره سند مبنا]],invoice[شماره پیش فاکتور],0))</f>
        <v>614804565.87426925</v>
      </c>
      <c r="K691" s="159">
        <f>bargiri[[#This Row],[مبلغ خالص]]-bargiri[[#This Row],[میزان استهلاک پیش دریافتی]]</f>
        <v>1498185434.1257308</v>
      </c>
      <c r="L691" s="160" t="s">
        <v>593</v>
      </c>
      <c r="M691" s="159"/>
      <c r="N691" s="159">
        <f>IF(bargiri[[#This Row],[مبلغ واریزی]]&lt;&gt;"",bargiri[[#This Row],[مانده مبلغ]]-bargiri[[#This Row],[مبلغ واریزی]],bargiri[[#This Row],[مانده مبلغ]])</f>
        <v>1498185434.1257308</v>
      </c>
      <c r="O691" s="159" t="s">
        <v>593</v>
      </c>
      <c r="P691" s="159">
        <f>VLOOKUP(bargiri[[#This Row],[شماره سند مبنا]],invoice[[شماره پیش فاکتور]:[پیش دریافت به ازای هر کیلوگرم]],14,0)</f>
        <v>30405.764880033101</v>
      </c>
      <c r="Q691" s="159">
        <f>IF(bargiri[[#This Row],[مبلغ ناخالص]]-(bargiri[[#This Row],[نرخ استهلاک]]*bargiri[[#This Row],[مقدار]])&lt;0,0,bargiri[[#This Row],[مبلغ ناخالص]]-(bargiri[[#This Row],[نرخ استهلاک]]*bargiri[[#This Row],[مقدار]]))</f>
        <v>1306095434.1257308</v>
      </c>
    </row>
    <row r="692" spans="1:17" s="22" customFormat="1" ht="13.8" x14ac:dyDescent="0.25">
      <c r="A692" s="22">
        <v>824</v>
      </c>
      <c r="B692" s="22" t="s">
        <v>618</v>
      </c>
      <c r="C692" s="22" t="s">
        <v>72</v>
      </c>
      <c r="D692" s="22" t="s">
        <v>73</v>
      </c>
      <c r="E692" s="158">
        <v>20450</v>
      </c>
      <c r="F692" s="159">
        <v>57273</v>
      </c>
      <c r="G692" s="159">
        <v>1171232850</v>
      </c>
      <c r="H692" s="159">
        <v>117123285</v>
      </c>
      <c r="I692" s="159">
        <v>1288356135</v>
      </c>
      <c r="J692" s="159" t="e">
        <f>bargiri[[#This Row],[مقدار]]*INDEX(invoice[پیش دریافت به ازای هر کیلوگرم],MATCH(bargiri[[#This Row],[شماره سند مبنا]],invoice[شماره پیش فاکتور],0))</f>
        <v>#N/A</v>
      </c>
      <c r="K692" s="159" t="e">
        <f>bargiri[[#This Row],[مبلغ خالص]]-bargiri[[#This Row],[میزان استهلاک پیش دریافتی]]</f>
        <v>#N/A</v>
      </c>
      <c r="L692" s="160" t="s">
        <v>593</v>
      </c>
      <c r="M692" s="159"/>
      <c r="N692" s="159" t="e">
        <f>IF(bargiri[[#This Row],[مبلغ واریزی]]&lt;&gt;"",bargiri[[#This Row],[مانده مبلغ]]-bargiri[[#This Row],[مبلغ واریزی]],bargiri[[#This Row],[مانده مبلغ]])</f>
        <v>#N/A</v>
      </c>
      <c r="O692" s="159" t="s">
        <v>593</v>
      </c>
      <c r="P692" s="159" t="e">
        <f>VLOOKUP(bargiri[[#This Row],[شماره سند مبنا]],invoice[[شماره پیش فاکتور]:[پیش دریافت به ازای هر کیلوگرم]],14,0)</f>
        <v>#N/A</v>
      </c>
      <c r="Q692" s="159" t="e">
        <f>IF(bargiri[[#This Row],[مبلغ ناخالص]]-(bargiri[[#This Row],[نرخ استهلاک]]*bargiri[[#This Row],[مقدار]])&lt;0,0,bargiri[[#This Row],[مبلغ ناخالص]]-(bargiri[[#This Row],[نرخ استهلاک]]*bargiri[[#This Row],[مقدار]]))</f>
        <v>#N/A</v>
      </c>
    </row>
    <row r="693" spans="1:17" s="22" customFormat="1" ht="13.8" x14ac:dyDescent="0.25">
      <c r="A693" s="22">
        <v>823</v>
      </c>
      <c r="B693" s="22" t="s">
        <v>618</v>
      </c>
      <c r="C693" s="22" t="s">
        <v>796</v>
      </c>
      <c r="D693" s="22" t="s">
        <v>17</v>
      </c>
      <c r="E693" s="158">
        <v>22195</v>
      </c>
      <c r="F693" s="159">
        <v>79520</v>
      </c>
      <c r="G693" s="159">
        <v>1764946400</v>
      </c>
      <c r="H693" s="159">
        <v>176494640</v>
      </c>
      <c r="I693" s="159">
        <v>1941441040</v>
      </c>
      <c r="J693" s="159">
        <f>bargiri[[#This Row],[مقدار]]*INDEX(invoice[پیش دریافت به ازای هر کیلوگرم],MATCH(bargiri[[#This Row],[شماره سند مبنا]],invoice[شماره پیش فاکتور],0))</f>
        <v>291216156</v>
      </c>
      <c r="K693" s="159">
        <f>bargiri[[#This Row],[مبلغ خالص]]-bargiri[[#This Row],[میزان استهلاک پیش دریافتی]]</f>
        <v>1650224884</v>
      </c>
      <c r="L693" s="160" t="s">
        <v>593</v>
      </c>
      <c r="M693" s="159"/>
      <c r="N693" s="159">
        <f>IF(bargiri[[#This Row],[مبلغ واریزی]]&lt;&gt;"",bargiri[[#This Row],[مانده مبلغ]]-bargiri[[#This Row],[مبلغ واریزی]],bargiri[[#This Row],[مانده مبلغ]])</f>
        <v>1650224884</v>
      </c>
      <c r="O693" s="159" t="s">
        <v>593</v>
      </c>
      <c r="P693" s="159">
        <f>VLOOKUP(bargiri[[#This Row],[شماره سند مبنا]],invoice[[شماره پیش فاکتور]:[پیش دریافت به ازای هر کیلوگرم]],14,0)</f>
        <v>13120.8</v>
      </c>
      <c r="Q693" s="159">
        <f>IF(bargiri[[#This Row],[مبلغ ناخالص]]-(bargiri[[#This Row],[نرخ استهلاک]]*bargiri[[#This Row],[مقدار]])&lt;0,0,bargiri[[#This Row],[مبلغ ناخالص]]-(bargiri[[#This Row],[نرخ استهلاک]]*bargiri[[#This Row],[مقدار]]))</f>
        <v>1473730244</v>
      </c>
    </row>
    <row r="694" spans="1:17" s="22" customFormat="1" ht="13.8" x14ac:dyDescent="0.25">
      <c r="A694" s="22">
        <v>822</v>
      </c>
      <c r="B694" s="22" t="s">
        <v>618</v>
      </c>
      <c r="C694" s="22" t="s">
        <v>671</v>
      </c>
      <c r="D694" s="22" t="s">
        <v>40</v>
      </c>
      <c r="E694" s="158">
        <v>13545</v>
      </c>
      <c r="F694" s="159">
        <v>167500</v>
      </c>
      <c r="G694" s="159">
        <v>2268787500</v>
      </c>
      <c r="H694" s="159">
        <v>226878750</v>
      </c>
      <c r="I694" s="159">
        <v>2495666250</v>
      </c>
      <c r="J694" s="159">
        <f>bargiri[[#This Row],[مقدار]]*INDEX(invoice[پیش دریافت به ازای هر کیلوگرم],MATCH(bargiri[[#This Row],[شماره سند مبنا]],invoice[شماره پیش فاکتور],0))</f>
        <v>2495666250</v>
      </c>
      <c r="K694" s="159">
        <f>bargiri[[#This Row],[مبلغ خالص]]-bargiri[[#This Row],[میزان استهلاک پیش دریافتی]]</f>
        <v>0</v>
      </c>
      <c r="L694" s="160" t="s">
        <v>593</v>
      </c>
      <c r="M694" s="159"/>
      <c r="N694" s="159">
        <f>IF(bargiri[[#This Row],[مبلغ واریزی]]&lt;&gt;"",bargiri[[#This Row],[مانده مبلغ]]-bargiri[[#This Row],[مبلغ واریزی]],bargiri[[#This Row],[مانده مبلغ]])</f>
        <v>0</v>
      </c>
      <c r="O694" s="159" t="s">
        <v>593</v>
      </c>
      <c r="P694" s="159">
        <f>VLOOKUP(bargiri[[#This Row],[شماره سند مبنا]],invoice[[شماره پیش فاکتور]:[پیش دریافت به ازای هر کیلوگرم]],14,0)</f>
        <v>184250</v>
      </c>
      <c r="Q694" s="159">
        <f>IF(bargiri[[#This Row],[مبلغ ناخالص]]-(bargiri[[#This Row],[نرخ استهلاک]]*bargiri[[#This Row],[مقدار]])&lt;0,0,bargiri[[#This Row],[مبلغ ناخالص]]-(bargiri[[#This Row],[نرخ استهلاک]]*bargiri[[#This Row],[مقدار]]))</f>
        <v>0</v>
      </c>
    </row>
    <row r="695" spans="1:17" s="22" customFormat="1" ht="13.8" x14ac:dyDescent="0.25">
      <c r="A695" s="22">
        <v>822</v>
      </c>
      <c r="B695" s="22" t="s">
        <v>618</v>
      </c>
      <c r="C695" s="22" t="s">
        <v>703</v>
      </c>
      <c r="D695" s="22" t="s">
        <v>40</v>
      </c>
      <c r="E695" s="158">
        <v>4845</v>
      </c>
      <c r="F695" s="159">
        <v>210000</v>
      </c>
      <c r="G695" s="159">
        <v>1017450000</v>
      </c>
      <c r="H695" s="159">
        <v>101745000</v>
      </c>
      <c r="I695" s="159">
        <v>1119195000</v>
      </c>
      <c r="J695" s="159">
        <f>bargiri[[#This Row],[مقدار]]*INDEX(invoice[پیش دریافت به ازای هر کیلوگرم],MATCH(bargiri[[#This Row],[شماره سند مبنا]],invoice[شماره پیش فاکتور],0))</f>
        <v>1119195000</v>
      </c>
      <c r="K695" s="159">
        <f>bargiri[[#This Row],[مبلغ خالص]]-bargiri[[#This Row],[میزان استهلاک پیش دریافتی]]</f>
        <v>0</v>
      </c>
      <c r="L695" s="160" t="s">
        <v>593</v>
      </c>
      <c r="M695" s="159"/>
      <c r="N695" s="159">
        <f>IF(bargiri[[#This Row],[مبلغ واریزی]]&lt;&gt;"",bargiri[[#This Row],[مانده مبلغ]]-bargiri[[#This Row],[مبلغ واریزی]],bargiri[[#This Row],[مانده مبلغ]])</f>
        <v>0</v>
      </c>
      <c r="O695" s="159" t="s">
        <v>593</v>
      </c>
      <c r="P695" s="159">
        <f>VLOOKUP(bargiri[[#This Row],[شماره سند مبنا]],invoice[[شماره پیش فاکتور]:[پیش دریافت به ازای هر کیلوگرم]],14,0)</f>
        <v>231000</v>
      </c>
      <c r="Q695" s="159">
        <f>IF(bargiri[[#This Row],[مبلغ ناخالص]]-(bargiri[[#This Row],[نرخ استهلاک]]*bargiri[[#This Row],[مقدار]])&lt;0,0,bargiri[[#This Row],[مبلغ ناخالص]]-(bargiri[[#This Row],[نرخ استهلاک]]*bargiri[[#This Row],[مقدار]]))</f>
        <v>0</v>
      </c>
    </row>
    <row r="696" spans="1:17" s="22" customFormat="1" ht="13.8" x14ac:dyDescent="0.25">
      <c r="A696" s="22">
        <v>821</v>
      </c>
      <c r="B696" s="22" t="s">
        <v>618</v>
      </c>
      <c r="C696" s="22" t="s">
        <v>617</v>
      </c>
      <c r="D696" s="22" t="s">
        <v>211</v>
      </c>
      <c r="E696" s="158">
        <v>19165</v>
      </c>
      <c r="F696" s="159">
        <v>142000</v>
      </c>
      <c r="G696" s="159">
        <v>2721430000</v>
      </c>
      <c r="H696" s="159">
        <v>272143000</v>
      </c>
      <c r="I696" s="159">
        <v>2993573000</v>
      </c>
      <c r="J696" s="159">
        <f>bargiri[[#This Row],[مقدار]]*INDEX(invoice[پیش دریافت به ازای هر کیلوگرم],MATCH(bargiri[[#This Row],[شماره سند مبنا]],invoice[شماره پیش فاکتور],0))</f>
        <v>861349691.48630071</v>
      </c>
      <c r="K696" s="159">
        <f>bargiri[[#This Row],[مبلغ خالص]]-bargiri[[#This Row],[میزان استهلاک پیش دریافتی]]</f>
        <v>2132223308.5136993</v>
      </c>
      <c r="L696" s="160" t="s">
        <v>593</v>
      </c>
      <c r="M696" s="159"/>
      <c r="N696" s="159">
        <f>IF(bargiri[[#This Row],[مبلغ واریزی]]&lt;&gt;"",bargiri[[#This Row],[مانده مبلغ]]-bargiri[[#This Row],[مبلغ واریزی]],bargiri[[#This Row],[مانده مبلغ]])</f>
        <v>2132223308.5136993</v>
      </c>
      <c r="O696" s="159" t="s">
        <v>593</v>
      </c>
      <c r="P696" s="159">
        <f>VLOOKUP(bargiri[[#This Row],[شماره سند مبنا]],invoice[[شماره پیش فاکتور]:[پیش دریافت به ازای هر کیلوگرم]],14,0)</f>
        <v>44943.892068160749</v>
      </c>
      <c r="Q696" s="159">
        <f>IF(bargiri[[#This Row],[مبلغ ناخالص]]-(bargiri[[#This Row],[نرخ استهلاک]]*bargiri[[#This Row],[مقدار]])&lt;0,0,bargiri[[#This Row],[مبلغ ناخالص]]-(bargiri[[#This Row],[نرخ استهلاک]]*bargiri[[#This Row],[مقدار]]))</f>
        <v>1860080308.5136993</v>
      </c>
    </row>
    <row r="697" spans="1:17" s="22" customFormat="1" ht="13.8" x14ac:dyDescent="0.25">
      <c r="A697" s="22">
        <v>820</v>
      </c>
      <c r="B697" s="22" t="s">
        <v>618</v>
      </c>
      <c r="C697" s="22" t="s">
        <v>72</v>
      </c>
      <c r="D697" s="22" t="s">
        <v>73</v>
      </c>
      <c r="E697" s="158">
        <v>20615</v>
      </c>
      <c r="F697" s="159">
        <v>57273</v>
      </c>
      <c r="G697" s="159">
        <v>1180682895</v>
      </c>
      <c r="H697" s="159">
        <v>118068290</v>
      </c>
      <c r="I697" s="159">
        <v>1298751185</v>
      </c>
      <c r="J697" s="159" t="e">
        <f>bargiri[[#This Row],[مقدار]]*INDEX(invoice[پیش دریافت به ازای هر کیلوگرم],MATCH(bargiri[[#This Row],[شماره سند مبنا]],invoice[شماره پیش فاکتور],0))</f>
        <v>#N/A</v>
      </c>
      <c r="K697" s="159" t="e">
        <f>bargiri[[#This Row],[مبلغ خالص]]-bargiri[[#This Row],[میزان استهلاک پیش دریافتی]]</f>
        <v>#N/A</v>
      </c>
      <c r="L697" s="160" t="s">
        <v>593</v>
      </c>
      <c r="M697" s="159"/>
      <c r="N697" s="159" t="e">
        <f>IF(bargiri[[#This Row],[مبلغ واریزی]]&lt;&gt;"",bargiri[[#This Row],[مانده مبلغ]]-bargiri[[#This Row],[مبلغ واریزی]],bargiri[[#This Row],[مانده مبلغ]])</f>
        <v>#N/A</v>
      </c>
      <c r="O697" s="159" t="s">
        <v>593</v>
      </c>
      <c r="P697" s="159" t="e">
        <f>VLOOKUP(bargiri[[#This Row],[شماره سند مبنا]],invoice[[شماره پیش فاکتور]:[پیش دریافت به ازای هر کیلوگرم]],14,0)</f>
        <v>#N/A</v>
      </c>
      <c r="Q697" s="159" t="e">
        <f>IF(bargiri[[#This Row],[مبلغ ناخالص]]-(bargiri[[#This Row],[نرخ استهلاک]]*bargiri[[#This Row],[مقدار]])&lt;0,0,bargiri[[#This Row],[مبلغ ناخالص]]-(bargiri[[#This Row],[نرخ استهلاک]]*bargiri[[#This Row],[مقدار]]))</f>
        <v>#N/A</v>
      </c>
    </row>
    <row r="698" spans="1:17" s="22" customFormat="1" ht="13.8" x14ac:dyDescent="0.25">
      <c r="A698" s="22">
        <v>819</v>
      </c>
      <c r="B698" s="22" t="s">
        <v>618</v>
      </c>
      <c r="C698" s="22" t="s">
        <v>458</v>
      </c>
      <c r="D698" s="22" t="s">
        <v>156</v>
      </c>
      <c r="E698" s="158">
        <v>20195</v>
      </c>
      <c r="F698" s="159">
        <v>142000</v>
      </c>
      <c r="G698" s="159">
        <v>2867690000</v>
      </c>
      <c r="H698" s="159">
        <v>286769000</v>
      </c>
      <c r="I698" s="159">
        <v>3154459000</v>
      </c>
      <c r="J698" s="159">
        <f>bargiri[[#This Row],[مقدار]]*INDEX(invoice[پیش دریافت به ازای هر کیلوگرم],MATCH(bargiri[[#This Row],[شماره سند مبنا]],invoice[شماره پیش فاکتور],0))</f>
        <v>570438043.76218128</v>
      </c>
      <c r="K698" s="159">
        <f>bargiri[[#This Row],[مبلغ خالص]]-bargiri[[#This Row],[میزان استهلاک پیش دریافتی]]</f>
        <v>2584020956.2378187</v>
      </c>
      <c r="L698" s="160" t="s">
        <v>593</v>
      </c>
      <c r="M698" s="159"/>
      <c r="N698" s="159">
        <f>IF(bargiri[[#This Row],[مبلغ واریزی]]&lt;&gt;"",bargiri[[#This Row],[مانده مبلغ]]-bargiri[[#This Row],[مبلغ واریزی]],bargiri[[#This Row],[مانده مبلغ]])</f>
        <v>2584020956.2378187</v>
      </c>
      <c r="O698" s="159" t="s">
        <v>593</v>
      </c>
      <c r="P698" s="159">
        <f>VLOOKUP(bargiri[[#This Row],[شماره سند مبنا]],invoice[[شماره پیش فاکتور]:[پیش دریافت به ازای هر کیلوگرم]],14,0)</f>
        <v>28246.498824569509</v>
      </c>
      <c r="Q698" s="159">
        <f>IF(bargiri[[#This Row],[مبلغ ناخالص]]-(bargiri[[#This Row],[نرخ استهلاک]]*bargiri[[#This Row],[مقدار]])&lt;0,0,bargiri[[#This Row],[مبلغ ناخالص]]-(bargiri[[#This Row],[نرخ استهلاک]]*bargiri[[#This Row],[مقدار]]))</f>
        <v>2297251956.2378187</v>
      </c>
    </row>
    <row r="699" spans="1:17" s="22" customFormat="1" ht="13.8" x14ac:dyDescent="0.25">
      <c r="A699" s="22">
        <v>818</v>
      </c>
      <c r="B699" s="22" t="s">
        <v>808</v>
      </c>
      <c r="C699" s="22" t="s">
        <v>456</v>
      </c>
      <c r="D699" s="22" t="s">
        <v>213</v>
      </c>
      <c r="E699" s="158">
        <v>7165</v>
      </c>
      <c r="F699" s="159">
        <v>142000</v>
      </c>
      <c r="G699" s="159">
        <v>1017430000</v>
      </c>
      <c r="H699" s="159">
        <v>101743000</v>
      </c>
      <c r="I699" s="159">
        <v>1119173000</v>
      </c>
      <c r="J699" s="159">
        <f>bargiri[[#This Row],[مقدار]]*INDEX(invoice[پیش دریافت به ازای هر کیلوگرم],MATCH(bargiri[[#This Row],[شماره سند مبنا]],invoice[شماره پیش فاکتور],0))</f>
        <v>850228554.07590044</v>
      </c>
      <c r="K699" s="159">
        <f>bargiri[[#This Row],[مبلغ خالص]]-bargiri[[#This Row],[میزان استهلاک پیش دریافتی]]</f>
        <v>268944445.92409956</v>
      </c>
      <c r="L699" s="160" t="s">
        <v>593</v>
      </c>
      <c r="M699" s="159"/>
      <c r="N699" s="159">
        <f>IF(bargiri[[#This Row],[مبلغ واریزی]]&lt;&gt;"",bargiri[[#This Row],[مانده مبلغ]]-bargiri[[#This Row],[مبلغ واریزی]],bargiri[[#This Row],[مانده مبلغ]])</f>
        <v>268944445.92409956</v>
      </c>
      <c r="O699" s="159" t="s">
        <v>593</v>
      </c>
      <c r="P699" s="159">
        <f>VLOOKUP(bargiri[[#This Row],[شماره سند مبنا]],invoice[[شماره پیش فاکتور]:[پیش دریافت به ازای هر کیلوگرم]],14,0)</f>
        <v>118664.13874053041</v>
      </c>
      <c r="Q699" s="159">
        <f>IF(bargiri[[#This Row],[مبلغ ناخالص]]-(bargiri[[#This Row],[نرخ استهلاک]]*bargiri[[#This Row],[مقدار]])&lt;0,0,bargiri[[#This Row],[مبلغ ناخالص]]-(bargiri[[#This Row],[نرخ استهلاک]]*bargiri[[#This Row],[مقدار]]))</f>
        <v>167201445.92409956</v>
      </c>
    </row>
    <row r="700" spans="1:17" s="22" customFormat="1" ht="13.8" x14ac:dyDescent="0.25">
      <c r="A700" s="22">
        <v>817</v>
      </c>
      <c r="B700" s="22" t="s">
        <v>808</v>
      </c>
      <c r="C700" s="22" t="s">
        <v>463</v>
      </c>
      <c r="D700" s="22" t="s">
        <v>207</v>
      </c>
      <c r="E700" s="158">
        <v>6725</v>
      </c>
      <c r="F700" s="159">
        <v>142000</v>
      </c>
      <c r="G700" s="159">
        <v>954950000</v>
      </c>
      <c r="H700" s="159">
        <v>95495000</v>
      </c>
      <c r="I700" s="159">
        <v>1050445000</v>
      </c>
      <c r="J700" s="159">
        <f>bargiri[[#This Row],[مقدار]]*INDEX(invoice[پیش دریافت به ازای هر کیلوگرم],MATCH(bargiri[[#This Row],[شماره سند مبنا]],invoice[شماره پیش فاکتور],0))</f>
        <v>202467037.5989446</v>
      </c>
      <c r="K700" s="159">
        <f>bargiri[[#This Row],[مبلغ خالص]]-bargiri[[#This Row],[میزان استهلاک پیش دریافتی]]</f>
        <v>847977962.40105534</v>
      </c>
      <c r="L700" s="160" t="s">
        <v>593</v>
      </c>
      <c r="M700" s="159"/>
      <c r="N700" s="159">
        <f>IF(bargiri[[#This Row],[مبلغ واریزی]]&lt;&gt;"",bargiri[[#This Row],[مانده مبلغ]]-bargiri[[#This Row],[مبلغ واریزی]],bargiri[[#This Row],[مانده مبلغ]])</f>
        <v>847977962.40105534</v>
      </c>
      <c r="O700" s="159" t="s">
        <v>593</v>
      </c>
      <c r="P700" s="159">
        <f>VLOOKUP(bargiri[[#This Row],[شماره سند مبنا]],invoice[[شماره پیش فاکتور]:[پیش دریافت به ازای هر کیلوگرم]],14,0)</f>
        <v>30106.622691292876</v>
      </c>
      <c r="Q700" s="159">
        <f>IF(bargiri[[#This Row],[مبلغ ناخالص]]-(bargiri[[#This Row],[نرخ استهلاک]]*bargiri[[#This Row],[مقدار]])&lt;0,0,bargiri[[#This Row],[مبلغ ناخالص]]-(bargiri[[#This Row],[نرخ استهلاک]]*bargiri[[#This Row],[مقدار]]))</f>
        <v>752482962.40105534</v>
      </c>
    </row>
    <row r="701" spans="1:17" s="22" customFormat="1" ht="13.8" x14ac:dyDescent="0.25">
      <c r="A701" s="22">
        <v>816</v>
      </c>
      <c r="B701" s="22" t="s">
        <v>808</v>
      </c>
      <c r="C701" s="22" t="s">
        <v>616</v>
      </c>
      <c r="D701" s="22" t="s">
        <v>67</v>
      </c>
      <c r="E701" s="158">
        <v>12050</v>
      </c>
      <c r="F701" s="159">
        <v>142000</v>
      </c>
      <c r="G701" s="159">
        <v>1711100000</v>
      </c>
      <c r="H701" s="159">
        <v>171110000</v>
      </c>
      <c r="I701" s="159">
        <v>1882210000</v>
      </c>
      <c r="J701" s="159">
        <f>bargiri[[#This Row],[مقدار]]*INDEX(invoice[پیش دریافت به ازای هر کیلوگرم],MATCH(bargiri[[#This Row],[شماره سند مبنا]],invoice[شماره پیش فاکتور],0))</f>
        <v>282331500</v>
      </c>
      <c r="K701" s="159">
        <f>bargiri[[#This Row],[مبلغ خالص]]-bargiri[[#This Row],[میزان استهلاک پیش دریافتی]]</f>
        <v>1599878500</v>
      </c>
      <c r="L701" s="160" t="s">
        <v>593</v>
      </c>
      <c r="M701" s="159"/>
      <c r="N701" s="159">
        <f>IF(bargiri[[#This Row],[مبلغ واریزی]]&lt;&gt;"",bargiri[[#This Row],[مانده مبلغ]]-bargiri[[#This Row],[مبلغ واریزی]],bargiri[[#This Row],[مانده مبلغ]])</f>
        <v>1599878500</v>
      </c>
      <c r="O701" s="159" t="s">
        <v>593</v>
      </c>
      <c r="P701" s="159">
        <f>VLOOKUP(bargiri[[#This Row],[شماره سند مبنا]],invoice[[شماره پیش فاکتور]:[پیش دریافت به ازای هر کیلوگرم]],14,0)</f>
        <v>23430</v>
      </c>
      <c r="Q701" s="159">
        <f>IF(bargiri[[#This Row],[مبلغ ناخالص]]-(bargiri[[#This Row],[نرخ استهلاک]]*bargiri[[#This Row],[مقدار]])&lt;0,0,bargiri[[#This Row],[مبلغ ناخالص]]-(bargiri[[#This Row],[نرخ استهلاک]]*bargiri[[#This Row],[مقدار]]))</f>
        <v>1428768500</v>
      </c>
    </row>
    <row r="702" spans="1:17" s="22" customFormat="1" ht="13.8" x14ac:dyDescent="0.25">
      <c r="A702" s="22">
        <v>815</v>
      </c>
      <c r="B702" s="22" t="s">
        <v>808</v>
      </c>
      <c r="C702" s="22" t="s">
        <v>706</v>
      </c>
      <c r="D702" s="22" t="s">
        <v>67</v>
      </c>
      <c r="E702" s="158">
        <v>8110</v>
      </c>
      <c r="F702" s="159">
        <v>210000</v>
      </c>
      <c r="G702" s="159">
        <v>1703100000</v>
      </c>
      <c r="H702" s="159">
        <v>170310000</v>
      </c>
      <c r="I702" s="159">
        <v>1873410000</v>
      </c>
      <c r="J702" s="159">
        <f>bargiri[[#This Row],[مقدار]]*INDEX(invoice[پیش دریافت به ازای هر کیلوگرم],MATCH(bargiri[[#This Row],[شماره سند مبنا]],invoice[شماره پیش فاکتور],0))</f>
        <v>1873410000</v>
      </c>
      <c r="K702" s="159">
        <f>bargiri[[#This Row],[مبلغ خالص]]-bargiri[[#This Row],[میزان استهلاک پیش دریافتی]]</f>
        <v>0</v>
      </c>
      <c r="L702" s="160" t="s">
        <v>593</v>
      </c>
      <c r="M702" s="159"/>
      <c r="N702" s="159">
        <f>IF(bargiri[[#This Row],[مبلغ واریزی]]&lt;&gt;"",bargiri[[#This Row],[مانده مبلغ]]-bargiri[[#This Row],[مبلغ واریزی]],bargiri[[#This Row],[مانده مبلغ]])</f>
        <v>0</v>
      </c>
      <c r="O702" s="159" t="s">
        <v>593</v>
      </c>
      <c r="P702" s="159">
        <f>VLOOKUP(bargiri[[#This Row],[شماره سند مبنا]],invoice[[شماره پیش فاکتور]:[پیش دریافت به ازای هر کیلوگرم]],14,0)</f>
        <v>231000</v>
      </c>
      <c r="Q702" s="159">
        <f>IF(bargiri[[#This Row],[مبلغ ناخالص]]-(bargiri[[#This Row],[نرخ استهلاک]]*bargiri[[#This Row],[مقدار]])&lt;0,0,bargiri[[#This Row],[مبلغ ناخالص]]-(bargiri[[#This Row],[نرخ استهلاک]]*bargiri[[#This Row],[مقدار]]))</f>
        <v>0</v>
      </c>
    </row>
    <row r="703" spans="1:17" s="22" customFormat="1" ht="13.8" x14ac:dyDescent="0.25">
      <c r="A703" s="22">
        <v>814</v>
      </c>
      <c r="B703" s="22" t="s">
        <v>808</v>
      </c>
      <c r="C703" s="22" t="s">
        <v>644</v>
      </c>
      <c r="D703" s="22" t="s">
        <v>67</v>
      </c>
      <c r="E703" s="158">
        <v>12100</v>
      </c>
      <c r="F703" s="159">
        <v>95000</v>
      </c>
      <c r="G703" s="159">
        <v>1149500000</v>
      </c>
      <c r="H703" s="159">
        <v>114950000</v>
      </c>
      <c r="I703" s="159">
        <v>1264450000</v>
      </c>
      <c r="J703" s="159">
        <f>bargiri[[#This Row],[مقدار]]*INDEX(invoice[پیش دریافت به ازای هر کیلوگرم],MATCH(bargiri[[#This Row],[شماره سند مبنا]],invoice[شماره پیش فاکتور],0))</f>
        <v>367909755.04840052</v>
      </c>
      <c r="K703" s="159">
        <f>bargiri[[#This Row],[مبلغ خالص]]-bargiri[[#This Row],[میزان استهلاک پیش دریافتی]]</f>
        <v>896540244.95159948</v>
      </c>
      <c r="L703" s="160" t="s">
        <v>593</v>
      </c>
      <c r="M703" s="159"/>
      <c r="N703" s="159">
        <f>IF(bargiri[[#This Row],[مبلغ واریزی]]&lt;&gt;"",bargiri[[#This Row],[مانده مبلغ]]-bargiri[[#This Row],[مبلغ واریزی]],bargiri[[#This Row],[مانده مبلغ]])</f>
        <v>896540244.95159948</v>
      </c>
      <c r="O703" s="159" t="s">
        <v>593</v>
      </c>
      <c r="P703" s="159">
        <f>VLOOKUP(bargiri[[#This Row],[شماره سند مبنا]],invoice[[شماره پیش فاکتور]:[پیش دریافت به ازای هر کیلوگرم]],14,0)</f>
        <v>30405.764880033101</v>
      </c>
      <c r="Q703" s="159">
        <f>IF(bargiri[[#This Row],[مبلغ ناخالص]]-(bargiri[[#This Row],[نرخ استهلاک]]*bargiri[[#This Row],[مقدار]])&lt;0,0,bargiri[[#This Row],[مبلغ ناخالص]]-(bargiri[[#This Row],[نرخ استهلاک]]*bargiri[[#This Row],[مقدار]]))</f>
        <v>781590244.95159948</v>
      </c>
    </row>
    <row r="704" spans="1:17" s="22" customFormat="1" ht="13.8" x14ac:dyDescent="0.25">
      <c r="A704" s="22">
        <v>813</v>
      </c>
      <c r="B704" s="22" t="s">
        <v>808</v>
      </c>
      <c r="C704" s="22" t="s">
        <v>461</v>
      </c>
      <c r="D704" s="22" t="s">
        <v>35</v>
      </c>
      <c r="E704" s="158">
        <v>20025</v>
      </c>
      <c r="F704" s="159">
        <v>142000</v>
      </c>
      <c r="G704" s="159">
        <v>2843550000</v>
      </c>
      <c r="H704" s="159">
        <v>284355000</v>
      </c>
      <c r="I704" s="159">
        <v>3127905000</v>
      </c>
      <c r="J704" s="159">
        <f>bargiri[[#This Row],[مقدار]]*INDEX(invoice[پیش دریافت به ازای هر کیلوگرم],MATCH(bargiri[[#This Row],[شماره سند مبنا]],invoice[شماره پیش فاکتور],0))</f>
        <v>657185488.25378335</v>
      </c>
      <c r="K704" s="159">
        <f>bargiri[[#This Row],[مبلغ خالص]]-bargiri[[#This Row],[میزان استهلاک پیش دریافتی]]</f>
        <v>2470719511.7462168</v>
      </c>
      <c r="L704" s="160" t="s">
        <v>593</v>
      </c>
      <c r="M704" s="159"/>
      <c r="N704" s="159">
        <f>IF(bargiri[[#This Row],[مبلغ واریزی]]&lt;&gt;"",bargiri[[#This Row],[مانده مبلغ]]-bargiri[[#This Row],[مبلغ واریزی]],bargiri[[#This Row],[مانده مبلغ]])</f>
        <v>2470719511.7462168</v>
      </c>
      <c r="O704" s="159" t="s">
        <v>593</v>
      </c>
      <c r="P704" s="159">
        <f>VLOOKUP(bargiri[[#This Row],[شماره سند مبنا]],invoice[[شماره پیش فاکتور]:[پیش دریافت به ازای هر کیلوگرم]],14,0)</f>
        <v>32818.251598191426</v>
      </c>
      <c r="Q704" s="159">
        <f>IF(bargiri[[#This Row],[مبلغ ناخالص]]-(bargiri[[#This Row],[نرخ استهلاک]]*bargiri[[#This Row],[مقدار]])&lt;0,0,bargiri[[#This Row],[مبلغ ناخالص]]-(bargiri[[#This Row],[نرخ استهلاک]]*bargiri[[#This Row],[مقدار]]))</f>
        <v>2186364511.7462168</v>
      </c>
    </row>
    <row r="705" spans="1:17" s="22" customFormat="1" ht="13.8" x14ac:dyDescent="0.25">
      <c r="A705" s="22">
        <v>812</v>
      </c>
      <c r="B705" s="22" t="s">
        <v>809</v>
      </c>
      <c r="C705" s="22" t="s">
        <v>706</v>
      </c>
      <c r="D705" s="22" t="s">
        <v>67</v>
      </c>
      <c r="E705" s="158">
        <v>20065</v>
      </c>
      <c r="F705" s="159">
        <v>210000</v>
      </c>
      <c r="G705" s="159">
        <v>4213650000</v>
      </c>
      <c r="H705" s="159">
        <v>421365000</v>
      </c>
      <c r="I705" s="159">
        <v>4635015000</v>
      </c>
      <c r="J705" s="159">
        <f>bargiri[[#This Row],[مقدار]]*INDEX(invoice[پیش دریافت به ازای هر کیلوگرم],MATCH(bargiri[[#This Row],[شماره سند مبنا]],invoice[شماره پیش فاکتور],0))</f>
        <v>4635015000</v>
      </c>
      <c r="K705" s="159">
        <f>bargiri[[#This Row],[مبلغ خالص]]-bargiri[[#This Row],[میزان استهلاک پیش دریافتی]]</f>
        <v>0</v>
      </c>
      <c r="L705" s="160" t="s">
        <v>593</v>
      </c>
      <c r="M705" s="159"/>
      <c r="N705" s="159">
        <f>IF(bargiri[[#This Row],[مبلغ واریزی]]&lt;&gt;"",bargiri[[#This Row],[مانده مبلغ]]-bargiri[[#This Row],[مبلغ واریزی]],bargiri[[#This Row],[مانده مبلغ]])</f>
        <v>0</v>
      </c>
      <c r="O705" s="159" t="s">
        <v>593</v>
      </c>
      <c r="P705" s="159">
        <f>VLOOKUP(bargiri[[#This Row],[شماره سند مبنا]],invoice[[شماره پیش فاکتور]:[پیش دریافت به ازای هر کیلوگرم]],14,0)</f>
        <v>231000</v>
      </c>
      <c r="Q705" s="159">
        <f>IF(bargiri[[#This Row],[مبلغ ناخالص]]-(bargiri[[#This Row],[نرخ استهلاک]]*bargiri[[#This Row],[مقدار]])&lt;0,0,bargiri[[#This Row],[مبلغ ناخالص]]-(bargiri[[#This Row],[نرخ استهلاک]]*bargiri[[#This Row],[مقدار]]))</f>
        <v>0</v>
      </c>
    </row>
    <row r="706" spans="1:17" s="22" customFormat="1" ht="13.8" x14ac:dyDescent="0.25">
      <c r="A706" s="22">
        <v>811</v>
      </c>
      <c r="B706" s="22" t="s">
        <v>809</v>
      </c>
      <c r="C706" s="22" t="s">
        <v>644</v>
      </c>
      <c r="D706" s="22" t="s">
        <v>67</v>
      </c>
      <c r="E706" s="158">
        <v>19735</v>
      </c>
      <c r="F706" s="159">
        <v>95000</v>
      </c>
      <c r="G706" s="159">
        <v>1874825000</v>
      </c>
      <c r="H706" s="159">
        <v>187482500</v>
      </c>
      <c r="I706" s="159">
        <v>2062307500</v>
      </c>
      <c r="J706" s="159">
        <f>bargiri[[#This Row],[مقدار]]*INDEX(invoice[پیش دریافت به ازای هر کیلوگرم],MATCH(bargiri[[#This Row],[شماره سند مبنا]],invoice[شماره پیش فاکتور],0))</f>
        <v>600057769.9074533</v>
      </c>
      <c r="K706" s="159">
        <f>bargiri[[#This Row],[مبلغ خالص]]-bargiri[[#This Row],[میزان استهلاک پیش دریافتی]]</f>
        <v>1462249730.0925467</v>
      </c>
      <c r="L706" s="160" t="s">
        <v>593</v>
      </c>
      <c r="M706" s="159"/>
      <c r="N706" s="159">
        <f>IF(bargiri[[#This Row],[مبلغ واریزی]]&lt;&gt;"",bargiri[[#This Row],[مانده مبلغ]]-bargiri[[#This Row],[مبلغ واریزی]],bargiri[[#This Row],[مانده مبلغ]])</f>
        <v>1462249730.0925467</v>
      </c>
      <c r="O706" s="159" t="s">
        <v>593</v>
      </c>
      <c r="P706" s="159">
        <f>VLOOKUP(bargiri[[#This Row],[شماره سند مبنا]],invoice[[شماره پیش فاکتور]:[پیش دریافت به ازای هر کیلوگرم]],14,0)</f>
        <v>30405.764880033101</v>
      </c>
      <c r="Q706" s="159">
        <f>IF(bargiri[[#This Row],[مبلغ ناخالص]]-(bargiri[[#This Row],[نرخ استهلاک]]*bargiri[[#This Row],[مقدار]])&lt;0,0,bargiri[[#This Row],[مبلغ ناخالص]]-(bargiri[[#This Row],[نرخ استهلاک]]*bargiri[[#This Row],[مقدار]]))</f>
        <v>1274767230.0925467</v>
      </c>
    </row>
    <row r="707" spans="1:17" s="22" customFormat="1" ht="13.8" x14ac:dyDescent="0.25">
      <c r="A707" s="22">
        <v>810</v>
      </c>
      <c r="B707" s="22" t="s">
        <v>809</v>
      </c>
      <c r="C707" s="22" t="s">
        <v>616</v>
      </c>
      <c r="D707" s="22" t="s">
        <v>67</v>
      </c>
      <c r="E707" s="158">
        <v>20050</v>
      </c>
      <c r="F707" s="159">
        <v>142000</v>
      </c>
      <c r="G707" s="159">
        <v>2847100000</v>
      </c>
      <c r="H707" s="159">
        <v>284710000</v>
      </c>
      <c r="I707" s="159">
        <v>3131810000</v>
      </c>
      <c r="J707" s="159">
        <f>bargiri[[#This Row],[مقدار]]*INDEX(invoice[پیش دریافت به ازای هر کیلوگرم],MATCH(bargiri[[#This Row],[شماره سند مبنا]],invoice[شماره پیش فاکتور],0))</f>
        <v>469771500</v>
      </c>
      <c r="K707" s="159">
        <f>bargiri[[#This Row],[مبلغ خالص]]-bargiri[[#This Row],[میزان استهلاک پیش دریافتی]]</f>
        <v>2662038500</v>
      </c>
      <c r="L707" s="160" t="s">
        <v>593</v>
      </c>
      <c r="M707" s="159"/>
      <c r="N707" s="159">
        <f>IF(bargiri[[#This Row],[مبلغ واریزی]]&lt;&gt;"",bargiri[[#This Row],[مانده مبلغ]]-bargiri[[#This Row],[مبلغ واریزی]],bargiri[[#This Row],[مانده مبلغ]])</f>
        <v>2662038500</v>
      </c>
      <c r="O707" s="159" t="s">
        <v>593</v>
      </c>
      <c r="P707" s="159">
        <f>VLOOKUP(bargiri[[#This Row],[شماره سند مبنا]],invoice[[شماره پیش فاکتور]:[پیش دریافت به ازای هر کیلوگرم]],14,0)</f>
        <v>23430</v>
      </c>
      <c r="Q707" s="159">
        <f>IF(bargiri[[#This Row],[مبلغ ناخالص]]-(bargiri[[#This Row],[نرخ استهلاک]]*bargiri[[#This Row],[مقدار]])&lt;0,0,bargiri[[#This Row],[مبلغ ناخالص]]-(bargiri[[#This Row],[نرخ استهلاک]]*bargiri[[#This Row],[مقدار]]))</f>
        <v>2377328500</v>
      </c>
    </row>
    <row r="708" spans="1:17" s="22" customFormat="1" ht="13.8" x14ac:dyDescent="0.25">
      <c r="A708" s="22">
        <v>809</v>
      </c>
      <c r="B708" s="22" t="s">
        <v>809</v>
      </c>
      <c r="C708" s="22" t="s">
        <v>72</v>
      </c>
      <c r="D708" s="22" t="s">
        <v>73</v>
      </c>
      <c r="E708" s="158">
        <v>20165</v>
      </c>
      <c r="F708" s="159">
        <v>57273</v>
      </c>
      <c r="G708" s="159">
        <v>1154910045</v>
      </c>
      <c r="H708" s="159">
        <v>115491005</v>
      </c>
      <c r="I708" s="159">
        <v>1270401050</v>
      </c>
      <c r="J708" s="159" t="e">
        <f>bargiri[[#This Row],[مقدار]]*INDEX(invoice[پیش دریافت به ازای هر کیلوگرم],MATCH(bargiri[[#This Row],[شماره سند مبنا]],invoice[شماره پیش فاکتور],0))</f>
        <v>#N/A</v>
      </c>
      <c r="K708" s="159" t="e">
        <f>bargiri[[#This Row],[مبلغ خالص]]-bargiri[[#This Row],[میزان استهلاک پیش دریافتی]]</f>
        <v>#N/A</v>
      </c>
      <c r="L708" s="160" t="s">
        <v>593</v>
      </c>
      <c r="M708" s="159"/>
      <c r="N708" s="159" t="e">
        <f>IF(bargiri[[#This Row],[مبلغ واریزی]]&lt;&gt;"",bargiri[[#This Row],[مانده مبلغ]]-bargiri[[#This Row],[مبلغ واریزی]],bargiri[[#This Row],[مانده مبلغ]])</f>
        <v>#N/A</v>
      </c>
      <c r="O708" s="159" t="s">
        <v>593</v>
      </c>
      <c r="P708" s="159" t="e">
        <f>VLOOKUP(bargiri[[#This Row],[شماره سند مبنا]],invoice[[شماره پیش فاکتور]:[پیش دریافت به ازای هر کیلوگرم]],14,0)</f>
        <v>#N/A</v>
      </c>
      <c r="Q708" s="159" t="e">
        <f>IF(bargiri[[#This Row],[مبلغ ناخالص]]-(bargiri[[#This Row],[نرخ استهلاک]]*bargiri[[#This Row],[مقدار]])&lt;0,0,bargiri[[#This Row],[مبلغ ناخالص]]-(bargiri[[#This Row],[نرخ استهلاک]]*bargiri[[#This Row],[مقدار]]))</f>
        <v>#N/A</v>
      </c>
    </row>
    <row r="709" spans="1:17" s="22" customFormat="1" ht="13.8" x14ac:dyDescent="0.25">
      <c r="A709" s="22">
        <v>808</v>
      </c>
      <c r="B709" s="22" t="s">
        <v>809</v>
      </c>
      <c r="C709" s="22" t="s">
        <v>72</v>
      </c>
      <c r="D709" s="22" t="s">
        <v>73</v>
      </c>
      <c r="E709" s="158">
        <v>20680</v>
      </c>
      <c r="F709" s="159">
        <v>57273</v>
      </c>
      <c r="G709" s="159">
        <v>1184405640</v>
      </c>
      <c r="H709" s="159">
        <v>118440564</v>
      </c>
      <c r="I709" s="159">
        <v>1302846204</v>
      </c>
      <c r="J709" s="159" t="e">
        <f>bargiri[[#This Row],[مقدار]]*INDEX(invoice[پیش دریافت به ازای هر کیلوگرم],MATCH(bargiri[[#This Row],[شماره سند مبنا]],invoice[شماره پیش فاکتور],0))</f>
        <v>#N/A</v>
      </c>
      <c r="K709" s="159" t="e">
        <f>bargiri[[#This Row],[مبلغ خالص]]-bargiri[[#This Row],[میزان استهلاک پیش دریافتی]]</f>
        <v>#N/A</v>
      </c>
      <c r="L709" s="160" t="s">
        <v>593</v>
      </c>
      <c r="M709" s="159"/>
      <c r="N709" s="159" t="e">
        <f>IF(bargiri[[#This Row],[مبلغ واریزی]]&lt;&gt;"",bargiri[[#This Row],[مانده مبلغ]]-bargiri[[#This Row],[مبلغ واریزی]],bargiri[[#This Row],[مانده مبلغ]])</f>
        <v>#N/A</v>
      </c>
      <c r="O709" s="159" t="s">
        <v>593</v>
      </c>
      <c r="P709" s="159" t="e">
        <f>VLOOKUP(bargiri[[#This Row],[شماره سند مبنا]],invoice[[شماره پیش فاکتور]:[پیش دریافت به ازای هر کیلوگرم]],14,0)</f>
        <v>#N/A</v>
      </c>
      <c r="Q709" s="159" t="e">
        <f>IF(bargiri[[#This Row],[مبلغ ناخالص]]-(bargiri[[#This Row],[نرخ استهلاک]]*bargiri[[#This Row],[مقدار]])&lt;0,0,bargiri[[#This Row],[مبلغ ناخالص]]-(bargiri[[#This Row],[نرخ استهلاک]]*bargiri[[#This Row],[مقدار]]))</f>
        <v>#N/A</v>
      </c>
    </row>
    <row r="710" spans="1:17" s="22" customFormat="1" ht="13.8" x14ac:dyDescent="0.25">
      <c r="A710" s="22">
        <v>807</v>
      </c>
      <c r="B710" s="22" t="s">
        <v>809</v>
      </c>
      <c r="C710" s="22" t="s">
        <v>182</v>
      </c>
      <c r="D710" s="22" t="s">
        <v>20</v>
      </c>
      <c r="E710" s="158">
        <v>18655</v>
      </c>
      <c r="F710" s="159">
        <v>86500</v>
      </c>
      <c r="G710" s="159">
        <v>1613657500</v>
      </c>
      <c r="H710" s="159">
        <v>161365750</v>
      </c>
      <c r="I710" s="159">
        <v>1775023250</v>
      </c>
      <c r="J710" s="159">
        <f>bargiri[[#This Row],[مقدار]]*INDEX(invoice[پیش دریافت به ازای هر کیلوگرم],MATCH(bargiri[[#This Row],[شماره سند مبنا]],invoice[شماره پیش فاکتور],0))</f>
        <v>242048625</v>
      </c>
      <c r="K710" s="159">
        <f>bargiri[[#This Row],[مبلغ خالص]]-bargiri[[#This Row],[میزان استهلاک پیش دریافتی]]</f>
        <v>1532974625</v>
      </c>
      <c r="L710" s="160" t="s">
        <v>593</v>
      </c>
      <c r="M710" s="159"/>
      <c r="N710" s="159">
        <f>IF(bargiri[[#This Row],[مبلغ واریزی]]&lt;&gt;"",bargiri[[#This Row],[مانده مبلغ]]-bargiri[[#This Row],[مبلغ واریزی]],bargiri[[#This Row],[مانده مبلغ]])</f>
        <v>1532974625</v>
      </c>
      <c r="O710" s="159" t="s">
        <v>593</v>
      </c>
      <c r="P710" s="159">
        <f>VLOOKUP(bargiri[[#This Row],[شماره سند مبنا]],invoice[[شماره پیش فاکتور]:[پیش دریافت به ازای هر کیلوگرم]],14,0)</f>
        <v>12975</v>
      </c>
      <c r="Q710" s="159">
        <f>IF(bargiri[[#This Row],[مبلغ ناخالص]]-(bargiri[[#This Row],[نرخ استهلاک]]*bargiri[[#This Row],[مقدار]])&lt;0,0,bargiri[[#This Row],[مبلغ ناخالص]]-(bargiri[[#This Row],[نرخ استهلاک]]*bargiri[[#This Row],[مقدار]]))</f>
        <v>1371608875</v>
      </c>
    </row>
    <row r="711" spans="1:17" s="22" customFormat="1" ht="13.8" x14ac:dyDescent="0.25">
      <c r="A711" s="22">
        <v>806</v>
      </c>
      <c r="B711" s="22" t="s">
        <v>809</v>
      </c>
      <c r="C711" s="22" t="s">
        <v>72</v>
      </c>
      <c r="D711" s="22" t="s">
        <v>73</v>
      </c>
      <c r="E711" s="158">
        <v>20895</v>
      </c>
      <c r="F711" s="159">
        <v>57273</v>
      </c>
      <c r="G711" s="159">
        <v>1196719335</v>
      </c>
      <c r="H711" s="159">
        <v>119671934</v>
      </c>
      <c r="I711" s="159">
        <v>1316391269</v>
      </c>
      <c r="J711" s="159" t="e">
        <f>bargiri[[#This Row],[مقدار]]*INDEX(invoice[پیش دریافت به ازای هر کیلوگرم],MATCH(bargiri[[#This Row],[شماره سند مبنا]],invoice[شماره پیش فاکتور],0))</f>
        <v>#N/A</v>
      </c>
      <c r="K711" s="159" t="e">
        <f>bargiri[[#This Row],[مبلغ خالص]]-bargiri[[#This Row],[میزان استهلاک پیش دریافتی]]</f>
        <v>#N/A</v>
      </c>
      <c r="L711" s="160" t="s">
        <v>593</v>
      </c>
      <c r="M711" s="159"/>
      <c r="N711" s="159" t="e">
        <f>IF(bargiri[[#This Row],[مبلغ واریزی]]&lt;&gt;"",bargiri[[#This Row],[مانده مبلغ]]-bargiri[[#This Row],[مبلغ واریزی]],bargiri[[#This Row],[مانده مبلغ]])</f>
        <v>#N/A</v>
      </c>
      <c r="O711" s="159" t="s">
        <v>593</v>
      </c>
      <c r="P711" s="159" t="e">
        <f>VLOOKUP(bargiri[[#This Row],[شماره سند مبنا]],invoice[[شماره پیش فاکتور]:[پیش دریافت به ازای هر کیلوگرم]],14,0)</f>
        <v>#N/A</v>
      </c>
      <c r="Q711" s="159" t="e">
        <f>IF(bargiri[[#This Row],[مبلغ ناخالص]]-(bargiri[[#This Row],[نرخ استهلاک]]*bargiri[[#This Row],[مقدار]])&lt;0,0,bargiri[[#This Row],[مبلغ ناخالص]]-(bargiri[[#This Row],[نرخ استهلاک]]*bargiri[[#This Row],[مقدار]]))</f>
        <v>#N/A</v>
      </c>
    </row>
    <row r="712" spans="1:17" s="22" customFormat="1" ht="13.8" x14ac:dyDescent="0.25">
      <c r="A712" s="22">
        <v>805</v>
      </c>
      <c r="B712" s="22" t="s">
        <v>809</v>
      </c>
      <c r="C712" s="22" t="s">
        <v>72</v>
      </c>
      <c r="D712" s="22" t="s">
        <v>73</v>
      </c>
      <c r="E712" s="158">
        <v>20680</v>
      </c>
      <c r="F712" s="159">
        <v>57273</v>
      </c>
      <c r="G712" s="159">
        <v>1184405640</v>
      </c>
      <c r="H712" s="159">
        <v>118440564</v>
      </c>
      <c r="I712" s="159">
        <v>1302846204</v>
      </c>
      <c r="J712" s="159" t="e">
        <f>bargiri[[#This Row],[مقدار]]*INDEX(invoice[پیش دریافت به ازای هر کیلوگرم],MATCH(bargiri[[#This Row],[شماره سند مبنا]],invoice[شماره پیش فاکتور],0))</f>
        <v>#N/A</v>
      </c>
      <c r="K712" s="159" t="e">
        <f>bargiri[[#This Row],[مبلغ خالص]]-bargiri[[#This Row],[میزان استهلاک پیش دریافتی]]</f>
        <v>#N/A</v>
      </c>
      <c r="L712" s="160" t="s">
        <v>593</v>
      </c>
      <c r="M712" s="159"/>
      <c r="N712" s="159" t="e">
        <f>IF(bargiri[[#This Row],[مبلغ واریزی]]&lt;&gt;"",bargiri[[#This Row],[مانده مبلغ]]-bargiri[[#This Row],[مبلغ واریزی]],bargiri[[#This Row],[مانده مبلغ]])</f>
        <v>#N/A</v>
      </c>
      <c r="O712" s="159" t="s">
        <v>593</v>
      </c>
      <c r="P712" s="159" t="e">
        <f>VLOOKUP(bargiri[[#This Row],[شماره سند مبنا]],invoice[[شماره پیش فاکتور]:[پیش دریافت به ازای هر کیلوگرم]],14,0)</f>
        <v>#N/A</v>
      </c>
      <c r="Q712" s="159" t="e">
        <f>IF(bargiri[[#This Row],[مبلغ ناخالص]]-(bargiri[[#This Row],[نرخ استهلاک]]*bargiri[[#This Row],[مقدار]])&lt;0,0,bargiri[[#This Row],[مبلغ ناخالص]]-(bargiri[[#This Row],[نرخ استهلاک]]*bargiri[[#This Row],[مقدار]]))</f>
        <v>#N/A</v>
      </c>
    </row>
    <row r="713" spans="1:17" s="22" customFormat="1" ht="13.8" x14ac:dyDescent="0.25">
      <c r="A713" s="22">
        <v>804</v>
      </c>
      <c r="B713" s="22" t="s">
        <v>809</v>
      </c>
      <c r="C713" s="22" t="s">
        <v>464</v>
      </c>
      <c r="D713" s="22" t="s">
        <v>221</v>
      </c>
      <c r="E713" s="158">
        <v>14590</v>
      </c>
      <c r="F713" s="159">
        <v>142000</v>
      </c>
      <c r="G713" s="159">
        <v>2071780000</v>
      </c>
      <c r="H713" s="159">
        <v>207178000</v>
      </c>
      <c r="I713" s="159">
        <v>2278958000</v>
      </c>
      <c r="J713" s="159">
        <f>bargiri[[#This Row],[مقدار]]*INDEX(invoice[پیش دریافت به ازای هر کیلوگرم],MATCH(bargiri[[#This Row],[شماره سند مبنا]],invoice[شماره پیش فاکتور],0))</f>
        <v>341843700</v>
      </c>
      <c r="K713" s="159">
        <f>bargiri[[#This Row],[مبلغ خالص]]-bargiri[[#This Row],[میزان استهلاک پیش دریافتی]]</f>
        <v>1937114300</v>
      </c>
      <c r="L713" s="160" t="s">
        <v>593</v>
      </c>
      <c r="M713" s="159"/>
      <c r="N713" s="159">
        <f>IF(bargiri[[#This Row],[مبلغ واریزی]]&lt;&gt;"",bargiri[[#This Row],[مانده مبلغ]]-bargiri[[#This Row],[مبلغ واریزی]],bargiri[[#This Row],[مانده مبلغ]])</f>
        <v>1937114300</v>
      </c>
      <c r="O713" s="159" t="s">
        <v>593</v>
      </c>
      <c r="P713" s="159">
        <f>VLOOKUP(bargiri[[#This Row],[شماره سند مبنا]],invoice[[شماره پیش فاکتور]:[پیش دریافت به ازای هر کیلوگرم]],14,0)</f>
        <v>23430</v>
      </c>
      <c r="Q713" s="159">
        <f>IF(bargiri[[#This Row],[مبلغ ناخالص]]-(bargiri[[#This Row],[نرخ استهلاک]]*bargiri[[#This Row],[مقدار]])&lt;0,0,bargiri[[#This Row],[مبلغ ناخالص]]-(bargiri[[#This Row],[نرخ استهلاک]]*bargiri[[#This Row],[مقدار]]))</f>
        <v>1729936300</v>
      </c>
    </row>
    <row r="714" spans="1:17" s="22" customFormat="1" ht="13.8" x14ac:dyDescent="0.25">
      <c r="A714" s="22">
        <v>803</v>
      </c>
      <c r="B714" s="22" t="s">
        <v>809</v>
      </c>
      <c r="C714" s="22" t="s">
        <v>607</v>
      </c>
      <c r="D714" s="22" t="s">
        <v>180</v>
      </c>
      <c r="E714" s="158">
        <v>7850</v>
      </c>
      <c r="F714" s="159">
        <v>142000</v>
      </c>
      <c r="G714" s="159">
        <v>1114700000</v>
      </c>
      <c r="H714" s="159">
        <v>111470000</v>
      </c>
      <c r="I714" s="159">
        <v>1226170000</v>
      </c>
      <c r="J714" s="159">
        <f>bargiri[[#This Row],[مقدار]]*INDEX(invoice[پیش دریافت به ازای هر کیلوگرم],MATCH(bargiri[[#This Row],[شماره سند مبنا]],invoice[شماره پیش فاکتور],0))</f>
        <v>585978087.71991932</v>
      </c>
      <c r="K714" s="159">
        <f>bargiri[[#This Row],[مبلغ خالص]]-bargiri[[#This Row],[میزان استهلاک پیش دریافتی]]</f>
        <v>640191912.28008068</v>
      </c>
      <c r="L714" s="160" t="s">
        <v>593</v>
      </c>
      <c r="M714" s="159"/>
      <c r="N714" s="159">
        <f>IF(bargiri[[#This Row],[مبلغ واریزی]]&lt;&gt;"",bargiri[[#This Row],[مانده مبلغ]]-bargiri[[#This Row],[مبلغ واریزی]],bargiri[[#This Row],[مانده مبلغ]])</f>
        <v>640191912.28008068</v>
      </c>
      <c r="O714" s="159" t="s">
        <v>593</v>
      </c>
      <c r="P714" s="159">
        <f>VLOOKUP(bargiri[[#This Row],[شماره سند مبنا]],invoice[[شماره پیش فاکتور]:[پیش دریافت به ازای هر کیلوگرم]],14,0)</f>
        <v>74646.890155403729</v>
      </c>
      <c r="Q714" s="159">
        <f>IF(bargiri[[#This Row],[مبلغ ناخالص]]-(bargiri[[#This Row],[نرخ استهلاک]]*bargiri[[#This Row],[مقدار]])&lt;0,0,bargiri[[#This Row],[مبلغ ناخالص]]-(bargiri[[#This Row],[نرخ استهلاک]]*bargiri[[#This Row],[مقدار]]))</f>
        <v>528721912.28008068</v>
      </c>
    </row>
    <row r="715" spans="1:17" s="22" customFormat="1" ht="13.8" x14ac:dyDescent="0.25">
      <c r="A715" s="22">
        <v>802</v>
      </c>
      <c r="B715" s="22" t="s">
        <v>810</v>
      </c>
      <c r="C715" s="22" t="s">
        <v>107</v>
      </c>
      <c r="D715" s="22" t="s">
        <v>30</v>
      </c>
      <c r="E715" s="158">
        <v>10105</v>
      </c>
      <c r="F715" s="159">
        <v>70000</v>
      </c>
      <c r="G715" s="159">
        <v>707350000</v>
      </c>
      <c r="H715" s="159">
        <v>70735000</v>
      </c>
      <c r="I715" s="159">
        <v>778085000</v>
      </c>
      <c r="J715" s="159">
        <f>bargiri[[#This Row],[مقدار]]*INDEX(invoice[پیش دریافت به ازای هر کیلوگرم],MATCH(bargiri[[#This Row],[شماره سند مبنا]],invoice[شماره پیش فاکتور],0))</f>
        <v>389042500</v>
      </c>
      <c r="K715" s="159">
        <f>bargiri[[#This Row],[مبلغ خالص]]-bargiri[[#This Row],[میزان استهلاک پیش دریافتی]]</f>
        <v>389042500</v>
      </c>
      <c r="L715" s="160" t="s">
        <v>593</v>
      </c>
      <c r="M715" s="159"/>
      <c r="N715" s="159">
        <f>IF(bargiri[[#This Row],[مبلغ واریزی]]&lt;&gt;"",bargiri[[#This Row],[مانده مبلغ]]-bargiri[[#This Row],[مبلغ واریزی]],bargiri[[#This Row],[مانده مبلغ]])</f>
        <v>389042500</v>
      </c>
      <c r="O715" s="159" t="s">
        <v>593</v>
      </c>
      <c r="P715" s="159">
        <f>VLOOKUP(bargiri[[#This Row],[شماره سند مبنا]],invoice[[شماره پیش فاکتور]:[پیش دریافت به ازای هر کیلوگرم]],14,0)</f>
        <v>38500</v>
      </c>
      <c r="Q715" s="159">
        <f>IF(bargiri[[#This Row],[مبلغ ناخالص]]-(bargiri[[#This Row],[نرخ استهلاک]]*bargiri[[#This Row],[مقدار]])&lt;0,0,bargiri[[#This Row],[مبلغ ناخالص]]-(bargiri[[#This Row],[نرخ استهلاک]]*bargiri[[#This Row],[مقدار]]))</f>
        <v>318307500</v>
      </c>
    </row>
    <row r="716" spans="1:17" s="22" customFormat="1" ht="13.8" x14ac:dyDescent="0.25">
      <c r="A716" s="22">
        <v>801</v>
      </c>
      <c r="B716" s="22" t="s">
        <v>810</v>
      </c>
      <c r="C716" s="22" t="s">
        <v>669</v>
      </c>
      <c r="D716" s="22" t="s">
        <v>67</v>
      </c>
      <c r="E716" s="158">
        <v>4610</v>
      </c>
      <c r="F716" s="159">
        <v>167500</v>
      </c>
      <c r="G716" s="159">
        <v>772175000</v>
      </c>
      <c r="H716" s="159">
        <v>77217500</v>
      </c>
      <c r="I716" s="159">
        <v>849392500</v>
      </c>
      <c r="J716" s="159">
        <f>bargiri[[#This Row],[مقدار]]*INDEX(invoice[پیش دریافت به ازای هر کیلوگرم],MATCH(bargiri[[#This Row],[شماره سند مبنا]],invoice[شماره پیش فاکتور],0))</f>
        <v>849392500</v>
      </c>
      <c r="K716" s="159">
        <f>bargiri[[#This Row],[مبلغ خالص]]-bargiri[[#This Row],[میزان استهلاک پیش دریافتی]]</f>
        <v>0</v>
      </c>
      <c r="L716" s="160" t="s">
        <v>593</v>
      </c>
      <c r="M716" s="159"/>
      <c r="N716" s="159">
        <f>IF(bargiri[[#This Row],[مبلغ واریزی]]&lt;&gt;"",bargiri[[#This Row],[مانده مبلغ]]-bargiri[[#This Row],[مبلغ واریزی]],bargiri[[#This Row],[مانده مبلغ]])</f>
        <v>0</v>
      </c>
      <c r="O716" s="159" t="s">
        <v>593</v>
      </c>
      <c r="P716" s="159">
        <f>VLOOKUP(bargiri[[#This Row],[شماره سند مبنا]],invoice[[شماره پیش فاکتور]:[پیش دریافت به ازای هر کیلوگرم]],14,0)</f>
        <v>184250</v>
      </c>
      <c r="Q716" s="159">
        <f>IF(bargiri[[#This Row],[مبلغ ناخالص]]-(bargiri[[#This Row],[نرخ استهلاک]]*bargiri[[#This Row],[مقدار]])&lt;0,0,bargiri[[#This Row],[مبلغ ناخالص]]-(bargiri[[#This Row],[نرخ استهلاک]]*bargiri[[#This Row],[مقدار]]))</f>
        <v>0</v>
      </c>
    </row>
    <row r="717" spans="1:17" s="22" customFormat="1" ht="13.8" x14ac:dyDescent="0.25">
      <c r="A717" s="22">
        <v>801</v>
      </c>
      <c r="B717" s="22" t="s">
        <v>810</v>
      </c>
      <c r="C717" s="22" t="s">
        <v>706</v>
      </c>
      <c r="D717" s="22" t="s">
        <v>67</v>
      </c>
      <c r="E717" s="158">
        <v>7280</v>
      </c>
      <c r="F717" s="159">
        <v>210000</v>
      </c>
      <c r="G717" s="159">
        <v>1528800000</v>
      </c>
      <c r="H717" s="159">
        <v>152880000</v>
      </c>
      <c r="I717" s="159">
        <v>1681680000</v>
      </c>
      <c r="J717" s="159">
        <f>bargiri[[#This Row],[مقدار]]*INDEX(invoice[پیش دریافت به ازای هر کیلوگرم],MATCH(bargiri[[#This Row],[شماره سند مبنا]],invoice[شماره پیش فاکتور],0))</f>
        <v>1681680000</v>
      </c>
      <c r="K717" s="159">
        <f>bargiri[[#This Row],[مبلغ خالص]]-bargiri[[#This Row],[میزان استهلاک پیش دریافتی]]</f>
        <v>0</v>
      </c>
      <c r="L717" s="160" t="s">
        <v>593</v>
      </c>
      <c r="M717" s="159"/>
      <c r="N717" s="159">
        <f>IF(bargiri[[#This Row],[مبلغ واریزی]]&lt;&gt;"",bargiri[[#This Row],[مانده مبلغ]]-bargiri[[#This Row],[مبلغ واریزی]],bargiri[[#This Row],[مانده مبلغ]])</f>
        <v>0</v>
      </c>
      <c r="O717" s="159" t="s">
        <v>593</v>
      </c>
      <c r="P717" s="159">
        <f>VLOOKUP(bargiri[[#This Row],[شماره سند مبنا]],invoice[[شماره پیش فاکتور]:[پیش دریافت به ازای هر کیلوگرم]],14,0)</f>
        <v>231000</v>
      </c>
      <c r="Q717" s="159">
        <f>IF(bargiri[[#This Row],[مبلغ ناخالص]]-(bargiri[[#This Row],[نرخ استهلاک]]*bargiri[[#This Row],[مقدار]])&lt;0,0,bargiri[[#This Row],[مبلغ ناخالص]]-(bargiri[[#This Row],[نرخ استهلاک]]*bargiri[[#This Row],[مقدار]]))</f>
        <v>0</v>
      </c>
    </row>
    <row r="718" spans="1:17" s="22" customFormat="1" ht="13.8" x14ac:dyDescent="0.25">
      <c r="A718" s="22">
        <v>800</v>
      </c>
      <c r="B718" s="22" t="s">
        <v>810</v>
      </c>
      <c r="C718" s="22" t="s">
        <v>617</v>
      </c>
      <c r="D718" s="22" t="s">
        <v>211</v>
      </c>
      <c r="E718" s="158">
        <v>18535</v>
      </c>
      <c r="F718" s="159">
        <v>142000</v>
      </c>
      <c r="G718" s="159">
        <v>2631970000</v>
      </c>
      <c r="H718" s="159">
        <v>263197000</v>
      </c>
      <c r="I718" s="159">
        <v>2895167000</v>
      </c>
      <c r="J718" s="159">
        <f>bargiri[[#This Row],[مقدار]]*INDEX(invoice[پیش دریافت به ازای هر کیلوگرم],MATCH(bargiri[[#This Row],[شماره سند مبنا]],invoice[شماره پیش فاکتور],0))</f>
        <v>833035039.48335946</v>
      </c>
      <c r="K718" s="159">
        <f>bargiri[[#This Row],[مبلغ خالص]]-bargiri[[#This Row],[میزان استهلاک پیش دریافتی]]</f>
        <v>2062131960.5166407</v>
      </c>
      <c r="L718" s="160" t="s">
        <v>593</v>
      </c>
      <c r="M718" s="159"/>
      <c r="N718" s="159">
        <f>IF(bargiri[[#This Row],[مبلغ واریزی]]&lt;&gt;"",bargiri[[#This Row],[مانده مبلغ]]-bargiri[[#This Row],[مبلغ واریزی]],bargiri[[#This Row],[مانده مبلغ]])</f>
        <v>2062131960.5166407</v>
      </c>
      <c r="O718" s="159" t="s">
        <v>593</v>
      </c>
      <c r="P718" s="159">
        <f>VLOOKUP(bargiri[[#This Row],[شماره سند مبنا]],invoice[[شماره پیش فاکتور]:[پیش دریافت به ازای هر کیلوگرم]],14,0)</f>
        <v>44943.892068160749</v>
      </c>
      <c r="Q718" s="159">
        <f>IF(bargiri[[#This Row],[مبلغ ناخالص]]-(bargiri[[#This Row],[نرخ استهلاک]]*bargiri[[#This Row],[مقدار]])&lt;0,0,bargiri[[#This Row],[مبلغ ناخالص]]-(bargiri[[#This Row],[نرخ استهلاک]]*bargiri[[#This Row],[مقدار]]))</f>
        <v>1798934960.5166407</v>
      </c>
    </row>
    <row r="719" spans="1:17" s="22" customFormat="1" ht="13.8" x14ac:dyDescent="0.25">
      <c r="A719" s="22">
        <v>799</v>
      </c>
      <c r="B719" s="22" t="s">
        <v>810</v>
      </c>
      <c r="C719" s="22" t="s">
        <v>644</v>
      </c>
      <c r="D719" s="22" t="s">
        <v>67</v>
      </c>
      <c r="E719" s="158">
        <v>7930</v>
      </c>
      <c r="F719" s="159">
        <v>95000</v>
      </c>
      <c r="G719" s="159">
        <v>753350000</v>
      </c>
      <c r="H719" s="159">
        <v>75335000</v>
      </c>
      <c r="I719" s="159">
        <v>828685000</v>
      </c>
      <c r="J719" s="159">
        <f>bargiri[[#This Row],[مقدار]]*INDEX(invoice[پیش دریافت به ازای هر کیلوگرم],MATCH(bargiri[[#This Row],[شماره سند مبنا]],invoice[شماره پیش فاکتور],0))</f>
        <v>241117715.4986625</v>
      </c>
      <c r="K719" s="159">
        <f>bargiri[[#This Row],[مبلغ خالص]]-bargiri[[#This Row],[میزان استهلاک پیش دریافتی]]</f>
        <v>587567284.50133753</v>
      </c>
      <c r="L719" s="160" t="s">
        <v>593</v>
      </c>
      <c r="M719" s="159"/>
      <c r="N719" s="159">
        <f>IF(bargiri[[#This Row],[مبلغ واریزی]]&lt;&gt;"",bargiri[[#This Row],[مانده مبلغ]]-bargiri[[#This Row],[مبلغ واریزی]],bargiri[[#This Row],[مانده مبلغ]])</f>
        <v>587567284.50133753</v>
      </c>
      <c r="O719" s="159" t="s">
        <v>593</v>
      </c>
      <c r="P719" s="159">
        <f>VLOOKUP(bargiri[[#This Row],[شماره سند مبنا]],invoice[[شماره پیش فاکتور]:[پیش دریافت به ازای هر کیلوگرم]],14,0)</f>
        <v>30405.764880033101</v>
      </c>
      <c r="Q719" s="159">
        <f>IF(bargiri[[#This Row],[مبلغ ناخالص]]-(bargiri[[#This Row],[نرخ استهلاک]]*bargiri[[#This Row],[مقدار]])&lt;0,0,bargiri[[#This Row],[مبلغ ناخالص]]-(bargiri[[#This Row],[نرخ استهلاک]]*bargiri[[#This Row],[مقدار]]))</f>
        <v>512232284.50133753</v>
      </c>
    </row>
    <row r="720" spans="1:17" s="22" customFormat="1" ht="13.8" x14ac:dyDescent="0.25">
      <c r="A720" s="22">
        <v>798</v>
      </c>
      <c r="B720" s="22" t="s">
        <v>810</v>
      </c>
      <c r="C720" s="22" t="s">
        <v>463</v>
      </c>
      <c r="D720" s="22" t="s">
        <v>207</v>
      </c>
      <c r="E720" s="158">
        <v>6660</v>
      </c>
      <c r="F720" s="159">
        <v>142000</v>
      </c>
      <c r="G720" s="159">
        <v>945720000</v>
      </c>
      <c r="H720" s="159">
        <v>94572000</v>
      </c>
      <c r="I720" s="159">
        <v>1040292000</v>
      </c>
      <c r="J720" s="159">
        <f>bargiri[[#This Row],[مقدار]]*INDEX(invoice[پیش دریافت به ازای هر کیلوگرم],MATCH(bargiri[[#This Row],[شماره سند مبنا]],invoice[شماره پیش فاکتور],0))</f>
        <v>200510107.12401056</v>
      </c>
      <c r="K720" s="159">
        <f>bargiri[[#This Row],[مبلغ خالص]]-bargiri[[#This Row],[میزان استهلاک پیش دریافتی]]</f>
        <v>839781892.87598944</v>
      </c>
      <c r="L720" s="160" t="s">
        <v>593</v>
      </c>
      <c r="M720" s="159"/>
      <c r="N720" s="159">
        <f>IF(bargiri[[#This Row],[مبلغ واریزی]]&lt;&gt;"",bargiri[[#This Row],[مانده مبلغ]]-bargiri[[#This Row],[مبلغ واریزی]],bargiri[[#This Row],[مانده مبلغ]])</f>
        <v>839781892.87598944</v>
      </c>
      <c r="O720" s="159" t="s">
        <v>593</v>
      </c>
      <c r="P720" s="159">
        <f>VLOOKUP(bargiri[[#This Row],[شماره سند مبنا]],invoice[[شماره پیش فاکتور]:[پیش دریافت به ازای هر کیلوگرم]],14,0)</f>
        <v>30106.622691292876</v>
      </c>
      <c r="Q720" s="159">
        <f>IF(bargiri[[#This Row],[مبلغ ناخالص]]-(bargiri[[#This Row],[نرخ استهلاک]]*bargiri[[#This Row],[مقدار]])&lt;0,0,bargiri[[#This Row],[مبلغ ناخالص]]-(bargiri[[#This Row],[نرخ استهلاک]]*bargiri[[#This Row],[مقدار]]))</f>
        <v>745209892.87598944</v>
      </c>
    </row>
    <row r="721" spans="1:17" s="22" customFormat="1" ht="13.8" x14ac:dyDescent="0.25">
      <c r="A721" s="22">
        <v>797</v>
      </c>
      <c r="B721" s="22" t="s">
        <v>811</v>
      </c>
      <c r="C721" s="22" t="s">
        <v>182</v>
      </c>
      <c r="D721" s="22" t="s">
        <v>20</v>
      </c>
      <c r="E721" s="158">
        <v>18505</v>
      </c>
      <c r="F721" s="159">
        <v>86500</v>
      </c>
      <c r="G721" s="159">
        <v>1600682500</v>
      </c>
      <c r="H721" s="159">
        <v>160068250</v>
      </c>
      <c r="I721" s="159">
        <v>1760750750</v>
      </c>
      <c r="J721" s="159">
        <f>bargiri[[#This Row],[مقدار]]*INDEX(invoice[پیش دریافت به ازای هر کیلوگرم],MATCH(bargiri[[#This Row],[شماره سند مبنا]],invoice[شماره پیش فاکتور],0))</f>
        <v>240102375</v>
      </c>
      <c r="K721" s="159">
        <f>bargiri[[#This Row],[مبلغ خالص]]-bargiri[[#This Row],[میزان استهلاک پیش دریافتی]]</f>
        <v>1520648375</v>
      </c>
      <c r="L721" s="160" t="s">
        <v>593</v>
      </c>
      <c r="M721" s="159"/>
      <c r="N721" s="159">
        <f>IF(bargiri[[#This Row],[مبلغ واریزی]]&lt;&gt;"",bargiri[[#This Row],[مانده مبلغ]]-bargiri[[#This Row],[مبلغ واریزی]],bargiri[[#This Row],[مانده مبلغ]])</f>
        <v>1520648375</v>
      </c>
      <c r="O721" s="159" t="s">
        <v>593</v>
      </c>
      <c r="P721" s="159">
        <f>VLOOKUP(bargiri[[#This Row],[شماره سند مبنا]],invoice[[شماره پیش فاکتور]:[پیش دریافت به ازای هر کیلوگرم]],14,0)</f>
        <v>12975</v>
      </c>
      <c r="Q721" s="159">
        <f>IF(bargiri[[#This Row],[مبلغ ناخالص]]-(bargiri[[#This Row],[نرخ استهلاک]]*bargiri[[#This Row],[مقدار]])&lt;0,0,bargiri[[#This Row],[مبلغ ناخالص]]-(bargiri[[#This Row],[نرخ استهلاک]]*bargiri[[#This Row],[مقدار]]))</f>
        <v>1360580125</v>
      </c>
    </row>
    <row r="722" spans="1:17" s="22" customFormat="1" ht="13.8" x14ac:dyDescent="0.25">
      <c r="A722" s="22">
        <v>796</v>
      </c>
      <c r="B722" s="22" t="s">
        <v>811</v>
      </c>
      <c r="C722" s="22" t="s">
        <v>714</v>
      </c>
      <c r="D722" s="22" t="s">
        <v>70</v>
      </c>
      <c r="E722" s="158">
        <v>20105</v>
      </c>
      <c r="F722" s="159">
        <v>167500</v>
      </c>
      <c r="G722" s="159">
        <v>3367587500</v>
      </c>
      <c r="H722" s="159">
        <v>336758750</v>
      </c>
      <c r="I722" s="159">
        <v>3704346250</v>
      </c>
      <c r="J722" s="159">
        <f>bargiri[[#This Row],[مقدار]]*INDEX(invoice[پیش دریافت به ازای هر کیلوگرم],MATCH(bargiri[[#This Row],[شماره سند مبنا]],invoice[شماره پیش فاکتور],0))</f>
        <v>3704346250</v>
      </c>
      <c r="K722" s="159">
        <f>bargiri[[#This Row],[مبلغ خالص]]-bargiri[[#This Row],[میزان استهلاک پیش دریافتی]]</f>
        <v>0</v>
      </c>
      <c r="L722" s="160" t="s">
        <v>593</v>
      </c>
      <c r="M722" s="159"/>
      <c r="N722" s="159">
        <f>IF(bargiri[[#This Row],[مبلغ واریزی]]&lt;&gt;"",bargiri[[#This Row],[مانده مبلغ]]-bargiri[[#This Row],[مبلغ واریزی]],bargiri[[#This Row],[مانده مبلغ]])</f>
        <v>0</v>
      </c>
      <c r="O722" s="159" t="s">
        <v>593</v>
      </c>
      <c r="P722" s="159">
        <f>VLOOKUP(bargiri[[#This Row],[شماره سند مبنا]],invoice[[شماره پیش فاکتور]:[پیش دریافت به ازای هر کیلوگرم]],14,0)</f>
        <v>184250</v>
      </c>
      <c r="Q722" s="159">
        <f>IF(bargiri[[#This Row],[مبلغ ناخالص]]-(bargiri[[#This Row],[نرخ استهلاک]]*bargiri[[#This Row],[مقدار]])&lt;0,0,bargiri[[#This Row],[مبلغ ناخالص]]-(bargiri[[#This Row],[نرخ استهلاک]]*bargiri[[#This Row],[مقدار]]))</f>
        <v>0</v>
      </c>
    </row>
    <row r="723" spans="1:17" s="22" customFormat="1" ht="13.8" x14ac:dyDescent="0.25">
      <c r="A723" s="22">
        <v>795</v>
      </c>
      <c r="B723" s="22" t="s">
        <v>811</v>
      </c>
      <c r="C723" s="22" t="s">
        <v>72</v>
      </c>
      <c r="D723" s="22" t="s">
        <v>73</v>
      </c>
      <c r="E723" s="158">
        <v>21125</v>
      </c>
      <c r="F723" s="159">
        <v>57273</v>
      </c>
      <c r="G723" s="159">
        <v>1209892125</v>
      </c>
      <c r="H723" s="159">
        <v>120989213</v>
      </c>
      <c r="I723" s="159">
        <v>1330881338</v>
      </c>
      <c r="J723" s="159" t="e">
        <f>bargiri[[#This Row],[مقدار]]*INDEX(invoice[پیش دریافت به ازای هر کیلوگرم],MATCH(bargiri[[#This Row],[شماره سند مبنا]],invoice[شماره پیش فاکتور],0))</f>
        <v>#N/A</v>
      </c>
      <c r="K723" s="159" t="e">
        <f>bargiri[[#This Row],[مبلغ خالص]]-bargiri[[#This Row],[میزان استهلاک پیش دریافتی]]</f>
        <v>#N/A</v>
      </c>
      <c r="L723" s="160" t="s">
        <v>593</v>
      </c>
      <c r="M723" s="159"/>
      <c r="N723" s="159" t="e">
        <f>IF(bargiri[[#This Row],[مبلغ واریزی]]&lt;&gt;"",bargiri[[#This Row],[مانده مبلغ]]-bargiri[[#This Row],[مبلغ واریزی]],bargiri[[#This Row],[مانده مبلغ]])</f>
        <v>#N/A</v>
      </c>
      <c r="O723" s="159" t="s">
        <v>593</v>
      </c>
      <c r="P723" s="159" t="e">
        <f>VLOOKUP(bargiri[[#This Row],[شماره سند مبنا]],invoice[[شماره پیش فاکتور]:[پیش دریافت به ازای هر کیلوگرم]],14,0)</f>
        <v>#N/A</v>
      </c>
      <c r="Q723" s="159" t="e">
        <f>IF(bargiri[[#This Row],[مبلغ ناخالص]]-(bargiri[[#This Row],[نرخ استهلاک]]*bargiri[[#This Row],[مقدار]])&lt;0,0,bargiri[[#This Row],[مبلغ ناخالص]]-(bargiri[[#This Row],[نرخ استهلاک]]*bargiri[[#This Row],[مقدار]]))</f>
        <v>#N/A</v>
      </c>
    </row>
    <row r="724" spans="1:17" s="22" customFormat="1" ht="13.8" x14ac:dyDescent="0.25">
      <c r="A724" s="22">
        <v>794</v>
      </c>
      <c r="B724" s="22" t="s">
        <v>812</v>
      </c>
      <c r="C724" s="22" t="s">
        <v>617</v>
      </c>
      <c r="D724" s="22" t="s">
        <v>211</v>
      </c>
      <c r="E724" s="158">
        <v>20025</v>
      </c>
      <c r="F724" s="159">
        <v>142000</v>
      </c>
      <c r="G724" s="159">
        <v>2843550000</v>
      </c>
      <c r="H724" s="159">
        <v>284355000</v>
      </c>
      <c r="I724" s="159">
        <v>3127905000</v>
      </c>
      <c r="J724" s="159">
        <f>bargiri[[#This Row],[مقدار]]*INDEX(invoice[پیش دریافت به ازای هر کیلوگرم],MATCH(bargiri[[#This Row],[شماره سند مبنا]],invoice[شماره پیش فاکتور],0))</f>
        <v>900001438.66491902</v>
      </c>
      <c r="K724" s="159">
        <f>bargiri[[#This Row],[مبلغ خالص]]-bargiri[[#This Row],[میزان استهلاک پیش دریافتی]]</f>
        <v>2227903561.3350811</v>
      </c>
      <c r="L724" s="160" t="s">
        <v>593</v>
      </c>
      <c r="M724" s="159"/>
      <c r="N724" s="159">
        <f>IF(bargiri[[#This Row],[مبلغ واریزی]]&lt;&gt;"",bargiri[[#This Row],[مانده مبلغ]]-bargiri[[#This Row],[مبلغ واریزی]],bargiri[[#This Row],[مانده مبلغ]])</f>
        <v>2227903561.3350811</v>
      </c>
      <c r="O724" s="159" t="s">
        <v>593</v>
      </c>
      <c r="P724" s="159">
        <f>VLOOKUP(bargiri[[#This Row],[شماره سند مبنا]],invoice[[شماره پیش فاکتور]:[پیش دریافت به ازای هر کیلوگرم]],14,0)</f>
        <v>44943.892068160749</v>
      </c>
      <c r="Q724" s="159">
        <f>IF(bargiri[[#This Row],[مبلغ ناخالص]]-(bargiri[[#This Row],[نرخ استهلاک]]*bargiri[[#This Row],[مقدار]])&lt;0,0,bargiri[[#This Row],[مبلغ ناخالص]]-(bargiri[[#This Row],[نرخ استهلاک]]*bargiri[[#This Row],[مقدار]]))</f>
        <v>1943548561.3350811</v>
      </c>
    </row>
    <row r="725" spans="1:17" s="22" customFormat="1" ht="13.8" x14ac:dyDescent="0.25">
      <c r="A725" s="22">
        <v>793</v>
      </c>
      <c r="B725" s="22" t="s">
        <v>812</v>
      </c>
      <c r="C725" s="22" t="s">
        <v>119</v>
      </c>
      <c r="D725" s="22" t="s">
        <v>25</v>
      </c>
      <c r="E725" s="158">
        <v>22065</v>
      </c>
      <c r="F725" s="159">
        <v>75000</v>
      </c>
      <c r="G725" s="159">
        <v>1654875000</v>
      </c>
      <c r="H725" s="159">
        <v>165487500</v>
      </c>
      <c r="I725" s="159">
        <v>1820362500</v>
      </c>
      <c r="J725" s="159">
        <f>bargiri[[#This Row],[مقدار]]*INDEX(invoice[پیش دریافت به ازای هر کیلوگرم],MATCH(bargiri[[#This Row],[شماره سند مبنا]],invoice[شماره پیش فاکتور],0))</f>
        <v>273054375</v>
      </c>
      <c r="K725" s="159">
        <f>bargiri[[#This Row],[مبلغ خالص]]-bargiri[[#This Row],[میزان استهلاک پیش دریافتی]]</f>
        <v>1547308125</v>
      </c>
      <c r="L725" s="160" t="s">
        <v>593</v>
      </c>
      <c r="M725" s="159"/>
      <c r="N725" s="159">
        <f>IF(bargiri[[#This Row],[مبلغ واریزی]]&lt;&gt;"",bargiri[[#This Row],[مانده مبلغ]]-bargiri[[#This Row],[مبلغ واریزی]],bargiri[[#This Row],[مانده مبلغ]])</f>
        <v>1547308125</v>
      </c>
      <c r="O725" s="159" t="s">
        <v>593</v>
      </c>
      <c r="P725" s="159">
        <f>VLOOKUP(bargiri[[#This Row],[شماره سند مبنا]],invoice[[شماره پیش فاکتور]:[پیش دریافت به ازای هر کیلوگرم]],14,0)</f>
        <v>12375</v>
      </c>
      <c r="Q725" s="159">
        <f>IF(bargiri[[#This Row],[مبلغ ناخالص]]-(bargiri[[#This Row],[نرخ استهلاک]]*bargiri[[#This Row],[مقدار]])&lt;0,0,bargiri[[#This Row],[مبلغ ناخالص]]-(bargiri[[#This Row],[نرخ استهلاک]]*bargiri[[#This Row],[مقدار]]))</f>
        <v>1381820625</v>
      </c>
    </row>
    <row r="726" spans="1:17" s="22" customFormat="1" ht="13.8" x14ac:dyDescent="0.25">
      <c r="A726" s="22">
        <v>792</v>
      </c>
      <c r="B726" s="22" t="s">
        <v>812</v>
      </c>
      <c r="C726" s="22" t="s">
        <v>72</v>
      </c>
      <c r="D726" s="22" t="s">
        <v>73</v>
      </c>
      <c r="E726" s="158">
        <v>21030</v>
      </c>
      <c r="F726" s="159">
        <v>57273</v>
      </c>
      <c r="G726" s="159">
        <v>1204451190</v>
      </c>
      <c r="H726" s="159">
        <v>120445119</v>
      </c>
      <c r="I726" s="159">
        <v>1324896309</v>
      </c>
      <c r="J726" s="159" t="e">
        <f>bargiri[[#This Row],[مقدار]]*INDEX(invoice[پیش دریافت به ازای هر کیلوگرم],MATCH(bargiri[[#This Row],[شماره سند مبنا]],invoice[شماره پیش فاکتور],0))</f>
        <v>#N/A</v>
      </c>
      <c r="K726" s="159" t="e">
        <f>bargiri[[#This Row],[مبلغ خالص]]-bargiri[[#This Row],[میزان استهلاک پیش دریافتی]]</f>
        <v>#N/A</v>
      </c>
      <c r="L726" s="160" t="s">
        <v>593</v>
      </c>
      <c r="M726" s="159"/>
      <c r="N726" s="159" t="e">
        <f>IF(bargiri[[#This Row],[مبلغ واریزی]]&lt;&gt;"",bargiri[[#This Row],[مانده مبلغ]]-bargiri[[#This Row],[مبلغ واریزی]],bargiri[[#This Row],[مانده مبلغ]])</f>
        <v>#N/A</v>
      </c>
      <c r="O726" s="159" t="s">
        <v>593</v>
      </c>
      <c r="P726" s="159" t="e">
        <f>VLOOKUP(bargiri[[#This Row],[شماره سند مبنا]],invoice[[شماره پیش فاکتور]:[پیش دریافت به ازای هر کیلوگرم]],14,0)</f>
        <v>#N/A</v>
      </c>
      <c r="Q726" s="159" t="e">
        <f>IF(bargiri[[#This Row],[مبلغ ناخالص]]-(bargiri[[#This Row],[نرخ استهلاک]]*bargiri[[#This Row],[مقدار]])&lt;0,0,bargiri[[#This Row],[مبلغ ناخالص]]-(bargiri[[#This Row],[نرخ استهلاک]]*bargiri[[#This Row],[مقدار]]))</f>
        <v>#N/A</v>
      </c>
    </row>
    <row r="727" spans="1:17" s="22" customFormat="1" ht="13.8" x14ac:dyDescent="0.25">
      <c r="A727" s="22">
        <v>791</v>
      </c>
      <c r="B727" s="22" t="s">
        <v>812</v>
      </c>
      <c r="C727" s="22" t="s">
        <v>72</v>
      </c>
      <c r="D727" s="22" t="s">
        <v>73</v>
      </c>
      <c r="E727" s="158">
        <v>21120</v>
      </c>
      <c r="F727" s="159">
        <v>57273</v>
      </c>
      <c r="G727" s="159">
        <v>1209605760</v>
      </c>
      <c r="H727" s="159">
        <v>120960576</v>
      </c>
      <c r="I727" s="159">
        <v>1330566336</v>
      </c>
      <c r="J727" s="159" t="e">
        <f>bargiri[[#This Row],[مقدار]]*INDEX(invoice[پیش دریافت به ازای هر کیلوگرم],MATCH(bargiri[[#This Row],[شماره سند مبنا]],invoice[شماره پیش فاکتور],0))</f>
        <v>#N/A</v>
      </c>
      <c r="K727" s="159" t="e">
        <f>bargiri[[#This Row],[مبلغ خالص]]-bargiri[[#This Row],[میزان استهلاک پیش دریافتی]]</f>
        <v>#N/A</v>
      </c>
      <c r="L727" s="160" t="s">
        <v>593</v>
      </c>
      <c r="M727" s="159"/>
      <c r="N727" s="159" t="e">
        <f>IF(bargiri[[#This Row],[مبلغ واریزی]]&lt;&gt;"",bargiri[[#This Row],[مانده مبلغ]]-bargiri[[#This Row],[مبلغ واریزی]],bargiri[[#This Row],[مانده مبلغ]])</f>
        <v>#N/A</v>
      </c>
      <c r="O727" s="159" t="s">
        <v>593</v>
      </c>
      <c r="P727" s="159" t="e">
        <f>VLOOKUP(bargiri[[#This Row],[شماره سند مبنا]],invoice[[شماره پیش فاکتور]:[پیش دریافت به ازای هر کیلوگرم]],14,0)</f>
        <v>#N/A</v>
      </c>
      <c r="Q727" s="159" t="e">
        <f>IF(bargiri[[#This Row],[مبلغ ناخالص]]-(bargiri[[#This Row],[نرخ استهلاک]]*bargiri[[#This Row],[مقدار]])&lt;0,0,bargiri[[#This Row],[مبلغ ناخالص]]-(bargiri[[#This Row],[نرخ استهلاک]]*bargiri[[#This Row],[مقدار]]))</f>
        <v>#N/A</v>
      </c>
    </row>
    <row r="728" spans="1:17" s="22" customFormat="1" ht="13.8" x14ac:dyDescent="0.25">
      <c r="A728" s="22">
        <v>790</v>
      </c>
      <c r="B728" s="22" t="s">
        <v>813</v>
      </c>
      <c r="C728" s="22" t="s">
        <v>72</v>
      </c>
      <c r="D728" s="22" t="s">
        <v>73</v>
      </c>
      <c r="E728" s="158">
        <v>20955</v>
      </c>
      <c r="F728" s="159">
        <v>57273</v>
      </c>
      <c r="G728" s="159">
        <v>1200155715</v>
      </c>
      <c r="H728" s="159">
        <v>120015572</v>
      </c>
      <c r="I728" s="159">
        <v>1320171287</v>
      </c>
      <c r="J728" s="159" t="e">
        <f>bargiri[[#This Row],[مقدار]]*INDEX(invoice[پیش دریافت به ازای هر کیلوگرم],MATCH(bargiri[[#This Row],[شماره سند مبنا]],invoice[شماره پیش فاکتور],0))</f>
        <v>#N/A</v>
      </c>
      <c r="K728" s="159" t="e">
        <f>bargiri[[#This Row],[مبلغ خالص]]-bargiri[[#This Row],[میزان استهلاک پیش دریافتی]]</f>
        <v>#N/A</v>
      </c>
      <c r="L728" s="160" t="s">
        <v>593</v>
      </c>
      <c r="M728" s="159"/>
      <c r="N728" s="159" t="e">
        <f>IF(bargiri[[#This Row],[مبلغ واریزی]]&lt;&gt;"",bargiri[[#This Row],[مانده مبلغ]]-bargiri[[#This Row],[مبلغ واریزی]],bargiri[[#This Row],[مانده مبلغ]])</f>
        <v>#N/A</v>
      </c>
      <c r="O728" s="159" t="s">
        <v>593</v>
      </c>
      <c r="P728" s="159" t="e">
        <f>VLOOKUP(bargiri[[#This Row],[شماره سند مبنا]],invoice[[شماره پیش فاکتور]:[پیش دریافت به ازای هر کیلوگرم]],14,0)</f>
        <v>#N/A</v>
      </c>
      <c r="Q728" s="159" t="e">
        <f>IF(bargiri[[#This Row],[مبلغ ناخالص]]-(bargiri[[#This Row],[نرخ استهلاک]]*bargiri[[#This Row],[مقدار]])&lt;0,0,bargiri[[#This Row],[مبلغ ناخالص]]-(bargiri[[#This Row],[نرخ استهلاک]]*bargiri[[#This Row],[مقدار]]))</f>
        <v>#N/A</v>
      </c>
    </row>
    <row r="729" spans="1:17" s="22" customFormat="1" ht="13.8" x14ac:dyDescent="0.25">
      <c r="A729" s="22">
        <v>789</v>
      </c>
      <c r="B729" s="22" t="s">
        <v>813</v>
      </c>
      <c r="C729" s="22" t="s">
        <v>680</v>
      </c>
      <c r="D729" s="22" t="s">
        <v>67</v>
      </c>
      <c r="E729" s="158">
        <v>4635</v>
      </c>
      <c r="F729" s="159">
        <v>167500</v>
      </c>
      <c r="G729" s="159">
        <v>776362500</v>
      </c>
      <c r="H729" s="159">
        <v>77636250</v>
      </c>
      <c r="I729" s="159">
        <v>853998750</v>
      </c>
      <c r="J729" s="159">
        <f>bargiri[[#This Row],[مقدار]]*INDEX(invoice[پیش دریافت به ازای هر کیلوگرم],MATCH(bargiri[[#This Row],[شماره سند مبنا]],invoice[شماره پیش فاکتور],0))</f>
        <v>853998750</v>
      </c>
      <c r="K729" s="159">
        <f>bargiri[[#This Row],[مبلغ خالص]]-bargiri[[#This Row],[میزان استهلاک پیش دریافتی]]</f>
        <v>0</v>
      </c>
      <c r="L729" s="160" t="s">
        <v>593</v>
      </c>
      <c r="M729" s="159"/>
      <c r="N729" s="159">
        <f>IF(bargiri[[#This Row],[مبلغ واریزی]]&lt;&gt;"",bargiri[[#This Row],[مانده مبلغ]]-bargiri[[#This Row],[مبلغ واریزی]],bargiri[[#This Row],[مانده مبلغ]])</f>
        <v>0</v>
      </c>
      <c r="O729" s="159" t="s">
        <v>593</v>
      </c>
      <c r="P729" s="159">
        <f>VLOOKUP(bargiri[[#This Row],[شماره سند مبنا]],invoice[[شماره پیش فاکتور]:[پیش دریافت به ازای هر کیلوگرم]],14,0)</f>
        <v>184250</v>
      </c>
      <c r="Q729" s="159">
        <f>IF(bargiri[[#This Row],[مبلغ ناخالص]]-(bargiri[[#This Row],[نرخ استهلاک]]*bargiri[[#This Row],[مقدار]])&lt;0,0,bargiri[[#This Row],[مبلغ ناخالص]]-(bargiri[[#This Row],[نرخ استهلاک]]*bargiri[[#This Row],[مقدار]]))</f>
        <v>0</v>
      </c>
    </row>
    <row r="730" spans="1:17" s="22" customFormat="1" ht="13.8" x14ac:dyDescent="0.25">
      <c r="A730" s="22">
        <v>789</v>
      </c>
      <c r="B730" s="22" t="s">
        <v>813</v>
      </c>
      <c r="C730" s="22" t="s">
        <v>669</v>
      </c>
      <c r="D730" s="22" t="s">
        <v>67</v>
      </c>
      <c r="E730" s="158">
        <v>15390</v>
      </c>
      <c r="F730" s="159">
        <v>167500</v>
      </c>
      <c r="G730" s="159">
        <v>2577825000</v>
      </c>
      <c r="H730" s="159">
        <v>257782500</v>
      </c>
      <c r="I730" s="159">
        <v>2835607500</v>
      </c>
      <c r="J730" s="159">
        <f>bargiri[[#This Row],[مقدار]]*INDEX(invoice[پیش دریافت به ازای هر کیلوگرم],MATCH(bargiri[[#This Row],[شماره سند مبنا]],invoice[شماره پیش فاکتور],0))</f>
        <v>2835607500</v>
      </c>
      <c r="K730" s="159">
        <f>bargiri[[#This Row],[مبلغ خالص]]-bargiri[[#This Row],[میزان استهلاک پیش دریافتی]]</f>
        <v>0</v>
      </c>
      <c r="L730" s="160" t="s">
        <v>593</v>
      </c>
      <c r="M730" s="159"/>
      <c r="N730" s="159">
        <f>IF(bargiri[[#This Row],[مبلغ واریزی]]&lt;&gt;"",bargiri[[#This Row],[مانده مبلغ]]-bargiri[[#This Row],[مبلغ واریزی]],bargiri[[#This Row],[مانده مبلغ]])</f>
        <v>0</v>
      </c>
      <c r="O730" s="159" t="s">
        <v>593</v>
      </c>
      <c r="P730" s="159">
        <f>VLOOKUP(bargiri[[#This Row],[شماره سند مبنا]],invoice[[شماره پیش فاکتور]:[پیش دریافت به ازای هر کیلوگرم]],14,0)</f>
        <v>184250</v>
      </c>
      <c r="Q730" s="159">
        <f>IF(bargiri[[#This Row],[مبلغ ناخالص]]-(bargiri[[#This Row],[نرخ استهلاک]]*bargiri[[#This Row],[مقدار]])&lt;0,0,bargiri[[#This Row],[مبلغ ناخالص]]-(bargiri[[#This Row],[نرخ استهلاک]]*bargiri[[#This Row],[مقدار]]))</f>
        <v>0</v>
      </c>
    </row>
    <row r="731" spans="1:17" s="22" customFormat="1" ht="13.8" x14ac:dyDescent="0.25">
      <c r="A731" s="22">
        <v>788</v>
      </c>
      <c r="B731" s="22" t="s">
        <v>813</v>
      </c>
      <c r="C731" s="22" t="s">
        <v>608</v>
      </c>
      <c r="D731" s="22" t="s">
        <v>40</v>
      </c>
      <c r="E731" s="158">
        <v>19035</v>
      </c>
      <c r="F731" s="159">
        <v>142000</v>
      </c>
      <c r="G731" s="159">
        <v>2702970000</v>
      </c>
      <c r="H731" s="159">
        <v>270297000</v>
      </c>
      <c r="I731" s="159">
        <v>2973267000</v>
      </c>
      <c r="J731" s="159">
        <f>bargiri[[#This Row],[مقدار]]*INDEX(invoice[پیش دریافت به ازای هر کیلوگرم],MATCH(bargiri[[#This Row],[شماره سند مبنا]],invoice[شماره پیش فاکتور],0))</f>
        <v>445990050</v>
      </c>
      <c r="K731" s="159">
        <f>bargiri[[#This Row],[مبلغ خالص]]-bargiri[[#This Row],[میزان استهلاک پیش دریافتی]]</f>
        <v>2527276950</v>
      </c>
      <c r="L731" s="160" t="s">
        <v>593</v>
      </c>
      <c r="M731" s="159"/>
      <c r="N731" s="159">
        <f>IF(bargiri[[#This Row],[مبلغ واریزی]]&lt;&gt;"",bargiri[[#This Row],[مانده مبلغ]]-bargiri[[#This Row],[مبلغ واریزی]],bargiri[[#This Row],[مانده مبلغ]])</f>
        <v>2527276950</v>
      </c>
      <c r="O731" s="159" t="s">
        <v>593</v>
      </c>
      <c r="P731" s="159">
        <f>VLOOKUP(bargiri[[#This Row],[شماره سند مبنا]],invoice[[شماره پیش فاکتور]:[پیش دریافت به ازای هر کیلوگرم]],14,0)</f>
        <v>23430</v>
      </c>
      <c r="Q731" s="159">
        <f>IF(bargiri[[#This Row],[مبلغ ناخالص]]-(bargiri[[#This Row],[نرخ استهلاک]]*bargiri[[#This Row],[مقدار]])&lt;0,0,bargiri[[#This Row],[مبلغ ناخالص]]-(bargiri[[#This Row],[نرخ استهلاک]]*bargiri[[#This Row],[مقدار]]))</f>
        <v>2256979950</v>
      </c>
    </row>
    <row r="732" spans="1:17" s="22" customFormat="1" ht="13.8" x14ac:dyDescent="0.25">
      <c r="A732" s="22">
        <v>787</v>
      </c>
      <c r="B732" s="22" t="s">
        <v>716</v>
      </c>
      <c r="C732" s="22" t="s">
        <v>644</v>
      </c>
      <c r="D732" s="22" t="s">
        <v>67</v>
      </c>
      <c r="E732" s="158">
        <v>20525</v>
      </c>
      <c r="F732" s="159">
        <v>95000</v>
      </c>
      <c r="G732" s="159">
        <v>1949875000</v>
      </c>
      <c r="H732" s="159">
        <v>194987500</v>
      </c>
      <c r="I732" s="159">
        <v>2144862500</v>
      </c>
      <c r="J732" s="159">
        <f>bargiri[[#This Row],[مقدار]]*INDEX(invoice[پیش دریافت به ازای هر کیلوگرم],MATCH(bargiri[[#This Row],[شماره سند مبنا]],invoice[شماره پیش فاکتور],0))</f>
        <v>624078324.16267943</v>
      </c>
      <c r="K732" s="159">
        <f>bargiri[[#This Row],[مبلغ خالص]]-bargiri[[#This Row],[میزان استهلاک پیش دریافتی]]</f>
        <v>1520784175.8373206</v>
      </c>
      <c r="L732" s="160" t="s">
        <v>593</v>
      </c>
      <c r="M732" s="159"/>
      <c r="N732" s="159">
        <f>IF(bargiri[[#This Row],[مبلغ واریزی]]&lt;&gt;"",bargiri[[#This Row],[مانده مبلغ]]-bargiri[[#This Row],[مبلغ واریزی]],bargiri[[#This Row],[مانده مبلغ]])</f>
        <v>1520784175.8373206</v>
      </c>
      <c r="O732" s="159" t="s">
        <v>593</v>
      </c>
      <c r="P732" s="159">
        <f>VLOOKUP(bargiri[[#This Row],[شماره سند مبنا]],invoice[[شماره پیش فاکتور]:[پیش دریافت به ازای هر کیلوگرم]],14,0)</f>
        <v>30405.764880033101</v>
      </c>
      <c r="Q732" s="159">
        <f>IF(bargiri[[#This Row],[مبلغ ناخالص]]-(bargiri[[#This Row],[نرخ استهلاک]]*bargiri[[#This Row],[مقدار]])&lt;0,0,bargiri[[#This Row],[مبلغ ناخالص]]-(bargiri[[#This Row],[نرخ استهلاک]]*bargiri[[#This Row],[مقدار]]))</f>
        <v>1325796675.8373206</v>
      </c>
    </row>
    <row r="733" spans="1:17" s="22" customFormat="1" ht="13.8" x14ac:dyDescent="0.25">
      <c r="A733" s="22">
        <v>786</v>
      </c>
      <c r="B733" s="22" t="s">
        <v>716</v>
      </c>
      <c r="C733" s="22" t="s">
        <v>616</v>
      </c>
      <c r="D733" s="22" t="s">
        <v>67</v>
      </c>
      <c r="E733" s="158">
        <v>20200</v>
      </c>
      <c r="F733" s="159">
        <v>142000</v>
      </c>
      <c r="G733" s="159">
        <v>2868400000</v>
      </c>
      <c r="H733" s="159">
        <v>286840000</v>
      </c>
      <c r="I733" s="159">
        <v>3155240000</v>
      </c>
      <c r="J733" s="159">
        <f>bargiri[[#This Row],[مقدار]]*INDEX(invoice[پیش دریافت به ازای هر کیلوگرم],MATCH(bargiri[[#This Row],[شماره سند مبنا]],invoice[شماره پیش فاکتور],0))</f>
        <v>473286000</v>
      </c>
      <c r="K733" s="159">
        <f>bargiri[[#This Row],[مبلغ خالص]]-bargiri[[#This Row],[میزان استهلاک پیش دریافتی]]</f>
        <v>2681954000</v>
      </c>
      <c r="L733" s="160" t="s">
        <v>593</v>
      </c>
      <c r="M733" s="159"/>
      <c r="N733" s="159">
        <f>IF(bargiri[[#This Row],[مبلغ واریزی]]&lt;&gt;"",bargiri[[#This Row],[مانده مبلغ]]-bargiri[[#This Row],[مبلغ واریزی]],bargiri[[#This Row],[مانده مبلغ]])</f>
        <v>2681954000</v>
      </c>
      <c r="O733" s="159" t="s">
        <v>593</v>
      </c>
      <c r="P733" s="159">
        <f>VLOOKUP(bargiri[[#This Row],[شماره سند مبنا]],invoice[[شماره پیش فاکتور]:[پیش دریافت به ازای هر کیلوگرم]],14,0)</f>
        <v>23430</v>
      </c>
      <c r="Q733" s="159">
        <f>IF(bargiri[[#This Row],[مبلغ ناخالص]]-(bargiri[[#This Row],[نرخ استهلاک]]*bargiri[[#This Row],[مقدار]])&lt;0,0,bargiri[[#This Row],[مبلغ ناخالص]]-(bargiri[[#This Row],[نرخ استهلاک]]*bargiri[[#This Row],[مقدار]]))</f>
        <v>2395114000</v>
      </c>
    </row>
    <row r="734" spans="1:17" s="22" customFormat="1" ht="13.8" x14ac:dyDescent="0.25">
      <c r="A734" s="22">
        <v>785</v>
      </c>
      <c r="B734" s="22" t="s">
        <v>716</v>
      </c>
      <c r="C734" s="22" t="s">
        <v>107</v>
      </c>
      <c r="D734" s="22" t="s">
        <v>30</v>
      </c>
      <c r="E734" s="158">
        <v>11325</v>
      </c>
      <c r="F734" s="159">
        <v>70000</v>
      </c>
      <c r="G734" s="159">
        <v>792750000</v>
      </c>
      <c r="H734" s="159">
        <v>79275000</v>
      </c>
      <c r="I734" s="159">
        <v>872025000</v>
      </c>
      <c r="J734" s="159">
        <f>bargiri[[#This Row],[مقدار]]*INDEX(invoice[پیش دریافت به ازای هر کیلوگرم],MATCH(bargiri[[#This Row],[شماره سند مبنا]],invoice[شماره پیش فاکتور],0))</f>
        <v>436012500</v>
      </c>
      <c r="K734" s="159">
        <f>bargiri[[#This Row],[مبلغ خالص]]-bargiri[[#This Row],[میزان استهلاک پیش دریافتی]]</f>
        <v>436012500</v>
      </c>
      <c r="L734" s="160" t="s">
        <v>593</v>
      </c>
      <c r="M734" s="159"/>
      <c r="N734" s="159">
        <f>IF(bargiri[[#This Row],[مبلغ واریزی]]&lt;&gt;"",bargiri[[#This Row],[مانده مبلغ]]-bargiri[[#This Row],[مبلغ واریزی]],bargiri[[#This Row],[مانده مبلغ]])</f>
        <v>436012500</v>
      </c>
      <c r="O734" s="159" t="s">
        <v>593</v>
      </c>
      <c r="P734" s="159">
        <f>VLOOKUP(bargiri[[#This Row],[شماره سند مبنا]],invoice[[شماره پیش فاکتور]:[پیش دریافت به ازای هر کیلوگرم]],14,0)</f>
        <v>38500</v>
      </c>
      <c r="Q734" s="159">
        <f>IF(bargiri[[#This Row],[مبلغ ناخالص]]-(bargiri[[#This Row],[نرخ استهلاک]]*bargiri[[#This Row],[مقدار]])&lt;0,0,bargiri[[#This Row],[مبلغ ناخالص]]-(bargiri[[#This Row],[نرخ استهلاک]]*bargiri[[#This Row],[مقدار]]))</f>
        <v>356737500</v>
      </c>
    </row>
    <row r="735" spans="1:17" s="22" customFormat="1" ht="13.8" x14ac:dyDescent="0.25">
      <c r="A735" s="22">
        <v>784</v>
      </c>
      <c r="B735" s="22" t="s">
        <v>814</v>
      </c>
      <c r="C735" s="22" t="s">
        <v>616</v>
      </c>
      <c r="D735" s="22" t="s">
        <v>67</v>
      </c>
      <c r="E735" s="158">
        <v>19975</v>
      </c>
      <c r="F735" s="159">
        <v>142000</v>
      </c>
      <c r="G735" s="159">
        <v>2836450000</v>
      </c>
      <c r="H735" s="159">
        <v>283645000</v>
      </c>
      <c r="I735" s="159">
        <v>3120095000</v>
      </c>
      <c r="J735" s="159">
        <f>bargiri[[#This Row],[مقدار]]*INDEX(invoice[پیش دریافت به ازای هر کیلوگرم],MATCH(bargiri[[#This Row],[شماره سند مبنا]],invoice[شماره پیش فاکتور],0))</f>
        <v>468014250</v>
      </c>
      <c r="K735" s="159">
        <f>bargiri[[#This Row],[مبلغ خالص]]-bargiri[[#This Row],[میزان استهلاک پیش دریافتی]]</f>
        <v>2652080750</v>
      </c>
      <c r="L735" s="160" t="s">
        <v>593</v>
      </c>
      <c r="M735" s="159"/>
      <c r="N735" s="159">
        <f>IF(bargiri[[#This Row],[مبلغ واریزی]]&lt;&gt;"",bargiri[[#This Row],[مانده مبلغ]]-bargiri[[#This Row],[مبلغ واریزی]],bargiri[[#This Row],[مانده مبلغ]])</f>
        <v>2652080750</v>
      </c>
      <c r="O735" s="159" t="s">
        <v>593</v>
      </c>
      <c r="P735" s="159">
        <f>VLOOKUP(bargiri[[#This Row],[شماره سند مبنا]],invoice[[شماره پیش فاکتور]:[پیش دریافت به ازای هر کیلوگرم]],14,0)</f>
        <v>23430</v>
      </c>
      <c r="Q735" s="159">
        <f>IF(bargiri[[#This Row],[مبلغ ناخالص]]-(bargiri[[#This Row],[نرخ استهلاک]]*bargiri[[#This Row],[مقدار]])&lt;0,0,bargiri[[#This Row],[مبلغ ناخالص]]-(bargiri[[#This Row],[نرخ استهلاک]]*bargiri[[#This Row],[مقدار]]))</f>
        <v>2368435750</v>
      </c>
    </row>
    <row r="736" spans="1:17" s="22" customFormat="1" ht="13.8" x14ac:dyDescent="0.25">
      <c r="A736" s="22">
        <v>783</v>
      </c>
      <c r="B736" s="22" t="s">
        <v>814</v>
      </c>
      <c r="C736" s="22" t="s">
        <v>72</v>
      </c>
      <c r="D736" s="22" t="s">
        <v>73</v>
      </c>
      <c r="E736" s="158">
        <v>20885</v>
      </c>
      <c r="F736" s="159">
        <v>57273</v>
      </c>
      <c r="G736" s="159">
        <v>1196146605</v>
      </c>
      <c r="H736" s="159">
        <v>119614661</v>
      </c>
      <c r="I736" s="159">
        <v>1315761266</v>
      </c>
      <c r="J736" s="159" t="e">
        <f>bargiri[[#This Row],[مقدار]]*INDEX(invoice[پیش دریافت به ازای هر کیلوگرم],MATCH(bargiri[[#This Row],[شماره سند مبنا]],invoice[شماره پیش فاکتور],0))</f>
        <v>#N/A</v>
      </c>
      <c r="K736" s="159" t="e">
        <f>bargiri[[#This Row],[مبلغ خالص]]-bargiri[[#This Row],[میزان استهلاک پیش دریافتی]]</f>
        <v>#N/A</v>
      </c>
      <c r="L736" s="160" t="s">
        <v>593</v>
      </c>
      <c r="M736" s="159"/>
      <c r="N736" s="159" t="e">
        <f>IF(bargiri[[#This Row],[مبلغ واریزی]]&lt;&gt;"",bargiri[[#This Row],[مانده مبلغ]]-bargiri[[#This Row],[مبلغ واریزی]],bargiri[[#This Row],[مانده مبلغ]])</f>
        <v>#N/A</v>
      </c>
      <c r="O736" s="159" t="s">
        <v>593</v>
      </c>
      <c r="P736" s="159" t="e">
        <f>VLOOKUP(bargiri[[#This Row],[شماره سند مبنا]],invoice[[شماره پیش فاکتور]:[پیش دریافت به ازای هر کیلوگرم]],14,0)</f>
        <v>#N/A</v>
      </c>
      <c r="Q736" s="159" t="e">
        <f>IF(bargiri[[#This Row],[مبلغ ناخالص]]-(bargiri[[#This Row],[نرخ استهلاک]]*bargiri[[#This Row],[مقدار]])&lt;0,0,bargiri[[#This Row],[مبلغ ناخالص]]-(bargiri[[#This Row],[نرخ استهلاک]]*bargiri[[#This Row],[مقدار]]))</f>
        <v>#N/A</v>
      </c>
    </row>
    <row r="737" spans="1:17" s="22" customFormat="1" ht="13.8" x14ac:dyDescent="0.25">
      <c r="A737" s="22">
        <v>782</v>
      </c>
      <c r="B737" s="22" t="s">
        <v>814</v>
      </c>
      <c r="C737" s="22" t="s">
        <v>72</v>
      </c>
      <c r="D737" s="22" t="s">
        <v>73</v>
      </c>
      <c r="E737" s="158">
        <v>20725</v>
      </c>
      <c r="F737" s="159">
        <v>57273</v>
      </c>
      <c r="G737" s="159">
        <v>1186982925</v>
      </c>
      <c r="H737" s="159">
        <v>118698293</v>
      </c>
      <c r="I737" s="159">
        <v>1305681218</v>
      </c>
      <c r="J737" s="159" t="e">
        <f>bargiri[[#This Row],[مقدار]]*INDEX(invoice[پیش دریافت به ازای هر کیلوگرم],MATCH(bargiri[[#This Row],[شماره سند مبنا]],invoice[شماره پیش فاکتور],0))</f>
        <v>#N/A</v>
      </c>
      <c r="K737" s="159" t="e">
        <f>bargiri[[#This Row],[مبلغ خالص]]-bargiri[[#This Row],[میزان استهلاک پیش دریافتی]]</f>
        <v>#N/A</v>
      </c>
      <c r="L737" s="160" t="s">
        <v>593</v>
      </c>
      <c r="M737" s="159"/>
      <c r="N737" s="159" t="e">
        <f>IF(bargiri[[#This Row],[مبلغ واریزی]]&lt;&gt;"",bargiri[[#This Row],[مانده مبلغ]]-bargiri[[#This Row],[مبلغ واریزی]],bargiri[[#This Row],[مانده مبلغ]])</f>
        <v>#N/A</v>
      </c>
      <c r="O737" s="159" t="s">
        <v>593</v>
      </c>
      <c r="P737" s="159" t="e">
        <f>VLOOKUP(bargiri[[#This Row],[شماره سند مبنا]],invoice[[شماره پیش فاکتور]:[پیش دریافت به ازای هر کیلوگرم]],14,0)</f>
        <v>#N/A</v>
      </c>
      <c r="Q737" s="159" t="e">
        <f>IF(bargiri[[#This Row],[مبلغ ناخالص]]-(bargiri[[#This Row],[نرخ استهلاک]]*bargiri[[#This Row],[مقدار]])&lt;0,0,bargiri[[#This Row],[مبلغ ناخالص]]-(bargiri[[#This Row],[نرخ استهلاک]]*bargiri[[#This Row],[مقدار]]))</f>
        <v>#N/A</v>
      </c>
    </row>
    <row r="738" spans="1:17" s="22" customFormat="1" ht="13.8" x14ac:dyDescent="0.25">
      <c r="A738" s="22">
        <v>781</v>
      </c>
      <c r="B738" s="22" t="s">
        <v>814</v>
      </c>
      <c r="C738" s="22" t="s">
        <v>182</v>
      </c>
      <c r="D738" s="22" t="s">
        <v>20</v>
      </c>
      <c r="E738" s="158">
        <v>18965</v>
      </c>
      <c r="F738" s="159">
        <v>86500</v>
      </c>
      <c r="G738" s="159">
        <v>1640472500</v>
      </c>
      <c r="H738" s="159">
        <v>164047250</v>
      </c>
      <c r="I738" s="159">
        <v>1804519750</v>
      </c>
      <c r="J738" s="159">
        <f>bargiri[[#This Row],[مقدار]]*INDEX(invoice[پیش دریافت به ازای هر کیلوگرم],MATCH(bargiri[[#This Row],[شماره سند مبنا]],invoice[شماره پیش فاکتور],0))</f>
        <v>246070875</v>
      </c>
      <c r="K738" s="159">
        <f>bargiri[[#This Row],[مبلغ خالص]]-bargiri[[#This Row],[میزان استهلاک پیش دریافتی]]</f>
        <v>1558448875</v>
      </c>
      <c r="L738" s="160" t="s">
        <v>593</v>
      </c>
      <c r="M738" s="159"/>
      <c r="N738" s="159">
        <f>IF(bargiri[[#This Row],[مبلغ واریزی]]&lt;&gt;"",bargiri[[#This Row],[مانده مبلغ]]-bargiri[[#This Row],[مبلغ واریزی]],bargiri[[#This Row],[مانده مبلغ]])</f>
        <v>1558448875</v>
      </c>
      <c r="O738" s="159" t="s">
        <v>593</v>
      </c>
      <c r="P738" s="159">
        <f>VLOOKUP(bargiri[[#This Row],[شماره سند مبنا]],invoice[[شماره پیش فاکتور]:[پیش دریافت به ازای هر کیلوگرم]],14,0)</f>
        <v>12975</v>
      </c>
      <c r="Q738" s="159">
        <f>IF(bargiri[[#This Row],[مبلغ ناخالص]]-(bargiri[[#This Row],[نرخ استهلاک]]*bargiri[[#This Row],[مقدار]])&lt;0,0,bargiri[[#This Row],[مبلغ ناخالص]]-(bargiri[[#This Row],[نرخ استهلاک]]*bargiri[[#This Row],[مقدار]]))</f>
        <v>1394401625</v>
      </c>
    </row>
    <row r="739" spans="1:17" s="22" customFormat="1" ht="13.8" x14ac:dyDescent="0.25">
      <c r="A739" s="22">
        <v>780</v>
      </c>
      <c r="B739" s="22" t="s">
        <v>815</v>
      </c>
      <c r="C739" s="22" t="s">
        <v>456</v>
      </c>
      <c r="D739" s="22" t="s">
        <v>213</v>
      </c>
      <c r="E739" s="158">
        <v>7350</v>
      </c>
      <c r="F739" s="159">
        <v>142000</v>
      </c>
      <c r="G739" s="159">
        <v>1043700000</v>
      </c>
      <c r="H739" s="159">
        <v>104370000</v>
      </c>
      <c r="I739" s="159">
        <v>1148070000</v>
      </c>
      <c r="J739" s="159">
        <f>bargiri[[#This Row],[مقدار]]*INDEX(invoice[پیش دریافت به ازای هر کیلوگرم],MATCH(bargiri[[#This Row],[شماره سند مبنا]],invoice[شماره پیش فاکتور],0))</f>
        <v>872181419.74289858</v>
      </c>
      <c r="K739" s="159">
        <f>bargiri[[#This Row],[مبلغ خالص]]-bargiri[[#This Row],[میزان استهلاک پیش دریافتی]]</f>
        <v>275888580.25710142</v>
      </c>
      <c r="L739" s="160" t="s">
        <v>593</v>
      </c>
      <c r="M739" s="159"/>
      <c r="N739" s="159">
        <f>IF(bargiri[[#This Row],[مبلغ واریزی]]&lt;&gt;"",bargiri[[#This Row],[مانده مبلغ]]-bargiri[[#This Row],[مبلغ واریزی]],bargiri[[#This Row],[مانده مبلغ]])</f>
        <v>275888580.25710142</v>
      </c>
      <c r="O739" s="159" t="s">
        <v>593</v>
      </c>
      <c r="P739" s="159">
        <f>VLOOKUP(bargiri[[#This Row],[شماره سند مبنا]],invoice[[شماره پیش فاکتور]:[پیش دریافت به ازای هر کیلوگرم]],14,0)</f>
        <v>118664.13874053041</v>
      </c>
      <c r="Q739" s="159">
        <f>IF(bargiri[[#This Row],[مبلغ ناخالص]]-(bargiri[[#This Row],[نرخ استهلاک]]*bargiri[[#This Row],[مقدار]])&lt;0,0,bargiri[[#This Row],[مبلغ ناخالص]]-(bargiri[[#This Row],[نرخ استهلاک]]*bargiri[[#This Row],[مقدار]]))</f>
        <v>171518580.25710142</v>
      </c>
    </row>
    <row r="740" spans="1:17" s="22" customFormat="1" ht="13.8" x14ac:dyDescent="0.25">
      <c r="A740" s="22">
        <v>779</v>
      </c>
      <c r="B740" s="22" t="s">
        <v>815</v>
      </c>
      <c r="C740" s="22" t="s">
        <v>72</v>
      </c>
      <c r="D740" s="22" t="s">
        <v>73</v>
      </c>
      <c r="E740" s="158">
        <v>20530</v>
      </c>
      <c r="F740" s="159">
        <v>57273</v>
      </c>
      <c r="G740" s="159">
        <v>1175814690</v>
      </c>
      <c r="H740" s="159">
        <v>117581469</v>
      </c>
      <c r="I740" s="159">
        <v>1293396159</v>
      </c>
      <c r="J740" s="159" t="e">
        <f>bargiri[[#This Row],[مقدار]]*INDEX(invoice[پیش دریافت به ازای هر کیلوگرم],MATCH(bargiri[[#This Row],[شماره سند مبنا]],invoice[شماره پیش فاکتور],0))</f>
        <v>#N/A</v>
      </c>
      <c r="K740" s="159" t="e">
        <f>bargiri[[#This Row],[مبلغ خالص]]-bargiri[[#This Row],[میزان استهلاک پیش دریافتی]]</f>
        <v>#N/A</v>
      </c>
      <c r="L740" s="160" t="s">
        <v>593</v>
      </c>
      <c r="M740" s="159"/>
      <c r="N740" s="159" t="e">
        <f>IF(bargiri[[#This Row],[مبلغ واریزی]]&lt;&gt;"",bargiri[[#This Row],[مانده مبلغ]]-bargiri[[#This Row],[مبلغ واریزی]],bargiri[[#This Row],[مانده مبلغ]])</f>
        <v>#N/A</v>
      </c>
      <c r="O740" s="159" t="s">
        <v>593</v>
      </c>
      <c r="P740" s="159" t="e">
        <f>VLOOKUP(bargiri[[#This Row],[شماره سند مبنا]],invoice[[شماره پیش فاکتور]:[پیش دریافت به ازای هر کیلوگرم]],14,0)</f>
        <v>#N/A</v>
      </c>
      <c r="Q740" s="159" t="e">
        <f>IF(bargiri[[#This Row],[مبلغ ناخالص]]-(bargiri[[#This Row],[نرخ استهلاک]]*bargiri[[#This Row],[مقدار]])&lt;0,0,bargiri[[#This Row],[مبلغ ناخالص]]-(bargiri[[#This Row],[نرخ استهلاک]]*bargiri[[#This Row],[مقدار]]))</f>
        <v>#N/A</v>
      </c>
    </row>
    <row r="741" spans="1:17" s="22" customFormat="1" ht="13.8" x14ac:dyDescent="0.25">
      <c r="A741" s="22">
        <v>778</v>
      </c>
      <c r="B741" s="22" t="s">
        <v>815</v>
      </c>
      <c r="C741" s="22" t="s">
        <v>72</v>
      </c>
      <c r="D741" s="22" t="s">
        <v>73</v>
      </c>
      <c r="E741" s="158">
        <v>20435</v>
      </c>
      <c r="F741" s="159">
        <v>57273</v>
      </c>
      <c r="G741" s="159">
        <v>1170373755</v>
      </c>
      <c r="H741" s="159">
        <v>117037376</v>
      </c>
      <c r="I741" s="159">
        <v>1287411131</v>
      </c>
      <c r="J741" s="159" t="e">
        <f>bargiri[[#This Row],[مقدار]]*INDEX(invoice[پیش دریافت به ازای هر کیلوگرم],MATCH(bargiri[[#This Row],[شماره سند مبنا]],invoice[شماره پیش فاکتور],0))</f>
        <v>#N/A</v>
      </c>
      <c r="K741" s="159" t="e">
        <f>bargiri[[#This Row],[مبلغ خالص]]-bargiri[[#This Row],[میزان استهلاک پیش دریافتی]]</f>
        <v>#N/A</v>
      </c>
      <c r="L741" s="160" t="s">
        <v>593</v>
      </c>
      <c r="M741" s="159"/>
      <c r="N741" s="159" t="e">
        <f>IF(bargiri[[#This Row],[مبلغ واریزی]]&lt;&gt;"",bargiri[[#This Row],[مانده مبلغ]]-bargiri[[#This Row],[مبلغ واریزی]],bargiri[[#This Row],[مانده مبلغ]])</f>
        <v>#N/A</v>
      </c>
      <c r="O741" s="159" t="s">
        <v>593</v>
      </c>
      <c r="P741" s="159" t="e">
        <f>VLOOKUP(bargiri[[#This Row],[شماره سند مبنا]],invoice[[شماره پیش فاکتور]:[پیش دریافت به ازای هر کیلوگرم]],14,0)</f>
        <v>#N/A</v>
      </c>
      <c r="Q741" s="159" t="e">
        <f>IF(bargiri[[#This Row],[مبلغ ناخالص]]-(bargiri[[#This Row],[نرخ استهلاک]]*bargiri[[#This Row],[مقدار]])&lt;0,0,bargiri[[#This Row],[مبلغ ناخالص]]-(bargiri[[#This Row],[نرخ استهلاک]]*bargiri[[#This Row],[مقدار]]))</f>
        <v>#N/A</v>
      </c>
    </row>
    <row r="742" spans="1:17" s="22" customFormat="1" ht="13.8" x14ac:dyDescent="0.25">
      <c r="A742" s="22">
        <v>777</v>
      </c>
      <c r="B742" s="22" t="s">
        <v>815</v>
      </c>
      <c r="C742" s="22" t="s">
        <v>72</v>
      </c>
      <c r="D742" s="22" t="s">
        <v>73</v>
      </c>
      <c r="E742" s="158">
        <v>20485</v>
      </c>
      <c r="F742" s="159">
        <v>57273</v>
      </c>
      <c r="G742" s="159">
        <v>1173237405</v>
      </c>
      <c r="H742" s="159">
        <v>117323741</v>
      </c>
      <c r="I742" s="159">
        <v>1290561146</v>
      </c>
      <c r="J742" s="159" t="e">
        <f>bargiri[[#This Row],[مقدار]]*INDEX(invoice[پیش دریافت به ازای هر کیلوگرم],MATCH(bargiri[[#This Row],[شماره سند مبنا]],invoice[شماره پیش فاکتور],0))</f>
        <v>#N/A</v>
      </c>
      <c r="K742" s="159" t="e">
        <f>bargiri[[#This Row],[مبلغ خالص]]-bargiri[[#This Row],[میزان استهلاک پیش دریافتی]]</f>
        <v>#N/A</v>
      </c>
      <c r="L742" s="160" t="s">
        <v>593</v>
      </c>
      <c r="M742" s="159"/>
      <c r="N742" s="159" t="e">
        <f>IF(bargiri[[#This Row],[مبلغ واریزی]]&lt;&gt;"",bargiri[[#This Row],[مانده مبلغ]]-bargiri[[#This Row],[مبلغ واریزی]],bargiri[[#This Row],[مانده مبلغ]])</f>
        <v>#N/A</v>
      </c>
      <c r="O742" s="159" t="s">
        <v>593</v>
      </c>
      <c r="P742" s="159" t="e">
        <f>VLOOKUP(bargiri[[#This Row],[شماره سند مبنا]],invoice[[شماره پیش فاکتور]:[پیش دریافت به ازای هر کیلوگرم]],14,0)</f>
        <v>#N/A</v>
      </c>
      <c r="Q742" s="159" t="e">
        <f>IF(bargiri[[#This Row],[مبلغ ناخالص]]-(bargiri[[#This Row],[نرخ استهلاک]]*bargiri[[#This Row],[مقدار]])&lt;0,0,bargiri[[#This Row],[مبلغ ناخالص]]-(bargiri[[#This Row],[نرخ استهلاک]]*bargiri[[#This Row],[مقدار]]))</f>
        <v>#N/A</v>
      </c>
    </row>
    <row r="743" spans="1:17" s="22" customFormat="1" ht="13.8" x14ac:dyDescent="0.25">
      <c r="A743" s="22">
        <v>776</v>
      </c>
      <c r="B743" s="22" t="s">
        <v>815</v>
      </c>
      <c r="C743" s="22" t="s">
        <v>463</v>
      </c>
      <c r="D743" s="22" t="s">
        <v>207</v>
      </c>
      <c r="E743" s="158">
        <v>6785</v>
      </c>
      <c r="F743" s="159">
        <v>142000</v>
      </c>
      <c r="G743" s="159">
        <v>963470000</v>
      </c>
      <c r="H743" s="159">
        <v>96347000</v>
      </c>
      <c r="I743" s="159">
        <v>1059817000</v>
      </c>
      <c r="J743" s="159">
        <f>bargiri[[#This Row],[مقدار]]*INDEX(invoice[پیش دریافت به ازای هر کیلوگرم],MATCH(bargiri[[#This Row],[شماره سند مبنا]],invoice[شماره پیش فاکتور],0))</f>
        <v>204273434.96042216</v>
      </c>
      <c r="K743" s="159">
        <f>bargiri[[#This Row],[مبلغ خالص]]-bargiri[[#This Row],[میزان استهلاک پیش دریافتی]]</f>
        <v>855543565.03957784</v>
      </c>
      <c r="L743" s="160" t="s">
        <v>593</v>
      </c>
      <c r="M743" s="159"/>
      <c r="N743" s="159">
        <f>IF(bargiri[[#This Row],[مبلغ واریزی]]&lt;&gt;"",bargiri[[#This Row],[مانده مبلغ]]-bargiri[[#This Row],[مبلغ واریزی]],bargiri[[#This Row],[مانده مبلغ]])</f>
        <v>855543565.03957784</v>
      </c>
      <c r="O743" s="159" t="s">
        <v>593</v>
      </c>
      <c r="P743" s="159">
        <f>VLOOKUP(bargiri[[#This Row],[شماره سند مبنا]],invoice[[شماره پیش فاکتور]:[پیش دریافت به ازای هر کیلوگرم]],14,0)</f>
        <v>30106.622691292876</v>
      </c>
      <c r="Q743" s="159">
        <f>IF(bargiri[[#This Row],[مبلغ ناخالص]]-(bargiri[[#This Row],[نرخ استهلاک]]*bargiri[[#This Row],[مقدار]])&lt;0,0,bargiri[[#This Row],[مبلغ ناخالص]]-(bargiri[[#This Row],[نرخ استهلاک]]*bargiri[[#This Row],[مقدار]]))</f>
        <v>759196565.03957784</v>
      </c>
    </row>
    <row r="744" spans="1:17" s="22" customFormat="1" ht="13.8" x14ac:dyDescent="0.25">
      <c r="A744" s="22">
        <v>775</v>
      </c>
      <c r="B744" s="22" t="s">
        <v>815</v>
      </c>
      <c r="C744" s="22" t="s">
        <v>456</v>
      </c>
      <c r="D744" s="22" t="s">
        <v>213</v>
      </c>
      <c r="E744" s="158">
        <v>7070</v>
      </c>
      <c r="F744" s="159">
        <v>142000</v>
      </c>
      <c r="G744" s="159">
        <v>1003940000</v>
      </c>
      <c r="H744" s="159">
        <v>100394000</v>
      </c>
      <c r="I744" s="159">
        <v>1104334000</v>
      </c>
      <c r="J744" s="159">
        <f>bargiri[[#This Row],[مقدار]]*INDEX(invoice[پیش دریافت به ازای هر کیلوگرم],MATCH(bargiri[[#This Row],[شماره سند مبنا]],invoice[شماره پیش فاکتور],0))</f>
        <v>838955460.89555001</v>
      </c>
      <c r="K744" s="159">
        <f>bargiri[[#This Row],[مبلغ خالص]]-bargiri[[#This Row],[میزان استهلاک پیش دریافتی]]</f>
        <v>265378539.10444999</v>
      </c>
      <c r="L744" s="160" t="s">
        <v>593</v>
      </c>
      <c r="M744" s="159"/>
      <c r="N744" s="159">
        <f>IF(bargiri[[#This Row],[مبلغ واریزی]]&lt;&gt;"",bargiri[[#This Row],[مانده مبلغ]]-bargiri[[#This Row],[مبلغ واریزی]],bargiri[[#This Row],[مانده مبلغ]])</f>
        <v>265378539.10444999</v>
      </c>
      <c r="O744" s="159" t="s">
        <v>593</v>
      </c>
      <c r="P744" s="159">
        <f>VLOOKUP(bargiri[[#This Row],[شماره سند مبنا]],invoice[[شماره پیش فاکتور]:[پیش دریافت به ازای هر کیلوگرم]],14,0)</f>
        <v>118664.13874053041</v>
      </c>
      <c r="Q744" s="159">
        <f>IF(bargiri[[#This Row],[مبلغ ناخالص]]-(bargiri[[#This Row],[نرخ استهلاک]]*bargiri[[#This Row],[مقدار]])&lt;0,0,bargiri[[#This Row],[مبلغ ناخالص]]-(bargiri[[#This Row],[نرخ استهلاک]]*bargiri[[#This Row],[مقدار]]))</f>
        <v>164984539.10444999</v>
      </c>
    </row>
    <row r="745" spans="1:17" s="22" customFormat="1" ht="13.8" x14ac:dyDescent="0.25">
      <c r="A745" s="22">
        <v>774</v>
      </c>
      <c r="B745" s="22" t="s">
        <v>815</v>
      </c>
      <c r="C745" s="22" t="s">
        <v>612</v>
      </c>
      <c r="D745" s="22" t="s">
        <v>17</v>
      </c>
      <c r="E745" s="158">
        <v>13480</v>
      </c>
      <c r="F745" s="159">
        <v>75000</v>
      </c>
      <c r="G745" s="159">
        <v>1011000000</v>
      </c>
      <c r="H745" s="159">
        <v>101100000</v>
      </c>
      <c r="I745" s="159">
        <v>1112100000</v>
      </c>
      <c r="J745" s="159">
        <f>bargiri[[#This Row],[مقدار]]*INDEX(invoice[پیش دریافت به ازای هر کیلوگرم],MATCH(bargiri[[#This Row],[شماره سند مبنا]],invoice[شماره پیش فاکتور],0))</f>
        <v>166815000</v>
      </c>
      <c r="K745" s="159">
        <f>bargiri[[#This Row],[مبلغ خالص]]-bargiri[[#This Row],[میزان استهلاک پیش دریافتی]]</f>
        <v>945285000</v>
      </c>
      <c r="L745" s="160" t="s">
        <v>593</v>
      </c>
      <c r="M745" s="159"/>
      <c r="N745" s="159">
        <f>IF(bargiri[[#This Row],[مبلغ واریزی]]&lt;&gt;"",bargiri[[#This Row],[مانده مبلغ]]-bargiri[[#This Row],[مبلغ واریزی]],bargiri[[#This Row],[مانده مبلغ]])</f>
        <v>945285000</v>
      </c>
      <c r="O745" s="159" t="s">
        <v>593</v>
      </c>
      <c r="P745" s="159">
        <f>VLOOKUP(bargiri[[#This Row],[شماره سند مبنا]],invoice[[شماره پیش فاکتور]:[پیش دریافت به ازای هر کیلوگرم]],14,0)</f>
        <v>12375</v>
      </c>
      <c r="Q745" s="159">
        <f>IF(bargiri[[#This Row],[مبلغ ناخالص]]-(bargiri[[#This Row],[نرخ استهلاک]]*bargiri[[#This Row],[مقدار]])&lt;0,0,bargiri[[#This Row],[مبلغ ناخالص]]-(bargiri[[#This Row],[نرخ استهلاک]]*bargiri[[#This Row],[مقدار]]))</f>
        <v>844185000</v>
      </c>
    </row>
    <row r="746" spans="1:17" s="22" customFormat="1" ht="13.8" x14ac:dyDescent="0.25">
      <c r="A746" s="22">
        <v>774</v>
      </c>
      <c r="B746" s="22" t="s">
        <v>815</v>
      </c>
      <c r="C746" s="22" t="s">
        <v>796</v>
      </c>
      <c r="D746" s="22" t="s">
        <v>17</v>
      </c>
      <c r="E746" s="158">
        <v>8580</v>
      </c>
      <c r="F746" s="159">
        <v>79520</v>
      </c>
      <c r="G746" s="159">
        <v>682281600</v>
      </c>
      <c r="H746" s="159">
        <v>68228160</v>
      </c>
      <c r="I746" s="159">
        <v>750509760</v>
      </c>
      <c r="J746" s="159">
        <f>bargiri[[#This Row],[مقدار]]*INDEX(invoice[پیش دریافت به ازای هر کیلوگرم],MATCH(bargiri[[#This Row],[شماره سند مبنا]],invoice[شماره پیش فاکتور],0))</f>
        <v>112576464</v>
      </c>
      <c r="K746" s="159">
        <f>bargiri[[#This Row],[مبلغ خالص]]-bargiri[[#This Row],[میزان استهلاک پیش دریافتی]]</f>
        <v>637933296</v>
      </c>
      <c r="L746" s="160" t="s">
        <v>593</v>
      </c>
      <c r="M746" s="159"/>
      <c r="N746" s="159">
        <f>IF(bargiri[[#This Row],[مبلغ واریزی]]&lt;&gt;"",bargiri[[#This Row],[مانده مبلغ]]-bargiri[[#This Row],[مبلغ واریزی]],bargiri[[#This Row],[مانده مبلغ]])</f>
        <v>637933296</v>
      </c>
      <c r="O746" s="159" t="s">
        <v>593</v>
      </c>
      <c r="P746" s="159">
        <f>VLOOKUP(bargiri[[#This Row],[شماره سند مبنا]],invoice[[شماره پیش فاکتور]:[پیش دریافت به ازای هر کیلوگرم]],14,0)</f>
        <v>13120.8</v>
      </c>
      <c r="Q746" s="159">
        <f>IF(bargiri[[#This Row],[مبلغ ناخالص]]-(bargiri[[#This Row],[نرخ استهلاک]]*bargiri[[#This Row],[مقدار]])&lt;0,0,bargiri[[#This Row],[مبلغ ناخالص]]-(bargiri[[#This Row],[نرخ استهلاک]]*bargiri[[#This Row],[مقدار]]))</f>
        <v>569705136</v>
      </c>
    </row>
    <row r="747" spans="1:17" s="22" customFormat="1" ht="13.8" x14ac:dyDescent="0.25">
      <c r="A747" s="22">
        <v>773</v>
      </c>
      <c r="B747" s="22" t="s">
        <v>815</v>
      </c>
      <c r="C747" s="22" t="s">
        <v>187</v>
      </c>
      <c r="D747" s="22" t="s">
        <v>43</v>
      </c>
      <c r="E747" s="158">
        <v>15220</v>
      </c>
      <c r="F747" s="159">
        <v>80000</v>
      </c>
      <c r="G747" s="159">
        <v>1217600000</v>
      </c>
      <c r="H747" s="159">
        <v>121760000</v>
      </c>
      <c r="I747" s="159">
        <v>1339360000</v>
      </c>
      <c r="J747" s="159">
        <f>bargiri[[#This Row],[مقدار]]*INDEX(invoice[پیش دریافت به ازای هر کیلوگرم],MATCH(bargiri[[#This Row],[شماره سند مبنا]],invoice[شماره پیش فاکتور],0))</f>
        <v>267872000</v>
      </c>
      <c r="K747" s="159">
        <f>bargiri[[#This Row],[مبلغ خالص]]-bargiri[[#This Row],[میزان استهلاک پیش دریافتی]]</f>
        <v>1071488000</v>
      </c>
      <c r="L747" s="160" t="s">
        <v>593</v>
      </c>
      <c r="M747" s="159"/>
      <c r="N747" s="159">
        <f>IF(bargiri[[#This Row],[مبلغ واریزی]]&lt;&gt;"",bargiri[[#This Row],[مانده مبلغ]]-bargiri[[#This Row],[مبلغ واریزی]],bargiri[[#This Row],[مانده مبلغ]])</f>
        <v>1071488000</v>
      </c>
      <c r="O747" s="159" t="s">
        <v>593</v>
      </c>
      <c r="P747" s="159">
        <f>VLOOKUP(bargiri[[#This Row],[شماره سند مبنا]],invoice[[شماره پیش فاکتور]:[پیش دریافت به ازای هر کیلوگرم]],14,0)</f>
        <v>17600</v>
      </c>
      <c r="Q747" s="159">
        <f>IF(bargiri[[#This Row],[مبلغ ناخالص]]-(bargiri[[#This Row],[نرخ استهلاک]]*bargiri[[#This Row],[مقدار]])&lt;0,0,bargiri[[#This Row],[مبلغ ناخالص]]-(bargiri[[#This Row],[نرخ استهلاک]]*bargiri[[#This Row],[مقدار]]))</f>
        <v>949728000</v>
      </c>
    </row>
    <row r="748" spans="1:17" s="22" customFormat="1" ht="13.8" x14ac:dyDescent="0.25">
      <c r="A748" s="22">
        <v>772</v>
      </c>
      <c r="B748" s="22" t="s">
        <v>815</v>
      </c>
      <c r="C748" s="22" t="s">
        <v>662</v>
      </c>
      <c r="D748" s="22" t="s">
        <v>40</v>
      </c>
      <c r="E748" s="158">
        <v>11645</v>
      </c>
      <c r="F748" s="159">
        <v>167500</v>
      </c>
      <c r="G748" s="159">
        <v>1950537500</v>
      </c>
      <c r="H748" s="159">
        <v>195053750</v>
      </c>
      <c r="I748" s="159">
        <v>2145591250</v>
      </c>
      <c r="J748" s="159">
        <f>bargiri[[#This Row],[مقدار]]*INDEX(invoice[پیش دریافت به ازای هر کیلوگرم],MATCH(bargiri[[#This Row],[شماره سند مبنا]],invoice[شماره پیش فاکتور],0))</f>
        <v>2145591250</v>
      </c>
      <c r="K748" s="159">
        <f>bargiri[[#This Row],[مبلغ خالص]]-bargiri[[#This Row],[میزان استهلاک پیش دریافتی]]</f>
        <v>0</v>
      </c>
      <c r="L748" s="160" t="s">
        <v>593</v>
      </c>
      <c r="M748" s="159"/>
      <c r="N748" s="159">
        <f>IF(bargiri[[#This Row],[مبلغ واریزی]]&lt;&gt;"",bargiri[[#This Row],[مانده مبلغ]]-bargiri[[#This Row],[مبلغ واریزی]],bargiri[[#This Row],[مانده مبلغ]])</f>
        <v>0</v>
      </c>
      <c r="O748" s="159" t="s">
        <v>593</v>
      </c>
      <c r="P748" s="159">
        <f>VLOOKUP(bargiri[[#This Row],[شماره سند مبنا]],invoice[[شماره پیش فاکتور]:[پیش دریافت به ازای هر کیلوگرم]],14,0)</f>
        <v>184250</v>
      </c>
      <c r="Q748" s="159">
        <f>IF(bargiri[[#This Row],[مبلغ ناخالص]]-(bargiri[[#This Row],[نرخ استهلاک]]*bargiri[[#This Row],[مقدار]])&lt;0,0,bargiri[[#This Row],[مبلغ ناخالص]]-(bargiri[[#This Row],[نرخ استهلاک]]*bargiri[[#This Row],[مقدار]]))</f>
        <v>0</v>
      </c>
    </row>
    <row r="749" spans="1:17" s="22" customFormat="1" ht="13.8" x14ac:dyDescent="0.25">
      <c r="A749" s="22">
        <v>772</v>
      </c>
      <c r="B749" s="22" t="s">
        <v>815</v>
      </c>
      <c r="C749" s="22" t="s">
        <v>671</v>
      </c>
      <c r="D749" s="22" t="s">
        <v>40</v>
      </c>
      <c r="E749" s="158">
        <v>6455</v>
      </c>
      <c r="F749" s="159">
        <v>167500</v>
      </c>
      <c r="G749" s="159">
        <v>1081212500</v>
      </c>
      <c r="H749" s="159">
        <v>108121250</v>
      </c>
      <c r="I749" s="159">
        <v>1189333750</v>
      </c>
      <c r="J749" s="159">
        <f>bargiri[[#This Row],[مقدار]]*INDEX(invoice[پیش دریافت به ازای هر کیلوگرم],MATCH(bargiri[[#This Row],[شماره سند مبنا]],invoice[شماره پیش فاکتور],0))</f>
        <v>1189333750</v>
      </c>
      <c r="K749" s="159">
        <f>bargiri[[#This Row],[مبلغ خالص]]-bargiri[[#This Row],[میزان استهلاک پیش دریافتی]]</f>
        <v>0</v>
      </c>
      <c r="L749" s="160" t="s">
        <v>593</v>
      </c>
      <c r="M749" s="159"/>
      <c r="N749" s="159">
        <f>IF(bargiri[[#This Row],[مبلغ واریزی]]&lt;&gt;"",bargiri[[#This Row],[مانده مبلغ]]-bargiri[[#This Row],[مبلغ واریزی]],bargiri[[#This Row],[مانده مبلغ]])</f>
        <v>0</v>
      </c>
      <c r="O749" s="159" t="s">
        <v>593</v>
      </c>
      <c r="P749" s="159">
        <f>VLOOKUP(bargiri[[#This Row],[شماره سند مبنا]],invoice[[شماره پیش فاکتور]:[پیش دریافت به ازای هر کیلوگرم]],14,0)</f>
        <v>184250</v>
      </c>
      <c r="Q749" s="159">
        <f>IF(bargiri[[#This Row],[مبلغ ناخالص]]-(bargiri[[#This Row],[نرخ استهلاک]]*bargiri[[#This Row],[مقدار]])&lt;0,0,bargiri[[#This Row],[مبلغ ناخالص]]-(bargiri[[#This Row],[نرخ استهلاک]]*bargiri[[#This Row],[مقدار]]))</f>
        <v>0</v>
      </c>
    </row>
    <row r="750" spans="1:17" s="22" customFormat="1" ht="13.8" x14ac:dyDescent="0.25">
      <c r="A750" s="22">
        <v>771</v>
      </c>
      <c r="B750" s="22" t="s">
        <v>816</v>
      </c>
      <c r="C750" s="22" t="s">
        <v>644</v>
      </c>
      <c r="D750" s="22" t="s">
        <v>67</v>
      </c>
      <c r="E750" s="158">
        <v>18890</v>
      </c>
      <c r="F750" s="159">
        <v>95000</v>
      </c>
      <c r="G750" s="159">
        <v>1794550000</v>
      </c>
      <c r="H750" s="159">
        <v>179455000</v>
      </c>
      <c r="I750" s="159">
        <v>1974005000</v>
      </c>
      <c r="J750" s="159">
        <f>bargiri[[#This Row],[مقدار]]*INDEX(invoice[پیش دریافت به ازای هر کیلوگرم],MATCH(bargiri[[#This Row],[شماره سند مبنا]],invoice[شماره پیش فاکتور],0))</f>
        <v>574364898.58382523</v>
      </c>
      <c r="K750" s="159">
        <f>bargiri[[#This Row],[مبلغ خالص]]-bargiri[[#This Row],[میزان استهلاک پیش دریافتی]]</f>
        <v>1399640101.4161749</v>
      </c>
      <c r="L750" s="160" t="s">
        <v>593</v>
      </c>
      <c r="M750" s="159"/>
      <c r="N750" s="159">
        <f>IF(bargiri[[#This Row],[مبلغ واریزی]]&lt;&gt;"",bargiri[[#This Row],[مانده مبلغ]]-bargiri[[#This Row],[مبلغ واریزی]],bargiri[[#This Row],[مانده مبلغ]])</f>
        <v>1399640101.4161749</v>
      </c>
      <c r="O750" s="159" t="s">
        <v>593</v>
      </c>
      <c r="P750" s="159">
        <f>VLOOKUP(bargiri[[#This Row],[شماره سند مبنا]],invoice[[شماره پیش فاکتور]:[پیش دریافت به ازای هر کیلوگرم]],14,0)</f>
        <v>30405.764880033101</v>
      </c>
      <c r="Q750" s="159">
        <f>IF(bargiri[[#This Row],[مبلغ ناخالص]]-(bargiri[[#This Row],[نرخ استهلاک]]*bargiri[[#This Row],[مقدار]])&lt;0,0,bargiri[[#This Row],[مبلغ ناخالص]]-(bargiri[[#This Row],[نرخ استهلاک]]*bargiri[[#This Row],[مقدار]]))</f>
        <v>1220185101.4161749</v>
      </c>
    </row>
    <row r="751" spans="1:17" s="22" customFormat="1" ht="13.8" x14ac:dyDescent="0.25">
      <c r="A751" s="22">
        <v>770</v>
      </c>
      <c r="B751" s="22" t="s">
        <v>816</v>
      </c>
      <c r="C751" s="22" t="s">
        <v>461</v>
      </c>
      <c r="D751" s="22" t="s">
        <v>35</v>
      </c>
      <c r="E751" s="158">
        <v>20040</v>
      </c>
      <c r="F751" s="159">
        <v>142000</v>
      </c>
      <c r="G751" s="159">
        <v>2845680000</v>
      </c>
      <c r="H751" s="159">
        <v>284568000</v>
      </c>
      <c r="I751" s="159">
        <v>3130248000</v>
      </c>
      <c r="J751" s="159">
        <f>bargiri[[#This Row],[مقدار]]*INDEX(invoice[پیش دریافت به ازای هر کیلوگرم],MATCH(bargiri[[#This Row],[شماره سند مبنا]],invoice[شماره پیش فاکتور],0))</f>
        <v>657677762.02775621</v>
      </c>
      <c r="K751" s="159">
        <f>bargiri[[#This Row],[مبلغ خالص]]-bargiri[[#This Row],[میزان استهلاک پیش دریافتی]]</f>
        <v>2472570237.9722438</v>
      </c>
      <c r="L751" s="160" t="s">
        <v>593</v>
      </c>
      <c r="M751" s="159"/>
      <c r="N751" s="159">
        <f>IF(bargiri[[#This Row],[مبلغ واریزی]]&lt;&gt;"",bargiri[[#This Row],[مانده مبلغ]]-bargiri[[#This Row],[مبلغ واریزی]],bargiri[[#This Row],[مانده مبلغ]])</f>
        <v>2472570237.9722438</v>
      </c>
      <c r="O751" s="159" t="s">
        <v>593</v>
      </c>
      <c r="P751" s="159">
        <f>VLOOKUP(bargiri[[#This Row],[شماره سند مبنا]],invoice[[شماره پیش فاکتور]:[پیش دریافت به ازای هر کیلوگرم]],14,0)</f>
        <v>32818.251598191426</v>
      </c>
      <c r="Q751" s="159">
        <f>IF(bargiri[[#This Row],[مبلغ ناخالص]]-(bargiri[[#This Row],[نرخ استهلاک]]*bargiri[[#This Row],[مقدار]])&lt;0,0,bargiri[[#This Row],[مبلغ ناخالص]]-(bargiri[[#This Row],[نرخ استهلاک]]*bargiri[[#This Row],[مقدار]]))</f>
        <v>2188002237.9722438</v>
      </c>
    </row>
    <row r="752" spans="1:17" s="22" customFormat="1" ht="13.8" x14ac:dyDescent="0.25">
      <c r="A752" s="22">
        <v>769</v>
      </c>
      <c r="B752" s="22" t="s">
        <v>816</v>
      </c>
      <c r="C752" s="22" t="s">
        <v>464</v>
      </c>
      <c r="D752" s="22" t="s">
        <v>221</v>
      </c>
      <c r="E752" s="158">
        <v>14190</v>
      </c>
      <c r="F752" s="159">
        <v>142000</v>
      </c>
      <c r="G752" s="159">
        <v>2014980000</v>
      </c>
      <c r="H752" s="159">
        <v>201498000</v>
      </c>
      <c r="I752" s="159">
        <v>2216478000</v>
      </c>
      <c r="J752" s="159">
        <f>bargiri[[#This Row],[مقدار]]*INDEX(invoice[پیش دریافت به ازای هر کیلوگرم],MATCH(bargiri[[#This Row],[شماره سند مبنا]],invoice[شماره پیش فاکتور],0))</f>
        <v>332471700</v>
      </c>
      <c r="K752" s="159">
        <f>bargiri[[#This Row],[مبلغ خالص]]-bargiri[[#This Row],[میزان استهلاک پیش دریافتی]]</f>
        <v>1884006300</v>
      </c>
      <c r="L752" s="160" t="s">
        <v>593</v>
      </c>
      <c r="M752" s="159"/>
      <c r="N752" s="159">
        <f>IF(bargiri[[#This Row],[مبلغ واریزی]]&lt;&gt;"",bargiri[[#This Row],[مانده مبلغ]]-bargiri[[#This Row],[مبلغ واریزی]],bargiri[[#This Row],[مانده مبلغ]])</f>
        <v>1884006300</v>
      </c>
      <c r="O752" s="159" t="s">
        <v>593</v>
      </c>
      <c r="P752" s="159">
        <f>VLOOKUP(bargiri[[#This Row],[شماره سند مبنا]],invoice[[شماره پیش فاکتور]:[پیش دریافت به ازای هر کیلوگرم]],14,0)</f>
        <v>23430</v>
      </c>
      <c r="Q752" s="159">
        <f>IF(bargiri[[#This Row],[مبلغ ناخالص]]-(bargiri[[#This Row],[نرخ استهلاک]]*bargiri[[#This Row],[مقدار]])&lt;0,0,bargiri[[#This Row],[مبلغ ناخالص]]-(bargiri[[#This Row],[نرخ استهلاک]]*bargiri[[#This Row],[مقدار]]))</f>
        <v>1682508300</v>
      </c>
    </row>
    <row r="753" spans="1:17" s="22" customFormat="1" ht="13.8" x14ac:dyDescent="0.25">
      <c r="A753" s="22">
        <v>768</v>
      </c>
      <c r="B753" s="22" t="s">
        <v>817</v>
      </c>
      <c r="C753" s="22" t="s">
        <v>652</v>
      </c>
      <c r="D753" s="22" t="s">
        <v>70</v>
      </c>
      <c r="E753" s="158">
        <v>20050</v>
      </c>
      <c r="F753" s="159">
        <v>83000</v>
      </c>
      <c r="G753" s="159">
        <v>1664150000</v>
      </c>
      <c r="H753" s="159">
        <v>166415000</v>
      </c>
      <c r="I753" s="159">
        <v>1830565000</v>
      </c>
      <c r="J753" s="159">
        <f>bargiri[[#This Row],[مقدار]]*INDEX(invoice[پیش دریافت به ازای هر کیلوگرم],MATCH(bargiri[[#This Row],[شماره سند مبنا]],invoice[شماره پیش فاکتور],0))</f>
        <v>274584750</v>
      </c>
      <c r="K753" s="159">
        <f>bargiri[[#This Row],[مبلغ خالص]]-bargiri[[#This Row],[میزان استهلاک پیش دریافتی]]</f>
        <v>1555980250</v>
      </c>
      <c r="L753" s="160" t="s">
        <v>593</v>
      </c>
      <c r="M753" s="159"/>
      <c r="N753" s="159">
        <f>IF(bargiri[[#This Row],[مبلغ واریزی]]&lt;&gt;"",bargiri[[#This Row],[مانده مبلغ]]-bargiri[[#This Row],[مبلغ واریزی]],bargiri[[#This Row],[مانده مبلغ]])</f>
        <v>1555980250</v>
      </c>
      <c r="O753" s="159" t="s">
        <v>593</v>
      </c>
      <c r="P753" s="159">
        <f>VLOOKUP(bargiri[[#This Row],[شماره سند مبنا]],invoice[[شماره پیش فاکتور]:[پیش دریافت به ازای هر کیلوگرم]],14,0)</f>
        <v>13695</v>
      </c>
      <c r="Q753" s="159">
        <f>IF(bargiri[[#This Row],[مبلغ ناخالص]]-(bargiri[[#This Row],[نرخ استهلاک]]*bargiri[[#This Row],[مقدار]])&lt;0,0,bargiri[[#This Row],[مبلغ ناخالص]]-(bargiri[[#This Row],[نرخ استهلاک]]*bargiri[[#This Row],[مقدار]]))</f>
        <v>1389565250</v>
      </c>
    </row>
    <row r="754" spans="1:17" s="22" customFormat="1" ht="13.8" x14ac:dyDescent="0.25">
      <c r="A754" s="22">
        <v>767</v>
      </c>
      <c r="B754" s="22" t="s">
        <v>817</v>
      </c>
      <c r="C754" s="22" t="s">
        <v>463</v>
      </c>
      <c r="D754" s="22" t="s">
        <v>207</v>
      </c>
      <c r="E754" s="158">
        <v>6725</v>
      </c>
      <c r="F754" s="159">
        <v>142000</v>
      </c>
      <c r="G754" s="159">
        <v>954950000</v>
      </c>
      <c r="H754" s="159">
        <v>95495000</v>
      </c>
      <c r="I754" s="159">
        <v>1050445000</v>
      </c>
      <c r="J754" s="159">
        <f>bargiri[[#This Row],[مقدار]]*INDEX(invoice[پیش دریافت به ازای هر کیلوگرم],MATCH(bargiri[[#This Row],[شماره سند مبنا]],invoice[شماره پیش فاکتور],0))</f>
        <v>202467037.5989446</v>
      </c>
      <c r="K754" s="159">
        <f>bargiri[[#This Row],[مبلغ خالص]]-bargiri[[#This Row],[میزان استهلاک پیش دریافتی]]</f>
        <v>847977962.40105534</v>
      </c>
      <c r="L754" s="160" t="s">
        <v>593</v>
      </c>
      <c r="M754" s="159"/>
      <c r="N754" s="159">
        <f>IF(bargiri[[#This Row],[مبلغ واریزی]]&lt;&gt;"",bargiri[[#This Row],[مانده مبلغ]]-bargiri[[#This Row],[مبلغ واریزی]],bargiri[[#This Row],[مانده مبلغ]])</f>
        <v>847977962.40105534</v>
      </c>
      <c r="O754" s="159" t="s">
        <v>593</v>
      </c>
      <c r="P754" s="159">
        <f>VLOOKUP(bargiri[[#This Row],[شماره سند مبنا]],invoice[[شماره پیش فاکتور]:[پیش دریافت به ازای هر کیلوگرم]],14,0)</f>
        <v>30106.622691292876</v>
      </c>
      <c r="Q754" s="159">
        <f>IF(bargiri[[#This Row],[مبلغ ناخالص]]-(bargiri[[#This Row],[نرخ استهلاک]]*bargiri[[#This Row],[مقدار]])&lt;0,0,bargiri[[#This Row],[مبلغ ناخالص]]-(bargiri[[#This Row],[نرخ استهلاک]]*bargiri[[#This Row],[مقدار]]))</f>
        <v>752482962.40105534</v>
      </c>
    </row>
    <row r="755" spans="1:17" s="22" customFormat="1" ht="13.8" x14ac:dyDescent="0.25">
      <c r="A755" s="22">
        <v>766</v>
      </c>
      <c r="B755" s="22" t="s">
        <v>818</v>
      </c>
      <c r="C755" s="22" t="s">
        <v>680</v>
      </c>
      <c r="D755" s="22" t="s">
        <v>67</v>
      </c>
      <c r="E755" s="158">
        <v>19950</v>
      </c>
      <c r="F755" s="159">
        <v>167500</v>
      </c>
      <c r="G755" s="159">
        <v>3341625000</v>
      </c>
      <c r="H755" s="159">
        <v>334162500</v>
      </c>
      <c r="I755" s="159">
        <v>3675787500</v>
      </c>
      <c r="J755" s="159">
        <f>bargiri[[#This Row],[مقدار]]*INDEX(invoice[پیش دریافت به ازای هر کیلوگرم],MATCH(bargiri[[#This Row],[شماره سند مبنا]],invoice[شماره پیش فاکتور],0))</f>
        <v>3675787500</v>
      </c>
      <c r="K755" s="159">
        <f>bargiri[[#This Row],[مبلغ خالص]]-bargiri[[#This Row],[میزان استهلاک پیش دریافتی]]</f>
        <v>0</v>
      </c>
      <c r="L755" s="160" t="s">
        <v>593</v>
      </c>
      <c r="M755" s="159"/>
      <c r="N755" s="159">
        <f>IF(bargiri[[#This Row],[مبلغ واریزی]]&lt;&gt;"",bargiri[[#This Row],[مانده مبلغ]]-bargiri[[#This Row],[مبلغ واریزی]],bargiri[[#This Row],[مانده مبلغ]])</f>
        <v>0</v>
      </c>
      <c r="O755" s="159" t="s">
        <v>593</v>
      </c>
      <c r="P755" s="159">
        <f>VLOOKUP(bargiri[[#This Row],[شماره سند مبنا]],invoice[[شماره پیش فاکتور]:[پیش دریافت به ازای هر کیلوگرم]],14,0)</f>
        <v>184250</v>
      </c>
      <c r="Q755" s="159">
        <f>IF(bargiri[[#This Row],[مبلغ ناخالص]]-(bargiri[[#This Row],[نرخ استهلاک]]*bargiri[[#This Row],[مقدار]])&lt;0,0,bargiri[[#This Row],[مبلغ ناخالص]]-(bargiri[[#This Row],[نرخ استهلاک]]*bargiri[[#This Row],[مقدار]]))</f>
        <v>0</v>
      </c>
    </row>
    <row r="756" spans="1:17" s="22" customFormat="1" ht="13.8" x14ac:dyDescent="0.25">
      <c r="A756" s="22">
        <v>765</v>
      </c>
      <c r="B756" s="22" t="s">
        <v>818</v>
      </c>
      <c r="C756" s="22" t="s">
        <v>72</v>
      </c>
      <c r="D756" s="22" t="s">
        <v>73</v>
      </c>
      <c r="E756" s="158">
        <v>20485</v>
      </c>
      <c r="F756" s="159">
        <v>57273</v>
      </c>
      <c r="G756" s="159">
        <v>1173237405</v>
      </c>
      <c r="H756" s="159">
        <v>117323741</v>
      </c>
      <c r="I756" s="159">
        <v>1290561146</v>
      </c>
      <c r="J756" s="159" t="e">
        <f>bargiri[[#This Row],[مقدار]]*INDEX(invoice[پیش دریافت به ازای هر کیلوگرم],MATCH(bargiri[[#This Row],[شماره سند مبنا]],invoice[شماره پیش فاکتور],0))</f>
        <v>#N/A</v>
      </c>
      <c r="K756" s="159" t="e">
        <f>bargiri[[#This Row],[مبلغ خالص]]-bargiri[[#This Row],[میزان استهلاک پیش دریافتی]]</f>
        <v>#N/A</v>
      </c>
      <c r="L756" s="160" t="s">
        <v>593</v>
      </c>
      <c r="M756" s="159"/>
      <c r="N756" s="159" t="e">
        <f>IF(bargiri[[#This Row],[مبلغ واریزی]]&lt;&gt;"",bargiri[[#This Row],[مانده مبلغ]]-bargiri[[#This Row],[مبلغ واریزی]],bargiri[[#This Row],[مانده مبلغ]])</f>
        <v>#N/A</v>
      </c>
      <c r="O756" s="159" t="s">
        <v>593</v>
      </c>
      <c r="P756" s="159" t="e">
        <f>VLOOKUP(bargiri[[#This Row],[شماره سند مبنا]],invoice[[شماره پیش فاکتور]:[پیش دریافت به ازای هر کیلوگرم]],14,0)</f>
        <v>#N/A</v>
      </c>
      <c r="Q756" s="159" t="e">
        <f>IF(bargiri[[#This Row],[مبلغ ناخالص]]-(bargiri[[#This Row],[نرخ استهلاک]]*bargiri[[#This Row],[مقدار]])&lt;0,0,bargiri[[#This Row],[مبلغ ناخالص]]-(bargiri[[#This Row],[نرخ استهلاک]]*bargiri[[#This Row],[مقدار]]))</f>
        <v>#N/A</v>
      </c>
    </row>
    <row r="757" spans="1:17" s="22" customFormat="1" ht="13.8" x14ac:dyDescent="0.25">
      <c r="A757" s="22">
        <v>764</v>
      </c>
      <c r="B757" s="22" t="s">
        <v>818</v>
      </c>
      <c r="C757" s="22" t="s">
        <v>72</v>
      </c>
      <c r="D757" s="22" t="s">
        <v>73</v>
      </c>
      <c r="E757" s="158">
        <v>20605</v>
      </c>
      <c r="F757" s="159">
        <v>57273</v>
      </c>
      <c r="G757" s="159">
        <v>1180110165</v>
      </c>
      <c r="H757" s="159">
        <v>118011017</v>
      </c>
      <c r="I757" s="159">
        <v>1298121182</v>
      </c>
      <c r="J757" s="159" t="e">
        <f>bargiri[[#This Row],[مقدار]]*INDEX(invoice[پیش دریافت به ازای هر کیلوگرم],MATCH(bargiri[[#This Row],[شماره سند مبنا]],invoice[شماره پیش فاکتور],0))</f>
        <v>#N/A</v>
      </c>
      <c r="K757" s="159" t="e">
        <f>bargiri[[#This Row],[مبلغ خالص]]-bargiri[[#This Row],[میزان استهلاک پیش دریافتی]]</f>
        <v>#N/A</v>
      </c>
      <c r="L757" s="160" t="s">
        <v>593</v>
      </c>
      <c r="M757" s="159"/>
      <c r="N757" s="159" t="e">
        <f>IF(bargiri[[#This Row],[مبلغ واریزی]]&lt;&gt;"",bargiri[[#This Row],[مانده مبلغ]]-bargiri[[#This Row],[مبلغ واریزی]],bargiri[[#This Row],[مانده مبلغ]])</f>
        <v>#N/A</v>
      </c>
      <c r="O757" s="159" t="s">
        <v>593</v>
      </c>
      <c r="P757" s="159" t="e">
        <f>VLOOKUP(bargiri[[#This Row],[شماره سند مبنا]],invoice[[شماره پیش فاکتور]:[پیش دریافت به ازای هر کیلوگرم]],14,0)</f>
        <v>#N/A</v>
      </c>
      <c r="Q757" s="159" t="e">
        <f>IF(bargiri[[#This Row],[مبلغ ناخالص]]-(bargiri[[#This Row],[نرخ استهلاک]]*bargiri[[#This Row],[مقدار]])&lt;0,0,bargiri[[#This Row],[مبلغ ناخالص]]-(bargiri[[#This Row],[نرخ استهلاک]]*bargiri[[#This Row],[مقدار]]))</f>
        <v>#N/A</v>
      </c>
    </row>
    <row r="758" spans="1:17" s="22" customFormat="1" ht="13.8" x14ac:dyDescent="0.25">
      <c r="A758" s="22">
        <v>763</v>
      </c>
      <c r="B758" s="22" t="s">
        <v>818</v>
      </c>
      <c r="C758" s="22" t="s">
        <v>72</v>
      </c>
      <c r="D758" s="22" t="s">
        <v>73</v>
      </c>
      <c r="E758" s="158">
        <v>20885</v>
      </c>
      <c r="F758" s="159">
        <v>57273</v>
      </c>
      <c r="G758" s="159">
        <v>1196146605</v>
      </c>
      <c r="H758" s="159">
        <v>119614661</v>
      </c>
      <c r="I758" s="159">
        <v>1315761266</v>
      </c>
      <c r="J758" s="159" t="e">
        <f>bargiri[[#This Row],[مقدار]]*INDEX(invoice[پیش دریافت به ازای هر کیلوگرم],MATCH(bargiri[[#This Row],[شماره سند مبنا]],invoice[شماره پیش فاکتور],0))</f>
        <v>#N/A</v>
      </c>
      <c r="K758" s="159" t="e">
        <f>bargiri[[#This Row],[مبلغ خالص]]-bargiri[[#This Row],[میزان استهلاک پیش دریافتی]]</f>
        <v>#N/A</v>
      </c>
      <c r="L758" s="160" t="s">
        <v>593</v>
      </c>
      <c r="M758" s="159"/>
      <c r="N758" s="159" t="e">
        <f>IF(bargiri[[#This Row],[مبلغ واریزی]]&lt;&gt;"",bargiri[[#This Row],[مانده مبلغ]]-bargiri[[#This Row],[مبلغ واریزی]],bargiri[[#This Row],[مانده مبلغ]])</f>
        <v>#N/A</v>
      </c>
      <c r="O758" s="159" t="s">
        <v>593</v>
      </c>
      <c r="P758" s="159" t="e">
        <f>VLOOKUP(bargiri[[#This Row],[شماره سند مبنا]],invoice[[شماره پیش فاکتور]:[پیش دریافت به ازای هر کیلوگرم]],14,0)</f>
        <v>#N/A</v>
      </c>
      <c r="Q758" s="159" t="e">
        <f>IF(bargiri[[#This Row],[مبلغ ناخالص]]-(bargiri[[#This Row],[نرخ استهلاک]]*bargiri[[#This Row],[مقدار]])&lt;0,0,bargiri[[#This Row],[مبلغ ناخالص]]-(bargiri[[#This Row],[نرخ استهلاک]]*bargiri[[#This Row],[مقدار]]))</f>
        <v>#N/A</v>
      </c>
    </row>
    <row r="759" spans="1:17" s="22" customFormat="1" ht="13.8" x14ac:dyDescent="0.25">
      <c r="A759" s="22">
        <v>762</v>
      </c>
      <c r="B759" s="22" t="s">
        <v>818</v>
      </c>
      <c r="C759" s="22" t="s">
        <v>72</v>
      </c>
      <c r="D759" s="22" t="s">
        <v>73</v>
      </c>
      <c r="E759" s="158">
        <v>20965</v>
      </c>
      <c r="F759" s="159">
        <v>57273</v>
      </c>
      <c r="G759" s="159">
        <v>1200728445</v>
      </c>
      <c r="H759" s="159">
        <v>120072845</v>
      </c>
      <c r="I759" s="159">
        <v>1320801290</v>
      </c>
      <c r="J759" s="159" t="e">
        <f>bargiri[[#This Row],[مقدار]]*INDEX(invoice[پیش دریافت به ازای هر کیلوگرم],MATCH(bargiri[[#This Row],[شماره سند مبنا]],invoice[شماره پیش فاکتور],0))</f>
        <v>#N/A</v>
      </c>
      <c r="K759" s="159" t="e">
        <f>bargiri[[#This Row],[مبلغ خالص]]-bargiri[[#This Row],[میزان استهلاک پیش دریافتی]]</f>
        <v>#N/A</v>
      </c>
      <c r="L759" s="160" t="s">
        <v>593</v>
      </c>
      <c r="M759" s="159"/>
      <c r="N759" s="159" t="e">
        <f>IF(bargiri[[#This Row],[مبلغ واریزی]]&lt;&gt;"",bargiri[[#This Row],[مانده مبلغ]]-bargiri[[#This Row],[مبلغ واریزی]],bargiri[[#This Row],[مانده مبلغ]])</f>
        <v>#N/A</v>
      </c>
      <c r="O759" s="159" t="s">
        <v>593</v>
      </c>
      <c r="P759" s="159" t="e">
        <f>VLOOKUP(bargiri[[#This Row],[شماره سند مبنا]],invoice[[شماره پیش فاکتور]:[پیش دریافت به ازای هر کیلوگرم]],14,0)</f>
        <v>#N/A</v>
      </c>
      <c r="Q759" s="159" t="e">
        <f>IF(bargiri[[#This Row],[مبلغ ناخالص]]-(bargiri[[#This Row],[نرخ استهلاک]]*bargiri[[#This Row],[مقدار]])&lt;0,0,bargiri[[#This Row],[مبلغ ناخالص]]-(bargiri[[#This Row],[نرخ استهلاک]]*bargiri[[#This Row],[مقدار]]))</f>
        <v>#N/A</v>
      </c>
    </row>
    <row r="760" spans="1:17" s="22" customFormat="1" ht="13.8" x14ac:dyDescent="0.25">
      <c r="A760" s="22">
        <v>761</v>
      </c>
      <c r="B760" s="22" t="s">
        <v>818</v>
      </c>
      <c r="C760" s="22" t="s">
        <v>72</v>
      </c>
      <c r="D760" s="22" t="s">
        <v>73</v>
      </c>
      <c r="E760" s="158">
        <v>20975</v>
      </c>
      <c r="F760" s="159">
        <v>57273</v>
      </c>
      <c r="G760" s="159">
        <v>1201301175</v>
      </c>
      <c r="H760" s="159">
        <v>120130118</v>
      </c>
      <c r="I760" s="159">
        <v>1321431293</v>
      </c>
      <c r="J760" s="159" t="e">
        <f>bargiri[[#This Row],[مقدار]]*INDEX(invoice[پیش دریافت به ازای هر کیلوگرم],MATCH(bargiri[[#This Row],[شماره سند مبنا]],invoice[شماره پیش فاکتور],0))</f>
        <v>#N/A</v>
      </c>
      <c r="K760" s="159" t="e">
        <f>bargiri[[#This Row],[مبلغ خالص]]-bargiri[[#This Row],[میزان استهلاک پیش دریافتی]]</f>
        <v>#N/A</v>
      </c>
      <c r="L760" s="160" t="s">
        <v>593</v>
      </c>
      <c r="M760" s="159"/>
      <c r="N760" s="159" t="e">
        <f>IF(bargiri[[#This Row],[مبلغ واریزی]]&lt;&gt;"",bargiri[[#This Row],[مانده مبلغ]]-bargiri[[#This Row],[مبلغ واریزی]],bargiri[[#This Row],[مانده مبلغ]])</f>
        <v>#N/A</v>
      </c>
      <c r="O760" s="159" t="s">
        <v>593</v>
      </c>
      <c r="P760" s="159" t="e">
        <f>VLOOKUP(bargiri[[#This Row],[شماره سند مبنا]],invoice[[شماره پیش فاکتور]:[پیش دریافت به ازای هر کیلوگرم]],14,0)</f>
        <v>#N/A</v>
      </c>
      <c r="Q760" s="159" t="e">
        <f>IF(bargiri[[#This Row],[مبلغ ناخالص]]-(bargiri[[#This Row],[نرخ استهلاک]]*bargiri[[#This Row],[مقدار]])&lt;0,0,bargiri[[#This Row],[مبلغ ناخالص]]-(bargiri[[#This Row],[نرخ استهلاک]]*bargiri[[#This Row],[مقدار]]))</f>
        <v>#N/A</v>
      </c>
    </row>
    <row r="761" spans="1:17" s="22" customFormat="1" ht="13.8" x14ac:dyDescent="0.25">
      <c r="A761" s="22">
        <v>760</v>
      </c>
      <c r="B761" s="22" t="s">
        <v>818</v>
      </c>
      <c r="C761" s="22" t="s">
        <v>617</v>
      </c>
      <c r="D761" s="22" t="s">
        <v>211</v>
      </c>
      <c r="E761" s="158">
        <v>19600</v>
      </c>
      <c r="F761" s="159">
        <v>142000</v>
      </c>
      <c r="G761" s="159">
        <v>2783200000</v>
      </c>
      <c r="H761" s="159">
        <v>278320000</v>
      </c>
      <c r="I761" s="159">
        <v>3061520000</v>
      </c>
      <c r="J761" s="159">
        <f>bargiri[[#This Row],[مقدار]]*INDEX(invoice[پیش دریافت به ازای هر کیلوگرم],MATCH(bargiri[[#This Row],[شماره سند مبنا]],invoice[شماره پیش فاکتور],0))</f>
        <v>880900284.53595066</v>
      </c>
      <c r="K761" s="159">
        <f>bargiri[[#This Row],[مبلغ خالص]]-bargiri[[#This Row],[میزان استهلاک پیش دریافتی]]</f>
        <v>2180619715.4640493</v>
      </c>
      <c r="L761" s="160" t="s">
        <v>593</v>
      </c>
      <c r="M761" s="159"/>
      <c r="N761" s="159">
        <f>IF(bargiri[[#This Row],[مبلغ واریزی]]&lt;&gt;"",bargiri[[#This Row],[مانده مبلغ]]-bargiri[[#This Row],[مبلغ واریزی]],bargiri[[#This Row],[مانده مبلغ]])</f>
        <v>2180619715.4640493</v>
      </c>
      <c r="O761" s="159" t="s">
        <v>593</v>
      </c>
      <c r="P761" s="159">
        <f>VLOOKUP(bargiri[[#This Row],[شماره سند مبنا]],invoice[[شماره پیش فاکتور]:[پیش دریافت به ازای هر کیلوگرم]],14,0)</f>
        <v>44943.892068160749</v>
      </c>
      <c r="Q761" s="159">
        <f>IF(bargiri[[#This Row],[مبلغ ناخالص]]-(bargiri[[#This Row],[نرخ استهلاک]]*bargiri[[#This Row],[مقدار]])&lt;0,0,bargiri[[#This Row],[مبلغ ناخالص]]-(bargiri[[#This Row],[نرخ استهلاک]]*bargiri[[#This Row],[مقدار]]))</f>
        <v>1902299715.4640493</v>
      </c>
    </row>
    <row r="762" spans="1:17" s="22" customFormat="1" ht="13.8" x14ac:dyDescent="0.25">
      <c r="A762" s="22">
        <v>759</v>
      </c>
      <c r="B762" s="22" t="s">
        <v>818</v>
      </c>
      <c r="C762" s="22" t="s">
        <v>607</v>
      </c>
      <c r="D762" s="22" t="s">
        <v>180</v>
      </c>
      <c r="E762" s="158">
        <v>7795</v>
      </c>
      <c r="F762" s="159">
        <v>142000</v>
      </c>
      <c r="G762" s="159">
        <v>1106890000</v>
      </c>
      <c r="H762" s="159">
        <v>110689000</v>
      </c>
      <c r="I762" s="159">
        <v>1217579000</v>
      </c>
      <c r="J762" s="159">
        <f>bargiri[[#This Row],[مقدار]]*INDEX(invoice[پیش دریافت به ازای هر کیلوگرم],MATCH(bargiri[[#This Row],[شماره سند مبنا]],invoice[شماره پیش فاکتور],0))</f>
        <v>581872508.76137209</v>
      </c>
      <c r="K762" s="159">
        <f>bargiri[[#This Row],[مبلغ خالص]]-bargiri[[#This Row],[میزان استهلاک پیش دریافتی]]</f>
        <v>635706491.23862791</v>
      </c>
      <c r="L762" s="160" t="s">
        <v>593</v>
      </c>
      <c r="M762" s="159"/>
      <c r="N762" s="159">
        <f>IF(bargiri[[#This Row],[مبلغ واریزی]]&lt;&gt;"",bargiri[[#This Row],[مانده مبلغ]]-bargiri[[#This Row],[مبلغ واریزی]],bargiri[[#This Row],[مانده مبلغ]])</f>
        <v>635706491.23862791</v>
      </c>
      <c r="O762" s="159" t="s">
        <v>593</v>
      </c>
      <c r="P762" s="159">
        <f>VLOOKUP(bargiri[[#This Row],[شماره سند مبنا]],invoice[[شماره پیش فاکتور]:[پیش دریافت به ازای هر کیلوگرم]],14,0)</f>
        <v>74646.890155403729</v>
      </c>
      <c r="Q762" s="159">
        <f>IF(bargiri[[#This Row],[مبلغ ناخالص]]-(bargiri[[#This Row],[نرخ استهلاک]]*bargiri[[#This Row],[مقدار]])&lt;0,0,bargiri[[#This Row],[مبلغ ناخالص]]-(bargiri[[#This Row],[نرخ استهلاک]]*bargiri[[#This Row],[مقدار]]))</f>
        <v>525017491.23862791</v>
      </c>
    </row>
    <row r="763" spans="1:17" s="22" customFormat="1" ht="13.8" x14ac:dyDescent="0.25">
      <c r="A763" s="22">
        <v>758</v>
      </c>
      <c r="B763" s="22" t="s">
        <v>819</v>
      </c>
      <c r="C763" s="22" t="s">
        <v>182</v>
      </c>
      <c r="D763" s="22" t="s">
        <v>20</v>
      </c>
      <c r="E763" s="158">
        <v>20085</v>
      </c>
      <c r="F763" s="159">
        <v>86500</v>
      </c>
      <c r="G763" s="159">
        <v>1737352500</v>
      </c>
      <c r="H763" s="159">
        <v>173735250</v>
      </c>
      <c r="I763" s="159">
        <v>1911087750</v>
      </c>
      <c r="J763" s="159">
        <f>bargiri[[#This Row],[مقدار]]*INDEX(invoice[پیش دریافت به ازای هر کیلوگرم],MATCH(bargiri[[#This Row],[شماره سند مبنا]],invoice[شماره پیش فاکتور],0))</f>
        <v>260602875</v>
      </c>
      <c r="K763" s="159">
        <f>bargiri[[#This Row],[مبلغ خالص]]-bargiri[[#This Row],[میزان استهلاک پیش دریافتی]]</f>
        <v>1650484875</v>
      </c>
      <c r="L763" s="160" t="s">
        <v>593</v>
      </c>
      <c r="M763" s="159"/>
      <c r="N763" s="159">
        <f>IF(bargiri[[#This Row],[مبلغ واریزی]]&lt;&gt;"",bargiri[[#This Row],[مانده مبلغ]]-bargiri[[#This Row],[مبلغ واریزی]],bargiri[[#This Row],[مانده مبلغ]])</f>
        <v>1650484875</v>
      </c>
      <c r="O763" s="159" t="s">
        <v>593</v>
      </c>
      <c r="P763" s="159">
        <f>VLOOKUP(bargiri[[#This Row],[شماره سند مبنا]],invoice[[شماره پیش فاکتور]:[پیش دریافت به ازای هر کیلوگرم]],14,0)</f>
        <v>12975</v>
      </c>
      <c r="Q763" s="159">
        <f>IF(bargiri[[#This Row],[مبلغ ناخالص]]-(bargiri[[#This Row],[نرخ استهلاک]]*bargiri[[#This Row],[مقدار]])&lt;0,0,bargiri[[#This Row],[مبلغ ناخالص]]-(bargiri[[#This Row],[نرخ استهلاک]]*bargiri[[#This Row],[مقدار]]))</f>
        <v>1476749625</v>
      </c>
    </row>
    <row r="764" spans="1:17" s="22" customFormat="1" ht="13.8" x14ac:dyDescent="0.25">
      <c r="A764" s="22">
        <v>757</v>
      </c>
      <c r="B764" s="22" t="s">
        <v>819</v>
      </c>
      <c r="C764" s="22" t="s">
        <v>608</v>
      </c>
      <c r="D764" s="22" t="s">
        <v>40</v>
      </c>
      <c r="E764" s="158">
        <v>19850</v>
      </c>
      <c r="F764" s="159">
        <v>142000</v>
      </c>
      <c r="G764" s="159">
        <v>2818700000</v>
      </c>
      <c r="H764" s="159">
        <v>281870000</v>
      </c>
      <c r="I764" s="159">
        <v>3100570000</v>
      </c>
      <c r="J764" s="159">
        <f>bargiri[[#This Row],[مقدار]]*INDEX(invoice[پیش دریافت به ازای هر کیلوگرم],MATCH(bargiri[[#This Row],[شماره سند مبنا]],invoice[شماره پیش فاکتور],0))</f>
        <v>465085500</v>
      </c>
      <c r="K764" s="159">
        <f>bargiri[[#This Row],[مبلغ خالص]]-bargiri[[#This Row],[میزان استهلاک پیش دریافتی]]</f>
        <v>2635484500</v>
      </c>
      <c r="L764" s="160" t="s">
        <v>593</v>
      </c>
      <c r="M764" s="159"/>
      <c r="N764" s="159">
        <f>IF(bargiri[[#This Row],[مبلغ واریزی]]&lt;&gt;"",bargiri[[#This Row],[مانده مبلغ]]-bargiri[[#This Row],[مبلغ واریزی]],bargiri[[#This Row],[مانده مبلغ]])</f>
        <v>2635484500</v>
      </c>
      <c r="O764" s="159" t="s">
        <v>593</v>
      </c>
      <c r="P764" s="159">
        <f>VLOOKUP(bargiri[[#This Row],[شماره سند مبنا]],invoice[[شماره پیش فاکتور]:[پیش دریافت به ازای هر کیلوگرم]],14,0)</f>
        <v>23430</v>
      </c>
      <c r="Q764" s="159">
        <f>IF(bargiri[[#This Row],[مبلغ ناخالص]]-(bargiri[[#This Row],[نرخ استهلاک]]*bargiri[[#This Row],[مقدار]])&lt;0,0,bargiri[[#This Row],[مبلغ ناخالص]]-(bargiri[[#This Row],[نرخ استهلاک]]*bargiri[[#This Row],[مقدار]]))</f>
        <v>2353614500</v>
      </c>
    </row>
    <row r="765" spans="1:17" s="22" customFormat="1" ht="13.8" x14ac:dyDescent="0.25">
      <c r="A765" s="22">
        <v>756</v>
      </c>
      <c r="B765" s="22" t="s">
        <v>819</v>
      </c>
      <c r="C765" s="22" t="s">
        <v>187</v>
      </c>
      <c r="D765" s="22" t="s">
        <v>43</v>
      </c>
      <c r="E765" s="158">
        <v>20210</v>
      </c>
      <c r="F765" s="159">
        <v>80000</v>
      </c>
      <c r="G765" s="159">
        <v>1616800000</v>
      </c>
      <c r="H765" s="159">
        <v>161680000</v>
      </c>
      <c r="I765" s="159">
        <v>1778480000</v>
      </c>
      <c r="J765" s="159">
        <f>bargiri[[#This Row],[مقدار]]*INDEX(invoice[پیش دریافت به ازای هر کیلوگرم],MATCH(bargiri[[#This Row],[شماره سند مبنا]],invoice[شماره پیش فاکتور],0))</f>
        <v>355696000</v>
      </c>
      <c r="K765" s="159">
        <f>bargiri[[#This Row],[مبلغ خالص]]-bargiri[[#This Row],[میزان استهلاک پیش دریافتی]]</f>
        <v>1422784000</v>
      </c>
      <c r="L765" s="160" t="s">
        <v>593</v>
      </c>
      <c r="M765" s="159"/>
      <c r="N765" s="159">
        <f>IF(bargiri[[#This Row],[مبلغ واریزی]]&lt;&gt;"",bargiri[[#This Row],[مانده مبلغ]]-bargiri[[#This Row],[مبلغ واریزی]],bargiri[[#This Row],[مانده مبلغ]])</f>
        <v>1422784000</v>
      </c>
      <c r="O765" s="159" t="s">
        <v>593</v>
      </c>
      <c r="P765" s="159">
        <f>VLOOKUP(bargiri[[#This Row],[شماره سند مبنا]],invoice[[شماره پیش فاکتور]:[پیش دریافت به ازای هر کیلوگرم]],14,0)</f>
        <v>17600</v>
      </c>
      <c r="Q765" s="159">
        <f>IF(bargiri[[#This Row],[مبلغ ناخالص]]-(bargiri[[#This Row],[نرخ استهلاک]]*bargiri[[#This Row],[مقدار]])&lt;0,0,bargiri[[#This Row],[مبلغ ناخالص]]-(bargiri[[#This Row],[نرخ استهلاک]]*bargiri[[#This Row],[مقدار]]))</f>
        <v>1261104000</v>
      </c>
    </row>
    <row r="766" spans="1:17" s="22" customFormat="1" ht="13.8" x14ac:dyDescent="0.25">
      <c r="A766" s="22">
        <v>755</v>
      </c>
      <c r="B766" s="22" t="s">
        <v>718</v>
      </c>
      <c r="C766" s="22" t="s">
        <v>617</v>
      </c>
      <c r="D766" s="22" t="s">
        <v>211</v>
      </c>
      <c r="E766" s="158">
        <v>18930</v>
      </c>
      <c r="F766" s="159">
        <v>142000</v>
      </c>
      <c r="G766" s="159">
        <v>2688060000</v>
      </c>
      <c r="H766" s="159">
        <v>268806000</v>
      </c>
      <c r="I766" s="159">
        <v>2956866000</v>
      </c>
      <c r="J766" s="159">
        <f>bargiri[[#This Row],[مقدار]]*INDEX(invoice[پیش دریافت به ازای هر کیلوگرم],MATCH(bargiri[[#This Row],[شماره سند مبنا]],invoice[شماره پیش فاکتور],0))</f>
        <v>850787876.85028303</v>
      </c>
      <c r="K766" s="159">
        <f>bargiri[[#This Row],[مبلغ خالص]]-bargiri[[#This Row],[میزان استهلاک پیش دریافتی]]</f>
        <v>2106078123.1497169</v>
      </c>
      <c r="L766" s="160" t="s">
        <v>593</v>
      </c>
      <c r="M766" s="159"/>
      <c r="N766" s="159">
        <f>IF(bargiri[[#This Row],[مبلغ واریزی]]&lt;&gt;"",bargiri[[#This Row],[مانده مبلغ]]-bargiri[[#This Row],[مبلغ واریزی]],bargiri[[#This Row],[مانده مبلغ]])</f>
        <v>2106078123.1497169</v>
      </c>
      <c r="O766" s="159" t="s">
        <v>593</v>
      </c>
      <c r="P766" s="159">
        <f>VLOOKUP(bargiri[[#This Row],[شماره سند مبنا]],invoice[[شماره پیش فاکتور]:[پیش دریافت به ازای هر کیلوگرم]],14,0)</f>
        <v>44943.892068160749</v>
      </c>
      <c r="Q766" s="159">
        <f>IF(bargiri[[#This Row],[مبلغ ناخالص]]-(bargiri[[#This Row],[نرخ استهلاک]]*bargiri[[#This Row],[مقدار]])&lt;0,0,bargiri[[#This Row],[مبلغ ناخالص]]-(bargiri[[#This Row],[نرخ استهلاک]]*bargiri[[#This Row],[مقدار]]))</f>
        <v>1837272123.1497169</v>
      </c>
    </row>
    <row r="767" spans="1:17" s="22" customFormat="1" ht="13.8" x14ac:dyDescent="0.25">
      <c r="A767" s="22">
        <v>754</v>
      </c>
      <c r="B767" s="22" t="s">
        <v>718</v>
      </c>
      <c r="C767" s="22" t="s">
        <v>644</v>
      </c>
      <c r="D767" s="22" t="s">
        <v>67</v>
      </c>
      <c r="E767" s="158">
        <v>20115</v>
      </c>
      <c r="F767" s="159">
        <v>95000</v>
      </c>
      <c r="G767" s="159">
        <v>1910925000</v>
      </c>
      <c r="H767" s="159">
        <v>191092500</v>
      </c>
      <c r="I767" s="159">
        <v>2102017500</v>
      </c>
      <c r="J767" s="159">
        <f>bargiri[[#This Row],[مقدار]]*INDEX(invoice[پیش دریافت به ازای هر کیلوگرم],MATCH(bargiri[[#This Row],[شماره سند مبنا]],invoice[شماره پیش فاکتور],0))</f>
        <v>611611960.56186581</v>
      </c>
      <c r="K767" s="159">
        <f>bargiri[[#This Row],[مبلغ خالص]]-bargiri[[#This Row],[میزان استهلاک پیش دریافتی]]</f>
        <v>1490405539.4381342</v>
      </c>
      <c r="L767" s="160" t="s">
        <v>593</v>
      </c>
      <c r="M767" s="159"/>
      <c r="N767" s="159">
        <f>IF(bargiri[[#This Row],[مبلغ واریزی]]&lt;&gt;"",bargiri[[#This Row],[مانده مبلغ]]-bargiri[[#This Row],[مبلغ واریزی]],bargiri[[#This Row],[مانده مبلغ]])</f>
        <v>1490405539.4381342</v>
      </c>
      <c r="O767" s="159" t="s">
        <v>593</v>
      </c>
      <c r="P767" s="159">
        <f>VLOOKUP(bargiri[[#This Row],[شماره سند مبنا]],invoice[[شماره پیش فاکتور]:[پیش دریافت به ازای هر کیلوگرم]],14,0)</f>
        <v>30405.764880033101</v>
      </c>
      <c r="Q767" s="159">
        <f>IF(bargiri[[#This Row],[مبلغ ناخالص]]-(bargiri[[#This Row],[نرخ استهلاک]]*bargiri[[#This Row],[مقدار]])&lt;0,0,bargiri[[#This Row],[مبلغ ناخالص]]-(bargiri[[#This Row],[نرخ استهلاک]]*bargiri[[#This Row],[مقدار]]))</f>
        <v>1299313039.4381342</v>
      </c>
    </row>
    <row r="768" spans="1:17" s="22" customFormat="1" ht="13.8" x14ac:dyDescent="0.25">
      <c r="A768" s="22">
        <v>753</v>
      </c>
      <c r="B768" s="22" t="s">
        <v>718</v>
      </c>
      <c r="C768" s="22" t="s">
        <v>107</v>
      </c>
      <c r="D768" s="22" t="s">
        <v>30</v>
      </c>
      <c r="E768" s="158">
        <v>11455</v>
      </c>
      <c r="F768" s="159">
        <v>70000</v>
      </c>
      <c r="G768" s="159">
        <v>801850000</v>
      </c>
      <c r="H768" s="159">
        <v>80185000</v>
      </c>
      <c r="I768" s="159">
        <v>882035000</v>
      </c>
      <c r="J768" s="159">
        <f>bargiri[[#This Row],[مقدار]]*INDEX(invoice[پیش دریافت به ازای هر کیلوگرم],MATCH(bargiri[[#This Row],[شماره سند مبنا]],invoice[شماره پیش فاکتور],0))</f>
        <v>441017500</v>
      </c>
      <c r="K768" s="159">
        <f>bargiri[[#This Row],[مبلغ خالص]]-bargiri[[#This Row],[میزان استهلاک پیش دریافتی]]</f>
        <v>441017500</v>
      </c>
      <c r="L768" s="160" t="s">
        <v>593</v>
      </c>
      <c r="M768" s="159"/>
      <c r="N768" s="159">
        <f>IF(bargiri[[#This Row],[مبلغ واریزی]]&lt;&gt;"",bargiri[[#This Row],[مانده مبلغ]]-bargiri[[#This Row],[مبلغ واریزی]],bargiri[[#This Row],[مانده مبلغ]])</f>
        <v>441017500</v>
      </c>
      <c r="O768" s="159" t="s">
        <v>593</v>
      </c>
      <c r="P768" s="159">
        <f>VLOOKUP(bargiri[[#This Row],[شماره سند مبنا]],invoice[[شماره پیش فاکتور]:[پیش دریافت به ازای هر کیلوگرم]],14,0)</f>
        <v>38500</v>
      </c>
      <c r="Q768" s="159">
        <f>IF(bargiri[[#This Row],[مبلغ ناخالص]]-(bargiri[[#This Row],[نرخ استهلاک]]*bargiri[[#This Row],[مقدار]])&lt;0,0,bargiri[[#This Row],[مبلغ ناخالص]]-(bargiri[[#This Row],[نرخ استهلاک]]*bargiri[[#This Row],[مقدار]]))</f>
        <v>360832500</v>
      </c>
    </row>
    <row r="769" spans="1:17" s="22" customFormat="1" ht="13.8" x14ac:dyDescent="0.25">
      <c r="A769" s="22">
        <v>752</v>
      </c>
      <c r="B769" s="22" t="s">
        <v>820</v>
      </c>
      <c r="C769" s="22" t="s">
        <v>72</v>
      </c>
      <c r="D769" s="22" t="s">
        <v>73</v>
      </c>
      <c r="E769" s="158">
        <v>21175</v>
      </c>
      <c r="F769" s="159">
        <v>57273</v>
      </c>
      <c r="G769" s="159">
        <v>1212755775</v>
      </c>
      <c r="H769" s="159">
        <v>121275578</v>
      </c>
      <c r="I769" s="159">
        <v>1334031353</v>
      </c>
      <c r="J769" s="159" t="e">
        <f>bargiri[[#This Row],[مقدار]]*INDEX(invoice[پیش دریافت به ازای هر کیلوگرم],MATCH(bargiri[[#This Row],[شماره سند مبنا]],invoice[شماره پیش فاکتور],0))</f>
        <v>#N/A</v>
      </c>
      <c r="K769" s="159" t="e">
        <f>bargiri[[#This Row],[مبلغ خالص]]-bargiri[[#This Row],[میزان استهلاک پیش دریافتی]]</f>
        <v>#N/A</v>
      </c>
      <c r="L769" s="160" t="s">
        <v>593</v>
      </c>
      <c r="M769" s="159"/>
      <c r="N769" s="159" t="e">
        <f>IF(bargiri[[#This Row],[مبلغ واریزی]]&lt;&gt;"",bargiri[[#This Row],[مانده مبلغ]]-bargiri[[#This Row],[مبلغ واریزی]],bargiri[[#This Row],[مانده مبلغ]])</f>
        <v>#N/A</v>
      </c>
      <c r="O769" s="159" t="s">
        <v>593</v>
      </c>
      <c r="P769" s="159" t="e">
        <f>VLOOKUP(bargiri[[#This Row],[شماره سند مبنا]],invoice[[شماره پیش فاکتور]:[پیش دریافت به ازای هر کیلوگرم]],14,0)</f>
        <v>#N/A</v>
      </c>
      <c r="Q769" s="159" t="e">
        <f>IF(bargiri[[#This Row],[مبلغ ناخالص]]-(bargiri[[#This Row],[نرخ استهلاک]]*bargiri[[#This Row],[مقدار]])&lt;0,0,bargiri[[#This Row],[مبلغ ناخالص]]-(bargiri[[#This Row],[نرخ استهلاک]]*bargiri[[#This Row],[مقدار]]))</f>
        <v>#N/A</v>
      </c>
    </row>
    <row r="770" spans="1:17" s="22" customFormat="1" ht="13.8" x14ac:dyDescent="0.25">
      <c r="A770" s="22">
        <v>751</v>
      </c>
      <c r="B770" s="22" t="s">
        <v>820</v>
      </c>
      <c r="C770" s="22" t="s">
        <v>72</v>
      </c>
      <c r="D770" s="22" t="s">
        <v>73</v>
      </c>
      <c r="E770" s="158">
        <v>21105</v>
      </c>
      <c r="F770" s="159">
        <v>57273</v>
      </c>
      <c r="G770" s="159">
        <v>1208746665</v>
      </c>
      <c r="H770" s="159">
        <v>120874667</v>
      </c>
      <c r="I770" s="159">
        <v>1329621332</v>
      </c>
      <c r="J770" s="159" t="e">
        <f>bargiri[[#This Row],[مقدار]]*INDEX(invoice[پیش دریافت به ازای هر کیلوگرم],MATCH(bargiri[[#This Row],[شماره سند مبنا]],invoice[شماره پیش فاکتور],0))</f>
        <v>#N/A</v>
      </c>
      <c r="K770" s="159" t="e">
        <f>bargiri[[#This Row],[مبلغ خالص]]-bargiri[[#This Row],[میزان استهلاک پیش دریافتی]]</f>
        <v>#N/A</v>
      </c>
      <c r="L770" s="160" t="s">
        <v>593</v>
      </c>
      <c r="M770" s="159"/>
      <c r="N770" s="159" t="e">
        <f>IF(bargiri[[#This Row],[مبلغ واریزی]]&lt;&gt;"",bargiri[[#This Row],[مانده مبلغ]]-bargiri[[#This Row],[مبلغ واریزی]],bargiri[[#This Row],[مانده مبلغ]])</f>
        <v>#N/A</v>
      </c>
      <c r="O770" s="159" t="s">
        <v>593</v>
      </c>
      <c r="P770" s="159" t="e">
        <f>VLOOKUP(bargiri[[#This Row],[شماره سند مبنا]],invoice[[شماره پیش فاکتور]:[پیش دریافت به ازای هر کیلوگرم]],14,0)</f>
        <v>#N/A</v>
      </c>
      <c r="Q770" s="159" t="e">
        <f>IF(bargiri[[#This Row],[مبلغ ناخالص]]-(bargiri[[#This Row],[نرخ استهلاک]]*bargiri[[#This Row],[مقدار]])&lt;0,0,bargiri[[#This Row],[مبلغ ناخالص]]-(bargiri[[#This Row],[نرخ استهلاک]]*bargiri[[#This Row],[مقدار]]))</f>
        <v>#N/A</v>
      </c>
    </row>
    <row r="771" spans="1:17" s="22" customFormat="1" ht="13.8" x14ac:dyDescent="0.25">
      <c r="A771" s="22">
        <v>750</v>
      </c>
      <c r="B771" s="22" t="s">
        <v>820</v>
      </c>
      <c r="C771" s="22" t="s">
        <v>616</v>
      </c>
      <c r="D771" s="22" t="s">
        <v>67</v>
      </c>
      <c r="E771" s="158">
        <v>19950</v>
      </c>
      <c r="F771" s="159">
        <v>142000</v>
      </c>
      <c r="G771" s="159">
        <v>2832900000</v>
      </c>
      <c r="H771" s="159">
        <v>283290000</v>
      </c>
      <c r="I771" s="159">
        <v>3116190000</v>
      </c>
      <c r="J771" s="159">
        <f>bargiri[[#This Row],[مقدار]]*INDEX(invoice[پیش دریافت به ازای هر کیلوگرم],MATCH(bargiri[[#This Row],[شماره سند مبنا]],invoice[شماره پیش فاکتور],0))</f>
        <v>467428500</v>
      </c>
      <c r="K771" s="159">
        <f>bargiri[[#This Row],[مبلغ خالص]]-bargiri[[#This Row],[میزان استهلاک پیش دریافتی]]</f>
        <v>2648761500</v>
      </c>
      <c r="L771" s="160" t="s">
        <v>593</v>
      </c>
      <c r="M771" s="159"/>
      <c r="N771" s="159">
        <f>IF(bargiri[[#This Row],[مبلغ واریزی]]&lt;&gt;"",bargiri[[#This Row],[مانده مبلغ]]-bargiri[[#This Row],[مبلغ واریزی]],bargiri[[#This Row],[مانده مبلغ]])</f>
        <v>2648761500</v>
      </c>
      <c r="O771" s="159" t="s">
        <v>593</v>
      </c>
      <c r="P771" s="159">
        <f>VLOOKUP(bargiri[[#This Row],[شماره سند مبنا]],invoice[[شماره پیش فاکتور]:[پیش دریافت به ازای هر کیلوگرم]],14,0)</f>
        <v>23430</v>
      </c>
      <c r="Q771" s="159">
        <f>IF(bargiri[[#This Row],[مبلغ ناخالص]]-(bargiri[[#This Row],[نرخ استهلاک]]*bargiri[[#This Row],[مقدار]])&lt;0,0,bargiri[[#This Row],[مبلغ ناخالص]]-(bargiri[[#This Row],[نرخ استهلاک]]*bargiri[[#This Row],[مقدار]]))</f>
        <v>2365471500</v>
      </c>
    </row>
    <row r="772" spans="1:17" s="22" customFormat="1" ht="13.8" x14ac:dyDescent="0.25">
      <c r="A772" s="22">
        <v>749</v>
      </c>
      <c r="B772" s="22" t="s">
        <v>820</v>
      </c>
      <c r="C772" s="22" t="s">
        <v>612</v>
      </c>
      <c r="D772" s="22" t="s">
        <v>17</v>
      </c>
      <c r="E772" s="158">
        <v>22170</v>
      </c>
      <c r="F772" s="159">
        <v>75000</v>
      </c>
      <c r="G772" s="159">
        <v>1662750000</v>
      </c>
      <c r="H772" s="159">
        <v>166275000</v>
      </c>
      <c r="I772" s="159">
        <v>1829025000</v>
      </c>
      <c r="J772" s="159">
        <f>bargiri[[#This Row],[مقدار]]*INDEX(invoice[پیش دریافت به ازای هر کیلوگرم],MATCH(bargiri[[#This Row],[شماره سند مبنا]],invoice[شماره پیش فاکتور],0))</f>
        <v>274353750</v>
      </c>
      <c r="K772" s="159">
        <f>bargiri[[#This Row],[مبلغ خالص]]-bargiri[[#This Row],[میزان استهلاک پیش دریافتی]]</f>
        <v>1554671250</v>
      </c>
      <c r="L772" s="160" t="s">
        <v>593</v>
      </c>
      <c r="M772" s="159"/>
      <c r="N772" s="159">
        <f>IF(bargiri[[#This Row],[مبلغ واریزی]]&lt;&gt;"",bargiri[[#This Row],[مانده مبلغ]]-bargiri[[#This Row],[مبلغ واریزی]],bargiri[[#This Row],[مانده مبلغ]])</f>
        <v>1554671250</v>
      </c>
      <c r="O772" s="159" t="s">
        <v>593</v>
      </c>
      <c r="P772" s="159">
        <f>VLOOKUP(bargiri[[#This Row],[شماره سند مبنا]],invoice[[شماره پیش فاکتور]:[پیش دریافت به ازای هر کیلوگرم]],14,0)</f>
        <v>12375</v>
      </c>
      <c r="Q772" s="159">
        <f>IF(bargiri[[#This Row],[مبلغ ناخالص]]-(bargiri[[#This Row],[نرخ استهلاک]]*bargiri[[#This Row],[مقدار]])&lt;0,0,bargiri[[#This Row],[مبلغ ناخالص]]-(bargiri[[#This Row],[نرخ استهلاک]]*bargiri[[#This Row],[مقدار]]))</f>
        <v>1388396250</v>
      </c>
    </row>
    <row r="773" spans="1:17" s="22" customFormat="1" ht="13.8" x14ac:dyDescent="0.25">
      <c r="A773" s="22">
        <v>748</v>
      </c>
      <c r="B773" s="22" t="s">
        <v>820</v>
      </c>
      <c r="C773" s="22" t="s">
        <v>72</v>
      </c>
      <c r="D773" s="22" t="s">
        <v>73</v>
      </c>
      <c r="E773" s="158">
        <v>19505</v>
      </c>
      <c r="F773" s="159">
        <v>57273</v>
      </c>
      <c r="G773" s="159">
        <v>1117109865</v>
      </c>
      <c r="H773" s="159">
        <v>111710987</v>
      </c>
      <c r="I773" s="159">
        <v>1228820852</v>
      </c>
      <c r="J773" s="159" t="e">
        <f>bargiri[[#This Row],[مقدار]]*INDEX(invoice[پیش دریافت به ازای هر کیلوگرم],MATCH(bargiri[[#This Row],[شماره سند مبنا]],invoice[شماره پیش فاکتور],0))</f>
        <v>#N/A</v>
      </c>
      <c r="K773" s="159" t="e">
        <f>bargiri[[#This Row],[مبلغ خالص]]-bargiri[[#This Row],[میزان استهلاک پیش دریافتی]]</f>
        <v>#N/A</v>
      </c>
      <c r="L773" s="160" t="s">
        <v>593</v>
      </c>
      <c r="M773" s="159"/>
      <c r="N773" s="159" t="e">
        <f>IF(bargiri[[#This Row],[مبلغ واریزی]]&lt;&gt;"",bargiri[[#This Row],[مانده مبلغ]]-bargiri[[#This Row],[مبلغ واریزی]],bargiri[[#This Row],[مانده مبلغ]])</f>
        <v>#N/A</v>
      </c>
      <c r="O773" s="159" t="s">
        <v>593</v>
      </c>
      <c r="P773" s="159" t="e">
        <f>VLOOKUP(bargiri[[#This Row],[شماره سند مبنا]],invoice[[شماره پیش فاکتور]:[پیش دریافت به ازای هر کیلوگرم]],14,0)</f>
        <v>#N/A</v>
      </c>
      <c r="Q773" s="159" t="e">
        <f>IF(bargiri[[#This Row],[مبلغ ناخالص]]-(bargiri[[#This Row],[نرخ استهلاک]]*bargiri[[#This Row],[مقدار]])&lt;0,0,bargiri[[#This Row],[مبلغ ناخالص]]-(bargiri[[#This Row],[نرخ استهلاک]]*bargiri[[#This Row],[مقدار]]))</f>
        <v>#N/A</v>
      </c>
    </row>
    <row r="774" spans="1:17" s="22" customFormat="1" ht="13.8" x14ac:dyDescent="0.25">
      <c r="A774" s="22">
        <v>747</v>
      </c>
      <c r="B774" s="22" t="s">
        <v>820</v>
      </c>
      <c r="C774" s="22" t="s">
        <v>72</v>
      </c>
      <c r="D774" s="22" t="s">
        <v>73</v>
      </c>
      <c r="E774" s="158">
        <v>21435</v>
      </c>
      <c r="F774" s="159">
        <v>57273</v>
      </c>
      <c r="G774" s="159">
        <v>1227646755</v>
      </c>
      <c r="H774" s="159">
        <v>122764676</v>
      </c>
      <c r="I774" s="159">
        <v>1350411431</v>
      </c>
      <c r="J774" s="159" t="e">
        <f>bargiri[[#This Row],[مقدار]]*INDEX(invoice[پیش دریافت به ازای هر کیلوگرم],MATCH(bargiri[[#This Row],[شماره سند مبنا]],invoice[شماره پیش فاکتور],0))</f>
        <v>#N/A</v>
      </c>
      <c r="K774" s="159" t="e">
        <f>bargiri[[#This Row],[مبلغ خالص]]-bargiri[[#This Row],[میزان استهلاک پیش دریافتی]]</f>
        <v>#N/A</v>
      </c>
      <c r="L774" s="160" t="s">
        <v>593</v>
      </c>
      <c r="M774" s="159"/>
      <c r="N774" s="159" t="e">
        <f>IF(bargiri[[#This Row],[مبلغ واریزی]]&lt;&gt;"",bargiri[[#This Row],[مانده مبلغ]]-bargiri[[#This Row],[مبلغ واریزی]],bargiri[[#This Row],[مانده مبلغ]])</f>
        <v>#N/A</v>
      </c>
      <c r="O774" s="159" t="s">
        <v>593</v>
      </c>
      <c r="P774" s="159" t="e">
        <f>VLOOKUP(bargiri[[#This Row],[شماره سند مبنا]],invoice[[شماره پیش فاکتور]:[پیش دریافت به ازای هر کیلوگرم]],14,0)</f>
        <v>#N/A</v>
      </c>
      <c r="Q774" s="159" t="e">
        <f>IF(bargiri[[#This Row],[مبلغ ناخالص]]-(bargiri[[#This Row],[نرخ استهلاک]]*bargiri[[#This Row],[مقدار]])&lt;0,0,bargiri[[#This Row],[مبلغ ناخالص]]-(bargiri[[#This Row],[نرخ استهلاک]]*bargiri[[#This Row],[مقدار]]))</f>
        <v>#N/A</v>
      </c>
    </row>
    <row r="775" spans="1:17" s="22" customFormat="1" ht="13.8" x14ac:dyDescent="0.25">
      <c r="A775" s="22">
        <v>746</v>
      </c>
      <c r="B775" s="22" t="s">
        <v>820</v>
      </c>
      <c r="C775" s="22" t="s">
        <v>456</v>
      </c>
      <c r="D775" s="22" t="s">
        <v>213</v>
      </c>
      <c r="E775" s="158">
        <v>20330</v>
      </c>
      <c r="F775" s="159">
        <v>142000</v>
      </c>
      <c r="G775" s="159">
        <v>2886860000</v>
      </c>
      <c r="H775" s="159">
        <v>288686000</v>
      </c>
      <c r="I775" s="159">
        <v>3175546000</v>
      </c>
      <c r="J775" s="159">
        <f>bargiri[[#This Row],[مقدار]]*INDEX(invoice[پیش دریافت به ازای هر کیلوگرم],MATCH(bargiri[[#This Row],[شماره سند مبنا]],invoice[شماره پیش فاکتور],0))</f>
        <v>2412441940.5949831</v>
      </c>
      <c r="K775" s="159">
        <f>bargiri[[#This Row],[مبلغ خالص]]-bargiri[[#This Row],[میزان استهلاک پیش دریافتی]]</f>
        <v>763104059.4050169</v>
      </c>
      <c r="L775" s="160" t="s">
        <v>593</v>
      </c>
      <c r="M775" s="159"/>
      <c r="N775" s="159">
        <f>IF(bargiri[[#This Row],[مبلغ واریزی]]&lt;&gt;"",bargiri[[#This Row],[مانده مبلغ]]-bargiri[[#This Row],[مبلغ واریزی]],bargiri[[#This Row],[مانده مبلغ]])</f>
        <v>763104059.4050169</v>
      </c>
      <c r="O775" s="159" t="s">
        <v>593</v>
      </c>
      <c r="P775" s="159">
        <f>VLOOKUP(bargiri[[#This Row],[شماره سند مبنا]],invoice[[شماره پیش فاکتور]:[پیش دریافت به ازای هر کیلوگرم]],14,0)</f>
        <v>118664.13874053041</v>
      </c>
      <c r="Q775" s="159">
        <f>IF(bargiri[[#This Row],[مبلغ ناخالص]]-(bargiri[[#This Row],[نرخ استهلاک]]*bargiri[[#This Row],[مقدار]])&lt;0,0,bargiri[[#This Row],[مبلغ ناخالص]]-(bargiri[[#This Row],[نرخ استهلاک]]*bargiri[[#This Row],[مقدار]]))</f>
        <v>474418059.4050169</v>
      </c>
    </row>
    <row r="776" spans="1:17" s="22" customFormat="1" ht="13.8" x14ac:dyDescent="0.25">
      <c r="A776" s="22">
        <v>745</v>
      </c>
      <c r="B776" s="22" t="s">
        <v>820</v>
      </c>
      <c r="C776" s="22" t="s">
        <v>414</v>
      </c>
      <c r="D776" s="22" t="s">
        <v>25</v>
      </c>
      <c r="E776" s="158">
        <v>20000</v>
      </c>
      <c r="F776" s="159">
        <v>151200</v>
      </c>
      <c r="G776" s="159">
        <v>3024000000</v>
      </c>
      <c r="H776" s="159">
        <v>302400000</v>
      </c>
      <c r="I776" s="159">
        <v>3326400000</v>
      </c>
      <c r="J776" s="159">
        <f>bargiri[[#This Row],[مقدار]]*INDEX(invoice[پیش دریافت به ازای هر کیلوگرم],MATCH(bargiri[[#This Row],[شماره سند مبنا]],invoice[شماره پیش فاکتور],0))</f>
        <v>49896000</v>
      </c>
      <c r="K776" s="159">
        <f>bargiri[[#This Row],[مبلغ خالص]]-bargiri[[#This Row],[میزان استهلاک پیش دریافتی]]</f>
        <v>3276504000</v>
      </c>
      <c r="L776" s="160" t="s">
        <v>593</v>
      </c>
      <c r="M776" s="159"/>
      <c r="N776" s="159">
        <f>IF(bargiri[[#This Row],[مبلغ واریزی]]&lt;&gt;"",bargiri[[#This Row],[مانده مبلغ]]-bargiri[[#This Row],[مبلغ واریزی]],bargiri[[#This Row],[مانده مبلغ]])</f>
        <v>3276504000</v>
      </c>
      <c r="O776" s="159" t="s">
        <v>593</v>
      </c>
      <c r="P776" s="159">
        <f>VLOOKUP(bargiri[[#This Row],[شماره سند مبنا]],invoice[[شماره پیش فاکتور]:[پیش دریافت به ازای هر کیلوگرم]],14,0)</f>
        <v>2494.8000000000002</v>
      </c>
      <c r="Q776" s="159">
        <f>IF(bargiri[[#This Row],[مبلغ ناخالص]]-(bargiri[[#This Row],[نرخ استهلاک]]*bargiri[[#This Row],[مقدار]])&lt;0,0,bargiri[[#This Row],[مبلغ ناخالص]]-(bargiri[[#This Row],[نرخ استهلاک]]*bargiri[[#This Row],[مقدار]]))</f>
        <v>2974104000</v>
      </c>
    </row>
    <row r="777" spans="1:17" s="22" customFormat="1" ht="13.8" x14ac:dyDescent="0.25">
      <c r="A777" s="22">
        <v>745</v>
      </c>
      <c r="B777" s="22" t="s">
        <v>820</v>
      </c>
      <c r="C777" s="22" t="s">
        <v>119</v>
      </c>
      <c r="D777" s="22" t="s">
        <v>25</v>
      </c>
      <c r="E777" s="158">
        <v>1085</v>
      </c>
      <c r="F777" s="159">
        <v>75000</v>
      </c>
      <c r="G777" s="159">
        <v>81375000</v>
      </c>
      <c r="H777" s="159">
        <v>8137500</v>
      </c>
      <c r="I777" s="159">
        <v>89512500</v>
      </c>
      <c r="J777" s="159">
        <f>bargiri[[#This Row],[مقدار]]*INDEX(invoice[پیش دریافت به ازای هر کیلوگرم],MATCH(bargiri[[#This Row],[شماره سند مبنا]],invoice[شماره پیش فاکتور],0))</f>
        <v>13426875</v>
      </c>
      <c r="K777" s="159">
        <f>bargiri[[#This Row],[مبلغ خالص]]-bargiri[[#This Row],[میزان استهلاک پیش دریافتی]]</f>
        <v>76085625</v>
      </c>
      <c r="L777" s="160" t="s">
        <v>593</v>
      </c>
      <c r="M777" s="159"/>
      <c r="N777" s="159">
        <f>IF(bargiri[[#This Row],[مبلغ واریزی]]&lt;&gt;"",bargiri[[#This Row],[مانده مبلغ]]-bargiri[[#This Row],[مبلغ واریزی]],bargiri[[#This Row],[مانده مبلغ]])</f>
        <v>76085625</v>
      </c>
      <c r="O777" s="159" t="s">
        <v>593</v>
      </c>
      <c r="P777" s="159">
        <f>VLOOKUP(bargiri[[#This Row],[شماره سند مبنا]],invoice[[شماره پیش فاکتور]:[پیش دریافت به ازای هر کیلوگرم]],14,0)</f>
        <v>12375</v>
      </c>
      <c r="Q777" s="159">
        <f>IF(bargiri[[#This Row],[مبلغ ناخالص]]-(bargiri[[#This Row],[نرخ استهلاک]]*bargiri[[#This Row],[مقدار]])&lt;0,0,bargiri[[#This Row],[مبلغ ناخالص]]-(bargiri[[#This Row],[نرخ استهلاک]]*bargiri[[#This Row],[مقدار]]))</f>
        <v>67948125</v>
      </c>
    </row>
    <row r="778" spans="1:17" s="22" customFormat="1" ht="13.8" x14ac:dyDescent="0.25">
      <c r="A778" s="22">
        <v>744</v>
      </c>
      <c r="B778" s="22" t="s">
        <v>820</v>
      </c>
      <c r="C778" s="22" t="s">
        <v>458</v>
      </c>
      <c r="D778" s="22" t="s">
        <v>156</v>
      </c>
      <c r="E778" s="158">
        <v>22040</v>
      </c>
      <c r="F778" s="159">
        <v>142000</v>
      </c>
      <c r="G778" s="159">
        <v>3129680000</v>
      </c>
      <c r="H778" s="159">
        <v>312968000</v>
      </c>
      <c r="I778" s="159">
        <v>3442648000</v>
      </c>
      <c r="J778" s="159">
        <f>bargiri[[#This Row],[مقدار]]*INDEX(invoice[پیش دریافت به ازای هر کیلوگرم],MATCH(bargiri[[#This Row],[شماره سند مبنا]],invoice[شماره پیش فاکتور],0))</f>
        <v>622552834.09351194</v>
      </c>
      <c r="K778" s="159">
        <f>bargiri[[#This Row],[مبلغ خالص]]-bargiri[[#This Row],[میزان استهلاک پیش دریافتی]]</f>
        <v>2820095165.9064879</v>
      </c>
      <c r="L778" s="160" t="s">
        <v>593</v>
      </c>
      <c r="M778" s="159"/>
      <c r="N778" s="159">
        <f>IF(bargiri[[#This Row],[مبلغ واریزی]]&lt;&gt;"",bargiri[[#This Row],[مانده مبلغ]]-bargiri[[#This Row],[مبلغ واریزی]],bargiri[[#This Row],[مانده مبلغ]])</f>
        <v>2820095165.9064879</v>
      </c>
      <c r="O778" s="159" t="s">
        <v>593</v>
      </c>
      <c r="P778" s="159">
        <f>VLOOKUP(bargiri[[#This Row],[شماره سند مبنا]],invoice[[شماره پیش فاکتور]:[پیش دریافت به ازای هر کیلوگرم]],14,0)</f>
        <v>28246.498824569509</v>
      </c>
      <c r="Q778" s="159">
        <f>IF(bargiri[[#This Row],[مبلغ ناخالص]]-(bargiri[[#This Row],[نرخ استهلاک]]*bargiri[[#This Row],[مقدار]])&lt;0,0,bargiri[[#This Row],[مبلغ ناخالص]]-(bargiri[[#This Row],[نرخ استهلاک]]*bargiri[[#This Row],[مقدار]]))</f>
        <v>2507127165.9064879</v>
      </c>
    </row>
    <row r="779" spans="1:17" s="22" customFormat="1" ht="13.8" x14ac:dyDescent="0.25">
      <c r="A779" s="22">
        <v>743</v>
      </c>
      <c r="B779" s="22" t="s">
        <v>820</v>
      </c>
      <c r="C779" s="22" t="s">
        <v>655</v>
      </c>
      <c r="D779" s="22" t="s">
        <v>67</v>
      </c>
      <c r="E779" s="158">
        <v>10145</v>
      </c>
      <c r="F779" s="159">
        <v>167500</v>
      </c>
      <c r="G779" s="159">
        <v>1699287500</v>
      </c>
      <c r="H779" s="159">
        <v>169928750</v>
      </c>
      <c r="I779" s="159">
        <v>1869216250</v>
      </c>
      <c r="J779" s="159">
        <f>bargiri[[#This Row],[مقدار]]*INDEX(invoice[پیش دریافت به ازای هر کیلوگرم],MATCH(bargiri[[#This Row],[شماره سند مبنا]],invoice[شماره پیش فاکتور],0))</f>
        <v>1869216250</v>
      </c>
      <c r="K779" s="159">
        <f>bargiri[[#This Row],[مبلغ خالص]]-bargiri[[#This Row],[میزان استهلاک پیش دریافتی]]</f>
        <v>0</v>
      </c>
      <c r="L779" s="160" t="s">
        <v>593</v>
      </c>
      <c r="M779" s="159"/>
      <c r="N779" s="159">
        <f>IF(bargiri[[#This Row],[مبلغ واریزی]]&lt;&gt;"",bargiri[[#This Row],[مانده مبلغ]]-bargiri[[#This Row],[مبلغ واریزی]],bargiri[[#This Row],[مانده مبلغ]])</f>
        <v>0</v>
      </c>
      <c r="O779" s="159" t="s">
        <v>593</v>
      </c>
      <c r="P779" s="159">
        <f>VLOOKUP(bargiri[[#This Row],[شماره سند مبنا]],invoice[[شماره پیش فاکتور]:[پیش دریافت به ازای هر کیلوگرم]],14,0)</f>
        <v>184250</v>
      </c>
      <c r="Q779" s="159">
        <f>IF(bargiri[[#This Row],[مبلغ ناخالص]]-(bargiri[[#This Row],[نرخ استهلاک]]*bargiri[[#This Row],[مقدار]])&lt;0,0,bargiri[[#This Row],[مبلغ ناخالص]]-(bargiri[[#This Row],[نرخ استهلاک]]*bargiri[[#This Row],[مقدار]]))</f>
        <v>0</v>
      </c>
    </row>
    <row r="780" spans="1:17" s="22" customFormat="1" ht="13.8" x14ac:dyDescent="0.25">
      <c r="A780" s="22">
        <v>743</v>
      </c>
      <c r="B780" s="22" t="s">
        <v>820</v>
      </c>
      <c r="C780" s="22" t="s">
        <v>680</v>
      </c>
      <c r="D780" s="22" t="s">
        <v>67</v>
      </c>
      <c r="E780" s="158">
        <v>5415</v>
      </c>
      <c r="F780" s="159">
        <v>167500</v>
      </c>
      <c r="G780" s="159">
        <v>907012500</v>
      </c>
      <c r="H780" s="159">
        <v>90701250</v>
      </c>
      <c r="I780" s="159">
        <v>997713750</v>
      </c>
      <c r="J780" s="159">
        <f>bargiri[[#This Row],[مقدار]]*INDEX(invoice[پیش دریافت به ازای هر کیلوگرم],MATCH(bargiri[[#This Row],[شماره سند مبنا]],invoice[شماره پیش فاکتور],0))</f>
        <v>997713750</v>
      </c>
      <c r="K780" s="159">
        <f>bargiri[[#This Row],[مبلغ خالص]]-bargiri[[#This Row],[میزان استهلاک پیش دریافتی]]</f>
        <v>0</v>
      </c>
      <c r="L780" s="160" t="s">
        <v>593</v>
      </c>
      <c r="M780" s="159"/>
      <c r="N780" s="159">
        <f>IF(bargiri[[#This Row],[مبلغ واریزی]]&lt;&gt;"",bargiri[[#This Row],[مانده مبلغ]]-bargiri[[#This Row],[مبلغ واریزی]],bargiri[[#This Row],[مانده مبلغ]])</f>
        <v>0</v>
      </c>
      <c r="O780" s="159" t="s">
        <v>593</v>
      </c>
      <c r="P780" s="159">
        <f>VLOOKUP(bargiri[[#This Row],[شماره سند مبنا]],invoice[[شماره پیش فاکتور]:[پیش دریافت به ازای هر کیلوگرم]],14,0)</f>
        <v>184250</v>
      </c>
      <c r="Q780" s="159">
        <f>IF(bargiri[[#This Row],[مبلغ ناخالص]]-(bargiri[[#This Row],[نرخ استهلاک]]*bargiri[[#This Row],[مقدار]])&lt;0,0,bargiri[[#This Row],[مبلغ ناخالص]]-(bargiri[[#This Row],[نرخ استهلاک]]*bargiri[[#This Row],[مقدار]]))</f>
        <v>0</v>
      </c>
    </row>
    <row r="781" spans="1:17" s="22" customFormat="1" ht="13.8" x14ac:dyDescent="0.25">
      <c r="A781" s="22">
        <v>742</v>
      </c>
      <c r="B781" s="22" t="s">
        <v>820</v>
      </c>
      <c r="C781" s="22" t="s">
        <v>461</v>
      </c>
      <c r="D781" s="22" t="s">
        <v>35</v>
      </c>
      <c r="E781" s="158">
        <v>7255</v>
      </c>
      <c r="F781" s="159">
        <v>142000</v>
      </c>
      <c r="G781" s="159">
        <v>1030210000</v>
      </c>
      <c r="H781" s="159">
        <v>103021000</v>
      </c>
      <c r="I781" s="159">
        <v>1133231000</v>
      </c>
      <c r="J781" s="159">
        <f>bargiri[[#This Row],[مقدار]]*INDEX(invoice[پیش دریافت به ازای هر کیلوگرم],MATCH(bargiri[[#This Row],[شماره سند مبنا]],invoice[شماره پیش فاکتور],0))</f>
        <v>238096415.34487879</v>
      </c>
      <c r="K781" s="159">
        <f>bargiri[[#This Row],[مبلغ خالص]]-bargiri[[#This Row],[میزان استهلاک پیش دریافتی]]</f>
        <v>895134584.65512121</v>
      </c>
      <c r="L781" s="160" t="s">
        <v>593</v>
      </c>
      <c r="M781" s="159"/>
      <c r="N781" s="159">
        <f>IF(bargiri[[#This Row],[مبلغ واریزی]]&lt;&gt;"",bargiri[[#This Row],[مانده مبلغ]]-bargiri[[#This Row],[مبلغ واریزی]],bargiri[[#This Row],[مانده مبلغ]])</f>
        <v>895134584.65512121</v>
      </c>
      <c r="O781" s="159" t="s">
        <v>593</v>
      </c>
      <c r="P781" s="159">
        <f>VLOOKUP(bargiri[[#This Row],[شماره سند مبنا]],invoice[[شماره پیش فاکتور]:[پیش دریافت به ازای هر کیلوگرم]],14,0)</f>
        <v>32818.251598191426</v>
      </c>
      <c r="Q781" s="159">
        <f>IF(bargiri[[#This Row],[مبلغ ناخالص]]-(bargiri[[#This Row],[نرخ استهلاک]]*bargiri[[#This Row],[مقدار]])&lt;0,0,bargiri[[#This Row],[مبلغ ناخالص]]-(bargiri[[#This Row],[نرخ استهلاک]]*bargiri[[#This Row],[مقدار]]))</f>
        <v>792113584.65512121</v>
      </c>
    </row>
    <row r="782" spans="1:17" s="22" customFormat="1" ht="13.8" x14ac:dyDescent="0.25">
      <c r="A782" s="22">
        <v>741</v>
      </c>
      <c r="B782" s="22" t="s">
        <v>820</v>
      </c>
      <c r="C782" s="22" t="s">
        <v>612</v>
      </c>
      <c r="D782" s="22" t="s">
        <v>17</v>
      </c>
      <c r="E782" s="158">
        <v>22230</v>
      </c>
      <c r="F782" s="159">
        <v>75000</v>
      </c>
      <c r="G782" s="159">
        <v>1667250000</v>
      </c>
      <c r="H782" s="159">
        <v>166725000</v>
      </c>
      <c r="I782" s="159">
        <v>1833975000</v>
      </c>
      <c r="J782" s="159">
        <f>bargiri[[#This Row],[مقدار]]*INDEX(invoice[پیش دریافت به ازای هر کیلوگرم],MATCH(bargiri[[#This Row],[شماره سند مبنا]],invoice[شماره پیش فاکتور],0))</f>
        <v>275096250</v>
      </c>
      <c r="K782" s="159">
        <f>bargiri[[#This Row],[مبلغ خالص]]-bargiri[[#This Row],[میزان استهلاک پیش دریافتی]]</f>
        <v>1558878750</v>
      </c>
      <c r="L782" s="160" t="s">
        <v>593</v>
      </c>
      <c r="M782" s="159"/>
      <c r="N782" s="159">
        <f>IF(bargiri[[#This Row],[مبلغ واریزی]]&lt;&gt;"",bargiri[[#This Row],[مانده مبلغ]]-bargiri[[#This Row],[مبلغ واریزی]],bargiri[[#This Row],[مانده مبلغ]])</f>
        <v>1558878750</v>
      </c>
      <c r="O782" s="159" t="s">
        <v>593</v>
      </c>
      <c r="P782" s="159">
        <f>VLOOKUP(bargiri[[#This Row],[شماره سند مبنا]],invoice[[شماره پیش فاکتور]:[پیش دریافت به ازای هر کیلوگرم]],14,0)</f>
        <v>12375</v>
      </c>
      <c r="Q782" s="159">
        <f>IF(bargiri[[#This Row],[مبلغ ناخالص]]-(bargiri[[#This Row],[نرخ استهلاک]]*bargiri[[#This Row],[مقدار]])&lt;0,0,bargiri[[#This Row],[مبلغ ناخالص]]-(bargiri[[#This Row],[نرخ استهلاک]]*bargiri[[#This Row],[مقدار]]))</f>
        <v>1392153750</v>
      </c>
    </row>
    <row r="783" spans="1:17" s="22" customFormat="1" ht="13.8" x14ac:dyDescent="0.25">
      <c r="A783" s="22">
        <v>740</v>
      </c>
      <c r="B783" s="22" t="s">
        <v>710</v>
      </c>
      <c r="C783" s="22" t="s">
        <v>662</v>
      </c>
      <c r="D783" s="22" t="s">
        <v>40</v>
      </c>
      <c r="E783" s="158">
        <v>18580</v>
      </c>
      <c r="F783" s="159">
        <v>167500</v>
      </c>
      <c r="G783" s="159">
        <v>3112150000</v>
      </c>
      <c r="H783" s="159">
        <v>311215000</v>
      </c>
      <c r="I783" s="159">
        <v>3423365000</v>
      </c>
      <c r="J783" s="159">
        <f>bargiri[[#This Row],[مقدار]]*INDEX(invoice[پیش دریافت به ازای هر کیلوگرم],MATCH(bargiri[[#This Row],[شماره سند مبنا]],invoice[شماره پیش فاکتور],0))</f>
        <v>3423365000</v>
      </c>
      <c r="K783" s="159">
        <f>bargiri[[#This Row],[مبلغ خالص]]-bargiri[[#This Row],[میزان استهلاک پیش دریافتی]]</f>
        <v>0</v>
      </c>
      <c r="L783" s="160" t="s">
        <v>593</v>
      </c>
      <c r="M783" s="159"/>
      <c r="N783" s="159">
        <f>IF(bargiri[[#This Row],[مبلغ واریزی]]&lt;&gt;"",bargiri[[#This Row],[مانده مبلغ]]-bargiri[[#This Row],[مبلغ واریزی]],bargiri[[#This Row],[مانده مبلغ]])</f>
        <v>0</v>
      </c>
      <c r="O783" s="159" t="s">
        <v>593</v>
      </c>
      <c r="P783" s="159">
        <f>VLOOKUP(bargiri[[#This Row],[شماره سند مبنا]],invoice[[شماره پیش فاکتور]:[پیش دریافت به ازای هر کیلوگرم]],14,0)</f>
        <v>184250</v>
      </c>
      <c r="Q783" s="159">
        <f>IF(bargiri[[#This Row],[مبلغ ناخالص]]-(bargiri[[#This Row],[نرخ استهلاک]]*bargiri[[#This Row],[مقدار]])&lt;0,0,bargiri[[#This Row],[مبلغ ناخالص]]-(bargiri[[#This Row],[نرخ استهلاک]]*bargiri[[#This Row],[مقدار]]))</f>
        <v>0</v>
      </c>
    </row>
    <row r="784" spans="1:17" s="22" customFormat="1" ht="13.8" x14ac:dyDescent="0.25">
      <c r="A784" s="22">
        <v>739</v>
      </c>
      <c r="B784" s="22" t="s">
        <v>710</v>
      </c>
      <c r="C784" s="22" t="s">
        <v>644</v>
      </c>
      <c r="D784" s="22" t="s">
        <v>67</v>
      </c>
      <c r="E784" s="158">
        <v>20015</v>
      </c>
      <c r="F784" s="159">
        <v>95000</v>
      </c>
      <c r="G784" s="159">
        <v>1901425000</v>
      </c>
      <c r="H784" s="159">
        <v>190142500</v>
      </c>
      <c r="I784" s="159">
        <v>2091567500</v>
      </c>
      <c r="J784" s="159">
        <f>bargiri[[#This Row],[مقدار]]*INDEX(invoice[پیش دریافت به ازای هر کیلوگرم],MATCH(bargiri[[#This Row],[شماره سند مبنا]],invoice[شماره پیش فاکتور],0))</f>
        <v>608571384.07386255</v>
      </c>
      <c r="K784" s="159">
        <f>bargiri[[#This Row],[مبلغ خالص]]-bargiri[[#This Row],[میزان استهلاک پیش دریافتی]]</f>
        <v>1482996115.9261374</v>
      </c>
      <c r="L784" s="160" t="s">
        <v>593</v>
      </c>
      <c r="M784" s="159"/>
      <c r="N784" s="159">
        <f>IF(bargiri[[#This Row],[مبلغ واریزی]]&lt;&gt;"",bargiri[[#This Row],[مانده مبلغ]]-bargiri[[#This Row],[مبلغ واریزی]],bargiri[[#This Row],[مانده مبلغ]])</f>
        <v>1482996115.9261374</v>
      </c>
      <c r="O784" s="159" t="s">
        <v>593</v>
      </c>
      <c r="P784" s="159">
        <f>VLOOKUP(bargiri[[#This Row],[شماره سند مبنا]],invoice[[شماره پیش فاکتور]:[پیش دریافت به ازای هر کیلوگرم]],14,0)</f>
        <v>30405.764880033101</v>
      </c>
      <c r="Q784" s="159">
        <f>IF(bargiri[[#This Row],[مبلغ ناخالص]]-(bargiri[[#This Row],[نرخ استهلاک]]*bargiri[[#This Row],[مقدار]])&lt;0,0,bargiri[[#This Row],[مبلغ ناخالص]]-(bargiri[[#This Row],[نرخ استهلاک]]*bargiri[[#This Row],[مقدار]]))</f>
        <v>1292853615.9261374</v>
      </c>
    </row>
    <row r="785" spans="1:17" s="22" customFormat="1" ht="13.8" x14ac:dyDescent="0.25">
      <c r="A785" s="22">
        <v>738</v>
      </c>
      <c r="B785" s="22" t="s">
        <v>710</v>
      </c>
      <c r="C785" s="22" t="s">
        <v>616</v>
      </c>
      <c r="D785" s="22" t="s">
        <v>67</v>
      </c>
      <c r="E785" s="158">
        <v>20060</v>
      </c>
      <c r="F785" s="159">
        <v>142000</v>
      </c>
      <c r="G785" s="159">
        <v>2848520000</v>
      </c>
      <c r="H785" s="159">
        <v>284852000</v>
      </c>
      <c r="I785" s="159">
        <v>3133372000</v>
      </c>
      <c r="J785" s="159">
        <f>bargiri[[#This Row],[مقدار]]*INDEX(invoice[پیش دریافت به ازای هر کیلوگرم],MATCH(bargiri[[#This Row],[شماره سند مبنا]],invoice[شماره پیش فاکتور],0))</f>
        <v>470005800</v>
      </c>
      <c r="K785" s="159">
        <f>bargiri[[#This Row],[مبلغ خالص]]-bargiri[[#This Row],[میزان استهلاک پیش دریافتی]]</f>
        <v>2663366200</v>
      </c>
      <c r="L785" s="160" t="s">
        <v>593</v>
      </c>
      <c r="M785" s="159"/>
      <c r="N785" s="159">
        <f>IF(bargiri[[#This Row],[مبلغ واریزی]]&lt;&gt;"",bargiri[[#This Row],[مانده مبلغ]]-bargiri[[#This Row],[مبلغ واریزی]],bargiri[[#This Row],[مانده مبلغ]])</f>
        <v>2663366200</v>
      </c>
      <c r="O785" s="159" t="s">
        <v>593</v>
      </c>
      <c r="P785" s="159">
        <f>VLOOKUP(bargiri[[#This Row],[شماره سند مبنا]],invoice[[شماره پیش فاکتور]:[پیش دریافت به ازای هر کیلوگرم]],14,0)</f>
        <v>23430</v>
      </c>
      <c r="Q785" s="159">
        <f>IF(bargiri[[#This Row],[مبلغ ناخالص]]-(bargiri[[#This Row],[نرخ استهلاک]]*bargiri[[#This Row],[مقدار]])&lt;0,0,bargiri[[#This Row],[مبلغ ناخالص]]-(bargiri[[#This Row],[نرخ استهلاک]]*bargiri[[#This Row],[مقدار]]))</f>
        <v>2378514200</v>
      </c>
    </row>
    <row r="786" spans="1:17" s="22" customFormat="1" ht="13.8" x14ac:dyDescent="0.25">
      <c r="A786" s="22">
        <v>737</v>
      </c>
      <c r="B786" s="22" t="s">
        <v>821</v>
      </c>
      <c r="C786" s="22" t="s">
        <v>414</v>
      </c>
      <c r="D786" s="22" t="s">
        <v>25</v>
      </c>
      <c r="E786" s="158">
        <v>20000</v>
      </c>
      <c r="F786" s="159">
        <v>151200</v>
      </c>
      <c r="G786" s="159">
        <v>3024000000</v>
      </c>
      <c r="H786" s="159">
        <v>302400000</v>
      </c>
      <c r="I786" s="159">
        <v>3326400000</v>
      </c>
      <c r="J786" s="159">
        <f>bargiri[[#This Row],[مقدار]]*INDEX(invoice[پیش دریافت به ازای هر کیلوگرم],MATCH(bargiri[[#This Row],[شماره سند مبنا]],invoice[شماره پیش فاکتور],0))</f>
        <v>49896000</v>
      </c>
      <c r="K786" s="159">
        <f>bargiri[[#This Row],[مبلغ خالص]]-bargiri[[#This Row],[میزان استهلاک پیش دریافتی]]</f>
        <v>3276504000</v>
      </c>
      <c r="L786" s="160" t="s">
        <v>593</v>
      </c>
      <c r="M786" s="159"/>
      <c r="N786" s="159">
        <f>IF(bargiri[[#This Row],[مبلغ واریزی]]&lt;&gt;"",bargiri[[#This Row],[مانده مبلغ]]-bargiri[[#This Row],[مبلغ واریزی]],bargiri[[#This Row],[مانده مبلغ]])</f>
        <v>3276504000</v>
      </c>
      <c r="O786" s="159" t="s">
        <v>593</v>
      </c>
      <c r="P786" s="159">
        <f>VLOOKUP(bargiri[[#This Row],[شماره سند مبنا]],invoice[[شماره پیش فاکتور]:[پیش دریافت به ازای هر کیلوگرم]],14,0)</f>
        <v>2494.8000000000002</v>
      </c>
      <c r="Q786" s="159">
        <f>IF(bargiri[[#This Row],[مبلغ ناخالص]]-(bargiri[[#This Row],[نرخ استهلاک]]*bargiri[[#This Row],[مقدار]])&lt;0,0,bargiri[[#This Row],[مبلغ ناخالص]]-(bargiri[[#This Row],[نرخ استهلاک]]*bargiri[[#This Row],[مقدار]]))</f>
        <v>2974104000</v>
      </c>
    </row>
    <row r="787" spans="1:17" s="22" customFormat="1" ht="13.8" x14ac:dyDescent="0.25">
      <c r="A787" s="22">
        <v>736</v>
      </c>
      <c r="B787" s="22" t="s">
        <v>821</v>
      </c>
      <c r="C787" s="22" t="s">
        <v>107</v>
      </c>
      <c r="D787" s="22" t="s">
        <v>30</v>
      </c>
      <c r="E787" s="158">
        <v>11960</v>
      </c>
      <c r="F787" s="159">
        <v>70000</v>
      </c>
      <c r="G787" s="159">
        <v>837200000</v>
      </c>
      <c r="H787" s="159">
        <v>83720000</v>
      </c>
      <c r="I787" s="159">
        <v>920920000</v>
      </c>
      <c r="J787" s="159">
        <f>bargiri[[#This Row],[مقدار]]*INDEX(invoice[پیش دریافت به ازای هر کیلوگرم],MATCH(bargiri[[#This Row],[شماره سند مبنا]],invoice[شماره پیش فاکتور],0))</f>
        <v>460460000</v>
      </c>
      <c r="K787" s="159">
        <f>bargiri[[#This Row],[مبلغ خالص]]-bargiri[[#This Row],[میزان استهلاک پیش دریافتی]]</f>
        <v>460460000</v>
      </c>
      <c r="L787" s="160" t="s">
        <v>593</v>
      </c>
      <c r="M787" s="159"/>
      <c r="N787" s="159">
        <f>IF(bargiri[[#This Row],[مبلغ واریزی]]&lt;&gt;"",bargiri[[#This Row],[مانده مبلغ]]-bargiri[[#This Row],[مبلغ واریزی]],bargiri[[#This Row],[مانده مبلغ]])</f>
        <v>460460000</v>
      </c>
      <c r="O787" s="159" t="s">
        <v>593</v>
      </c>
      <c r="P787" s="159">
        <f>VLOOKUP(bargiri[[#This Row],[شماره سند مبنا]],invoice[[شماره پیش فاکتور]:[پیش دریافت به ازای هر کیلوگرم]],14,0)</f>
        <v>38500</v>
      </c>
      <c r="Q787" s="159">
        <f>IF(bargiri[[#This Row],[مبلغ ناخالص]]-(bargiri[[#This Row],[نرخ استهلاک]]*bargiri[[#This Row],[مقدار]])&lt;0,0,bargiri[[#This Row],[مبلغ ناخالص]]-(bargiri[[#This Row],[نرخ استهلاک]]*bargiri[[#This Row],[مقدار]]))</f>
        <v>376740000</v>
      </c>
    </row>
    <row r="788" spans="1:17" s="22" customFormat="1" ht="13.8" x14ac:dyDescent="0.25">
      <c r="A788" s="22">
        <v>735</v>
      </c>
      <c r="B788" s="22" t="s">
        <v>821</v>
      </c>
      <c r="C788" s="22" t="s">
        <v>644</v>
      </c>
      <c r="D788" s="22" t="s">
        <v>67</v>
      </c>
      <c r="E788" s="158">
        <v>8035</v>
      </c>
      <c r="F788" s="159">
        <v>95000</v>
      </c>
      <c r="G788" s="159">
        <v>763325000</v>
      </c>
      <c r="H788" s="159">
        <v>76332500</v>
      </c>
      <c r="I788" s="159">
        <v>839657500</v>
      </c>
      <c r="J788" s="159">
        <f>bargiri[[#This Row],[مقدار]]*INDEX(invoice[پیش دریافت به ازای هر کیلوگرم],MATCH(bargiri[[#This Row],[شماره سند مبنا]],invoice[شماره پیش فاکتور],0))</f>
        <v>244310320.81106597</v>
      </c>
      <c r="K788" s="159">
        <f>bargiri[[#This Row],[مبلغ خالص]]-bargiri[[#This Row],[میزان استهلاک پیش دریافتی]]</f>
        <v>595347179.18893409</v>
      </c>
      <c r="L788" s="160" t="s">
        <v>593</v>
      </c>
      <c r="M788" s="159"/>
      <c r="N788" s="159">
        <f>IF(bargiri[[#This Row],[مبلغ واریزی]]&lt;&gt;"",bargiri[[#This Row],[مانده مبلغ]]-bargiri[[#This Row],[مبلغ واریزی]],bargiri[[#This Row],[مانده مبلغ]])</f>
        <v>595347179.18893409</v>
      </c>
      <c r="O788" s="159" t="s">
        <v>593</v>
      </c>
      <c r="P788" s="159">
        <f>VLOOKUP(bargiri[[#This Row],[شماره سند مبنا]],invoice[[شماره پیش فاکتور]:[پیش دریافت به ازای هر کیلوگرم]],14,0)</f>
        <v>30405.764880033101</v>
      </c>
      <c r="Q788" s="159">
        <f>IF(bargiri[[#This Row],[مبلغ ناخالص]]-(bargiri[[#This Row],[نرخ استهلاک]]*bargiri[[#This Row],[مقدار]])&lt;0,0,bargiri[[#This Row],[مبلغ ناخالص]]-(bargiri[[#This Row],[نرخ استهلاک]]*bargiri[[#This Row],[مقدار]]))</f>
        <v>519014679.18893403</v>
      </c>
    </row>
    <row r="789" spans="1:17" s="22" customFormat="1" ht="13.8" x14ac:dyDescent="0.25">
      <c r="A789" s="22">
        <v>734</v>
      </c>
      <c r="B789" s="22" t="s">
        <v>822</v>
      </c>
      <c r="C789" s="22" t="s">
        <v>107</v>
      </c>
      <c r="D789" s="22" t="s">
        <v>30</v>
      </c>
      <c r="E789" s="158">
        <v>11285</v>
      </c>
      <c r="F789" s="159">
        <v>70000</v>
      </c>
      <c r="G789" s="159">
        <v>789950000</v>
      </c>
      <c r="H789" s="159">
        <v>78995000</v>
      </c>
      <c r="I789" s="159">
        <v>868945000</v>
      </c>
      <c r="J789" s="159">
        <f>bargiri[[#This Row],[مقدار]]*INDEX(invoice[پیش دریافت به ازای هر کیلوگرم],MATCH(bargiri[[#This Row],[شماره سند مبنا]],invoice[شماره پیش فاکتور],0))</f>
        <v>434472500</v>
      </c>
      <c r="K789" s="159">
        <f>bargiri[[#This Row],[مبلغ خالص]]-bargiri[[#This Row],[میزان استهلاک پیش دریافتی]]</f>
        <v>434472500</v>
      </c>
      <c r="L789" s="160" t="s">
        <v>593</v>
      </c>
      <c r="M789" s="159"/>
      <c r="N789" s="159">
        <f>IF(bargiri[[#This Row],[مبلغ واریزی]]&lt;&gt;"",bargiri[[#This Row],[مانده مبلغ]]-bargiri[[#This Row],[مبلغ واریزی]],bargiri[[#This Row],[مانده مبلغ]])</f>
        <v>434472500</v>
      </c>
      <c r="O789" s="159" t="s">
        <v>593</v>
      </c>
      <c r="P789" s="159">
        <f>VLOOKUP(bargiri[[#This Row],[شماره سند مبنا]],invoice[[شماره پیش فاکتور]:[پیش دریافت به ازای هر کیلوگرم]],14,0)</f>
        <v>38500</v>
      </c>
      <c r="Q789" s="159">
        <f>IF(bargiri[[#This Row],[مبلغ ناخالص]]-(bargiri[[#This Row],[نرخ استهلاک]]*bargiri[[#This Row],[مقدار]])&lt;0,0,bargiri[[#This Row],[مبلغ ناخالص]]-(bargiri[[#This Row],[نرخ استهلاک]]*bargiri[[#This Row],[مقدار]]))</f>
        <v>355477500</v>
      </c>
    </row>
    <row r="790" spans="1:17" s="22" customFormat="1" ht="13.8" x14ac:dyDescent="0.25">
      <c r="A790" s="22">
        <v>733</v>
      </c>
      <c r="B790" s="22" t="s">
        <v>822</v>
      </c>
      <c r="C790" s="22" t="s">
        <v>461</v>
      </c>
      <c r="D790" s="22" t="s">
        <v>35</v>
      </c>
      <c r="E790" s="158">
        <v>20550</v>
      </c>
      <c r="F790" s="159">
        <v>142000</v>
      </c>
      <c r="G790" s="159">
        <v>2918100000</v>
      </c>
      <c r="H790" s="159">
        <v>291810000</v>
      </c>
      <c r="I790" s="159">
        <v>3209910000</v>
      </c>
      <c r="J790" s="159">
        <f>bargiri[[#This Row],[مقدار]]*INDEX(invoice[پیش دریافت به ازای هر کیلوگرم],MATCH(bargiri[[#This Row],[شماره سند مبنا]],invoice[شماره پیش فاکتور],0))</f>
        <v>674415070.34283376</v>
      </c>
      <c r="K790" s="159">
        <f>bargiri[[#This Row],[مبلغ خالص]]-bargiri[[#This Row],[میزان استهلاک پیش دریافتی]]</f>
        <v>2535494929.6571665</v>
      </c>
      <c r="L790" s="160" t="s">
        <v>593</v>
      </c>
      <c r="M790" s="159"/>
      <c r="N790" s="159">
        <f>IF(bargiri[[#This Row],[مبلغ واریزی]]&lt;&gt;"",bargiri[[#This Row],[مانده مبلغ]]-bargiri[[#This Row],[مبلغ واریزی]],bargiri[[#This Row],[مانده مبلغ]])</f>
        <v>2535494929.6571665</v>
      </c>
      <c r="O790" s="159" t="s">
        <v>593</v>
      </c>
      <c r="P790" s="159">
        <f>VLOOKUP(bargiri[[#This Row],[شماره سند مبنا]],invoice[[شماره پیش فاکتور]:[پیش دریافت به ازای هر کیلوگرم]],14,0)</f>
        <v>32818.251598191426</v>
      </c>
      <c r="Q790" s="159">
        <f>IF(bargiri[[#This Row],[مبلغ ناخالص]]-(bargiri[[#This Row],[نرخ استهلاک]]*bargiri[[#This Row],[مقدار]])&lt;0,0,bargiri[[#This Row],[مبلغ ناخالص]]-(bargiri[[#This Row],[نرخ استهلاک]]*bargiri[[#This Row],[مقدار]]))</f>
        <v>2243684929.6571665</v>
      </c>
    </row>
    <row r="791" spans="1:17" s="22" customFormat="1" ht="13.8" x14ac:dyDescent="0.25">
      <c r="A791" s="22">
        <v>732</v>
      </c>
      <c r="B791" s="22" t="s">
        <v>822</v>
      </c>
      <c r="C791" s="22" t="s">
        <v>612</v>
      </c>
      <c r="D791" s="22" t="s">
        <v>17</v>
      </c>
      <c r="E791" s="158">
        <v>22145</v>
      </c>
      <c r="F791" s="159">
        <v>75000</v>
      </c>
      <c r="G791" s="159">
        <v>1660875000</v>
      </c>
      <c r="H791" s="159">
        <v>166087500</v>
      </c>
      <c r="I791" s="159">
        <v>1826962500</v>
      </c>
      <c r="J791" s="159">
        <f>bargiri[[#This Row],[مقدار]]*INDEX(invoice[پیش دریافت به ازای هر کیلوگرم],MATCH(bargiri[[#This Row],[شماره سند مبنا]],invoice[شماره پیش فاکتور],0))</f>
        <v>274044375</v>
      </c>
      <c r="K791" s="159">
        <f>bargiri[[#This Row],[مبلغ خالص]]-bargiri[[#This Row],[میزان استهلاک پیش دریافتی]]</f>
        <v>1552918125</v>
      </c>
      <c r="L791" s="160" t="s">
        <v>593</v>
      </c>
      <c r="M791" s="159"/>
      <c r="N791" s="159">
        <f>IF(bargiri[[#This Row],[مبلغ واریزی]]&lt;&gt;"",bargiri[[#This Row],[مانده مبلغ]]-bargiri[[#This Row],[مبلغ واریزی]],bargiri[[#This Row],[مانده مبلغ]])</f>
        <v>1552918125</v>
      </c>
      <c r="O791" s="159" t="s">
        <v>593</v>
      </c>
      <c r="P791" s="159">
        <f>VLOOKUP(bargiri[[#This Row],[شماره سند مبنا]],invoice[[شماره پیش فاکتور]:[پیش دریافت به ازای هر کیلوگرم]],14,0)</f>
        <v>12375</v>
      </c>
      <c r="Q791" s="159">
        <f>IF(bargiri[[#This Row],[مبلغ ناخالص]]-(bargiri[[#This Row],[نرخ استهلاک]]*bargiri[[#This Row],[مقدار]])&lt;0,0,bargiri[[#This Row],[مبلغ ناخالص]]-(bargiri[[#This Row],[نرخ استهلاک]]*bargiri[[#This Row],[مقدار]]))</f>
        <v>1386830625</v>
      </c>
    </row>
    <row r="792" spans="1:17" s="22" customFormat="1" ht="13.8" x14ac:dyDescent="0.25">
      <c r="A792" s="22">
        <v>731</v>
      </c>
      <c r="B792" s="22" t="s">
        <v>822</v>
      </c>
      <c r="C792" s="22" t="s">
        <v>655</v>
      </c>
      <c r="D792" s="22" t="s">
        <v>67</v>
      </c>
      <c r="E792" s="158">
        <v>20000</v>
      </c>
      <c r="F792" s="159">
        <v>167500</v>
      </c>
      <c r="G792" s="159">
        <v>3350000000</v>
      </c>
      <c r="H792" s="159">
        <v>335000000</v>
      </c>
      <c r="I792" s="159">
        <v>3685000000</v>
      </c>
      <c r="J792" s="159">
        <f>bargiri[[#This Row],[مقدار]]*INDEX(invoice[پیش دریافت به ازای هر کیلوگرم],MATCH(bargiri[[#This Row],[شماره سند مبنا]],invoice[شماره پیش فاکتور],0))</f>
        <v>3685000000</v>
      </c>
      <c r="K792" s="159">
        <f>bargiri[[#This Row],[مبلغ خالص]]-bargiri[[#This Row],[میزان استهلاک پیش دریافتی]]</f>
        <v>0</v>
      </c>
      <c r="L792" s="160" t="s">
        <v>593</v>
      </c>
      <c r="M792" s="159"/>
      <c r="N792" s="159">
        <f>IF(bargiri[[#This Row],[مبلغ واریزی]]&lt;&gt;"",bargiri[[#This Row],[مانده مبلغ]]-bargiri[[#This Row],[مبلغ واریزی]],bargiri[[#This Row],[مانده مبلغ]])</f>
        <v>0</v>
      </c>
      <c r="O792" s="159" t="s">
        <v>593</v>
      </c>
      <c r="P792" s="159">
        <f>VLOOKUP(bargiri[[#This Row],[شماره سند مبنا]],invoice[[شماره پیش فاکتور]:[پیش دریافت به ازای هر کیلوگرم]],14,0)</f>
        <v>184250</v>
      </c>
      <c r="Q792" s="159">
        <f>IF(bargiri[[#This Row],[مبلغ ناخالص]]-(bargiri[[#This Row],[نرخ استهلاک]]*bargiri[[#This Row],[مقدار]])&lt;0,0,bargiri[[#This Row],[مبلغ ناخالص]]-(bargiri[[#This Row],[نرخ استهلاک]]*bargiri[[#This Row],[مقدار]]))</f>
        <v>0</v>
      </c>
    </row>
    <row r="793" spans="1:17" s="22" customFormat="1" ht="13.8" x14ac:dyDescent="0.25">
      <c r="A793" s="22">
        <v>730</v>
      </c>
      <c r="B793" s="22" t="s">
        <v>822</v>
      </c>
      <c r="C793" s="22" t="s">
        <v>182</v>
      </c>
      <c r="D793" s="22" t="s">
        <v>20</v>
      </c>
      <c r="E793" s="158">
        <v>19090</v>
      </c>
      <c r="F793" s="159">
        <v>86500</v>
      </c>
      <c r="G793" s="159">
        <v>1651285000</v>
      </c>
      <c r="H793" s="159">
        <v>165128500</v>
      </c>
      <c r="I793" s="159">
        <v>1816413500</v>
      </c>
      <c r="J793" s="159">
        <f>bargiri[[#This Row],[مقدار]]*INDEX(invoice[پیش دریافت به ازای هر کیلوگرم],MATCH(bargiri[[#This Row],[شماره سند مبنا]],invoice[شماره پیش فاکتور],0))</f>
        <v>247692750</v>
      </c>
      <c r="K793" s="159">
        <f>bargiri[[#This Row],[مبلغ خالص]]-bargiri[[#This Row],[میزان استهلاک پیش دریافتی]]</f>
        <v>1568720750</v>
      </c>
      <c r="L793" s="160" t="s">
        <v>593</v>
      </c>
      <c r="M793" s="159"/>
      <c r="N793" s="159">
        <f>IF(bargiri[[#This Row],[مبلغ واریزی]]&lt;&gt;"",bargiri[[#This Row],[مانده مبلغ]]-bargiri[[#This Row],[مبلغ واریزی]],bargiri[[#This Row],[مانده مبلغ]])</f>
        <v>1568720750</v>
      </c>
      <c r="O793" s="159" t="s">
        <v>593</v>
      </c>
      <c r="P793" s="159">
        <f>VLOOKUP(bargiri[[#This Row],[شماره سند مبنا]],invoice[[شماره پیش فاکتور]:[پیش دریافت به ازای هر کیلوگرم]],14,0)</f>
        <v>12975</v>
      </c>
      <c r="Q793" s="159">
        <f>IF(bargiri[[#This Row],[مبلغ ناخالص]]-(bargiri[[#This Row],[نرخ استهلاک]]*bargiri[[#This Row],[مقدار]])&lt;0,0,bargiri[[#This Row],[مبلغ ناخالص]]-(bargiri[[#This Row],[نرخ استهلاک]]*bargiri[[#This Row],[مقدار]]))</f>
        <v>1403592250</v>
      </c>
    </row>
    <row r="794" spans="1:17" s="22" customFormat="1" ht="13.8" x14ac:dyDescent="0.25">
      <c r="A794" s="22">
        <v>729</v>
      </c>
      <c r="B794" s="22" t="s">
        <v>823</v>
      </c>
      <c r="C794" s="22" t="s">
        <v>644</v>
      </c>
      <c r="D794" s="22" t="s">
        <v>67</v>
      </c>
      <c r="E794" s="158">
        <v>20160</v>
      </c>
      <c r="F794" s="159">
        <v>95000</v>
      </c>
      <c r="G794" s="159">
        <v>1915200000</v>
      </c>
      <c r="H794" s="159">
        <v>191520000</v>
      </c>
      <c r="I794" s="159">
        <v>2106720000</v>
      </c>
      <c r="J794" s="159">
        <f>bargiri[[#This Row],[مقدار]]*INDEX(invoice[پیش دریافت به ازای هر کیلوگرم],MATCH(bargiri[[#This Row],[شماره سند مبنا]],invoice[شماره پیش فاکتور],0))</f>
        <v>612980219.98146737</v>
      </c>
      <c r="K794" s="159">
        <f>bargiri[[#This Row],[مبلغ خالص]]-bargiri[[#This Row],[میزان استهلاک پیش دریافتی]]</f>
        <v>1493739780.0185328</v>
      </c>
      <c r="L794" s="160" t="s">
        <v>593</v>
      </c>
      <c r="M794" s="159"/>
      <c r="N794" s="159">
        <f>IF(bargiri[[#This Row],[مبلغ واریزی]]&lt;&gt;"",bargiri[[#This Row],[مانده مبلغ]]-bargiri[[#This Row],[مبلغ واریزی]],bargiri[[#This Row],[مانده مبلغ]])</f>
        <v>1493739780.0185328</v>
      </c>
      <c r="O794" s="159" t="s">
        <v>593</v>
      </c>
      <c r="P794" s="159">
        <f>VLOOKUP(bargiri[[#This Row],[شماره سند مبنا]],invoice[[شماره پیش فاکتور]:[پیش دریافت به ازای هر کیلوگرم]],14,0)</f>
        <v>30405.764880033101</v>
      </c>
      <c r="Q794" s="159">
        <f>IF(bargiri[[#This Row],[مبلغ ناخالص]]-(bargiri[[#This Row],[نرخ استهلاک]]*bargiri[[#This Row],[مقدار]])&lt;0,0,bargiri[[#This Row],[مبلغ ناخالص]]-(bargiri[[#This Row],[نرخ استهلاک]]*bargiri[[#This Row],[مقدار]]))</f>
        <v>1302219780.0185328</v>
      </c>
    </row>
    <row r="795" spans="1:17" s="22" customFormat="1" ht="13.8" x14ac:dyDescent="0.25">
      <c r="A795" s="22">
        <v>728</v>
      </c>
      <c r="B795" s="22" t="s">
        <v>823</v>
      </c>
      <c r="C795" s="22" t="s">
        <v>189</v>
      </c>
      <c r="D795" s="22" t="s">
        <v>173</v>
      </c>
      <c r="E795" s="158">
        <v>21795</v>
      </c>
      <c r="F795" s="159">
        <v>75000</v>
      </c>
      <c r="G795" s="159">
        <v>1634625000</v>
      </c>
      <c r="H795" s="159">
        <v>163462500</v>
      </c>
      <c r="I795" s="159">
        <v>1798087500</v>
      </c>
      <c r="J795" s="159">
        <f>bargiri[[#This Row],[مقدار]]*INDEX(invoice[پیش دریافت به ازای هر کیلوگرم],MATCH(bargiri[[#This Row],[شماره سند مبنا]],invoice[شماره پیش فاکتور],0))</f>
        <v>269713125</v>
      </c>
      <c r="K795" s="159">
        <f>bargiri[[#This Row],[مبلغ خالص]]-bargiri[[#This Row],[میزان استهلاک پیش دریافتی]]</f>
        <v>1528374375</v>
      </c>
      <c r="L795" s="160" t="s">
        <v>593</v>
      </c>
      <c r="M795" s="159"/>
      <c r="N795" s="159">
        <f>IF(bargiri[[#This Row],[مبلغ واریزی]]&lt;&gt;"",bargiri[[#This Row],[مانده مبلغ]]-bargiri[[#This Row],[مبلغ واریزی]],bargiri[[#This Row],[مانده مبلغ]])</f>
        <v>1528374375</v>
      </c>
      <c r="O795" s="159" t="s">
        <v>593</v>
      </c>
      <c r="P795" s="159">
        <f>VLOOKUP(bargiri[[#This Row],[شماره سند مبنا]],invoice[[شماره پیش فاکتور]:[پیش دریافت به ازای هر کیلوگرم]],14,0)</f>
        <v>12375</v>
      </c>
      <c r="Q795" s="159">
        <f>IF(bargiri[[#This Row],[مبلغ ناخالص]]-(bargiri[[#This Row],[نرخ استهلاک]]*bargiri[[#This Row],[مقدار]])&lt;0,0,bargiri[[#This Row],[مبلغ ناخالص]]-(bargiri[[#This Row],[نرخ استهلاک]]*bargiri[[#This Row],[مقدار]]))</f>
        <v>1364911875</v>
      </c>
    </row>
    <row r="796" spans="1:17" s="22" customFormat="1" ht="13.8" x14ac:dyDescent="0.25">
      <c r="A796" s="22">
        <v>727</v>
      </c>
      <c r="B796" s="22" t="s">
        <v>823</v>
      </c>
      <c r="C796" s="22" t="s">
        <v>72</v>
      </c>
      <c r="D796" s="22" t="s">
        <v>73</v>
      </c>
      <c r="E796" s="158">
        <v>20640</v>
      </c>
      <c r="F796" s="159">
        <v>57273</v>
      </c>
      <c r="G796" s="159">
        <v>1182114720</v>
      </c>
      <c r="H796" s="159">
        <v>118211472</v>
      </c>
      <c r="I796" s="159">
        <v>1300326192</v>
      </c>
      <c r="J796" s="159" t="e">
        <f>bargiri[[#This Row],[مقدار]]*INDEX(invoice[پیش دریافت به ازای هر کیلوگرم],MATCH(bargiri[[#This Row],[شماره سند مبنا]],invoice[شماره پیش فاکتور],0))</f>
        <v>#N/A</v>
      </c>
      <c r="K796" s="159" t="e">
        <f>bargiri[[#This Row],[مبلغ خالص]]-bargiri[[#This Row],[میزان استهلاک پیش دریافتی]]</f>
        <v>#N/A</v>
      </c>
      <c r="L796" s="160" t="s">
        <v>593</v>
      </c>
      <c r="M796" s="159"/>
      <c r="N796" s="159" t="e">
        <f>IF(bargiri[[#This Row],[مبلغ واریزی]]&lt;&gt;"",bargiri[[#This Row],[مانده مبلغ]]-bargiri[[#This Row],[مبلغ واریزی]],bargiri[[#This Row],[مانده مبلغ]])</f>
        <v>#N/A</v>
      </c>
      <c r="O796" s="159" t="s">
        <v>593</v>
      </c>
      <c r="P796" s="159" t="e">
        <f>VLOOKUP(bargiri[[#This Row],[شماره سند مبنا]],invoice[[شماره پیش فاکتور]:[پیش دریافت به ازای هر کیلوگرم]],14,0)</f>
        <v>#N/A</v>
      </c>
      <c r="Q796" s="159" t="e">
        <f>IF(bargiri[[#This Row],[مبلغ ناخالص]]-(bargiri[[#This Row],[نرخ استهلاک]]*bargiri[[#This Row],[مقدار]])&lt;0,0,bargiri[[#This Row],[مبلغ ناخالص]]-(bargiri[[#This Row],[نرخ استهلاک]]*bargiri[[#This Row],[مقدار]]))</f>
        <v>#N/A</v>
      </c>
    </row>
    <row r="797" spans="1:17" s="22" customFormat="1" ht="13.8" x14ac:dyDescent="0.25">
      <c r="A797" s="22">
        <v>726</v>
      </c>
      <c r="B797" s="22" t="s">
        <v>823</v>
      </c>
      <c r="C797" s="22" t="s">
        <v>72</v>
      </c>
      <c r="D797" s="22" t="s">
        <v>73</v>
      </c>
      <c r="E797" s="158">
        <v>20540</v>
      </c>
      <c r="F797" s="159">
        <v>57273</v>
      </c>
      <c r="G797" s="159">
        <v>1176387420</v>
      </c>
      <c r="H797" s="159">
        <v>117638742</v>
      </c>
      <c r="I797" s="159">
        <v>1294026162</v>
      </c>
      <c r="J797" s="159" t="e">
        <f>bargiri[[#This Row],[مقدار]]*INDEX(invoice[پیش دریافت به ازای هر کیلوگرم],MATCH(bargiri[[#This Row],[شماره سند مبنا]],invoice[شماره پیش فاکتور],0))</f>
        <v>#N/A</v>
      </c>
      <c r="K797" s="159" t="e">
        <f>bargiri[[#This Row],[مبلغ خالص]]-bargiri[[#This Row],[میزان استهلاک پیش دریافتی]]</f>
        <v>#N/A</v>
      </c>
      <c r="L797" s="160" t="s">
        <v>593</v>
      </c>
      <c r="M797" s="159"/>
      <c r="N797" s="159" t="e">
        <f>IF(bargiri[[#This Row],[مبلغ واریزی]]&lt;&gt;"",bargiri[[#This Row],[مانده مبلغ]]-bargiri[[#This Row],[مبلغ واریزی]],bargiri[[#This Row],[مانده مبلغ]])</f>
        <v>#N/A</v>
      </c>
      <c r="O797" s="159" t="s">
        <v>593</v>
      </c>
      <c r="P797" s="159" t="e">
        <f>VLOOKUP(bargiri[[#This Row],[شماره سند مبنا]],invoice[[شماره پیش فاکتور]:[پیش دریافت به ازای هر کیلوگرم]],14,0)</f>
        <v>#N/A</v>
      </c>
      <c r="Q797" s="159" t="e">
        <f>IF(bargiri[[#This Row],[مبلغ ناخالص]]-(bargiri[[#This Row],[نرخ استهلاک]]*bargiri[[#This Row],[مقدار]])&lt;0,0,bargiri[[#This Row],[مبلغ ناخالص]]-(bargiri[[#This Row],[نرخ استهلاک]]*bargiri[[#This Row],[مقدار]]))</f>
        <v>#N/A</v>
      </c>
    </row>
    <row r="798" spans="1:17" s="22" customFormat="1" ht="13.8" x14ac:dyDescent="0.25">
      <c r="A798" s="22">
        <v>725</v>
      </c>
      <c r="B798" s="22" t="s">
        <v>823</v>
      </c>
      <c r="C798" s="22" t="s">
        <v>72</v>
      </c>
      <c r="D798" s="22" t="s">
        <v>73</v>
      </c>
      <c r="E798" s="158">
        <v>20520</v>
      </c>
      <c r="F798" s="159">
        <v>57273</v>
      </c>
      <c r="G798" s="159">
        <v>1175241960</v>
      </c>
      <c r="H798" s="159">
        <v>117524196</v>
      </c>
      <c r="I798" s="159">
        <v>1292766156</v>
      </c>
      <c r="J798" s="159" t="e">
        <f>bargiri[[#This Row],[مقدار]]*INDEX(invoice[پیش دریافت به ازای هر کیلوگرم],MATCH(bargiri[[#This Row],[شماره سند مبنا]],invoice[شماره پیش فاکتور],0))</f>
        <v>#N/A</v>
      </c>
      <c r="K798" s="159" t="e">
        <f>bargiri[[#This Row],[مبلغ خالص]]-bargiri[[#This Row],[میزان استهلاک پیش دریافتی]]</f>
        <v>#N/A</v>
      </c>
      <c r="L798" s="160" t="s">
        <v>593</v>
      </c>
      <c r="M798" s="159"/>
      <c r="N798" s="159" t="e">
        <f>IF(bargiri[[#This Row],[مبلغ واریزی]]&lt;&gt;"",bargiri[[#This Row],[مانده مبلغ]]-bargiri[[#This Row],[مبلغ واریزی]],bargiri[[#This Row],[مانده مبلغ]])</f>
        <v>#N/A</v>
      </c>
      <c r="O798" s="159" t="s">
        <v>593</v>
      </c>
      <c r="P798" s="159" t="e">
        <f>VLOOKUP(bargiri[[#This Row],[شماره سند مبنا]],invoice[[شماره پیش فاکتور]:[پیش دریافت به ازای هر کیلوگرم]],14,0)</f>
        <v>#N/A</v>
      </c>
      <c r="Q798" s="159" t="e">
        <f>IF(bargiri[[#This Row],[مبلغ ناخالص]]-(bargiri[[#This Row],[نرخ استهلاک]]*bargiri[[#This Row],[مقدار]])&lt;0,0,bargiri[[#This Row],[مبلغ ناخالص]]-(bargiri[[#This Row],[نرخ استهلاک]]*bargiri[[#This Row],[مقدار]]))</f>
        <v>#N/A</v>
      </c>
    </row>
    <row r="799" spans="1:17" s="22" customFormat="1" ht="13.8" x14ac:dyDescent="0.25">
      <c r="A799" s="22">
        <v>724</v>
      </c>
      <c r="B799" s="22" t="s">
        <v>823</v>
      </c>
      <c r="C799" s="22" t="s">
        <v>107</v>
      </c>
      <c r="D799" s="22" t="s">
        <v>30</v>
      </c>
      <c r="E799" s="158">
        <v>11295</v>
      </c>
      <c r="F799" s="159">
        <v>70000</v>
      </c>
      <c r="G799" s="159">
        <v>790650000</v>
      </c>
      <c r="H799" s="159">
        <v>79065000</v>
      </c>
      <c r="I799" s="159">
        <v>869715000</v>
      </c>
      <c r="J799" s="159">
        <f>bargiri[[#This Row],[مقدار]]*INDEX(invoice[پیش دریافت به ازای هر کیلوگرم],MATCH(bargiri[[#This Row],[شماره سند مبنا]],invoice[شماره پیش فاکتور],0))</f>
        <v>434857500</v>
      </c>
      <c r="K799" s="159">
        <f>bargiri[[#This Row],[مبلغ خالص]]-bargiri[[#This Row],[میزان استهلاک پیش دریافتی]]</f>
        <v>434857500</v>
      </c>
      <c r="L799" s="160" t="s">
        <v>593</v>
      </c>
      <c r="M799" s="159"/>
      <c r="N799" s="159">
        <f>IF(bargiri[[#This Row],[مبلغ واریزی]]&lt;&gt;"",bargiri[[#This Row],[مانده مبلغ]]-bargiri[[#This Row],[مبلغ واریزی]],bargiri[[#This Row],[مانده مبلغ]])</f>
        <v>434857500</v>
      </c>
      <c r="O799" s="159" t="s">
        <v>593</v>
      </c>
      <c r="P799" s="159">
        <f>VLOOKUP(bargiri[[#This Row],[شماره سند مبنا]],invoice[[شماره پیش فاکتور]:[پیش دریافت به ازای هر کیلوگرم]],14,0)</f>
        <v>38500</v>
      </c>
      <c r="Q799" s="159">
        <f>IF(bargiri[[#This Row],[مبلغ ناخالص]]-(bargiri[[#This Row],[نرخ استهلاک]]*bargiri[[#This Row],[مقدار]])&lt;0,0,bargiri[[#This Row],[مبلغ ناخالص]]-(bargiri[[#This Row],[نرخ استهلاک]]*bargiri[[#This Row],[مقدار]]))</f>
        <v>355792500</v>
      </c>
    </row>
    <row r="800" spans="1:17" s="22" customFormat="1" ht="13.8" x14ac:dyDescent="0.25">
      <c r="A800" s="22">
        <v>723</v>
      </c>
      <c r="B800" s="22" t="s">
        <v>823</v>
      </c>
      <c r="C800" s="22" t="s">
        <v>608</v>
      </c>
      <c r="D800" s="22" t="s">
        <v>40</v>
      </c>
      <c r="E800" s="158">
        <v>19045</v>
      </c>
      <c r="F800" s="159">
        <v>142000</v>
      </c>
      <c r="G800" s="159">
        <v>2704390000</v>
      </c>
      <c r="H800" s="159">
        <v>270439000</v>
      </c>
      <c r="I800" s="159">
        <v>2974829000</v>
      </c>
      <c r="J800" s="159">
        <f>bargiri[[#This Row],[مقدار]]*INDEX(invoice[پیش دریافت به ازای هر کیلوگرم],MATCH(bargiri[[#This Row],[شماره سند مبنا]],invoice[شماره پیش فاکتور],0))</f>
        <v>446224350</v>
      </c>
      <c r="K800" s="159">
        <f>bargiri[[#This Row],[مبلغ خالص]]-bargiri[[#This Row],[میزان استهلاک پیش دریافتی]]</f>
        <v>2528604650</v>
      </c>
      <c r="L800" s="160" t="s">
        <v>593</v>
      </c>
      <c r="M800" s="159"/>
      <c r="N800" s="159">
        <f>IF(bargiri[[#This Row],[مبلغ واریزی]]&lt;&gt;"",bargiri[[#This Row],[مانده مبلغ]]-bargiri[[#This Row],[مبلغ واریزی]],bargiri[[#This Row],[مانده مبلغ]])</f>
        <v>2528604650</v>
      </c>
      <c r="O800" s="159" t="s">
        <v>593</v>
      </c>
      <c r="P800" s="159">
        <f>VLOOKUP(bargiri[[#This Row],[شماره سند مبنا]],invoice[[شماره پیش فاکتور]:[پیش دریافت به ازای هر کیلوگرم]],14,0)</f>
        <v>23430</v>
      </c>
      <c r="Q800" s="159">
        <f>IF(bargiri[[#This Row],[مبلغ ناخالص]]-(bargiri[[#This Row],[نرخ استهلاک]]*bargiri[[#This Row],[مقدار]])&lt;0,0,bargiri[[#This Row],[مبلغ ناخالص]]-(bargiri[[#This Row],[نرخ استهلاک]]*bargiri[[#This Row],[مقدار]]))</f>
        <v>2258165650</v>
      </c>
    </row>
    <row r="801" spans="1:17" s="22" customFormat="1" ht="13.8" x14ac:dyDescent="0.25">
      <c r="A801" s="22">
        <v>722</v>
      </c>
      <c r="B801" s="22" t="s">
        <v>823</v>
      </c>
      <c r="C801" s="22" t="s">
        <v>464</v>
      </c>
      <c r="D801" s="22" t="s">
        <v>221</v>
      </c>
      <c r="E801" s="158">
        <v>14355</v>
      </c>
      <c r="F801" s="159">
        <v>142000</v>
      </c>
      <c r="G801" s="159">
        <v>2038410000</v>
      </c>
      <c r="H801" s="159">
        <v>203841000</v>
      </c>
      <c r="I801" s="159">
        <v>2242251000</v>
      </c>
      <c r="J801" s="159">
        <f>bargiri[[#This Row],[مقدار]]*INDEX(invoice[پیش دریافت به ازای هر کیلوگرم],MATCH(bargiri[[#This Row],[شماره سند مبنا]],invoice[شماره پیش فاکتور],0))</f>
        <v>336337650</v>
      </c>
      <c r="K801" s="159">
        <f>bargiri[[#This Row],[مبلغ خالص]]-bargiri[[#This Row],[میزان استهلاک پیش دریافتی]]</f>
        <v>1905913350</v>
      </c>
      <c r="L801" s="160" t="s">
        <v>593</v>
      </c>
      <c r="M801" s="159"/>
      <c r="N801" s="159">
        <f>IF(bargiri[[#This Row],[مبلغ واریزی]]&lt;&gt;"",bargiri[[#This Row],[مانده مبلغ]]-bargiri[[#This Row],[مبلغ واریزی]],bargiri[[#This Row],[مانده مبلغ]])</f>
        <v>1905913350</v>
      </c>
      <c r="O801" s="159" t="s">
        <v>593</v>
      </c>
      <c r="P801" s="159">
        <f>VLOOKUP(bargiri[[#This Row],[شماره سند مبنا]],invoice[[شماره پیش فاکتور]:[پیش دریافت به ازای هر کیلوگرم]],14,0)</f>
        <v>23430</v>
      </c>
      <c r="Q801" s="159">
        <f>IF(bargiri[[#This Row],[مبلغ ناخالص]]-(bargiri[[#This Row],[نرخ استهلاک]]*bargiri[[#This Row],[مقدار]])&lt;0,0,bargiri[[#This Row],[مبلغ ناخالص]]-(bargiri[[#This Row],[نرخ استهلاک]]*bargiri[[#This Row],[مقدار]]))</f>
        <v>1702072350</v>
      </c>
    </row>
    <row r="802" spans="1:17" s="22" customFormat="1" ht="13.8" x14ac:dyDescent="0.25">
      <c r="A802" s="22">
        <v>721</v>
      </c>
      <c r="B802" s="22" t="s">
        <v>823</v>
      </c>
      <c r="C802" s="22" t="s">
        <v>458</v>
      </c>
      <c r="D802" s="22" t="s">
        <v>156</v>
      </c>
      <c r="E802" s="158">
        <v>22020</v>
      </c>
      <c r="F802" s="159">
        <v>142000</v>
      </c>
      <c r="G802" s="159">
        <v>3126840000</v>
      </c>
      <c r="H802" s="159">
        <v>312684000</v>
      </c>
      <c r="I802" s="159">
        <v>3439524000</v>
      </c>
      <c r="J802" s="159">
        <f>bargiri[[#This Row],[مقدار]]*INDEX(invoice[پیش دریافت به ازای هر کیلوگرم],MATCH(bargiri[[#This Row],[شماره سند مبنا]],invoice[شماره پیش فاکتور],0))</f>
        <v>621987904.11702061</v>
      </c>
      <c r="K802" s="159">
        <f>bargiri[[#This Row],[مبلغ خالص]]-bargiri[[#This Row],[میزان استهلاک پیش دریافتی]]</f>
        <v>2817536095.8829794</v>
      </c>
      <c r="L802" s="160" t="s">
        <v>593</v>
      </c>
      <c r="M802" s="159"/>
      <c r="N802" s="159">
        <f>IF(bargiri[[#This Row],[مبلغ واریزی]]&lt;&gt;"",bargiri[[#This Row],[مانده مبلغ]]-bargiri[[#This Row],[مبلغ واریزی]],bargiri[[#This Row],[مانده مبلغ]])</f>
        <v>2817536095.8829794</v>
      </c>
      <c r="O802" s="159" t="s">
        <v>593</v>
      </c>
      <c r="P802" s="159">
        <f>VLOOKUP(bargiri[[#This Row],[شماره سند مبنا]],invoice[[شماره پیش فاکتور]:[پیش دریافت به ازای هر کیلوگرم]],14,0)</f>
        <v>28246.498824569509</v>
      </c>
      <c r="Q802" s="159">
        <f>IF(bargiri[[#This Row],[مبلغ ناخالص]]-(bargiri[[#This Row],[نرخ استهلاک]]*bargiri[[#This Row],[مقدار]])&lt;0,0,bargiri[[#This Row],[مبلغ ناخالص]]-(bargiri[[#This Row],[نرخ استهلاک]]*bargiri[[#This Row],[مقدار]]))</f>
        <v>2504852095.8829794</v>
      </c>
    </row>
    <row r="803" spans="1:17" s="22" customFormat="1" ht="13.8" x14ac:dyDescent="0.25">
      <c r="A803" s="22">
        <v>720</v>
      </c>
      <c r="B803" s="22" t="s">
        <v>712</v>
      </c>
      <c r="C803" s="22" t="s">
        <v>616</v>
      </c>
      <c r="D803" s="22" t="s">
        <v>67</v>
      </c>
      <c r="E803" s="158">
        <v>20035</v>
      </c>
      <c r="F803" s="159">
        <v>142000</v>
      </c>
      <c r="G803" s="159">
        <v>2844970000</v>
      </c>
      <c r="H803" s="159">
        <v>284497000</v>
      </c>
      <c r="I803" s="159">
        <v>3129467000</v>
      </c>
      <c r="J803" s="159">
        <f>bargiri[[#This Row],[مقدار]]*INDEX(invoice[پیش دریافت به ازای هر کیلوگرم],MATCH(bargiri[[#This Row],[شماره سند مبنا]],invoice[شماره پیش فاکتور],0))</f>
        <v>469420050</v>
      </c>
      <c r="K803" s="159">
        <f>bargiri[[#This Row],[مبلغ خالص]]-bargiri[[#This Row],[میزان استهلاک پیش دریافتی]]</f>
        <v>2660046950</v>
      </c>
      <c r="L803" s="160" t="s">
        <v>593</v>
      </c>
      <c r="M803" s="159"/>
      <c r="N803" s="159">
        <f>IF(bargiri[[#This Row],[مبلغ واریزی]]&lt;&gt;"",bargiri[[#This Row],[مانده مبلغ]]-bargiri[[#This Row],[مبلغ واریزی]],bargiri[[#This Row],[مانده مبلغ]])</f>
        <v>2660046950</v>
      </c>
      <c r="O803" s="159" t="s">
        <v>593</v>
      </c>
      <c r="P803" s="159">
        <f>VLOOKUP(bargiri[[#This Row],[شماره سند مبنا]],invoice[[شماره پیش فاکتور]:[پیش دریافت به ازای هر کیلوگرم]],14,0)</f>
        <v>23430</v>
      </c>
      <c r="Q803" s="159">
        <f>IF(bargiri[[#This Row],[مبلغ ناخالص]]-(bargiri[[#This Row],[نرخ استهلاک]]*bargiri[[#This Row],[مقدار]])&lt;0,0,bargiri[[#This Row],[مبلغ ناخالص]]-(bargiri[[#This Row],[نرخ استهلاک]]*bargiri[[#This Row],[مقدار]]))</f>
        <v>2375549950</v>
      </c>
    </row>
    <row r="804" spans="1:17" s="22" customFormat="1" ht="13.8" x14ac:dyDescent="0.25">
      <c r="A804" s="22">
        <v>719</v>
      </c>
      <c r="B804" s="22" t="s">
        <v>712</v>
      </c>
      <c r="C804" s="22" t="s">
        <v>187</v>
      </c>
      <c r="D804" s="22" t="s">
        <v>43</v>
      </c>
      <c r="E804" s="158">
        <v>22225</v>
      </c>
      <c r="F804" s="159">
        <v>80000</v>
      </c>
      <c r="G804" s="159">
        <v>1778000000</v>
      </c>
      <c r="H804" s="159">
        <v>177800000</v>
      </c>
      <c r="I804" s="159">
        <v>1955800000</v>
      </c>
      <c r="J804" s="159">
        <f>bargiri[[#This Row],[مقدار]]*INDEX(invoice[پیش دریافت به ازای هر کیلوگرم],MATCH(bargiri[[#This Row],[شماره سند مبنا]],invoice[شماره پیش فاکتور],0))</f>
        <v>391160000</v>
      </c>
      <c r="K804" s="159">
        <f>bargiri[[#This Row],[مبلغ خالص]]-bargiri[[#This Row],[میزان استهلاک پیش دریافتی]]</f>
        <v>1564640000</v>
      </c>
      <c r="L804" s="160" t="s">
        <v>593</v>
      </c>
      <c r="M804" s="159"/>
      <c r="N804" s="159">
        <f>IF(bargiri[[#This Row],[مبلغ واریزی]]&lt;&gt;"",bargiri[[#This Row],[مانده مبلغ]]-bargiri[[#This Row],[مبلغ واریزی]],bargiri[[#This Row],[مانده مبلغ]])</f>
        <v>1564640000</v>
      </c>
      <c r="O804" s="159" t="s">
        <v>593</v>
      </c>
      <c r="P804" s="159">
        <f>VLOOKUP(bargiri[[#This Row],[شماره سند مبنا]],invoice[[شماره پیش فاکتور]:[پیش دریافت به ازای هر کیلوگرم]],14,0)</f>
        <v>17600</v>
      </c>
      <c r="Q804" s="159">
        <f>IF(bargiri[[#This Row],[مبلغ ناخالص]]-(bargiri[[#This Row],[نرخ استهلاک]]*bargiri[[#This Row],[مقدار]])&lt;0,0,bargiri[[#This Row],[مبلغ ناخالص]]-(bargiri[[#This Row],[نرخ استهلاک]]*bargiri[[#This Row],[مقدار]]))</f>
        <v>1386840000</v>
      </c>
    </row>
    <row r="805" spans="1:17" s="22" customFormat="1" ht="13.8" x14ac:dyDescent="0.25">
      <c r="A805" s="22">
        <v>718</v>
      </c>
      <c r="B805" s="22" t="s">
        <v>712</v>
      </c>
      <c r="C805" s="22" t="s">
        <v>72</v>
      </c>
      <c r="D805" s="22" t="s">
        <v>73</v>
      </c>
      <c r="E805" s="158">
        <v>20705</v>
      </c>
      <c r="F805" s="159">
        <v>57273</v>
      </c>
      <c r="G805" s="159">
        <v>1185837465</v>
      </c>
      <c r="H805" s="159">
        <v>118583747</v>
      </c>
      <c r="I805" s="159">
        <v>1304421212</v>
      </c>
      <c r="J805" s="159" t="e">
        <f>bargiri[[#This Row],[مقدار]]*INDEX(invoice[پیش دریافت به ازای هر کیلوگرم],MATCH(bargiri[[#This Row],[شماره سند مبنا]],invoice[شماره پیش فاکتور],0))</f>
        <v>#N/A</v>
      </c>
      <c r="K805" s="159" t="e">
        <f>bargiri[[#This Row],[مبلغ خالص]]-bargiri[[#This Row],[میزان استهلاک پیش دریافتی]]</f>
        <v>#N/A</v>
      </c>
      <c r="L805" s="160" t="s">
        <v>593</v>
      </c>
      <c r="M805" s="159"/>
      <c r="N805" s="159" t="e">
        <f>IF(bargiri[[#This Row],[مبلغ واریزی]]&lt;&gt;"",bargiri[[#This Row],[مانده مبلغ]]-bargiri[[#This Row],[مبلغ واریزی]],bargiri[[#This Row],[مانده مبلغ]])</f>
        <v>#N/A</v>
      </c>
      <c r="O805" s="159" t="s">
        <v>593</v>
      </c>
      <c r="P805" s="159" t="e">
        <f>VLOOKUP(bargiri[[#This Row],[شماره سند مبنا]],invoice[[شماره پیش فاکتور]:[پیش دریافت به ازای هر کیلوگرم]],14,0)</f>
        <v>#N/A</v>
      </c>
      <c r="Q805" s="159" t="e">
        <f>IF(bargiri[[#This Row],[مبلغ ناخالص]]-(bargiri[[#This Row],[نرخ استهلاک]]*bargiri[[#This Row],[مقدار]])&lt;0,0,bargiri[[#This Row],[مبلغ ناخالص]]-(bargiri[[#This Row],[نرخ استهلاک]]*bargiri[[#This Row],[مقدار]]))</f>
        <v>#N/A</v>
      </c>
    </row>
    <row r="806" spans="1:17" s="22" customFormat="1" ht="13.8" x14ac:dyDescent="0.25">
      <c r="A806" s="22">
        <v>717</v>
      </c>
      <c r="B806" s="22" t="s">
        <v>712</v>
      </c>
      <c r="C806" s="22" t="s">
        <v>72</v>
      </c>
      <c r="D806" s="22" t="s">
        <v>73</v>
      </c>
      <c r="E806" s="158">
        <v>20690</v>
      </c>
      <c r="F806" s="159">
        <v>57273</v>
      </c>
      <c r="G806" s="159">
        <v>1184978370</v>
      </c>
      <c r="H806" s="159">
        <v>118497837</v>
      </c>
      <c r="I806" s="159">
        <v>1303476207</v>
      </c>
      <c r="J806" s="159" t="e">
        <f>bargiri[[#This Row],[مقدار]]*INDEX(invoice[پیش دریافت به ازای هر کیلوگرم],MATCH(bargiri[[#This Row],[شماره سند مبنا]],invoice[شماره پیش فاکتور],0))</f>
        <v>#N/A</v>
      </c>
      <c r="K806" s="159" t="e">
        <f>bargiri[[#This Row],[مبلغ خالص]]-bargiri[[#This Row],[میزان استهلاک پیش دریافتی]]</f>
        <v>#N/A</v>
      </c>
      <c r="L806" s="160" t="s">
        <v>593</v>
      </c>
      <c r="M806" s="159"/>
      <c r="N806" s="159" t="e">
        <f>IF(bargiri[[#This Row],[مبلغ واریزی]]&lt;&gt;"",bargiri[[#This Row],[مانده مبلغ]]-bargiri[[#This Row],[مبلغ واریزی]],bargiri[[#This Row],[مانده مبلغ]])</f>
        <v>#N/A</v>
      </c>
      <c r="O806" s="159" t="s">
        <v>593</v>
      </c>
      <c r="P806" s="159" t="e">
        <f>VLOOKUP(bargiri[[#This Row],[شماره سند مبنا]],invoice[[شماره پیش فاکتور]:[پیش دریافت به ازای هر کیلوگرم]],14,0)</f>
        <v>#N/A</v>
      </c>
      <c r="Q806" s="159" t="e">
        <f>IF(bargiri[[#This Row],[مبلغ ناخالص]]-(bargiri[[#This Row],[نرخ استهلاک]]*bargiri[[#This Row],[مقدار]])&lt;0,0,bargiri[[#This Row],[مبلغ ناخالص]]-(bargiri[[#This Row],[نرخ استهلاک]]*bargiri[[#This Row],[مقدار]]))</f>
        <v>#N/A</v>
      </c>
    </row>
    <row r="807" spans="1:17" s="22" customFormat="1" ht="13.8" x14ac:dyDescent="0.25">
      <c r="A807" s="22">
        <v>716</v>
      </c>
      <c r="B807" s="22" t="s">
        <v>824</v>
      </c>
      <c r="C807" s="22" t="s">
        <v>601</v>
      </c>
      <c r="D807" s="22" t="s">
        <v>25</v>
      </c>
      <c r="E807" s="158">
        <v>20225</v>
      </c>
      <c r="F807" s="159">
        <v>142000</v>
      </c>
      <c r="G807" s="159">
        <v>2871950000</v>
      </c>
      <c r="H807" s="159">
        <v>287195000</v>
      </c>
      <c r="I807" s="159">
        <v>3159145000</v>
      </c>
      <c r="J807" s="159">
        <f>bargiri[[#This Row],[مقدار]]*INDEX(invoice[پیش دریافت به ازای هر کیلوگرم],MATCH(bargiri[[#This Row],[شماره سند مبنا]],invoice[شماره پیش فاکتور],0))</f>
        <v>473871750</v>
      </c>
      <c r="K807" s="159">
        <f>bargiri[[#This Row],[مبلغ خالص]]-bargiri[[#This Row],[میزان استهلاک پیش دریافتی]]</f>
        <v>2685273250</v>
      </c>
      <c r="L807" s="160" t="s">
        <v>593</v>
      </c>
      <c r="M807" s="159"/>
      <c r="N807" s="159">
        <f>IF(bargiri[[#This Row],[مبلغ واریزی]]&lt;&gt;"",bargiri[[#This Row],[مانده مبلغ]]-bargiri[[#This Row],[مبلغ واریزی]],bargiri[[#This Row],[مانده مبلغ]])</f>
        <v>2685273250</v>
      </c>
      <c r="O807" s="159" t="s">
        <v>593</v>
      </c>
      <c r="P807" s="159">
        <f>VLOOKUP(bargiri[[#This Row],[شماره سند مبنا]],invoice[[شماره پیش فاکتور]:[پیش دریافت به ازای هر کیلوگرم]],14,0)</f>
        <v>23430</v>
      </c>
      <c r="Q807" s="159">
        <f>IF(bargiri[[#This Row],[مبلغ ناخالص]]-(bargiri[[#This Row],[نرخ استهلاک]]*bargiri[[#This Row],[مقدار]])&lt;0,0,bargiri[[#This Row],[مبلغ ناخالص]]-(bargiri[[#This Row],[نرخ استهلاک]]*bargiri[[#This Row],[مقدار]]))</f>
        <v>2398078250</v>
      </c>
    </row>
    <row r="808" spans="1:17" s="22" customFormat="1" ht="13.8" x14ac:dyDescent="0.25">
      <c r="A808" s="22">
        <v>715</v>
      </c>
      <c r="B808" s="22" t="s">
        <v>824</v>
      </c>
      <c r="C808" s="22" t="s">
        <v>607</v>
      </c>
      <c r="D808" s="22" t="s">
        <v>180</v>
      </c>
      <c r="E808" s="158">
        <v>7750</v>
      </c>
      <c r="F808" s="159">
        <v>142000</v>
      </c>
      <c r="G808" s="159">
        <v>1100500000</v>
      </c>
      <c r="H808" s="159">
        <v>110050000</v>
      </c>
      <c r="I808" s="159">
        <v>1210550000</v>
      </c>
      <c r="J808" s="159">
        <f>bargiri[[#This Row],[مقدار]]*INDEX(invoice[پیش دریافت به ازای هر کیلوگرم],MATCH(bargiri[[#This Row],[شماره سند مبنا]],invoice[شماره پیش فاکتور],0))</f>
        <v>578513398.70437884</v>
      </c>
      <c r="K808" s="159">
        <f>bargiri[[#This Row],[مبلغ خالص]]-bargiri[[#This Row],[میزان استهلاک پیش دریافتی]]</f>
        <v>632036601.29562116</v>
      </c>
      <c r="L808" s="160" t="s">
        <v>593</v>
      </c>
      <c r="M808" s="159"/>
      <c r="N808" s="159">
        <f>IF(bargiri[[#This Row],[مبلغ واریزی]]&lt;&gt;"",bargiri[[#This Row],[مانده مبلغ]]-bargiri[[#This Row],[مبلغ واریزی]],bargiri[[#This Row],[مانده مبلغ]])</f>
        <v>632036601.29562116</v>
      </c>
      <c r="O808" s="159" t="s">
        <v>593</v>
      </c>
      <c r="P808" s="159">
        <f>VLOOKUP(bargiri[[#This Row],[شماره سند مبنا]],invoice[[شماره پیش فاکتور]:[پیش دریافت به ازای هر کیلوگرم]],14,0)</f>
        <v>74646.890155403729</v>
      </c>
      <c r="Q808" s="159">
        <f>IF(bargiri[[#This Row],[مبلغ ناخالص]]-(bargiri[[#This Row],[نرخ استهلاک]]*bargiri[[#This Row],[مقدار]])&lt;0,0,bargiri[[#This Row],[مبلغ ناخالص]]-(bargiri[[#This Row],[نرخ استهلاک]]*bargiri[[#This Row],[مقدار]]))</f>
        <v>521986601.29562116</v>
      </c>
    </row>
    <row r="809" spans="1:17" s="22" customFormat="1" ht="13.8" x14ac:dyDescent="0.25">
      <c r="A809" s="22">
        <v>714</v>
      </c>
      <c r="B809" s="22" t="s">
        <v>825</v>
      </c>
      <c r="C809" s="22" t="s">
        <v>458</v>
      </c>
      <c r="D809" s="22" t="s">
        <v>156</v>
      </c>
      <c r="E809" s="158">
        <v>22110</v>
      </c>
      <c r="F809" s="159">
        <v>142000</v>
      </c>
      <c r="G809" s="159">
        <v>3139620000</v>
      </c>
      <c r="H809" s="159">
        <v>313962000</v>
      </c>
      <c r="I809" s="159">
        <v>3453582000</v>
      </c>
      <c r="J809" s="159">
        <f>bargiri[[#This Row],[مقدار]]*INDEX(invoice[پیش دریافت به ازای هر کیلوگرم],MATCH(bargiri[[#This Row],[شماره سند مبنا]],invoice[شماره پیش فاکتور],0))</f>
        <v>624530089.0112319</v>
      </c>
      <c r="K809" s="159">
        <f>bargiri[[#This Row],[مبلغ خالص]]-bargiri[[#This Row],[میزان استهلاک پیش دریافتی]]</f>
        <v>2829051910.9887681</v>
      </c>
      <c r="L809" s="160" t="s">
        <v>593</v>
      </c>
      <c r="M809" s="159"/>
      <c r="N809" s="159">
        <f>IF(bargiri[[#This Row],[مبلغ واریزی]]&lt;&gt;"",bargiri[[#This Row],[مانده مبلغ]]-bargiri[[#This Row],[مبلغ واریزی]],bargiri[[#This Row],[مانده مبلغ]])</f>
        <v>2829051910.9887681</v>
      </c>
      <c r="O809" s="159" t="s">
        <v>593</v>
      </c>
      <c r="P809" s="159">
        <f>VLOOKUP(bargiri[[#This Row],[شماره سند مبنا]],invoice[[شماره پیش فاکتور]:[پیش دریافت به ازای هر کیلوگرم]],14,0)</f>
        <v>28246.498824569509</v>
      </c>
      <c r="Q809" s="159">
        <f>IF(bargiri[[#This Row],[مبلغ ناخالص]]-(bargiri[[#This Row],[نرخ استهلاک]]*bargiri[[#This Row],[مقدار]])&lt;0,0,bargiri[[#This Row],[مبلغ ناخالص]]-(bargiri[[#This Row],[نرخ استهلاک]]*bargiri[[#This Row],[مقدار]]))</f>
        <v>2515089910.9887681</v>
      </c>
    </row>
    <row r="810" spans="1:17" s="22" customFormat="1" ht="13.8" x14ac:dyDescent="0.25">
      <c r="A810" s="22">
        <v>713</v>
      </c>
      <c r="B810" s="22" t="s">
        <v>825</v>
      </c>
      <c r="C810" s="22" t="s">
        <v>695</v>
      </c>
      <c r="D810" s="22" t="s">
        <v>70</v>
      </c>
      <c r="E810" s="158">
        <v>11115</v>
      </c>
      <c r="F810" s="159">
        <v>167500</v>
      </c>
      <c r="G810" s="159">
        <v>1861762500</v>
      </c>
      <c r="H810" s="159">
        <v>186176250</v>
      </c>
      <c r="I810" s="159">
        <v>2047938750</v>
      </c>
      <c r="J810" s="159">
        <f>bargiri[[#This Row],[مقدار]]*INDEX(invoice[پیش دریافت به ازای هر کیلوگرم],MATCH(bargiri[[#This Row],[شماره سند مبنا]],invoice[شماره پیش فاکتور],0))</f>
        <v>2047938750</v>
      </c>
      <c r="K810" s="159">
        <f>bargiri[[#This Row],[مبلغ خالص]]-bargiri[[#This Row],[میزان استهلاک پیش دریافتی]]</f>
        <v>0</v>
      </c>
      <c r="L810" s="160" t="s">
        <v>593</v>
      </c>
      <c r="M810" s="159"/>
      <c r="N810" s="159">
        <f>IF(bargiri[[#This Row],[مبلغ واریزی]]&lt;&gt;"",bargiri[[#This Row],[مانده مبلغ]]-bargiri[[#This Row],[مبلغ واریزی]],bargiri[[#This Row],[مانده مبلغ]])</f>
        <v>0</v>
      </c>
      <c r="O810" s="159" t="s">
        <v>593</v>
      </c>
      <c r="P810" s="159">
        <f>VLOOKUP(bargiri[[#This Row],[شماره سند مبنا]],invoice[[شماره پیش فاکتور]:[پیش دریافت به ازای هر کیلوگرم]],14,0)</f>
        <v>184250</v>
      </c>
      <c r="Q810" s="159">
        <f>IF(bargiri[[#This Row],[مبلغ ناخالص]]-(bargiri[[#This Row],[نرخ استهلاک]]*bargiri[[#This Row],[مقدار]])&lt;0,0,bargiri[[#This Row],[مبلغ ناخالص]]-(bargiri[[#This Row],[نرخ استهلاک]]*bargiri[[#This Row],[مقدار]]))</f>
        <v>0</v>
      </c>
    </row>
    <row r="811" spans="1:17" s="22" customFormat="1" ht="13.8" x14ac:dyDescent="0.25">
      <c r="A811" s="22">
        <v>713</v>
      </c>
      <c r="B811" s="22" t="s">
        <v>825</v>
      </c>
      <c r="C811" s="22" t="s">
        <v>605</v>
      </c>
      <c r="D811" s="22" t="s">
        <v>70</v>
      </c>
      <c r="E811" s="158">
        <v>9005</v>
      </c>
      <c r="F811" s="159">
        <v>142000</v>
      </c>
      <c r="G811" s="159">
        <v>1278710000</v>
      </c>
      <c r="H811" s="159">
        <v>127871000</v>
      </c>
      <c r="I811" s="159">
        <v>1406581000</v>
      </c>
      <c r="J811" s="159">
        <f>bargiri[[#This Row],[مقدار]]*INDEX(invoice[پیش دریافت به ازای هر کیلوگرم],MATCH(bargiri[[#This Row],[شماره سند مبنا]],invoice[شماره پیش فاکتور],0))</f>
        <v>210987150</v>
      </c>
      <c r="K811" s="159">
        <f>bargiri[[#This Row],[مبلغ خالص]]-bargiri[[#This Row],[میزان استهلاک پیش دریافتی]]</f>
        <v>1195593850</v>
      </c>
      <c r="L811" s="160" t="s">
        <v>593</v>
      </c>
      <c r="M811" s="159"/>
      <c r="N811" s="159">
        <f>IF(bargiri[[#This Row],[مبلغ واریزی]]&lt;&gt;"",bargiri[[#This Row],[مانده مبلغ]]-bargiri[[#This Row],[مبلغ واریزی]],bargiri[[#This Row],[مانده مبلغ]])</f>
        <v>1195593850</v>
      </c>
      <c r="O811" s="159" t="s">
        <v>593</v>
      </c>
      <c r="P811" s="159">
        <f>VLOOKUP(bargiri[[#This Row],[شماره سند مبنا]],invoice[[شماره پیش فاکتور]:[پیش دریافت به ازای هر کیلوگرم]],14,0)</f>
        <v>23430</v>
      </c>
      <c r="Q811" s="159">
        <f>IF(bargiri[[#This Row],[مبلغ ناخالص]]-(bargiri[[#This Row],[نرخ استهلاک]]*bargiri[[#This Row],[مقدار]])&lt;0,0,bargiri[[#This Row],[مبلغ ناخالص]]-(bargiri[[#This Row],[نرخ استهلاک]]*bargiri[[#This Row],[مقدار]]))</f>
        <v>1067722850</v>
      </c>
    </row>
    <row r="812" spans="1:17" s="22" customFormat="1" ht="13.8" x14ac:dyDescent="0.25">
      <c r="A812" s="22">
        <v>712</v>
      </c>
      <c r="B812" s="22" t="s">
        <v>702</v>
      </c>
      <c r="C812" s="22" t="s">
        <v>461</v>
      </c>
      <c r="D812" s="22" t="s">
        <v>35</v>
      </c>
      <c r="E812" s="158">
        <v>7165</v>
      </c>
      <c r="F812" s="159">
        <v>142000</v>
      </c>
      <c r="G812" s="159">
        <v>1017430000</v>
      </c>
      <c r="H812" s="159">
        <v>101743000</v>
      </c>
      <c r="I812" s="159">
        <v>1119173000</v>
      </c>
      <c r="J812" s="159">
        <f>bargiri[[#This Row],[مقدار]]*INDEX(invoice[پیش دریافت به ازای هر کیلوگرم],MATCH(bargiri[[#This Row],[شماره سند مبنا]],invoice[شماره پیش فاکتور],0))</f>
        <v>235142772.70104158</v>
      </c>
      <c r="K812" s="159">
        <f>bargiri[[#This Row],[مبلغ خالص]]-bargiri[[#This Row],[میزان استهلاک پیش دریافتی]]</f>
        <v>884030227.29895842</v>
      </c>
      <c r="L812" s="160" t="s">
        <v>593</v>
      </c>
      <c r="M812" s="159"/>
      <c r="N812" s="159">
        <f>IF(bargiri[[#This Row],[مبلغ واریزی]]&lt;&gt;"",bargiri[[#This Row],[مانده مبلغ]]-bargiri[[#This Row],[مبلغ واریزی]],bargiri[[#This Row],[مانده مبلغ]])</f>
        <v>884030227.29895842</v>
      </c>
      <c r="O812" s="159" t="s">
        <v>593</v>
      </c>
      <c r="P812" s="159">
        <f>VLOOKUP(bargiri[[#This Row],[شماره سند مبنا]],invoice[[شماره پیش فاکتور]:[پیش دریافت به ازای هر کیلوگرم]],14,0)</f>
        <v>32818.251598191426</v>
      </c>
      <c r="Q812" s="159">
        <f>IF(bargiri[[#This Row],[مبلغ ناخالص]]-(bargiri[[#This Row],[نرخ استهلاک]]*bargiri[[#This Row],[مقدار]])&lt;0,0,bargiri[[#This Row],[مبلغ ناخالص]]-(bargiri[[#This Row],[نرخ استهلاک]]*bargiri[[#This Row],[مقدار]]))</f>
        <v>782287227.29895842</v>
      </c>
    </row>
    <row r="813" spans="1:17" s="22" customFormat="1" ht="13.8" x14ac:dyDescent="0.25">
      <c r="A813" s="22">
        <v>711</v>
      </c>
      <c r="B813" s="22" t="s">
        <v>826</v>
      </c>
      <c r="C813" s="22" t="s">
        <v>461</v>
      </c>
      <c r="D813" s="22" t="s">
        <v>35</v>
      </c>
      <c r="E813" s="158">
        <v>7520</v>
      </c>
      <c r="F813" s="159">
        <v>142000</v>
      </c>
      <c r="G813" s="159">
        <v>1067840000</v>
      </c>
      <c r="H813" s="159">
        <v>106784000</v>
      </c>
      <c r="I813" s="159">
        <v>1174624000</v>
      </c>
      <c r="J813" s="159">
        <f>bargiri[[#This Row],[مقدار]]*INDEX(invoice[پیش دریافت به ازای هر کیلوگرم],MATCH(bargiri[[#This Row],[شماره سند مبنا]],invoice[شماره پیش فاکتور],0))</f>
        <v>246793252.01839951</v>
      </c>
      <c r="K813" s="159">
        <f>bargiri[[#This Row],[مبلغ خالص]]-bargiri[[#This Row],[میزان استهلاک پیش دریافتی]]</f>
        <v>927830747.98160052</v>
      </c>
      <c r="L813" s="160" t="s">
        <v>593</v>
      </c>
      <c r="M813" s="159"/>
      <c r="N813" s="159">
        <f>IF(bargiri[[#This Row],[مبلغ واریزی]]&lt;&gt;"",bargiri[[#This Row],[مانده مبلغ]]-bargiri[[#This Row],[مبلغ واریزی]],bargiri[[#This Row],[مانده مبلغ]])</f>
        <v>927830747.98160052</v>
      </c>
      <c r="O813" s="159" t="s">
        <v>593</v>
      </c>
      <c r="P813" s="159">
        <f>VLOOKUP(bargiri[[#This Row],[شماره سند مبنا]],invoice[[شماره پیش فاکتور]:[پیش دریافت به ازای هر کیلوگرم]],14,0)</f>
        <v>32818.251598191426</v>
      </c>
      <c r="Q813" s="159">
        <f>IF(bargiri[[#This Row],[مبلغ ناخالص]]-(bargiri[[#This Row],[نرخ استهلاک]]*bargiri[[#This Row],[مقدار]])&lt;0,0,bargiri[[#This Row],[مبلغ ناخالص]]-(bargiri[[#This Row],[نرخ استهلاک]]*bargiri[[#This Row],[مقدار]]))</f>
        <v>821046747.98160052</v>
      </c>
    </row>
    <row r="814" spans="1:17" s="22" customFormat="1" ht="13.8" x14ac:dyDescent="0.25">
      <c r="A814" s="22">
        <v>710</v>
      </c>
      <c r="B814" s="22" t="s">
        <v>826</v>
      </c>
      <c r="C814" s="22" t="s">
        <v>606</v>
      </c>
      <c r="D814" s="22" t="s">
        <v>219</v>
      </c>
      <c r="E814" s="158">
        <v>18180</v>
      </c>
      <c r="F814" s="159">
        <v>142000</v>
      </c>
      <c r="G814" s="159">
        <v>2581560000</v>
      </c>
      <c r="H814" s="159">
        <v>258156000</v>
      </c>
      <c r="I814" s="159">
        <v>2839716000</v>
      </c>
      <c r="J814" s="159">
        <f>bargiri[[#This Row],[مقدار]]*INDEX(invoice[پیش دریافت به ازای هر کیلوگرم],MATCH(bargiri[[#This Row],[شماره سند مبنا]],invoice[شماره پیش فاکتور],0))</f>
        <v>789827197.31092453</v>
      </c>
      <c r="K814" s="159">
        <f>bargiri[[#This Row],[مبلغ خالص]]-bargiri[[#This Row],[میزان استهلاک پیش دریافتی]]</f>
        <v>2049888802.6890755</v>
      </c>
      <c r="L814" s="160" t="s">
        <v>593</v>
      </c>
      <c r="M814" s="159"/>
      <c r="N814" s="159">
        <f>IF(bargiri[[#This Row],[مبلغ واریزی]]&lt;&gt;"",bargiri[[#This Row],[مانده مبلغ]]-bargiri[[#This Row],[مبلغ واریزی]],bargiri[[#This Row],[مانده مبلغ]])</f>
        <v>2049888802.6890755</v>
      </c>
      <c r="O814" s="159" t="s">
        <v>593</v>
      </c>
      <c r="P814" s="159">
        <f>VLOOKUP(bargiri[[#This Row],[شماره سند مبنا]],invoice[[شماره پیش فاکتور]:[پیش دریافت به ازای هر کیلوگرم]],14,0)</f>
        <v>43444.840336134461</v>
      </c>
      <c r="Q814" s="159">
        <f>IF(bargiri[[#This Row],[مبلغ ناخالص]]-(bargiri[[#This Row],[نرخ استهلاک]]*bargiri[[#This Row],[مقدار]])&lt;0,0,bargiri[[#This Row],[مبلغ ناخالص]]-(bargiri[[#This Row],[نرخ استهلاک]]*bargiri[[#This Row],[مقدار]]))</f>
        <v>1791732802.6890755</v>
      </c>
    </row>
    <row r="815" spans="1:17" s="22" customFormat="1" ht="13.8" x14ac:dyDescent="0.25">
      <c r="A815" s="22">
        <v>709</v>
      </c>
      <c r="B815" s="22" t="s">
        <v>826</v>
      </c>
      <c r="C815" s="22" t="s">
        <v>72</v>
      </c>
      <c r="D815" s="22" t="s">
        <v>73</v>
      </c>
      <c r="E815" s="158">
        <v>20385</v>
      </c>
      <c r="F815" s="159">
        <v>57273</v>
      </c>
      <c r="G815" s="159">
        <v>1167510105</v>
      </c>
      <c r="H815" s="159">
        <v>116751011</v>
      </c>
      <c r="I815" s="159">
        <v>1284261116</v>
      </c>
      <c r="J815" s="159" t="e">
        <f>bargiri[[#This Row],[مقدار]]*INDEX(invoice[پیش دریافت به ازای هر کیلوگرم],MATCH(bargiri[[#This Row],[شماره سند مبنا]],invoice[شماره پیش فاکتور],0))</f>
        <v>#N/A</v>
      </c>
      <c r="K815" s="159" t="e">
        <f>bargiri[[#This Row],[مبلغ خالص]]-bargiri[[#This Row],[میزان استهلاک پیش دریافتی]]</f>
        <v>#N/A</v>
      </c>
      <c r="L815" s="160" t="s">
        <v>593</v>
      </c>
      <c r="M815" s="159"/>
      <c r="N815" s="159" t="e">
        <f>IF(bargiri[[#This Row],[مبلغ واریزی]]&lt;&gt;"",bargiri[[#This Row],[مانده مبلغ]]-bargiri[[#This Row],[مبلغ واریزی]],bargiri[[#This Row],[مانده مبلغ]])</f>
        <v>#N/A</v>
      </c>
      <c r="O815" s="159" t="s">
        <v>593</v>
      </c>
      <c r="P815" s="159" t="e">
        <f>VLOOKUP(bargiri[[#This Row],[شماره سند مبنا]],invoice[[شماره پیش فاکتور]:[پیش دریافت به ازای هر کیلوگرم]],14,0)</f>
        <v>#N/A</v>
      </c>
      <c r="Q815" s="159" t="e">
        <f>IF(bargiri[[#This Row],[مبلغ ناخالص]]-(bargiri[[#This Row],[نرخ استهلاک]]*bargiri[[#This Row],[مقدار]])&lt;0,0,bargiri[[#This Row],[مبلغ ناخالص]]-(bargiri[[#This Row],[نرخ استهلاک]]*bargiri[[#This Row],[مقدار]]))</f>
        <v>#N/A</v>
      </c>
    </row>
    <row r="816" spans="1:17" s="22" customFormat="1" ht="13.8" x14ac:dyDescent="0.25">
      <c r="A816" s="22">
        <v>708</v>
      </c>
      <c r="B816" s="22" t="s">
        <v>826</v>
      </c>
      <c r="C816" s="22" t="s">
        <v>644</v>
      </c>
      <c r="D816" s="22" t="s">
        <v>67</v>
      </c>
      <c r="E816" s="158">
        <v>18950</v>
      </c>
      <c r="F816" s="159">
        <v>95000</v>
      </c>
      <c r="G816" s="159">
        <v>1800250000</v>
      </c>
      <c r="H816" s="159">
        <v>180025000</v>
      </c>
      <c r="I816" s="159">
        <v>1980275000</v>
      </c>
      <c r="J816" s="159">
        <f>bargiri[[#This Row],[مقدار]]*INDEX(invoice[پیش دریافت به ازای هر کیلوگرم],MATCH(bargiri[[#This Row],[شماره سند مبنا]],invoice[شماره پیش فاکتور],0))</f>
        <v>576189244.47662723</v>
      </c>
      <c r="K816" s="159">
        <f>bargiri[[#This Row],[مبلغ خالص]]-bargiri[[#This Row],[میزان استهلاک پیش دریافتی]]</f>
        <v>1404085755.5233727</v>
      </c>
      <c r="L816" s="160" t="s">
        <v>593</v>
      </c>
      <c r="M816" s="159"/>
      <c r="N816" s="159">
        <f>IF(bargiri[[#This Row],[مبلغ واریزی]]&lt;&gt;"",bargiri[[#This Row],[مانده مبلغ]]-bargiri[[#This Row],[مبلغ واریزی]],bargiri[[#This Row],[مانده مبلغ]])</f>
        <v>1404085755.5233727</v>
      </c>
      <c r="O816" s="159" t="s">
        <v>593</v>
      </c>
      <c r="P816" s="159">
        <f>VLOOKUP(bargiri[[#This Row],[شماره سند مبنا]],invoice[[شماره پیش فاکتور]:[پیش دریافت به ازای هر کیلوگرم]],14,0)</f>
        <v>30405.764880033101</v>
      </c>
      <c r="Q816" s="159">
        <f>IF(bargiri[[#This Row],[مبلغ ناخالص]]-(bargiri[[#This Row],[نرخ استهلاک]]*bargiri[[#This Row],[مقدار]])&lt;0,0,bargiri[[#This Row],[مبلغ ناخالص]]-(bargiri[[#This Row],[نرخ استهلاک]]*bargiri[[#This Row],[مقدار]]))</f>
        <v>1224060755.5233727</v>
      </c>
    </row>
    <row r="817" spans="1:17" s="22" customFormat="1" ht="13.8" x14ac:dyDescent="0.25">
      <c r="A817" s="22">
        <v>707</v>
      </c>
      <c r="B817" s="22" t="s">
        <v>827</v>
      </c>
      <c r="C817" s="22" t="s">
        <v>189</v>
      </c>
      <c r="D817" s="22" t="s">
        <v>173</v>
      </c>
      <c r="E817" s="158">
        <v>22085</v>
      </c>
      <c r="F817" s="159">
        <v>75000</v>
      </c>
      <c r="G817" s="159">
        <v>1656375000</v>
      </c>
      <c r="H817" s="159">
        <v>165637500</v>
      </c>
      <c r="I817" s="159">
        <v>1822012500</v>
      </c>
      <c r="J817" s="159">
        <f>bargiri[[#This Row],[مقدار]]*INDEX(invoice[پیش دریافت به ازای هر کیلوگرم],MATCH(bargiri[[#This Row],[شماره سند مبنا]],invoice[شماره پیش فاکتور],0))</f>
        <v>273301875</v>
      </c>
      <c r="K817" s="159">
        <f>bargiri[[#This Row],[مبلغ خالص]]-bargiri[[#This Row],[میزان استهلاک پیش دریافتی]]</f>
        <v>1548710625</v>
      </c>
      <c r="L817" s="160" t="s">
        <v>593</v>
      </c>
      <c r="M817" s="159"/>
      <c r="N817" s="159">
        <f>IF(bargiri[[#This Row],[مبلغ واریزی]]&lt;&gt;"",bargiri[[#This Row],[مانده مبلغ]]-bargiri[[#This Row],[مبلغ واریزی]],bargiri[[#This Row],[مانده مبلغ]])</f>
        <v>1548710625</v>
      </c>
      <c r="O817" s="159" t="s">
        <v>593</v>
      </c>
      <c r="P817" s="159">
        <f>VLOOKUP(bargiri[[#This Row],[شماره سند مبنا]],invoice[[شماره پیش فاکتور]:[پیش دریافت به ازای هر کیلوگرم]],14,0)</f>
        <v>12375</v>
      </c>
      <c r="Q817" s="159">
        <f>IF(bargiri[[#This Row],[مبلغ ناخالص]]-(bargiri[[#This Row],[نرخ استهلاک]]*bargiri[[#This Row],[مقدار]])&lt;0,0,bargiri[[#This Row],[مبلغ ناخالص]]-(bargiri[[#This Row],[نرخ استهلاک]]*bargiri[[#This Row],[مقدار]]))</f>
        <v>1383073125</v>
      </c>
    </row>
    <row r="818" spans="1:17" s="22" customFormat="1" ht="13.8" x14ac:dyDescent="0.25">
      <c r="A818" s="22">
        <v>706</v>
      </c>
      <c r="B818" s="22" t="s">
        <v>827</v>
      </c>
      <c r="C818" s="22" t="s">
        <v>683</v>
      </c>
      <c r="D818" s="22" t="s">
        <v>70</v>
      </c>
      <c r="E818" s="158">
        <v>1095</v>
      </c>
      <c r="F818" s="159">
        <v>167500</v>
      </c>
      <c r="G818" s="159">
        <v>183412500</v>
      </c>
      <c r="H818" s="159">
        <v>18341250</v>
      </c>
      <c r="I818" s="159">
        <v>201753750</v>
      </c>
      <c r="J818" s="159">
        <f>bargiri[[#This Row],[مقدار]]*INDEX(invoice[پیش دریافت به ازای هر کیلوگرم],MATCH(bargiri[[#This Row],[شماره سند مبنا]],invoice[شماره پیش فاکتور],0))</f>
        <v>201753750</v>
      </c>
      <c r="K818" s="159">
        <f>bargiri[[#This Row],[مبلغ خالص]]-bargiri[[#This Row],[میزان استهلاک پیش دریافتی]]</f>
        <v>0</v>
      </c>
      <c r="L818" s="160" t="s">
        <v>593</v>
      </c>
      <c r="M818" s="159"/>
      <c r="N818" s="159">
        <f>IF(bargiri[[#This Row],[مبلغ واریزی]]&lt;&gt;"",bargiri[[#This Row],[مانده مبلغ]]-bargiri[[#This Row],[مبلغ واریزی]],bargiri[[#This Row],[مانده مبلغ]])</f>
        <v>0</v>
      </c>
      <c r="O818" s="159" t="s">
        <v>593</v>
      </c>
      <c r="P818" s="159">
        <f>VLOOKUP(bargiri[[#This Row],[شماره سند مبنا]],invoice[[شماره پیش فاکتور]:[پیش دریافت به ازای هر کیلوگرم]],14,0)</f>
        <v>184250</v>
      </c>
      <c r="Q818" s="159">
        <f>IF(bargiri[[#This Row],[مبلغ ناخالص]]-(bargiri[[#This Row],[نرخ استهلاک]]*bargiri[[#This Row],[مقدار]])&lt;0,0,bargiri[[#This Row],[مبلغ ناخالص]]-(bargiri[[#This Row],[نرخ استهلاک]]*bargiri[[#This Row],[مقدار]]))</f>
        <v>0</v>
      </c>
    </row>
    <row r="819" spans="1:17" s="22" customFormat="1" ht="13.8" x14ac:dyDescent="0.25">
      <c r="A819" s="22">
        <v>706</v>
      </c>
      <c r="B819" s="22" t="s">
        <v>827</v>
      </c>
      <c r="C819" s="22" t="s">
        <v>695</v>
      </c>
      <c r="D819" s="22" t="s">
        <v>70</v>
      </c>
      <c r="E819" s="158">
        <v>18885</v>
      </c>
      <c r="F819" s="159">
        <v>167500</v>
      </c>
      <c r="G819" s="159">
        <v>3163237500</v>
      </c>
      <c r="H819" s="159">
        <v>316323750</v>
      </c>
      <c r="I819" s="159">
        <v>3479561250</v>
      </c>
      <c r="J819" s="159">
        <f>bargiri[[#This Row],[مقدار]]*INDEX(invoice[پیش دریافت به ازای هر کیلوگرم],MATCH(bargiri[[#This Row],[شماره سند مبنا]],invoice[شماره پیش فاکتور],0))</f>
        <v>3479561250</v>
      </c>
      <c r="K819" s="159">
        <f>bargiri[[#This Row],[مبلغ خالص]]-bargiri[[#This Row],[میزان استهلاک پیش دریافتی]]</f>
        <v>0</v>
      </c>
      <c r="L819" s="160" t="s">
        <v>593</v>
      </c>
      <c r="M819" s="159"/>
      <c r="N819" s="159">
        <f>IF(bargiri[[#This Row],[مبلغ واریزی]]&lt;&gt;"",bargiri[[#This Row],[مانده مبلغ]]-bargiri[[#This Row],[مبلغ واریزی]],bargiri[[#This Row],[مانده مبلغ]])</f>
        <v>0</v>
      </c>
      <c r="O819" s="159" t="s">
        <v>593</v>
      </c>
      <c r="P819" s="159">
        <f>VLOOKUP(bargiri[[#This Row],[شماره سند مبنا]],invoice[[شماره پیش فاکتور]:[پیش دریافت به ازای هر کیلوگرم]],14,0)</f>
        <v>184250</v>
      </c>
      <c r="Q819" s="159">
        <f>IF(bargiri[[#This Row],[مبلغ ناخالص]]-(bargiri[[#This Row],[نرخ استهلاک]]*bargiri[[#This Row],[مقدار]])&lt;0,0,bargiri[[#This Row],[مبلغ ناخالص]]-(bargiri[[#This Row],[نرخ استهلاک]]*bargiri[[#This Row],[مقدار]]))</f>
        <v>0</v>
      </c>
    </row>
    <row r="820" spans="1:17" s="22" customFormat="1" ht="13.8" x14ac:dyDescent="0.25">
      <c r="A820" s="22">
        <v>705</v>
      </c>
      <c r="B820" s="22" t="s">
        <v>828</v>
      </c>
      <c r="C820" s="22" t="s">
        <v>616</v>
      </c>
      <c r="D820" s="22" t="s">
        <v>67</v>
      </c>
      <c r="E820" s="158">
        <v>19985</v>
      </c>
      <c r="F820" s="159">
        <v>142000</v>
      </c>
      <c r="G820" s="159">
        <v>2837870000</v>
      </c>
      <c r="H820" s="159">
        <v>283787000</v>
      </c>
      <c r="I820" s="159">
        <v>3121657000</v>
      </c>
      <c r="J820" s="159">
        <f>bargiri[[#This Row],[مقدار]]*INDEX(invoice[پیش دریافت به ازای هر کیلوگرم],MATCH(bargiri[[#This Row],[شماره سند مبنا]],invoice[شماره پیش فاکتور],0))</f>
        <v>468248550</v>
      </c>
      <c r="K820" s="159">
        <f>bargiri[[#This Row],[مبلغ خالص]]-bargiri[[#This Row],[میزان استهلاک پیش دریافتی]]</f>
        <v>2653408450</v>
      </c>
      <c r="L820" s="160" t="s">
        <v>593</v>
      </c>
      <c r="M820" s="159"/>
      <c r="N820" s="159">
        <f>IF(bargiri[[#This Row],[مبلغ واریزی]]&lt;&gt;"",bargiri[[#This Row],[مانده مبلغ]]-bargiri[[#This Row],[مبلغ واریزی]],bargiri[[#This Row],[مانده مبلغ]])</f>
        <v>2653408450</v>
      </c>
      <c r="O820" s="159" t="s">
        <v>593</v>
      </c>
      <c r="P820" s="159">
        <f>VLOOKUP(bargiri[[#This Row],[شماره سند مبنا]],invoice[[شماره پیش فاکتور]:[پیش دریافت به ازای هر کیلوگرم]],14,0)</f>
        <v>23430</v>
      </c>
      <c r="Q820" s="159">
        <f>IF(bargiri[[#This Row],[مبلغ ناخالص]]-(bargiri[[#This Row],[نرخ استهلاک]]*bargiri[[#This Row],[مقدار]])&lt;0,0,bargiri[[#This Row],[مبلغ ناخالص]]-(bargiri[[#This Row],[نرخ استهلاک]]*bargiri[[#This Row],[مقدار]]))</f>
        <v>2369621450</v>
      </c>
    </row>
    <row r="821" spans="1:17" s="22" customFormat="1" ht="13.8" x14ac:dyDescent="0.25">
      <c r="A821" s="22">
        <v>704</v>
      </c>
      <c r="B821" s="22" t="s">
        <v>828</v>
      </c>
      <c r="C821" s="22" t="s">
        <v>456</v>
      </c>
      <c r="D821" s="22" t="s">
        <v>213</v>
      </c>
      <c r="E821" s="158">
        <v>7220</v>
      </c>
      <c r="F821" s="159">
        <v>142000</v>
      </c>
      <c r="G821" s="159">
        <v>1025240000</v>
      </c>
      <c r="H821" s="159">
        <v>102524000</v>
      </c>
      <c r="I821" s="159">
        <v>1127764000</v>
      </c>
      <c r="J821" s="159">
        <f>bargiri[[#This Row],[مقدار]]*INDEX(invoice[پیش دریافت به ازای هر کیلوگرم],MATCH(bargiri[[#This Row],[شماره سند مبنا]],invoice[شماره پیش فاکتور],0))</f>
        <v>856755081.70662963</v>
      </c>
      <c r="K821" s="159">
        <f>bargiri[[#This Row],[مبلغ خالص]]-bargiri[[#This Row],[میزان استهلاک پیش دریافتی]]</f>
        <v>271008918.29337037</v>
      </c>
      <c r="L821" s="160" t="s">
        <v>593</v>
      </c>
      <c r="M821" s="159"/>
      <c r="N821" s="159">
        <f>IF(bargiri[[#This Row],[مبلغ واریزی]]&lt;&gt;"",bargiri[[#This Row],[مانده مبلغ]]-bargiri[[#This Row],[مبلغ واریزی]],bargiri[[#This Row],[مانده مبلغ]])</f>
        <v>271008918.29337037</v>
      </c>
      <c r="O821" s="159" t="s">
        <v>593</v>
      </c>
      <c r="P821" s="159">
        <f>VLOOKUP(bargiri[[#This Row],[شماره سند مبنا]],invoice[[شماره پیش فاکتور]:[پیش دریافت به ازای هر کیلوگرم]],14,0)</f>
        <v>118664.13874053041</v>
      </c>
      <c r="Q821" s="159">
        <f>IF(bargiri[[#This Row],[مبلغ ناخالص]]-(bargiri[[#This Row],[نرخ استهلاک]]*bargiri[[#This Row],[مقدار]])&lt;0,0,bargiri[[#This Row],[مبلغ ناخالص]]-(bargiri[[#This Row],[نرخ استهلاک]]*bargiri[[#This Row],[مقدار]]))</f>
        <v>168484918.29337037</v>
      </c>
    </row>
    <row r="822" spans="1:17" s="22" customFormat="1" ht="13.8" x14ac:dyDescent="0.25">
      <c r="A822" s="22">
        <v>703</v>
      </c>
      <c r="B822" s="22" t="s">
        <v>828</v>
      </c>
      <c r="C822" s="22" t="s">
        <v>107</v>
      </c>
      <c r="D822" s="22" t="s">
        <v>30</v>
      </c>
      <c r="E822" s="158">
        <v>11935</v>
      </c>
      <c r="F822" s="159">
        <v>70000</v>
      </c>
      <c r="G822" s="159">
        <v>835450000</v>
      </c>
      <c r="H822" s="159">
        <v>83545000</v>
      </c>
      <c r="I822" s="159">
        <v>918995000</v>
      </c>
      <c r="J822" s="159">
        <f>bargiri[[#This Row],[مقدار]]*INDEX(invoice[پیش دریافت به ازای هر کیلوگرم],MATCH(bargiri[[#This Row],[شماره سند مبنا]],invoice[شماره پیش فاکتور],0))</f>
        <v>459497500</v>
      </c>
      <c r="K822" s="159">
        <f>bargiri[[#This Row],[مبلغ خالص]]-bargiri[[#This Row],[میزان استهلاک پیش دریافتی]]</f>
        <v>459497500</v>
      </c>
      <c r="L822" s="160" t="s">
        <v>593</v>
      </c>
      <c r="M822" s="159"/>
      <c r="N822" s="159">
        <f>IF(bargiri[[#This Row],[مبلغ واریزی]]&lt;&gt;"",bargiri[[#This Row],[مانده مبلغ]]-bargiri[[#This Row],[مبلغ واریزی]],bargiri[[#This Row],[مانده مبلغ]])</f>
        <v>459497500</v>
      </c>
      <c r="O822" s="159" t="s">
        <v>593</v>
      </c>
      <c r="P822" s="159">
        <f>VLOOKUP(bargiri[[#This Row],[شماره سند مبنا]],invoice[[شماره پیش فاکتور]:[پیش دریافت به ازای هر کیلوگرم]],14,0)</f>
        <v>38500</v>
      </c>
      <c r="Q822" s="159">
        <f>IF(bargiri[[#This Row],[مبلغ ناخالص]]-(bargiri[[#This Row],[نرخ استهلاک]]*bargiri[[#This Row],[مقدار]])&lt;0,0,bargiri[[#This Row],[مبلغ ناخالص]]-(bargiri[[#This Row],[نرخ استهلاک]]*bargiri[[#This Row],[مقدار]]))</f>
        <v>375952500</v>
      </c>
    </row>
    <row r="823" spans="1:17" s="22" customFormat="1" ht="13.8" x14ac:dyDescent="0.25">
      <c r="A823" s="22">
        <v>702</v>
      </c>
      <c r="B823" s="22" t="s">
        <v>828</v>
      </c>
      <c r="C823" s="22" t="s">
        <v>72</v>
      </c>
      <c r="D823" s="22" t="s">
        <v>73</v>
      </c>
      <c r="E823" s="158">
        <v>20735</v>
      </c>
      <c r="F823" s="159">
        <v>57273</v>
      </c>
      <c r="G823" s="159">
        <v>1187555655</v>
      </c>
      <c r="H823" s="159">
        <v>118755566</v>
      </c>
      <c r="I823" s="159">
        <v>1306311221</v>
      </c>
      <c r="J823" s="159" t="e">
        <f>bargiri[[#This Row],[مقدار]]*INDEX(invoice[پیش دریافت به ازای هر کیلوگرم],MATCH(bargiri[[#This Row],[شماره سند مبنا]],invoice[شماره پیش فاکتور],0))</f>
        <v>#N/A</v>
      </c>
      <c r="K823" s="159" t="e">
        <f>bargiri[[#This Row],[مبلغ خالص]]-bargiri[[#This Row],[میزان استهلاک پیش دریافتی]]</f>
        <v>#N/A</v>
      </c>
      <c r="L823" s="160" t="s">
        <v>593</v>
      </c>
      <c r="M823" s="159"/>
      <c r="N823" s="159" t="e">
        <f>IF(bargiri[[#This Row],[مبلغ واریزی]]&lt;&gt;"",bargiri[[#This Row],[مانده مبلغ]]-bargiri[[#This Row],[مبلغ واریزی]],bargiri[[#This Row],[مانده مبلغ]])</f>
        <v>#N/A</v>
      </c>
      <c r="O823" s="159" t="s">
        <v>593</v>
      </c>
      <c r="P823" s="159" t="e">
        <f>VLOOKUP(bargiri[[#This Row],[شماره سند مبنا]],invoice[[شماره پیش فاکتور]:[پیش دریافت به ازای هر کیلوگرم]],14,0)</f>
        <v>#N/A</v>
      </c>
      <c r="Q823" s="159" t="e">
        <f>IF(bargiri[[#This Row],[مبلغ ناخالص]]-(bargiri[[#This Row],[نرخ استهلاک]]*bargiri[[#This Row],[مقدار]])&lt;0,0,bargiri[[#This Row],[مبلغ ناخالص]]-(bargiri[[#This Row],[نرخ استهلاک]]*bargiri[[#This Row],[مقدار]]))</f>
        <v>#N/A</v>
      </c>
    </row>
    <row r="824" spans="1:17" s="22" customFormat="1" ht="13.8" x14ac:dyDescent="0.25">
      <c r="A824" s="22">
        <v>701</v>
      </c>
      <c r="B824" s="22" t="s">
        <v>828</v>
      </c>
      <c r="C824" s="22" t="s">
        <v>72</v>
      </c>
      <c r="D824" s="22" t="s">
        <v>73</v>
      </c>
      <c r="E824" s="158">
        <v>20590</v>
      </c>
      <c r="F824" s="159">
        <v>57273</v>
      </c>
      <c r="G824" s="159">
        <v>1179251070</v>
      </c>
      <c r="H824" s="159">
        <v>117925107</v>
      </c>
      <c r="I824" s="159">
        <v>1297176177</v>
      </c>
      <c r="J824" s="159" t="e">
        <f>bargiri[[#This Row],[مقدار]]*INDEX(invoice[پیش دریافت به ازای هر کیلوگرم],MATCH(bargiri[[#This Row],[شماره سند مبنا]],invoice[شماره پیش فاکتور],0))</f>
        <v>#N/A</v>
      </c>
      <c r="K824" s="159" t="e">
        <f>bargiri[[#This Row],[مبلغ خالص]]-bargiri[[#This Row],[میزان استهلاک پیش دریافتی]]</f>
        <v>#N/A</v>
      </c>
      <c r="L824" s="160" t="s">
        <v>593</v>
      </c>
      <c r="M824" s="159"/>
      <c r="N824" s="159" t="e">
        <f>IF(bargiri[[#This Row],[مبلغ واریزی]]&lt;&gt;"",bargiri[[#This Row],[مانده مبلغ]]-bargiri[[#This Row],[مبلغ واریزی]],bargiri[[#This Row],[مانده مبلغ]])</f>
        <v>#N/A</v>
      </c>
      <c r="O824" s="159" t="s">
        <v>593</v>
      </c>
      <c r="P824" s="159" t="e">
        <f>VLOOKUP(bargiri[[#This Row],[شماره سند مبنا]],invoice[[شماره پیش فاکتور]:[پیش دریافت به ازای هر کیلوگرم]],14,0)</f>
        <v>#N/A</v>
      </c>
      <c r="Q824" s="159" t="e">
        <f>IF(bargiri[[#This Row],[مبلغ ناخالص]]-(bargiri[[#This Row],[نرخ استهلاک]]*bargiri[[#This Row],[مقدار]])&lt;0,0,bargiri[[#This Row],[مبلغ ناخالص]]-(bargiri[[#This Row],[نرخ استهلاک]]*bargiri[[#This Row],[مقدار]]))</f>
        <v>#N/A</v>
      </c>
    </row>
    <row r="825" spans="1:17" s="22" customFormat="1" ht="13.8" x14ac:dyDescent="0.25">
      <c r="A825" s="22">
        <v>700</v>
      </c>
      <c r="B825" s="22" t="s">
        <v>828</v>
      </c>
      <c r="C825" s="22" t="s">
        <v>612</v>
      </c>
      <c r="D825" s="22" t="s">
        <v>17</v>
      </c>
      <c r="E825" s="158">
        <v>22260</v>
      </c>
      <c r="F825" s="159">
        <v>75000</v>
      </c>
      <c r="G825" s="159">
        <v>1669500000</v>
      </c>
      <c r="H825" s="159">
        <v>166950000</v>
      </c>
      <c r="I825" s="159">
        <v>1836450000</v>
      </c>
      <c r="J825" s="159">
        <f>bargiri[[#This Row],[مقدار]]*INDEX(invoice[پیش دریافت به ازای هر کیلوگرم],MATCH(bargiri[[#This Row],[شماره سند مبنا]],invoice[شماره پیش فاکتور],0))</f>
        <v>275467500</v>
      </c>
      <c r="K825" s="159">
        <f>bargiri[[#This Row],[مبلغ خالص]]-bargiri[[#This Row],[میزان استهلاک پیش دریافتی]]</f>
        <v>1560982500</v>
      </c>
      <c r="L825" s="160" t="s">
        <v>593</v>
      </c>
      <c r="M825" s="159"/>
      <c r="N825" s="159">
        <f>IF(bargiri[[#This Row],[مبلغ واریزی]]&lt;&gt;"",bargiri[[#This Row],[مانده مبلغ]]-bargiri[[#This Row],[مبلغ واریزی]],bargiri[[#This Row],[مانده مبلغ]])</f>
        <v>1560982500</v>
      </c>
      <c r="O825" s="159" t="s">
        <v>593</v>
      </c>
      <c r="P825" s="159">
        <f>VLOOKUP(bargiri[[#This Row],[شماره سند مبنا]],invoice[[شماره پیش فاکتور]:[پیش دریافت به ازای هر کیلوگرم]],14,0)</f>
        <v>12375</v>
      </c>
      <c r="Q825" s="159">
        <f>IF(bargiri[[#This Row],[مبلغ ناخالص]]-(bargiri[[#This Row],[نرخ استهلاک]]*bargiri[[#This Row],[مقدار]])&lt;0,0,bargiri[[#This Row],[مبلغ ناخالص]]-(bargiri[[#This Row],[نرخ استهلاک]]*bargiri[[#This Row],[مقدار]]))</f>
        <v>1394032500</v>
      </c>
    </row>
    <row r="826" spans="1:17" s="22" customFormat="1" ht="13.8" x14ac:dyDescent="0.25">
      <c r="A826" s="22">
        <v>699</v>
      </c>
      <c r="B826" s="22" t="s">
        <v>829</v>
      </c>
      <c r="C826" s="22" t="s">
        <v>617</v>
      </c>
      <c r="D826" s="22" t="s">
        <v>211</v>
      </c>
      <c r="E826" s="158">
        <v>18965</v>
      </c>
      <c r="F826" s="159">
        <v>142000</v>
      </c>
      <c r="G826" s="159">
        <v>2693030000</v>
      </c>
      <c r="H826" s="159">
        <v>269303000</v>
      </c>
      <c r="I826" s="159">
        <v>2962333000</v>
      </c>
      <c r="J826" s="159">
        <f>bargiri[[#This Row],[مقدار]]*INDEX(invoice[پیش دریافت به ازای هر کیلوگرم],MATCH(bargiri[[#This Row],[شماره سند مبنا]],invoice[شماره پیش فاکتور],0))</f>
        <v>852360913.07266855</v>
      </c>
      <c r="K826" s="159">
        <f>bargiri[[#This Row],[مبلغ خالص]]-bargiri[[#This Row],[میزان استهلاک پیش دریافتی]]</f>
        <v>2109972086.9273314</v>
      </c>
      <c r="L826" s="160" t="s">
        <v>593</v>
      </c>
      <c r="M826" s="159"/>
      <c r="N826" s="159">
        <f>IF(bargiri[[#This Row],[مبلغ واریزی]]&lt;&gt;"",bargiri[[#This Row],[مانده مبلغ]]-bargiri[[#This Row],[مبلغ واریزی]],bargiri[[#This Row],[مانده مبلغ]])</f>
        <v>2109972086.9273314</v>
      </c>
      <c r="O826" s="159" t="s">
        <v>593</v>
      </c>
      <c r="P826" s="159">
        <f>VLOOKUP(bargiri[[#This Row],[شماره سند مبنا]],invoice[[شماره پیش فاکتور]:[پیش دریافت به ازای هر کیلوگرم]],14,0)</f>
        <v>44943.892068160749</v>
      </c>
      <c r="Q826" s="159">
        <f>IF(bargiri[[#This Row],[مبلغ ناخالص]]-(bargiri[[#This Row],[نرخ استهلاک]]*bargiri[[#This Row],[مقدار]])&lt;0,0,bargiri[[#This Row],[مبلغ ناخالص]]-(bargiri[[#This Row],[نرخ استهلاک]]*bargiri[[#This Row],[مقدار]]))</f>
        <v>1840669086.9273314</v>
      </c>
    </row>
    <row r="827" spans="1:17" s="22" customFormat="1" ht="13.8" x14ac:dyDescent="0.25">
      <c r="A827" s="22">
        <v>698</v>
      </c>
      <c r="B827" s="22" t="s">
        <v>829</v>
      </c>
      <c r="C827" s="22" t="s">
        <v>72</v>
      </c>
      <c r="D827" s="22" t="s">
        <v>73</v>
      </c>
      <c r="E827" s="158">
        <v>20280</v>
      </c>
      <c r="F827" s="159">
        <v>57273</v>
      </c>
      <c r="G827" s="159">
        <v>1161496440</v>
      </c>
      <c r="H827" s="159">
        <v>116149644</v>
      </c>
      <c r="I827" s="159">
        <v>1277646084</v>
      </c>
      <c r="J827" s="159" t="e">
        <f>bargiri[[#This Row],[مقدار]]*INDEX(invoice[پیش دریافت به ازای هر کیلوگرم],MATCH(bargiri[[#This Row],[شماره سند مبنا]],invoice[شماره پیش فاکتور],0))</f>
        <v>#N/A</v>
      </c>
      <c r="K827" s="159" t="e">
        <f>bargiri[[#This Row],[مبلغ خالص]]-bargiri[[#This Row],[میزان استهلاک پیش دریافتی]]</f>
        <v>#N/A</v>
      </c>
      <c r="L827" s="160" t="s">
        <v>593</v>
      </c>
      <c r="M827" s="159"/>
      <c r="N827" s="159" t="e">
        <f>IF(bargiri[[#This Row],[مبلغ واریزی]]&lt;&gt;"",bargiri[[#This Row],[مانده مبلغ]]-bargiri[[#This Row],[مبلغ واریزی]],bargiri[[#This Row],[مانده مبلغ]])</f>
        <v>#N/A</v>
      </c>
      <c r="O827" s="159" t="s">
        <v>593</v>
      </c>
      <c r="P827" s="159" t="e">
        <f>VLOOKUP(bargiri[[#This Row],[شماره سند مبنا]],invoice[[شماره پیش فاکتور]:[پیش دریافت به ازای هر کیلوگرم]],14,0)</f>
        <v>#N/A</v>
      </c>
      <c r="Q827" s="159" t="e">
        <f>IF(bargiri[[#This Row],[مبلغ ناخالص]]-(bargiri[[#This Row],[نرخ استهلاک]]*bargiri[[#This Row],[مقدار]])&lt;0,0,bargiri[[#This Row],[مبلغ ناخالص]]-(bargiri[[#This Row],[نرخ استهلاک]]*bargiri[[#This Row],[مقدار]]))</f>
        <v>#N/A</v>
      </c>
    </row>
    <row r="828" spans="1:17" s="22" customFormat="1" ht="13.8" x14ac:dyDescent="0.25">
      <c r="A828" s="22">
        <v>697</v>
      </c>
      <c r="B828" s="22" t="s">
        <v>829</v>
      </c>
      <c r="C828" s="22" t="s">
        <v>72</v>
      </c>
      <c r="D828" s="22" t="s">
        <v>73</v>
      </c>
      <c r="E828" s="158">
        <v>19775</v>
      </c>
      <c r="F828" s="159">
        <v>57273</v>
      </c>
      <c r="G828" s="159">
        <v>1132573575</v>
      </c>
      <c r="H828" s="159">
        <v>113257358</v>
      </c>
      <c r="I828" s="159">
        <v>1245830933</v>
      </c>
      <c r="J828" s="159" t="e">
        <f>bargiri[[#This Row],[مقدار]]*INDEX(invoice[پیش دریافت به ازای هر کیلوگرم],MATCH(bargiri[[#This Row],[شماره سند مبنا]],invoice[شماره پیش فاکتور],0))</f>
        <v>#N/A</v>
      </c>
      <c r="K828" s="159" t="e">
        <f>bargiri[[#This Row],[مبلغ خالص]]-bargiri[[#This Row],[میزان استهلاک پیش دریافتی]]</f>
        <v>#N/A</v>
      </c>
      <c r="L828" s="160" t="s">
        <v>593</v>
      </c>
      <c r="M828" s="159"/>
      <c r="N828" s="159" t="e">
        <f>IF(bargiri[[#This Row],[مبلغ واریزی]]&lt;&gt;"",bargiri[[#This Row],[مانده مبلغ]]-bargiri[[#This Row],[مبلغ واریزی]],bargiri[[#This Row],[مانده مبلغ]])</f>
        <v>#N/A</v>
      </c>
      <c r="O828" s="159" t="s">
        <v>593</v>
      </c>
      <c r="P828" s="159" t="e">
        <f>VLOOKUP(bargiri[[#This Row],[شماره سند مبنا]],invoice[[شماره پیش فاکتور]:[پیش دریافت به ازای هر کیلوگرم]],14,0)</f>
        <v>#N/A</v>
      </c>
      <c r="Q828" s="159" t="e">
        <f>IF(bargiri[[#This Row],[مبلغ ناخالص]]-(bargiri[[#This Row],[نرخ استهلاک]]*bargiri[[#This Row],[مقدار]])&lt;0,0,bargiri[[#This Row],[مبلغ ناخالص]]-(bargiri[[#This Row],[نرخ استهلاک]]*bargiri[[#This Row],[مقدار]]))</f>
        <v>#N/A</v>
      </c>
    </row>
    <row r="829" spans="1:17" s="22" customFormat="1" ht="13.8" x14ac:dyDescent="0.25">
      <c r="A829" s="22">
        <v>696</v>
      </c>
      <c r="B829" s="22" t="s">
        <v>829</v>
      </c>
      <c r="C829" s="22" t="s">
        <v>182</v>
      </c>
      <c r="D829" s="22" t="s">
        <v>20</v>
      </c>
      <c r="E829" s="158">
        <v>19120</v>
      </c>
      <c r="F829" s="159">
        <v>86500</v>
      </c>
      <c r="G829" s="159">
        <v>1653880000</v>
      </c>
      <c r="H829" s="159">
        <v>165388000</v>
      </c>
      <c r="I829" s="159">
        <v>1819268000</v>
      </c>
      <c r="J829" s="159">
        <f>bargiri[[#This Row],[مقدار]]*INDEX(invoice[پیش دریافت به ازای هر کیلوگرم],MATCH(bargiri[[#This Row],[شماره سند مبنا]],invoice[شماره پیش فاکتور],0))</f>
        <v>248082000</v>
      </c>
      <c r="K829" s="159">
        <f>bargiri[[#This Row],[مبلغ خالص]]-bargiri[[#This Row],[میزان استهلاک پیش دریافتی]]</f>
        <v>1571186000</v>
      </c>
      <c r="L829" s="160" t="s">
        <v>593</v>
      </c>
      <c r="M829" s="159"/>
      <c r="N829" s="159">
        <f>IF(bargiri[[#This Row],[مبلغ واریزی]]&lt;&gt;"",bargiri[[#This Row],[مانده مبلغ]]-bargiri[[#This Row],[مبلغ واریزی]],bargiri[[#This Row],[مانده مبلغ]])</f>
        <v>1571186000</v>
      </c>
      <c r="O829" s="159" t="s">
        <v>593</v>
      </c>
      <c r="P829" s="159">
        <f>VLOOKUP(bargiri[[#This Row],[شماره سند مبنا]],invoice[[شماره پیش فاکتور]:[پیش دریافت به ازای هر کیلوگرم]],14,0)</f>
        <v>12975</v>
      </c>
      <c r="Q829" s="159">
        <f>IF(bargiri[[#This Row],[مبلغ ناخالص]]-(bargiri[[#This Row],[نرخ استهلاک]]*bargiri[[#This Row],[مقدار]])&lt;0,0,bargiri[[#This Row],[مبلغ ناخالص]]-(bargiri[[#This Row],[نرخ استهلاک]]*bargiri[[#This Row],[مقدار]]))</f>
        <v>1405798000</v>
      </c>
    </row>
    <row r="830" spans="1:17" s="22" customFormat="1" ht="13.8" x14ac:dyDescent="0.25">
      <c r="A830" s="22">
        <v>695</v>
      </c>
      <c r="B830" s="22" t="s">
        <v>829</v>
      </c>
      <c r="C830" s="22" t="s">
        <v>458</v>
      </c>
      <c r="D830" s="22" t="s">
        <v>156</v>
      </c>
      <c r="E830" s="158">
        <v>22245</v>
      </c>
      <c r="F830" s="159">
        <v>142000</v>
      </c>
      <c r="G830" s="159">
        <v>3158790000</v>
      </c>
      <c r="H830" s="159">
        <v>315879000</v>
      </c>
      <c r="I830" s="159">
        <v>3474669000</v>
      </c>
      <c r="J830" s="159">
        <f>bargiri[[#This Row],[مقدار]]*INDEX(invoice[پیش دریافت به ازای هر کیلوگرم],MATCH(bargiri[[#This Row],[شماره سند مبنا]],invoice[شماره پیش فاکتور],0))</f>
        <v>628343366.35254872</v>
      </c>
      <c r="K830" s="159">
        <f>bargiri[[#This Row],[مبلغ خالص]]-bargiri[[#This Row],[میزان استهلاک پیش دریافتی]]</f>
        <v>2846325633.6474514</v>
      </c>
      <c r="L830" s="160" t="s">
        <v>593</v>
      </c>
      <c r="M830" s="159"/>
      <c r="N830" s="159">
        <f>IF(bargiri[[#This Row],[مبلغ واریزی]]&lt;&gt;"",bargiri[[#This Row],[مانده مبلغ]]-bargiri[[#This Row],[مبلغ واریزی]],bargiri[[#This Row],[مانده مبلغ]])</f>
        <v>2846325633.6474514</v>
      </c>
      <c r="O830" s="159" t="s">
        <v>593</v>
      </c>
      <c r="P830" s="159">
        <f>VLOOKUP(bargiri[[#This Row],[شماره سند مبنا]],invoice[[شماره پیش فاکتور]:[پیش دریافت به ازای هر کیلوگرم]],14,0)</f>
        <v>28246.498824569509</v>
      </c>
      <c r="Q830" s="159">
        <f>IF(bargiri[[#This Row],[مبلغ ناخالص]]-(bargiri[[#This Row],[نرخ استهلاک]]*bargiri[[#This Row],[مقدار]])&lt;0,0,bargiri[[#This Row],[مبلغ ناخالص]]-(bargiri[[#This Row],[نرخ استهلاک]]*bargiri[[#This Row],[مقدار]]))</f>
        <v>2530446633.6474514</v>
      </c>
    </row>
    <row r="831" spans="1:17" s="22" customFormat="1" ht="13.8" x14ac:dyDescent="0.25">
      <c r="A831" s="22">
        <v>694</v>
      </c>
      <c r="B831" s="22" t="s">
        <v>701</v>
      </c>
      <c r="C831" s="22" t="s">
        <v>461</v>
      </c>
      <c r="D831" s="22" t="s">
        <v>35</v>
      </c>
      <c r="E831" s="158">
        <v>7570</v>
      </c>
      <c r="F831" s="159">
        <v>142000</v>
      </c>
      <c r="G831" s="159">
        <v>1074940000</v>
      </c>
      <c r="H831" s="159">
        <v>107494000</v>
      </c>
      <c r="I831" s="159">
        <v>1182434000</v>
      </c>
      <c r="J831" s="159">
        <f>bargiri[[#This Row],[مقدار]]*INDEX(invoice[پیش دریافت به ازای هر کیلوگرم],MATCH(bargiri[[#This Row],[شماره سند مبنا]],invoice[شماره پیش فاکتور],0))</f>
        <v>248434164.5983091</v>
      </c>
      <c r="K831" s="159">
        <f>bargiri[[#This Row],[مبلغ خالص]]-bargiri[[#This Row],[میزان استهلاک پیش دریافتی]]</f>
        <v>933999835.40169096</v>
      </c>
      <c r="L831" s="160" t="s">
        <v>593</v>
      </c>
      <c r="M831" s="159"/>
      <c r="N831" s="159">
        <f>IF(bargiri[[#This Row],[مبلغ واریزی]]&lt;&gt;"",bargiri[[#This Row],[مانده مبلغ]]-bargiri[[#This Row],[مبلغ واریزی]],bargiri[[#This Row],[مانده مبلغ]])</f>
        <v>933999835.40169096</v>
      </c>
      <c r="O831" s="159" t="s">
        <v>593</v>
      </c>
      <c r="P831" s="159">
        <f>VLOOKUP(bargiri[[#This Row],[شماره سند مبنا]],invoice[[شماره پیش فاکتور]:[پیش دریافت به ازای هر کیلوگرم]],14,0)</f>
        <v>32818.251598191426</v>
      </c>
      <c r="Q831" s="159">
        <f>IF(bargiri[[#This Row],[مبلغ ناخالص]]-(bargiri[[#This Row],[نرخ استهلاک]]*bargiri[[#This Row],[مقدار]])&lt;0,0,bargiri[[#This Row],[مبلغ ناخالص]]-(bargiri[[#This Row],[نرخ استهلاک]]*bargiri[[#This Row],[مقدار]]))</f>
        <v>826505835.40169096</v>
      </c>
    </row>
    <row r="832" spans="1:17" s="22" customFormat="1" ht="13.8" x14ac:dyDescent="0.25">
      <c r="A832" s="22">
        <v>693</v>
      </c>
      <c r="B832" s="22" t="s">
        <v>701</v>
      </c>
      <c r="C832" s="22" t="s">
        <v>607</v>
      </c>
      <c r="D832" s="22" t="s">
        <v>180</v>
      </c>
      <c r="E832" s="158">
        <v>7770</v>
      </c>
      <c r="F832" s="159">
        <v>142000</v>
      </c>
      <c r="G832" s="159">
        <v>1103340000</v>
      </c>
      <c r="H832" s="159">
        <v>110334000</v>
      </c>
      <c r="I832" s="159">
        <v>1213674000</v>
      </c>
      <c r="J832" s="159">
        <f>bargiri[[#This Row],[مقدار]]*INDEX(invoice[پیش دریافت به ازای هر کیلوگرم],MATCH(bargiri[[#This Row],[شماره سند مبنا]],invoice[شماره پیش فاکتور],0))</f>
        <v>580006336.50748694</v>
      </c>
      <c r="K832" s="159">
        <f>bargiri[[#This Row],[مبلغ خالص]]-bargiri[[#This Row],[میزان استهلاک پیش دریافتی]]</f>
        <v>633667663.49251306</v>
      </c>
      <c r="L832" s="160" t="s">
        <v>593</v>
      </c>
      <c r="M832" s="159"/>
      <c r="N832" s="159">
        <f>IF(bargiri[[#This Row],[مبلغ واریزی]]&lt;&gt;"",bargiri[[#This Row],[مانده مبلغ]]-bargiri[[#This Row],[مبلغ واریزی]],bargiri[[#This Row],[مانده مبلغ]])</f>
        <v>633667663.49251306</v>
      </c>
      <c r="O832" s="159" t="s">
        <v>593</v>
      </c>
      <c r="P832" s="159">
        <f>VLOOKUP(bargiri[[#This Row],[شماره سند مبنا]],invoice[[شماره پیش فاکتور]:[پیش دریافت به ازای هر کیلوگرم]],14,0)</f>
        <v>74646.890155403729</v>
      </c>
      <c r="Q832" s="159">
        <f>IF(bargiri[[#This Row],[مبلغ ناخالص]]-(bargiri[[#This Row],[نرخ استهلاک]]*bargiri[[#This Row],[مقدار]])&lt;0,0,bargiri[[#This Row],[مبلغ ناخالص]]-(bargiri[[#This Row],[نرخ استهلاک]]*bargiri[[#This Row],[مقدار]]))</f>
        <v>523333663.49251306</v>
      </c>
    </row>
    <row r="833" spans="1:17" s="22" customFormat="1" ht="13.8" x14ac:dyDescent="0.25">
      <c r="A833" s="22">
        <v>692</v>
      </c>
      <c r="B833" s="22" t="s">
        <v>830</v>
      </c>
      <c r="C833" s="22" t="s">
        <v>461</v>
      </c>
      <c r="D833" s="22" t="s">
        <v>35</v>
      </c>
      <c r="E833" s="158">
        <v>7440</v>
      </c>
      <c r="F833" s="159">
        <v>142000</v>
      </c>
      <c r="G833" s="159">
        <v>1056480000</v>
      </c>
      <c r="H833" s="159">
        <v>105648000</v>
      </c>
      <c r="I833" s="159">
        <v>1162128000</v>
      </c>
      <c r="J833" s="159">
        <f>bargiri[[#This Row],[مقدار]]*INDEX(invoice[پیش دریافت به ازای هر کیلوگرم],MATCH(bargiri[[#This Row],[شماره سند مبنا]],invoice[شماره پیش فاکتور],0))</f>
        <v>244167791.89054421</v>
      </c>
      <c r="K833" s="159">
        <f>bargiri[[#This Row],[مبلغ خالص]]-bargiri[[#This Row],[میزان استهلاک پیش دریافتی]]</f>
        <v>917960208.10945582</v>
      </c>
      <c r="L833" s="160" t="s">
        <v>593</v>
      </c>
      <c r="M833" s="159"/>
      <c r="N833" s="159">
        <f>IF(bargiri[[#This Row],[مبلغ واریزی]]&lt;&gt;"",bargiri[[#This Row],[مانده مبلغ]]-bargiri[[#This Row],[مبلغ واریزی]],bargiri[[#This Row],[مانده مبلغ]])</f>
        <v>917960208.10945582</v>
      </c>
      <c r="O833" s="159" t="s">
        <v>593</v>
      </c>
      <c r="P833" s="159">
        <f>VLOOKUP(bargiri[[#This Row],[شماره سند مبنا]],invoice[[شماره پیش فاکتور]:[پیش دریافت به ازای هر کیلوگرم]],14,0)</f>
        <v>32818.251598191426</v>
      </c>
      <c r="Q833" s="159">
        <f>IF(bargiri[[#This Row],[مبلغ ناخالص]]-(bargiri[[#This Row],[نرخ استهلاک]]*bargiri[[#This Row],[مقدار]])&lt;0,0,bargiri[[#This Row],[مبلغ ناخالص]]-(bargiri[[#This Row],[نرخ استهلاک]]*bargiri[[#This Row],[مقدار]]))</f>
        <v>812312208.10945582</v>
      </c>
    </row>
    <row r="834" spans="1:17" s="22" customFormat="1" ht="13.8" x14ac:dyDescent="0.25">
      <c r="A834" s="22">
        <v>691</v>
      </c>
      <c r="B834" s="22" t="s">
        <v>830</v>
      </c>
      <c r="C834" s="22" t="s">
        <v>209</v>
      </c>
      <c r="D834" s="22" t="s">
        <v>40</v>
      </c>
      <c r="E834" s="158">
        <v>8830</v>
      </c>
      <c r="F834" s="159">
        <v>66200</v>
      </c>
      <c r="G834" s="159">
        <v>584546000</v>
      </c>
      <c r="H834" s="159">
        <v>58454600</v>
      </c>
      <c r="I834" s="159">
        <v>643000600</v>
      </c>
      <c r="J834" s="159">
        <f>bargiri[[#This Row],[مقدار]]*INDEX(invoice[پیش دریافت به ازای هر کیلوگرم],MATCH(bargiri[[#This Row],[شماره سند مبنا]],invoice[شماره پیش فاکتور],0))</f>
        <v>96450090</v>
      </c>
      <c r="K834" s="159">
        <f>bargiri[[#This Row],[مبلغ خالص]]-bargiri[[#This Row],[میزان استهلاک پیش دریافتی]]</f>
        <v>546550510</v>
      </c>
      <c r="L834" s="160" t="s">
        <v>593</v>
      </c>
      <c r="M834" s="159"/>
      <c r="N834" s="159">
        <f>IF(bargiri[[#This Row],[مبلغ واریزی]]&lt;&gt;"",bargiri[[#This Row],[مانده مبلغ]]-bargiri[[#This Row],[مبلغ واریزی]],bargiri[[#This Row],[مانده مبلغ]])</f>
        <v>546550510</v>
      </c>
      <c r="O834" s="159" t="s">
        <v>593</v>
      </c>
      <c r="P834" s="159">
        <f>VLOOKUP(bargiri[[#This Row],[شماره سند مبنا]],invoice[[شماره پیش فاکتور]:[پیش دریافت به ازای هر کیلوگرم]],14,0)</f>
        <v>10923</v>
      </c>
      <c r="Q834" s="159">
        <f>IF(bargiri[[#This Row],[مبلغ ناخالص]]-(bargiri[[#This Row],[نرخ استهلاک]]*bargiri[[#This Row],[مقدار]])&lt;0,0,bargiri[[#This Row],[مبلغ ناخالص]]-(bargiri[[#This Row],[نرخ استهلاک]]*bargiri[[#This Row],[مقدار]]))</f>
        <v>488095910</v>
      </c>
    </row>
    <row r="835" spans="1:17" s="22" customFormat="1" ht="13.8" x14ac:dyDescent="0.25">
      <c r="A835" s="22">
        <v>691</v>
      </c>
      <c r="B835" s="22" t="s">
        <v>830</v>
      </c>
      <c r="C835" s="22" t="s">
        <v>662</v>
      </c>
      <c r="D835" s="22" t="s">
        <v>40</v>
      </c>
      <c r="E835" s="158">
        <v>9775</v>
      </c>
      <c r="F835" s="159">
        <v>167500</v>
      </c>
      <c r="G835" s="159">
        <v>1637312500</v>
      </c>
      <c r="H835" s="159">
        <v>163731250</v>
      </c>
      <c r="I835" s="159">
        <v>1801043750</v>
      </c>
      <c r="J835" s="159">
        <f>bargiri[[#This Row],[مقدار]]*INDEX(invoice[پیش دریافت به ازای هر کیلوگرم],MATCH(bargiri[[#This Row],[شماره سند مبنا]],invoice[شماره پیش فاکتور],0))</f>
        <v>1801043750</v>
      </c>
      <c r="K835" s="159">
        <f>bargiri[[#This Row],[مبلغ خالص]]-bargiri[[#This Row],[میزان استهلاک پیش دریافتی]]</f>
        <v>0</v>
      </c>
      <c r="L835" s="160" t="s">
        <v>593</v>
      </c>
      <c r="M835" s="159"/>
      <c r="N835" s="159">
        <f>IF(bargiri[[#This Row],[مبلغ واریزی]]&lt;&gt;"",bargiri[[#This Row],[مانده مبلغ]]-bargiri[[#This Row],[مبلغ واریزی]],bargiri[[#This Row],[مانده مبلغ]])</f>
        <v>0</v>
      </c>
      <c r="O835" s="159" t="s">
        <v>593</v>
      </c>
      <c r="P835" s="159">
        <f>VLOOKUP(bargiri[[#This Row],[شماره سند مبنا]],invoice[[شماره پیش فاکتور]:[پیش دریافت به ازای هر کیلوگرم]],14,0)</f>
        <v>184250</v>
      </c>
      <c r="Q835" s="159">
        <f>IF(bargiri[[#This Row],[مبلغ ناخالص]]-(bargiri[[#This Row],[نرخ استهلاک]]*bargiri[[#This Row],[مقدار]])&lt;0,0,bargiri[[#This Row],[مبلغ ناخالص]]-(bargiri[[#This Row],[نرخ استهلاک]]*bargiri[[#This Row],[مقدار]]))</f>
        <v>0</v>
      </c>
    </row>
    <row r="836" spans="1:17" s="22" customFormat="1" ht="13.8" x14ac:dyDescent="0.25">
      <c r="A836" s="22">
        <v>690</v>
      </c>
      <c r="B836" s="22" t="s">
        <v>830</v>
      </c>
      <c r="C836" s="22" t="s">
        <v>464</v>
      </c>
      <c r="D836" s="22" t="s">
        <v>221</v>
      </c>
      <c r="E836" s="158">
        <v>14180</v>
      </c>
      <c r="F836" s="159">
        <v>142000</v>
      </c>
      <c r="G836" s="159">
        <v>2013560000</v>
      </c>
      <c r="H836" s="159">
        <v>201356000</v>
      </c>
      <c r="I836" s="159">
        <v>2214916000</v>
      </c>
      <c r="J836" s="159">
        <f>bargiri[[#This Row],[مقدار]]*INDEX(invoice[پیش دریافت به ازای هر کیلوگرم],MATCH(bargiri[[#This Row],[شماره سند مبنا]],invoice[شماره پیش فاکتور],0))</f>
        <v>332237400</v>
      </c>
      <c r="K836" s="159">
        <f>bargiri[[#This Row],[مبلغ خالص]]-bargiri[[#This Row],[میزان استهلاک پیش دریافتی]]</f>
        <v>1882678600</v>
      </c>
      <c r="L836" s="160" t="s">
        <v>593</v>
      </c>
      <c r="M836" s="159"/>
      <c r="N836" s="159">
        <f>IF(bargiri[[#This Row],[مبلغ واریزی]]&lt;&gt;"",bargiri[[#This Row],[مانده مبلغ]]-bargiri[[#This Row],[مبلغ واریزی]],bargiri[[#This Row],[مانده مبلغ]])</f>
        <v>1882678600</v>
      </c>
      <c r="O836" s="159" t="s">
        <v>593</v>
      </c>
      <c r="P836" s="159">
        <f>VLOOKUP(bargiri[[#This Row],[شماره سند مبنا]],invoice[[شماره پیش فاکتور]:[پیش دریافت به ازای هر کیلوگرم]],14,0)</f>
        <v>23430</v>
      </c>
      <c r="Q836" s="159">
        <f>IF(bargiri[[#This Row],[مبلغ ناخالص]]-(bargiri[[#This Row],[نرخ استهلاک]]*bargiri[[#This Row],[مقدار]])&lt;0,0,bargiri[[#This Row],[مبلغ ناخالص]]-(bargiri[[#This Row],[نرخ استهلاک]]*bargiri[[#This Row],[مقدار]]))</f>
        <v>1681322600</v>
      </c>
    </row>
    <row r="837" spans="1:17" s="22" customFormat="1" ht="13.8" x14ac:dyDescent="0.25">
      <c r="A837" s="22">
        <v>689</v>
      </c>
      <c r="B837" s="22" t="s">
        <v>830</v>
      </c>
      <c r="C837" s="22" t="s">
        <v>461</v>
      </c>
      <c r="D837" s="22" t="s">
        <v>35</v>
      </c>
      <c r="E837" s="158">
        <v>7320</v>
      </c>
      <c r="F837" s="159">
        <v>142000</v>
      </c>
      <c r="G837" s="159">
        <v>1039440000</v>
      </c>
      <c r="H837" s="159">
        <v>103944000</v>
      </c>
      <c r="I837" s="159">
        <v>1143384000</v>
      </c>
      <c r="J837" s="159">
        <f>bargiri[[#This Row],[مقدار]]*INDEX(invoice[پیش دریافت به ازای هر کیلوگرم],MATCH(bargiri[[#This Row],[شماره سند مبنا]],invoice[شماره پیش فاکتور],0))</f>
        <v>240229601.69876122</v>
      </c>
      <c r="K837" s="159">
        <f>bargiri[[#This Row],[مبلغ خالص]]-bargiri[[#This Row],[میزان استهلاک پیش دریافتی]]</f>
        <v>903154398.30123878</v>
      </c>
      <c r="L837" s="160" t="s">
        <v>593</v>
      </c>
      <c r="M837" s="159"/>
      <c r="N837" s="159">
        <f>IF(bargiri[[#This Row],[مبلغ واریزی]]&lt;&gt;"",bargiri[[#This Row],[مانده مبلغ]]-bargiri[[#This Row],[مبلغ واریزی]],bargiri[[#This Row],[مانده مبلغ]])</f>
        <v>903154398.30123878</v>
      </c>
      <c r="O837" s="159" t="s">
        <v>593</v>
      </c>
      <c r="P837" s="159">
        <f>VLOOKUP(bargiri[[#This Row],[شماره سند مبنا]],invoice[[شماره پیش فاکتور]:[پیش دریافت به ازای هر کیلوگرم]],14,0)</f>
        <v>32818.251598191426</v>
      </c>
      <c r="Q837" s="159">
        <f>IF(bargiri[[#This Row],[مبلغ ناخالص]]-(bargiri[[#This Row],[نرخ استهلاک]]*bargiri[[#This Row],[مقدار]])&lt;0,0,bargiri[[#This Row],[مبلغ ناخالص]]-(bargiri[[#This Row],[نرخ استهلاک]]*bargiri[[#This Row],[مقدار]]))</f>
        <v>799210398.30123878</v>
      </c>
    </row>
    <row r="838" spans="1:17" s="22" customFormat="1" ht="13.8" x14ac:dyDescent="0.25">
      <c r="A838" s="22">
        <v>688</v>
      </c>
      <c r="B838" s="22" t="s">
        <v>830</v>
      </c>
      <c r="C838" s="22" t="s">
        <v>649</v>
      </c>
      <c r="D838" s="22" t="s">
        <v>67</v>
      </c>
      <c r="E838" s="158">
        <v>170</v>
      </c>
      <c r="F838" s="159">
        <v>201000</v>
      </c>
      <c r="G838" s="159">
        <v>34170000</v>
      </c>
      <c r="H838" s="159">
        <v>3417000</v>
      </c>
      <c r="I838" s="159">
        <v>37587000</v>
      </c>
      <c r="J838" s="159">
        <f>bargiri[[#This Row],[مقدار]]*INDEX(invoice[پیش دریافت به ازای هر کیلوگرم],MATCH(bargiri[[#This Row],[شماره سند مبنا]],invoice[شماره پیش فاکتور],0))</f>
        <v>37587000</v>
      </c>
      <c r="K838" s="159">
        <f>bargiri[[#This Row],[مبلغ خالص]]-bargiri[[#This Row],[میزان استهلاک پیش دریافتی]]</f>
        <v>0</v>
      </c>
      <c r="L838" s="160" t="s">
        <v>593</v>
      </c>
      <c r="M838" s="159"/>
      <c r="N838" s="159">
        <f>IF(bargiri[[#This Row],[مبلغ واریزی]]&lt;&gt;"",bargiri[[#This Row],[مانده مبلغ]]-bargiri[[#This Row],[مبلغ واریزی]],bargiri[[#This Row],[مانده مبلغ]])</f>
        <v>0</v>
      </c>
      <c r="O838" s="159" t="s">
        <v>593</v>
      </c>
      <c r="P838" s="159">
        <f>VLOOKUP(bargiri[[#This Row],[شماره سند مبنا]],invoice[[شماره پیش فاکتور]:[پیش دریافت به ازای هر کیلوگرم]],14,0)</f>
        <v>221100</v>
      </c>
      <c r="Q838" s="159">
        <f>IF(bargiri[[#This Row],[مبلغ ناخالص]]-(bargiri[[#This Row],[نرخ استهلاک]]*bargiri[[#This Row],[مقدار]])&lt;0,0,bargiri[[#This Row],[مبلغ ناخالص]]-(bargiri[[#This Row],[نرخ استهلاک]]*bargiri[[#This Row],[مقدار]]))</f>
        <v>0</v>
      </c>
    </row>
    <row r="839" spans="1:17" s="22" customFormat="1" ht="13.8" x14ac:dyDescent="0.25">
      <c r="A839" s="22">
        <v>688</v>
      </c>
      <c r="B839" s="22" t="s">
        <v>830</v>
      </c>
      <c r="C839" s="22" t="s">
        <v>655</v>
      </c>
      <c r="D839" s="22" t="s">
        <v>67</v>
      </c>
      <c r="E839" s="158">
        <v>19855</v>
      </c>
      <c r="F839" s="159">
        <v>167500</v>
      </c>
      <c r="G839" s="159">
        <v>3325712500</v>
      </c>
      <c r="H839" s="159">
        <v>332571250</v>
      </c>
      <c r="I839" s="159">
        <v>3658283750</v>
      </c>
      <c r="J839" s="159">
        <f>bargiri[[#This Row],[مقدار]]*INDEX(invoice[پیش دریافت به ازای هر کیلوگرم],MATCH(bargiri[[#This Row],[شماره سند مبنا]],invoice[شماره پیش فاکتور],0))</f>
        <v>3658283750</v>
      </c>
      <c r="K839" s="159">
        <f>bargiri[[#This Row],[مبلغ خالص]]-bargiri[[#This Row],[میزان استهلاک پیش دریافتی]]</f>
        <v>0</v>
      </c>
      <c r="L839" s="160" t="s">
        <v>593</v>
      </c>
      <c r="M839" s="159"/>
      <c r="N839" s="159">
        <f>IF(bargiri[[#This Row],[مبلغ واریزی]]&lt;&gt;"",bargiri[[#This Row],[مانده مبلغ]]-bargiri[[#This Row],[مبلغ واریزی]],bargiri[[#This Row],[مانده مبلغ]])</f>
        <v>0</v>
      </c>
      <c r="O839" s="159" t="s">
        <v>593</v>
      </c>
      <c r="P839" s="159">
        <f>VLOOKUP(bargiri[[#This Row],[شماره سند مبنا]],invoice[[شماره پیش فاکتور]:[پیش دریافت به ازای هر کیلوگرم]],14,0)</f>
        <v>184250</v>
      </c>
      <c r="Q839" s="159">
        <f>IF(bargiri[[#This Row],[مبلغ ناخالص]]-(bargiri[[#This Row],[نرخ استهلاک]]*bargiri[[#This Row],[مقدار]])&lt;0,0,bargiri[[#This Row],[مبلغ ناخالص]]-(bargiri[[#This Row],[نرخ استهلاک]]*bargiri[[#This Row],[مقدار]]))</f>
        <v>0</v>
      </c>
    </row>
    <row r="840" spans="1:17" s="22" customFormat="1" ht="13.8" x14ac:dyDescent="0.25">
      <c r="A840" s="22">
        <v>687</v>
      </c>
      <c r="B840" s="22" t="s">
        <v>831</v>
      </c>
      <c r="C840" s="22" t="s">
        <v>72</v>
      </c>
      <c r="D840" s="22" t="s">
        <v>73</v>
      </c>
      <c r="E840" s="158">
        <v>21015</v>
      </c>
      <c r="F840" s="159">
        <v>57273</v>
      </c>
      <c r="G840" s="159">
        <v>1203592095</v>
      </c>
      <c r="H840" s="159">
        <v>120359210</v>
      </c>
      <c r="I840" s="159">
        <v>1323951305</v>
      </c>
      <c r="J840" s="159" t="e">
        <f>bargiri[[#This Row],[مقدار]]*INDEX(invoice[پیش دریافت به ازای هر کیلوگرم],MATCH(bargiri[[#This Row],[شماره سند مبنا]],invoice[شماره پیش فاکتور],0))</f>
        <v>#N/A</v>
      </c>
      <c r="K840" s="159" t="e">
        <f>bargiri[[#This Row],[مبلغ خالص]]-bargiri[[#This Row],[میزان استهلاک پیش دریافتی]]</f>
        <v>#N/A</v>
      </c>
      <c r="L840" s="160" t="s">
        <v>593</v>
      </c>
      <c r="M840" s="159"/>
      <c r="N840" s="159" t="e">
        <f>IF(bargiri[[#This Row],[مبلغ واریزی]]&lt;&gt;"",bargiri[[#This Row],[مانده مبلغ]]-bargiri[[#This Row],[مبلغ واریزی]],bargiri[[#This Row],[مانده مبلغ]])</f>
        <v>#N/A</v>
      </c>
      <c r="O840" s="159" t="s">
        <v>593</v>
      </c>
      <c r="P840" s="159" t="e">
        <f>VLOOKUP(bargiri[[#This Row],[شماره سند مبنا]],invoice[[شماره پیش فاکتور]:[پیش دریافت به ازای هر کیلوگرم]],14,0)</f>
        <v>#N/A</v>
      </c>
      <c r="Q840" s="159" t="e">
        <f>IF(bargiri[[#This Row],[مبلغ ناخالص]]-(bargiri[[#This Row],[نرخ استهلاک]]*bargiri[[#This Row],[مقدار]])&lt;0,0,bargiri[[#This Row],[مبلغ ناخالص]]-(bargiri[[#This Row],[نرخ استهلاک]]*bargiri[[#This Row],[مقدار]]))</f>
        <v>#N/A</v>
      </c>
    </row>
    <row r="841" spans="1:17" s="22" customFormat="1" ht="13.8" x14ac:dyDescent="0.25">
      <c r="A841" s="22">
        <v>686</v>
      </c>
      <c r="B841" s="22" t="s">
        <v>831</v>
      </c>
      <c r="C841" s="22" t="s">
        <v>72</v>
      </c>
      <c r="D841" s="22" t="s">
        <v>73</v>
      </c>
      <c r="E841" s="158">
        <v>20625</v>
      </c>
      <c r="F841" s="159">
        <v>57273</v>
      </c>
      <c r="G841" s="159">
        <v>1181255625</v>
      </c>
      <c r="H841" s="159">
        <v>118125563</v>
      </c>
      <c r="I841" s="159">
        <v>1299381188</v>
      </c>
      <c r="J841" s="159" t="e">
        <f>bargiri[[#This Row],[مقدار]]*INDEX(invoice[پیش دریافت به ازای هر کیلوگرم],MATCH(bargiri[[#This Row],[شماره سند مبنا]],invoice[شماره پیش فاکتور],0))</f>
        <v>#N/A</v>
      </c>
      <c r="K841" s="159" t="e">
        <f>bargiri[[#This Row],[مبلغ خالص]]-bargiri[[#This Row],[میزان استهلاک پیش دریافتی]]</f>
        <v>#N/A</v>
      </c>
      <c r="L841" s="160" t="s">
        <v>593</v>
      </c>
      <c r="M841" s="159"/>
      <c r="N841" s="159" t="e">
        <f>IF(bargiri[[#This Row],[مبلغ واریزی]]&lt;&gt;"",bargiri[[#This Row],[مانده مبلغ]]-bargiri[[#This Row],[مبلغ واریزی]],bargiri[[#This Row],[مانده مبلغ]])</f>
        <v>#N/A</v>
      </c>
      <c r="O841" s="159" t="s">
        <v>593</v>
      </c>
      <c r="P841" s="159" t="e">
        <f>VLOOKUP(bargiri[[#This Row],[شماره سند مبنا]],invoice[[شماره پیش فاکتور]:[پیش دریافت به ازای هر کیلوگرم]],14,0)</f>
        <v>#N/A</v>
      </c>
      <c r="Q841" s="159" t="e">
        <f>IF(bargiri[[#This Row],[مبلغ ناخالص]]-(bargiri[[#This Row],[نرخ استهلاک]]*bargiri[[#This Row],[مقدار]])&lt;0,0,bargiri[[#This Row],[مبلغ ناخالص]]-(bargiri[[#This Row],[نرخ استهلاک]]*bargiri[[#This Row],[مقدار]]))</f>
        <v>#N/A</v>
      </c>
    </row>
    <row r="842" spans="1:17" s="22" customFormat="1" ht="13.8" x14ac:dyDescent="0.25">
      <c r="A842" s="22">
        <v>685</v>
      </c>
      <c r="B842" s="22" t="s">
        <v>831</v>
      </c>
      <c r="C842" s="22" t="s">
        <v>72</v>
      </c>
      <c r="D842" s="22" t="s">
        <v>73</v>
      </c>
      <c r="E842" s="158">
        <v>20590</v>
      </c>
      <c r="F842" s="159">
        <v>57273</v>
      </c>
      <c r="G842" s="159">
        <v>1179251070</v>
      </c>
      <c r="H842" s="159">
        <v>117925107</v>
      </c>
      <c r="I842" s="159">
        <v>1297176177</v>
      </c>
      <c r="J842" s="159" t="e">
        <f>bargiri[[#This Row],[مقدار]]*INDEX(invoice[پیش دریافت به ازای هر کیلوگرم],MATCH(bargiri[[#This Row],[شماره سند مبنا]],invoice[شماره پیش فاکتور],0))</f>
        <v>#N/A</v>
      </c>
      <c r="K842" s="159" t="e">
        <f>bargiri[[#This Row],[مبلغ خالص]]-bargiri[[#This Row],[میزان استهلاک پیش دریافتی]]</f>
        <v>#N/A</v>
      </c>
      <c r="L842" s="160" t="s">
        <v>593</v>
      </c>
      <c r="M842" s="159"/>
      <c r="N842" s="159" t="e">
        <f>IF(bargiri[[#This Row],[مبلغ واریزی]]&lt;&gt;"",bargiri[[#This Row],[مانده مبلغ]]-bargiri[[#This Row],[مبلغ واریزی]],bargiri[[#This Row],[مانده مبلغ]])</f>
        <v>#N/A</v>
      </c>
      <c r="O842" s="159" t="s">
        <v>593</v>
      </c>
      <c r="P842" s="159" t="e">
        <f>VLOOKUP(bargiri[[#This Row],[شماره سند مبنا]],invoice[[شماره پیش فاکتور]:[پیش دریافت به ازای هر کیلوگرم]],14,0)</f>
        <v>#N/A</v>
      </c>
      <c r="Q842" s="159" t="e">
        <f>IF(bargiri[[#This Row],[مبلغ ناخالص]]-(bargiri[[#This Row],[نرخ استهلاک]]*bargiri[[#This Row],[مقدار]])&lt;0,0,bargiri[[#This Row],[مبلغ ناخالص]]-(bargiri[[#This Row],[نرخ استهلاک]]*bargiri[[#This Row],[مقدار]]))</f>
        <v>#N/A</v>
      </c>
    </row>
    <row r="843" spans="1:17" s="22" customFormat="1" ht="13.8" x14ac:dyDescent="0.25">
      <c r="A843" s="22">
        <v>684</v>
      </c>
      <c r="B843" s="22" t="s">
        <v>831</v>
      </c>
      <c r="C843" s="22" t="s">
        <v>72</v>
      </c>
      <c r="D843" s="22" t="s">
        <v>73</v>
      </c>
      <c r="E843" s="158">
        <v>20560</v>
      </c>
      <c r="F843" s="159">
        <v>57273</v>
      </c>
      <c r="G843" s="159">
        <v>1177532880</v>
      </c>
      <c r="H843" s="159">
        <v>117753288</v>
      </c>
      <c r="I843" s="159">
        <v>1295286168</v>
      </c>
      <c r="J843" s="159" t="e">
        <f>bargiri[[#This Row],[مقدار]]*INDEX(invoice[پیش دریافت به ازای هر کیلوگرم],MATCH(bargiri[[#This Row],[شماره سند مبنا]],invoice[شماره پیش فاکتور],0))</f>
        <v>#N/A</v>
      </c>
      <c r="K843" s="159" t="e">
        <f>bargiri[[#This Row],[مبلغ خالص]]-bargiri[[#This Row],[میزان استهلاک پیش دریافتی]]</f>
        <v>#N/A</v>
      </c>
      <c r="L843" s="160" t="s">
        <v>593</v>
      </c>
      <c r="M843" s="159"/>
      <c r="N843" s="159" t="e">
        <f>IF(bargiri[[#This Row],[مبلغ واریزی]]&lt;&gt;"",bargiri[[#This Row],[مانده مبلغ]]-bargiri[[#This Row],[مبلغ واریزی]],bargiri[[#This Row],[مانده مبلغ]])</f>
        <v>#N/A</v>
      </c>
      <c r="O843" s="159" t="s">
        <v>593</v>
      </c>
      <c r="P843" s="159" t="e">
        <f>VLOOKUP(bargiri[[#This Row],[شماره سند مبنا]],invoice[[شماره پیش فاکتور]:[پیش دریافت به ازای هر کیلوگرم]],14,0)</f>
        <v>#N/A</v>
      </c>
      <c r="Q843" s="159" t="e">
        <f>IF(bargiri[[#This Row],[مبلغ ناخالص]]-(bargiri[[#This Row],[نرخ استهلاک]]*bargiri[[#This Row],[مقدار]])&lt;0,0,bargiri[[#This Row],[مبلغ ناخالص]]-(bargiri[[#This Row],[نرخ استهلاک]]*bargiri[[#This Row],[مقدار]]))</f>
        <v>#N/A</v>
      </c>
    </row>
    <row r="844" spans="1:17" s="22" customFormat="1" ht="13.8" x14ac:dyDescent="0.25">
      <c r="A844" s="22">
        <v>683</v>
      </c>
      <c r="B844" s="22" t="s">
        <v>831</v>
      </c>
      <c r="C844" s="22" t="s">
        <v>187</v>
      </c>
      <c r="D844" s="22" t="s">
        <v>43</v>
      </c>
      <c r="E844" s="158">
        <v>22160</v>
      </c>
      <c r="F844" s="159">
        <v>80000</v>
      </c>
      <c r="G844" s="159">
        <v>1772800000</v>
      </c>
      <c r="H844" s="159">
        <v>177280000</v>
      </c>
      <c r="I844" s="159">
        <v>1950080000</v>
      </c>
      <c r="J844" s="159">
        <f>bargiri[[#This Row],[مقدار]]*INDEX(invoice[پیش دریافت به ازای هر کیلوگرم],MATCH(bargiri[[#This Row],[شماره سند مبنا]],invoice[شماره پیش فاکتور],0))</f>
        <v>390016000</v>
      </c>
      <c r="K844" s="159">
        <f>bargiri[[#This Row],[مبلغ خالص]]-bargiri[[#This Row],[میزان استهلاک پیش دریافتی]]</f>
        <v>1560064000</v>
      </c>
      <c r="L844" s="160" t="s">
        <v>593</v>
      </c>
      <c r="M844" s="159"/>
      <c r="N844" s="159">
        <f>IF(bargiri[[#This Row],[مبلغ واریزی]]&lt;&gt;"",bargiri[[#This Row],[مانده مبلغ]]-bargiri[[#This Row],[مبلغ واریزی]],bargiri[[#This Row],[مانده مبلغ]])</f>
        <v>1560064000</v>
      </c>
      <c r="O844" s="159" t="s">
        <v>593</v>
      </c>
      <c r="P844" s="159">
        <f>VLOOKUP(bargiri[[#This Row],[شماره سند مبنا]],invoice[[شماره پیش فاکتور]:[پیش دریافت به ازای هر کیلوگرم]],14,0)</f>
        <v>17600</v>
      </c>
      <c r="Q844" s="159">
        <f>IF(bargiri[[#This Row],[مبلغ ناخالص]]-(bargiri[[#This Row],[نرخ استهلاک]]*bargiri[[#This Row],[مقدار]])&lt;0,0,bargiri[[#This Row],[مبلغ ناخالص]]-(bargiri[[#This Row],[نرخ استهلاک]]*bargiri[[#This Row],[مقدار]]))</f>
        <v>1382784000</v>
      </c>
    </row>
    <row r="845" spans="1:17" s="22" customFormat="1" ht="13.8" x14ac:dyDescent="0.25">
      <c r="A845" s="22">
        <v>682</v>
      </c>
      <c r="B845" s="22" t="s">
        <v>831</v>
      </c>
      <c r="C845" s="22" t="s">
        <v>463</v>
      </c>
      <c r="D845" s="22" t="s">
        <v>207</v>
      </c>
      <c r="E845" s="158">
        <v>20100</v>
      </c>
      <c r="F845" s="159">
        <v>142000</v>
      </c>
      <c r="G845" s="159">
        <v>2854200000</v>
      </c>
      <c r="H845" s="159">
        <v>285420000</v>
      </c>
      <c r="I845" s="159">
        <v>3139620000</v>
      </c>
      <c r="J845" s="159">
        <f>bargiri[[#This Row],[مقدار]]*INDEX(invoice[پیش دریافت به ازای هر کیلوگرم],MATCH(bargiri[[#This Row],[شماره سند مبنا]],invoice[شماره پیش فاکتور],0))</f>
        <v>605143116.0949868</v>
      </c>
      <c r="K845" s="159">
        <f>bargiri[[#This Row],[مبلغ خالص]]-bargiri[[#This Row],[میزان استهلاک پیش دریافتی]]</f>
        <v>2534476883.9050131</v>
      </c>
      <c r="L845" s="160" t="s">
        <v>593</v>
      </c>
      <c r="M845" s="159"/>
      <c r="N845" s="159">
        <f>IF(bargiri[[#This Row],[مبلغ واریزی]]&lt;&gt;"",bargiri[[#This Row],[مانده مبلغ]]-bargiri[[#This Row],[مبلغ واریزی]],bargiri[[#This Row],[مانده مبلغ]])</f>
        <v>2534476883.9050131</v>
      </c>
      <c r="O845" s="159" t="s">
        <v>593</v>
      </c>
      <c r="P845" s="159">
        <f>VLOOKUP(bargiri[[#This Row],[شماره سند مبنا]],invoice[[شماره پیش فاکتور]:[پیش دریافت به ازای هر کیلوگرم]],14,0)</f>
        <v>30106.622691292876</v>
      </c>
      <c r="Q845" s="159">
        <f>IF(bargiri[[#This Row],[مبلغ ناخالص]]-(bargiri[[#This Row],[نرخ استهلاک]]*bargiri[[#This Row],[مقدار]])&lt;0,0,bargiri[[#This Row],[مبلغ ناخالص]]-(bargiri[[#This Row],[نرخ استهلاک]]*bargiri[[#This Row],[مقدار]]))</f>
        <v>2249056883.9050131</v>
      </c>
    </row>
    <row r="846" spans="1:17" s="22" customFormat="1" ht="13.8" x14ac:dyDescent="0.25">
      <c r="A846" s="22">
        <v>681</v>
      </c>
      <c r="B846" s="22" t="s">
        <v>831</v>
      </c>
      <c r="C846" s="22" t="s">
        <v>616</v>
      </c>
      <c r="D846" s="22" t="s">
        <v>67</v>
      </c>
      <c r="E846" s="158">
        <v>20020</v>
      </c>
      <c r="F846" s="159">
        <v>142000</v>
      </c>
      <c r="G846" s="159">
        <v>2842840000</v>
      </c>
      <c r="H846" s="159">
        <v>284284000</v>
      </c>
      <c r="I846" s="159">
        <v>3127124000</v>
      </c>
      <c r="J846" s="159">
        <f>bargiri[[#This Row],[مقدار]]*INDEX(invoice[پیش دریافت به ازای هر کیلوگرم],MATCH(bargiri[[#This Row],[شماره سند مبنا]],invoice[شماره پیش فاکتور],0))</f>
        <v>469068600</v>
      </c>
      <c r="K846" s="159">
        <f>bargiri[[#This Row],[مبلغ خالص]]-bargiri[[#This Row],[میزان استهلاک پیش دریافتی]]</f>
        <v>2658055400</v>
      </c>
      <c r="L846" s="160" t="s">
        <v>593</v>
      </c>
      <c r="M846" s="159"/>
      <c r="N846" s="159">
        <f>IF(bargiri[[#This Row],[مبلغ واریزی]]&lt;&gt;"",bargiri[[#This Row],[مانده مبلغ]]-bargiri[[#This Row],[مبلغ واریزی]],bargiri[[#This Row],[مانده مبلغ]])</f>
        <v>2658055400</v>
      </c>
      <c r="O846" s="159" t="s">
        <v>593</v>
      </c>
      <c r="P846" s="159">
        <f>VLOOKUP(bargiri[[#This Row],[شماره سند مبنا]],invoice[[شماره پیش فاکتور]:[پیش دریافت به ازای هر کیلوگرم]],14,0)</f>
        <v>23430</v>
      </c>
      <c r="Q846" s="159">
        <f>IF(bargiri[[#This Row],[مبلغ ناخالص]]-(bargiri[[#This Row],[نرخ استهلاک]]*bargiri[[#This Row],[مقدار]])&lt;0,0,bargiri[[#This Row],[مبلغ ناخالص]]-(bargiri[[#This Row],[نرخ استهلاک]]*bargiri[[#This Row],[مقدار]]))</f>
        <v>2373771400</v>
      </c>
    </row>
    <row r="847" spans="1:17" s="22" customFormat="1" ht="13.8" x14ac:dyDescent="0.25">
      <c r="A847" s="22">
        <v>680</v>
      </c>
      <c r="B847" s="22" t="s">
        <v>832</v>
      </c>
      <c r="C847" s="22" t="s">
        <v>644</v>
      </c>
      <c r="D847" s="22" t="s">
        <v>67</v>
      </c>
      <c r="E847" s="158">
        <v>7090</v>
      </c>
      <c r="F847" s="159">
        <v>95000</v>
      </c>
      <c r="G847" s="159">
        <v>673550000</v>
      </c>
      <c r="H847" s="159">
        <v>67355000</v>
      </c>
      <c r="I847" s="159">
        <v>740905000</v>
      </c>
      <c r="J847" s="159">
        <f>bargiri[[#This Row],[مقدار]]*INDEX(invoice[پیش دریافت به ازای هر کیلوگرم],MATCH(bargiri[[#This Row],[شماره سند مبنا]],invoice[شماره پیش فاکتور],0))</f>
        <v>215576872.99943468</v>
      </c>
      <c r="K847" s="159">
        <f>bargiri[[#This Row],[مبلغ خالص]]-bargiri[[#This Row],[میزان استهلاک پیش دریافتی]]</f>
        <v>525328127.00056529</v>
      </c>
      <c r="L847" s="160" t="s">
        <v>593</v>
      </c>
      <c r="M847" s="159"/>
      <c r="N847" s="159">
        <f>IF(bargiri[[#This Row],[مبلغ واریزی]]&lt;&gt;"",bargiri[[#This Row],[مانده مبلغ]]-bargiri[[#This Row],[مبلغ واریزی]],bargiri[[#This Row],[مانده مبلغ]])</f>
        <v>525328127.00056529</v>
      </c>
      <c r="O847" s="159" t="s">
        <v>593</v>
      </c>
      <c r="P847" s="159">
        <f>VLOOKUP(bargiri[[#This Row],[شماره سند مبنا]],invoice[[شماره پیش فاکتور]:[پیش دریافت به ازای هر کیلوگرم]],14,0)</f>
        <v>30405.764880033101</v>
      </c>
      <c r="Q847" s="159">
        <f>IF(bargiri[[#This Row],[مبلغ ناخالص]]-(bargiri[[#This Row],[نرخ استهلاک]]*bargiri[[#This Row],[مقدار]])&lt;0,0,bargiri[[#This Row],[مبلغ ناخالص]]-(bargiri[[#This Row],[نرخ استهلاک]]*bargiri[[#This Row],[مقدار]]))</f>
        <v>457973127.00056529</v>
      </c>
    </row>
    <row r="848" spans="1:17" s="22" customFormat="1" ht="13.8" x14ac:dyDescent="0.25">
      <c r="A848" s="22">
        <v>679</v>
      </c>
      <c r="B848" s="22" t="s">
        <v>832</v>
      </c>
      <c r="C848" s="22" t="s">
        <v>616</v>
      </c>
      <c r="D848" s="22" t="s">
        <v>67</v>
      </c>
      <c r="E848" s="158">
        <v>11935</v>
      </c>
      <c r="F848" s="159">
        <v>142000</v>
      </c>
      <c r="G848" s="159">
        <v>1694770000</v>
      </c>
      <c r="H848" s="159">
        <v>169477000</v>
      </c>
      <c r="I848" s="159">
        <v>1864247000</v>
      </c>
      <c r="J848" s="159">
        <f>bargiri[[#This Row],[مقدار]]*INDEX(invoice[پیش دریافت به ازای هر کیلوگرم],MATCH(bargiri[[#This Row],[شماره سند مبنا]],invoice[شماره پیش فاکتور],0))</f>
        <v>279637050</v>
      </c>
      <c r="K848" s="159">
        <f>bargiri[[#This Row],[مبلغ خالص]]-bargiri[[#This Row],[میزان استهلاک پیش دریافتی]]</f>
        <v>1584609950</v>
      </c>
      <c r="L848" s="160" t="s">
        <v>593</v>
      </c>
      <c r="M848" s="159"/>
      <c r="N848" s="159">
        <f>IF(bargiri[[#This Row],[مبلغ واریزی]]&lt;&gt;"",bargiri[[#This Row],[مانده مبلغ]]-bargiri[[#This Row],[مبلغ واریزی]],bargiri[[#This Row],[مانده مبلغ]])</f>
        <v>1584609950</v>
      </c>
      <c r="O848" s="159" t="s">
        <v>593</v>
      </c>
      <c r="P848" s="159">
        <f>VLOOKUP(bargiri[[#This Row],[شماره سند مبنا]],invoice[[شماره پیش فاکتور]:[پیش دریافت به ازای هر کیلوگرم]],14,0)</f>
        <v>23430</v>
      </c>
      <c r="Q848" s="159">
        <f>IF(bargiri[[#This Row],[مبلغ ناخالص]]-(bargiri[[#This Row],[نرخ استهلاک]]*bargiri[[#This Row],[مقدار]])&lt;0,0,bargiri[[#This Row],[مبلغ ناخالص]]-(bargiri[[#This Row],[نرخ استهلاک]]*bargiri[[#This Row],[مقدار]]))</f>
        <v>1415132950</v>
      </c>
    </row>
    <row r="849" spans="1:17" s="22" customFormat="1" ht="13.8" x14ac:dyDescent="0.25">
      <c r="A849" s="22">
        <v>678</v>
      </c>
      <c r="B849" s="22" t="s">
        <v>832</v>
      </c>
      <c r="C849" s="22" t="s">
        <v>833</v>
      </c>
      <c r="D849" s="22" t="s">
        <v>17</v>
      </c>
      <c r="E849" s="158">
        <v>22045</v>
      </c>
      <c r="F849" s="159">
        <v>142000</v>
      </c>
      <c r="G849" s="159">
        <v>3130390000</v>
      </c>
      <c r="H849" s="159">
        <v>313039000</v>
      </c>
      <c r="I849" s="159">
        <v>3443429000</v>
      </c>
      <c r="J849" s="159">
        <f>bargiri[[#This Row],[مقدار]]*INDEX(invoice[پیش دریافت به ازای هر کیلوگرم],MATCH(bargiri[[#This Row],[شماره سند مبنا]],invoice[شماره پیش فاکتور],0))</f>
        <v>516514350</v>
      </c>
      <c r="K849" s="159">
        <f>bargiri[[#This Row],[مبلغ خالص]]-bargiri[[#This Row],[میزان استهلاک پیش دریافتی]]</f>
        <v>2926914650</v>
      </c>
      <c r="L849" s="160" t="s">
        <v>593</v>
      </c>
      <c r="M849" s="159"/>
      <c r="N849" s="159">
        <f>IF(bargiri[[#This Row],[مبلغ واریزی]]&lt;&gt;"",bargiri[[#This Row],[مانده مبلغ]]-bargiri[[#This Row],[مبلغ واریزی]],bargiri[[#This Row],[مانده مبلغ]])</f>
        <v>2926914650</v>
      </c>
      <c r="O849" s="159" t="s">
        <v>593</v>
      </c>
      <c r="P849" s="159">
        <f>VLOOKUP(bargiri[[#This Row],[شماره سند مبنا]],invoice[[شماره پیش فاکتور]:[پیش دریافت به ازای هر کیلوگرم]],14,0)</f>
        <v>23430</v>
      </c>
      <c r="Q849" s="159">
        <f>IF(bargiri[[#This Row],[مبلغ ناخالص]]-(bargiri[[#This Row],[نرخ استهلاک]]*bargiri[[#This Row],[مقدار]])&lt;0,0,bargiri[[#This Row],[مبلغ ناخالص]]-(bargiri[[#This Row],[نرخ استهلاک]]*bargiri[[#This Row],[مقدار]]))</f>
        <v>2613875650</v>
      </c>
    </row>
    <row r="850" spans="1:17" s="22" customFormat="1" ht="13.8" x14ac:dyDescent="0.25">
      <c r="A850" s="22">
        <v>678</v>
      </c>
      <c r="B850" s="22" t="s">
        <v>832</v>
      </c>
      <c r="C850" s="22" t="s">
        <v>612</v>
      </c>
      <c r="D850" s="22" t="s">
        <v>17</v>
      </c>
      <c r="E850" s="158">
        <v>115</v>
      </c>
      <c r="F850" s="159">
        <v>75000</v>
      </c>
      <c r="G850" s="159">
        <v>8625000</v>
      </c>
      <c r="H850" s="159">
        <v>862500</v>
      </c>
      <c r="I850" s="159">
        <v>9487500</v>
      </c>
      <c r="J850" s="159">
        <f>bargiri[[#This Row],[مقدار]]*INDEX(invoice[پیش دریافت به ازای هر کیلوگرم],MATCH(bargiri[[#This Row],[شماره سند مبنا]],invoice[شماره پیش فاکتور],0))</f>
        <v>1423125</v>
      </c>
      <c r="K850" s="159">
        <f>bargiri[[#This Row],[مبلغ خالص]]-bargiri[[#This Row],[میزان استهلاک پیش دریافتی]]</f>
        <v>8064375</v>
      </c>
      <c r="L850" s="160" t="s">
        <v>593</v>
      </c>
      <c r="M850" s="159"/>
      <c r="N850" s="159">
        <f>IF(bargiri[[#This Row],[مبلغ واریزی]]&lt;&gt;"",bargiri[[#This Row],[مانده مبلغ]]-bargiri[[#This Row],[مبلغ واریزی]],bargiri[[#This Row],[مانده مبلغ]])</f>
        <v>8064375</v>
      </c>
      <c r="O850" s="159" t="s">
        <v>593</v>
      </c>
      <c r="P850" s="159">
        <f>VLOOKUP(bargiri[[#This Row],[شماره سند مبنا]],invoice[[شماره پیش فاکتور]:[پیش دریافت به ازای هر کیلوگرم]],14,0)</f>
        <v>12375</v>
      </c>
      <c r="Q850" s="159">
        <f>IF(bargiri[[#This Row],[مبلغ ناخالص]]-(bargiri[[#This Row],[نرخ استهلاک]]*bargiri[[#This Row],[مقدار]])&lt;0,0,bargiri[[#This Row],[مبلغ ناخالص]]-(bargiri[[#This Row],[نرخ استهلاک]]*bargiri[[#This Row],[مقدار]]))</f>
        <v>7201875</v>
      </c>
    </row>
    <row r="851" spans="1:17" s="22" customFormat="1" ht="13.8" x14ac:dyDescent="0.25">
      <c r="A851" s="22">
        <v>677</v>
      </c>
      <c r="B851" s="22" t="s">
        <v>832</v>
      </c>
      <c r="C851" s="22" t="s">
        <v>617</v>
      </c>
      <c r="D851" s="22" t="s">
        <v>211</v>
      </c>
      <c r="E851" s="158">
        <v>19070</v>
      </c>
      <c r="F851" s="159">
        <v>142000</v>
      </c>
      <c r="G851" s="159">
        <v>2707940000</v>
      </c>
      <c r="H851" s="159">
        <v>270794000</v>
      </c>
      <c r="I851" s="159">
        <v>2978734000</v>
      </c>
      <c r="J851" s="159">
        <f>bargiri[[#This Row],[مقدار]]*INDEX(invoice[پیش دریافت به ازای هر کیلوگرم],MATCH(bargiri[[#This Row],[شماره سند مبنا]],invoice[شماره پیش فاکتور],0))</f>
        <v>857080021.73982549</v>
      </c>
      <c r="K851" s="159">
        <f>bargiri[[#This Row],[مبلغ خالص]]-bargiri[[#This Row],[میزان استهلاک پیش دریافتی]]</f>
        <v>2121653978.2601745</v>
      </c>
      <c r="L851" s="160" t="s">
        <v>593</v>
      </c>
      <c r="M851" s="159"/>
      <c r="N851" s="159">
        <f>IF(bargiri[[#This Row],[مبلغ واریزی]]&lt;&gt;"",bargiri[[#This Row],[مانده مبلغ]]-bargiri[[#This Row],[مبلغ واریزی]],bargiri[[#This Row],[مانده مبلغ]])</f>
        <v>2121653978.2601745</v>
      </c>
      <c r="O851" s="159" t="s">
        <v>593</v>
      </c>
      <c r="P851" s="159">
        <f>VLOOKUP(bargiri[[#This Row],[شماره سند مبنا]],invoice[[شماره پیش فاکتور]:[پیش دریافت به ازای هر کیلوگرم]],14,0)</f>
        <v>44943.892068160749</v>
      </c>
      <c r="Q851" s="159">
        <f>IF(bargiri[[#This Row],[مبلغ ناخالص]]-(bargiri[[#This Row],[نرخ استهلاک]]*bargiri[[#This Row],[مقدار]])&lt;0,0,bargiri[[#This Row],[مبلغ ناخالص]]-(bargiri[[#This Row],[نرخ استهلاک]]*bargiri[[#This Row],[مقدار]]))</f>
        <v>1850859978.2601745</v>
      </c>
    </row>
    <row r="852" spans="1:17" s="22" customFormat="1" ht="13.8" x14ac:dyDescent="0.25">
      <c r="A852" s="22">
        <v>676</v>
      </c>
      <c r="B852" s="22" t="s">
        <v>704</v>
      </c>
      <c r="C852" s="22" t="s">
        <v>456</v>
      </c>
      <c r="D852" s="22" t="s">
        <v>213</v>
      </c>
      <c r="E852" s="158">
        <v>7560</v>
      </c>
      <c r="F852" s="159">
        <v>142000</v>
      </c>
      <c r="G852" s="159">
        <v>1073520000</v>
      </c>
      <c r="H852" s="159">
        <v>107352000</v>
      </c>
      <c r="I852" s="159">
        <v>1180872000</v>
      </c>
      <c r="J852" s="159">
        <f>bargiri[[#This Row],[مقدار]]*INDEX(invoice[پیش دریافت به ازای هر کیلوگرم],MATCH(bargiri[[#This Row],[شماره سند مبنا]],invoice[شماره پیش فاکتور],0))</f>
        <v>897100888.87840986</v>
      </c>
      <c r="K852" s="159">
        <f>bargiri[[#This Row],[مبلغ خالص]]-bargiri[[#This Row],[میزان استهلاک پیش دریافتی]]</f>
        <v>283771111.12159014</v>
      </c>
      <c r="L852" s="160" t="s">
        <v>593</v>
      </c>
      <c r="M852" s="159"/>
      <c r="N852" s="159">
        <f>IF(bargiri[[#This Row],[مبلغ واریزی]]&lt;&gt;"",bargiri[[#This Row],[مانده مبلغ]]-bargiri[[#This Row],[مبلغ واریزی]],bargiri[[#This Row],[مانده مبلغ]])</f>
        <v>283771111.12159014</v>
      </c>
      <c r="O852" s="159" t="s">
        <v>593</v>
      </c>
      <c r="P852" s="159">
        <f>VLOOKUP(bargiri[[#This Row],[شماره سند مبنا]],invoice[[شماره پیش فاکتور]:[پیش دریافت به ازای هر کیلوگرم]],14,0)</f>
        <v>118664.13874053041</v>
      </c>
      <c r="Q852" s="159">
        <f>IF(bargiri[[#This Row],[مبلغ ناخالص]]-(bargiri[[#This Row],[نرخ استهلاک]]*bargiri[[#This Row],[مقدار]])&lt;0,0,bargiri[[#This Row],[مبلغ ناخالص]]-(bargiri[[#This Row],[نرخ استهلاک]]*bargiri[[#This Row],[مقدار]]))</f>
        <v>176419111.12159014</v>
      </c>
    </row>
    <row r="853" spans="1:17" s="22" customFormat="1" ht="13.8" x14ac:dyDescent="0.25">
      <c r="A853" s="22">
        <v>675</v>
      </c>
      <c r="B853" s="22" t="s">
        <v>704</v>
      </c>
      <c r="C853" s="22" t="s">
        <v>72</v>
      </c>
      <c r="D853" s="22" t="s">
        <v>73</v>
      </c>
      <c r="E853" s="158">
        <v>20545</v>
      </c>
      <c r="F853" s="159">
        <v>57273</v>
      </c>
      <c r="G853" s="159">
        <v>1176673785</v>
      </c>
      <c r="H853" s="159">
        <v>117667379</v>
      </c>
      <c r="I853" s="159">
        <v>1294341164</v>
      </c>
      <c r="J853" s="159" t="e">
        <f>bargiri[[#This Row],[مقدار]]*INDEX(invoice[پیش دریافت به ازای هر کیلوگرم],MATCH(bargiri[[#This Row],[شماره سند مبنا]],invoice[شماره پیش فاکتور],0))</f>
        <v>#N/A</v>
      </c>
      <c r="K853" s="159" t="e">
        <f>bargiri[[#This Row],[مبلغ خالص]]-bargiri[[#This Row],[میزان استهلاک پیش دریافتی]]</f>
        <v>#N/A</v>
      </c>
      <c r="L853" s="160" t="s">
        <v>593</v>
      </c>
      <c r="M853" s="159"/>
      <c r="N853" s="159" t="e">
        <f>IF(bargiri[[#This Row],[مبلغ واریزی]]&lt;&gt;"",bargiri[[#This Row],[مانده مبلغ]]-bargiri[[#This Row],[مبلغ واریزی]],bargiri[[#This Row],[مانده مبلغ]])</f>
        <v>#N/A</v>
      </c>
      <c r="O853" s="159" t="s">
        <v>593</v>
      </c>
      <c r="P853" s="159" t="e">
        <f>VLOOKUP(bargiri[[#This Row],[شماره سند مبنا]],invoice[[شماره پیش فاکتور]:[پیش دریافت به ازای هر کیلوگرم]],14,0)</f>
        <v>#N/A</v>
      </c>
      <c r="Q853" s="159" t="e">
        <f>IF(bargiri[[#This Row],[مبلغ ناخالص]]-(bargiri[[#This Row],[نرخ استهلاک]]*bargiri[[#This Row],[مقدار]])&lt;0,0,bargiri[[#This Row],[مبلغ ناخالص]]-(bargiri[[#This Row],[نرخ استهلاک]]*bargiri[[#This Row],[مقدار]]))</f>
        <v>#N/A</v>
      </c>
    </row>
    <row r="854" spans="1:17" s="22" customFormat="1" ht="13.8" x14ac:dyDescent="0.25">
      <c r="A854" s="22">
        <v>674</v>
      </c>
      <c r="B854" s="22" t="s">
        <v>704</v>
      </c>
      <c r="C854" s="22" t="s">
        <v>673</v>
      </c>
      <c r="D854" s="22" t="s">
        <v>70</v>
      </c>
      <c r="E854" s="158">
        <v>1130</v>
      </c>
      <c r="F854" s="159">
        <v>167500</v>
      </c>
      <c r="G854" s="159">
        <v>189275000</v>
      </c>
      <c r="H854" s="159">
        <v>18927500</v>
      </c>
      <c r="I854" s="159">
        <v>208202500</v>
      </c>
      <c r="J854" s="159">
        <f>bargiri[[#This Row],[مقدار]]*INDEX(invoice[پیش دریافت به ازای هر کیلوگرم],MATCH(bargiri[[#This Row],[شماره سند مبنا]],invoice[شماره پیش فاکتور],0))</f>
        <v>111870000</v>
      </c>
      <c r="K854" s="159">
        <f>bargiri[[#This Row],[مبلغ خالص]]-bargiri[[#This Row],[میزان استهلاک پیش دریافتی]]</f>
        <v>96332500</v>
      </c>
      <c r="L854" s="160" t="s">
        <v>593</v>
      </c>
      <c r="M854" s="159"/>
      <c r="N854" s="159">
        <f>IF(bargiri[[#This Row],[مبلغ واریزی]]&lt;&gt;"",bargiri[[#This Row],[مانده مبلغ]]-bargiri[[#This Row],[مبلغ واریزی]],bargiri[[#This Row],[مانده مبلغ]])</f>
        <v>96332500</v>
      </c>
      <c r="O854" s="159" t="s">
        <v>593</v>
      </c>
      <c r="P854" s="159">
        <f>VLOOKUP(bargiri[[#This Row],[شماره سند مبنا]],invoice[[شماره پیش فاکتور]:[پیش دریافت به ازای هر کیلوگرم]],14,0)</f>
        <v>99000</v>
      </c>
      <c r="Q854" s="159">
        <f>IF(bargiri[[#This Row],[مبلغ ناخالص]]-(bargiri[[#This Row],[نرخ استهلاک]]*bargiri[[#This Row],[مقدار]])&lt;0,0,bargiri[[#This Row],[مبلغ ناخالص]]-(bargiri[[#This Row],[نرخ استهلاک]]*bargiri[[#This Row],[مقدار]]))</f>
        <v>77405000</v>
      </c>
    </row>
    <row r="855" spans="1:17" s="22" customFormat="1" ht="13.8" x14ac:dyDescent="0.25">
      <c r="A855" s="22">
        <v>674</v>
      </c>
      <c r="B855" s="22" t="s">
        <v>704</v>
      </c>
      <c r="C855" s="22" t="s">
        <v>683</v>
      </c>
      <c r="D855" s="22" t="s">
        <v>70</v>
      </c>
      <c r="E855" s="158">
        <v>18905</v>
      </c>
      <c r="F855" s="159">
        <v>167500</v>
      </c>
      <c r="G855" s="159">
        <v>3166587500</v>
      </c>
      <c r="H855" s="159">
        <v>316658750</v>
      </c>
      <c r="I855" s="159">
        <v>3483246250</v>
      </c>
      <c r="J855" s="159">
        <f>bargiri[[#This Row],[مقدار]]*INDEX(invoice[پیش دریافت به ازای هر کیلوگرم],MATCH(bargiri[[#This Row],[شماره سند مبنا]],invoice[شماره پیش فاکتور],0))</f>
        <v>3483246250</v>
      </c>
      <c r="K855" s="159">
        <f>bargiri[[#This Row],[مبلغ خالص]]-bargiri[[#This Row],[میزان استهلاک پیش دریافتی]]</f>
        <v>0</v>
      </c>
      <c r="L855" s="160" t="s">
        <v>593</v>
      </c>
      <c r="M855" s="159"/>
      <c r="N855" s="159">
        <f>IF(bargiri[[#This Row],[مبلغ واریزی]]&lt;&gt;"",bargiri[[#This Row],[مانده مبلغ]]-bargiri[[#This Row],[مبلغ واریزی]],bargiri[[#This Row],[مانده مبلغ]])</f>
        <v>0</v>
      </c>
      <c r="O855" s="159" t="s">
        <v>593</v>
      </c>
      <c r="P855" s="159">
        <f>VLOOKUP(bargiri[[#This Row],[شماره سند مبنا]],invoice[[شماره پیش فاکتور]:[پیش دریافت به ازای هر کیلوگرم]],14,0)</f>
        <v>184250</v>
      </c>
      <c r="Q855" s="159">
        <f>IF(bargiri[[#This Row],[مبلغ ناخالص]]-(bargiri[[#This Row],[نرخ استهلاک]]*bargiri[[#This Row],[مقدار]])&lt;0,0,bargiri[[#This Row],[مبلغ ناخالص]]-(bargiri[[#This Row],[نرخ استهلاک]]*bargiri[[#This Row],[مقدار]]))</f>
        <v>0</v>
      </c>
    </row>
    <row r="856" spans="1:17" s="22" customFormat="1" ht="13.8" x14ac:dyDescent="0.25">
      <c r="A856" s="22">
        <v>673</v>
      </c>
      <c r="B856" s="22" t="s">
        <v>704</v>
      </c>
      <c r="C856" s="22" t="s">
        <v>72</v>
      </c>
      <c r="D856" s="22" t="s">
        <v>73</v>
      </c>
      <c r="E856" s="158">
        <v>20635</v>
      </c>
      <c r="F856" s="159">
        <v>57273</v>
      </c>
      <c r="G856" s="159">
        <v>1181828355</v>
      </c>
      <c r="H856" s="159">
        <v>118182836</v>
      </c>
      <c r="I856" s="159">
        <v>1300011191</v>
      </c>
      <c r="J856" s="159" t="e">
        <f>bargiri[[#This Row],[مقدار]]*INDEX(invoice[پیش دریافت به ازای هر کیلوگرم],MATCH(bargiri[[#This Row],[شماره سند مبنا]],invoice[شماره پیش فاکتور],0))</f>
        <v>#N/A</v>
      </c>
      <c r="K856" s="159" t="e">
        <f>bargiri[[#This Row],[مبلغ خالص]]-bargiri[[#This Row],[میزان استهلاک پیش دریافتی]]</f>
        <v>#N/A</v>
      </c>
      <c r="L856" s="160" t="s">
        <v>593</v>
      </c>
      <c r="M856" s="159"/>
      <c r="N856" s="159" t="e">
        <f>IF(bargiri[[#This Row],[مبلغ واریزی]]&lt;&gt;"",bargiri[[#This Row],[مانده مبلغ]]-bargiri[[#This Row],[مبلغ واریزی]],bargiri[[#This Row],[مانده مبلغ]])</f>
        <v>#N/A</v>
      </c>
      <c r="O856" s="159" t="s">
        <v>593</v>
      </c>
      <c r="P856" s="159" t="e">
        <f>VLOOKUP(bargiri[[#This Row],[شماره سند مبنا]],invoice[[شماره پیش فاکتور]:[پیش دریافت به ازای هر کیلوگرم]],14,0)</f>
        <v>#N/A</v>
      </c>
      <c r="Q856" s="159" t="e">
        <f>IF(bargiri[[#This Row],[مبلغ ناخالص]]-(bargiri[[#This Row],[نرخ استهلاک]]*bargiri[[#This Row],[مقدار]])&lt;0,0,bargiri[[#This Row],[مبلغ ناخالص]]-(bargiri[[#This Row],[نرخ استهلاک]]*bargiri[[#This Row],[مقدار]]))</f>
        <v>#N/A</v>
      </c>
    </row>
    <row r="857" spans="1:17" s="22" customFormat="1" ht="13.8" x14ac:dyDescent="0.25">
      <c r="A857" s="22">
        <v>672</v>
      </c>
      <c r="B857" s="22" t="s">
        <v>834</v>
      </c>
      <c r="C857" s="22" t="s">
        <v>616</v>
      </c>
      <c r="D857" s="22" t="s">
        <v>67</v>
      </c>
      <c r="E857" s="158">
        <v>19905</v>
      </c>
      <c r="F857" s="159">
        <v>142000</v>
      </c>
      <c r="G857" s="159">
        <v>2826510000</v>
      </c>
      <c r="H857" s="159">
        <v>282651000</v>
      </c>
      <c r="I857" s="159">
        <v>3109161000</v>
      </c>
      <c r="J857" s="159">
        <f>bargiri[[#This Row],[مقدار]]*INDEX(invoice[پیش دریافت به ازای هر کیلوگرم],MATCH(bargiri[[#This Row],[شماره سند مبنا]],invoice[شماره پیش فاکتور],0))</f>
        <v>466374150</v>
      </c>
      <c r="K857" s="159">
        <f>bargiri[[#This Row],[مبلغ خالص]]-bargiri[[#This Row],[میزان استهلاک پیش دریافتی]]</f>
        <v>2642786850</v>
      </c>
      <c r="L857" s="160" t="s">
        <v>593</v>
      </c>
      <c r="M857" s="159"/>
      <c r="N857" s="159">
        <f>IF(bargiri[[#This Row],[مبلغ واریزی]]&lt;&gt;"",bargiri[[#This Row],[مانده مبلغ]]-bargiri[[#This Row],[مبلغ واریزی]],bargiri[[#This Row],[مانده مبلغ]])</f>
        <v>2642786850</v>
      </c>
      <c r="O857" s="159" t="s">
        <v>593</v>
      </c>
      <c r="P857" s="159">
        <f>VLOOKUP(bargiri[[#This Row],[شماره سند مبنا]],invoice[[شماره پیش فاکتور]:[پیش دریافت به ازای هر کیلوگرم]],14,0)</f>
        <v>23430</v>
      </c>
      <c r="Q857" s="159">
        <f>IF(bargiri[[#This Row],[مبلغ ناخالص]]-(bargiri[[#This Row],[نرخ استهلاک]]*bargiri[[#This Row],[مقدار]])&lt;0,0,bargiri[[#This Row],[مبلغ ناخالص]]-(bargiri[[#This Row],[نرخ استهلاک]]*bargiri[[#This Row],[مقدار]]))</f>
        <v>2360135850</v>
      </c>
    </row>
    <row r="858" spans="1:17" s="22" customFormat="1" ht="13.8" x14ac:dyDescent="0.25">
      <c r="A858" s="22">
        <v>671</v>
      </c>
      <c r="B858" s="22" t="s">
        <v>834</v>
      </c>
      <c r="C858" s="22" t="s">
        <v>72</v>
      </c>
      <c r="D858" s="22" t="s">
        <v>73</v>
      </c>
      <c r="E858" s="158">
        <v>20520</v>
      </c>
      <c r="F858" s="159">
        <v>57273</v>
      </c>
      <c r="G858" s="159">
        <v>1175241960</v>
      </c>
      <c r="H858" s="159">
        <v>117524196</v>
      </c>
      <c r="I858" s="159">
        <v>1292766156</v>
      </c>
      <c r="J858" s="159" t="e">
        <f>bargiri[[#This Row],[مقدار]]*INDEX(invoice[پیش دریافت به ازای هر کیلوگرم],MATCH(bargiri[[#This Row],[شماره سند مبنا]],invoice[شماره پیش فاکتور],0))</f>
        <v>#N/A</v>
      </c>
      <c r="K858" s="159" t="e">
        <f>bargiri[[#This Row],[مبلغ خالص]]-bargiri[[#This Row],[میزان استهلاک پیش دریافتی]]</f>
        <v>#N/A</v>
      </c>
      <c r="L858" s="160" t="s">
        <v>593</v>
      </c>
      <c r="M858" s="159"/>
      <c r="N858" s="159" t="e">
        <f>IF(bargiri[[#This Row],[مبلغ واریزی]]&lt;&gt;"",bargiri[[#This Row],[مانده مبلغ]]-bargiri[[#This Row],[مبلغ واریزی]],bargiri[[#This Row],[مانده مبلغ]])</f>
        <v>#N/A</v>
      </c>
      <c r="O858" s="159" t="s">
        <v>593</v>
      </c>
      <c r="P858" s="159" t="e">
        <f>VLOOKUP(bargiri[[#This Row],[شماره سند مبنا]],invoice[[شماره پیش فاکتور]:[پیش دریافت به ازای هر کیلوگرم]],14,0)</f>
        <v>#N/A</v>
      </c>
      <c r="Q858" s="159" t="e">
        <f>IF(bargiri[[#This Row],[مبلغ ناخالص]]-(bargiri[[#This Row],[نرخ استهلاک]]*bargiri[[#This Row],[مقدار]])&lt;0,0,bargiri[[#This Row],[مبلغ ناخالص]]-(bargiri[[#This Row],[نرخ استهلاک]]*bargiri[[#This Row],[مقدار]]))</f>
        <v>#N/A</v>
      </c>
    </row>
    <row r="859" spans="1:17" s="22" customFormat="1" ht="13.8" x14ac:dyDescent="0.25">
      <c r="A859" s="22">
        <v>670</v>
      </c>
      <c r="B859" s="22" t="s">
        <v>834</v>
      </c>
      <c r="C859" s="22" t="s">
        <v>72</v>
      </c>
      <c r="D859" s="22" t="s">
        <v>73</v>
      </c>
      <c r="E859" s="158">
        <v>20495</v>
      </c>
      <c r="F859" s="159">
        <v>57273</v>
      </c>
      <c r="G859" s="159">
        <v>1173810135</v>
      </c>
      <c r="H859" s="159">
        <v>117381014</v>
      </c>
      <c r="I859" s="159">
        <v>1291191149</v>
      </c>
      <c r="J859" s="159" t="e">
        <f>bargiri[[#This Row],[مقدار]]*INDEX(invoice[پیش دریافت به ازای هر کیلوگرم],MATCH(bargiri[[#This Row],[شماره سند مبنا]],invoice[شماره پیش فاکتور],0))</f>
        <v>#N/A</v>
      </c>
      <c r="K859" s="159" t="e">
        <f>bargiri[[#This Row],[مبلغ خالص]]-bargiri[[#This Row],[میزان استهلاک پیش دریافتی]]</f>
        <v>#N/A</v>
      </c>
      <c r="L859" s="160" t="s">
        <v>593</v>
      </c>
      <c r="M859" s="159"/>
      <c r="N859" s="159" t="e">
        <f>IF(bargiri[[#This Row],[مبلغ واریزی]]&lt;&gt;"",bargiri[[#This Row],[مانده مبلغ]]-bargiri[[#This Row],[مبلغ واریزی]],bargiri[[#This Row],[مانده مبلغ]])</f>
        <v>#N/A</v>
      </c>
      <c r="O859" s="159" t="s">
        <v>593</v>
      </c>
      <c r="P859" s="159" t="e">
        <f>VLOOKUP(bargiri[[#This Row],[شماره سند مبنا]],invoice[[شماره پیش فاکتور]:[پیش دریافت به ازای هر کیلوگرم]],14,0)</f>
        <v>#N/A</v>
      </c>
      <c r="Q859" s="159" t="e">
        <f>IF(bargiri[[#This Row],[مبلغ ناخالص]]-(bargiri[[#This Row],[نرخ استهلاک]]*bargiri[[#This Row],[مقدار]])&lt;0,0,bargiri[[#This Row],[مبلغ ناخالص]]-(bargiri[[#This Row],[نرخ استهلاک]]*bargiri[[#This Row],[مقدار]]))</f>
        <v>#N/A</v>
      </c>
    </row>
    <row r="860" spans="1:17" s="22" customFormat="1" ht="13.8" x14ac:dyDescent="0.25">
      <c r="A860" s="22">
        <v>669</v>
      </c>
      <c r="B860" s="22" t="s">
        <v>834</v>
      </c>
      <c r="C860" s="22" t="s">
        <v>182</v>
      </c>
      <c r="D860" s="22" t="s">
        <v>20</v>
      </c>
      <c r="E860" s="158">
        <v>19075</v>
      </c>
      <c r="F860" s="159">
        <v>86500</v>
      </c>
      <c r="G860" s="159">
        <v>1649987500</v>
      </c>
      <c r="H860" s="159">
        <v>164998750</v>
      </c>
      <c r="I860" s="159">
        <v>1814986250</v>
      </c>
      <c r="J860" s="159">
        <f>bargiri[[#This Row],[مقدار]]*INDEX(invoice[پیش دریافت به ازای هر کیلوگرم],MATCH(bargiri[[#This Row],[شماره سند مبنا]],invoice[شماره پیش فاکتور],0))</f>
        <v>247498125</v>
      </c>
      <c r="K860" s="159">
        <f>bargiri[[#This Row],[مبلغ خالص]]-bargiri[[#This Row],[میزان استهلاک پیش دریافتی]]</f>
        <v>1567488125</v>
      </c>
      <c r="L860" s="160" t="s">
        <v>593</v>
      </c>
      <c r="M860" s="159"/>
      <c r="N860" s="159">
        <f>IF(bargiri[[#This Row],[مبلغ واریزی]]&lt;&gt;"",bargiri[[#This Row],[مانده مبلغ]]-bargiri[[#This Row],[مبلغ واریزی]],bargiri[[#This Row],[مانده مبلغ]])</f>
        <v>1567488125</v>
      </c>
      <c r="O860" s="159" t="s">
        <v>593</v>
      </c>
      <c r="P860" s="159">
        <f>VLOOKUP(bargiri[[#This Row],[شماره سند مبنا]],invoice[[شماره پیش فاکتور]:[پیش دریافت به ازای هر کیلوگرم]],14,0)</f>
        <v>12975</v>
      </c>
      <c r="Q860" s="159">
        <f>IF(bargiri[[#This Row],[مبلغ ناخالص]]-(bargiri[[#This Row],[نرخ استهلاک]]*bargiri[[#This Row],[مقدار]])&lt;0,0,bargiri[[#This Row],[مبلغ ناخالص]]-(bargiri[[#This Row],[نرخ استهلاک]]*bargiri[[#This Row],[مقدار]]))</f>
        <v>1402489375</v>
      </c>
    </row>
    <row r="861" spans="1:17" s="22" customFormat="1" ht="13.8" x14ac:dyDescent="0.25">
      <c r="A861" s="22">
        <v>668</v>
      </c>
      <c r="B861" s="22" t="s">
        <v>834</v>
      </c>
      <c r="C861" s="22" t="s">
        <v>607</v>
      </c>
      <c r="D861" s="22" t="s">
        <v>180</v>
      </c>
      <c r="E861" s="158">
        <v>7785</v>
      </c>
      <c r="F861" s="159">
        <v>142000</v>
      </c>
      <c r="G861" s="159">
        <v>1105470000</v>
      </c>
      <c r="H861" s="159">
        <v>110547000</v>
      </c>
      <c r="I861" s="159">
        <v>1216017000</v>
      </c>
      <c r="J861" s="159">
        <f>bargiri[[#This Row],[مقدار]]*INDEX(invoice[پیش دریافت به ازای هر کیلوگرم],MATCH(bargiri[[#This Row],[شماره سند مبنا]],invoice[شماره پیش فاکتور],0))</f>
        <v>581126039.85981798</v>
      </c>
      <c r="K861" s="159">
        <f>bargiri[[#This Row],[مبلغ خالص]]-bargiri[[#This Row],[میزان استهلاک پیش دریافتی]]</f>
        <v>634890960.14018202</v>
      </c>
      <c r="L861" s="160" t="s">
        <v>593</v>
      </c>
      <c r="M861" s="159"/>
      <c r="N861" s="159">
        <f>IF(bargiri[[#This Row],[مبلغ واریزی]]&lt;&gt;"",bargiri[[#This Row],[مانده مبلغ]]-bargiri[[#This Row],[مبلغ واریزی]],bargiri[[#This Row],[مانده مبلغ]])</f>
        <v>634890960.14018202</v>
      </c>
      <c r="O861" s="159" t="s">
        <v>593</v>
      </c>
      <c r="P861" s="159">
        <f>VLOOKUP(bargiri[[#This Row],[شماره سند مبنا]],invoice[[شماره پیش فاکتور]:[پیش دریافت به ازای هر کیلوگرم]],14,0)</f>
        <v>74646.890155403729</v>
      </c>
      <c r="Q861" s="159">
        <f>IF(bargiri[[#This Row],[مبلغ ناخالص]]-(bargiri[[#This Row],[نرخ استهلاک]]*bargiri[[#This Row],[مقدار]])&lt;0,0,bargiri[[#This Row],[مبلغ ناخالص]]-(bargiri[[#This Row],[نرخ استهلاک]]*bargiri[[#This Row],[مقدار]]))</f>
        <v>524343960.14018202</v>
      </c>
    </row>
    <row r="862" spans="1:17" s="22" customFormat="1" ht="13.8" x14ac:dyDescent="0.25">
      <c r="A862" s="22">
        <v>667</v>
      </c>
      <c r="B862" s="22" t="s">
        <v>698</v>
      </c>
      <c r="C862" s="22" t="s">
        <v>461</v>
      </c>
      <c r="D862" s="22" t="s">
        <v>35</v>
      </c>
      <c r="E862" s="158">
        <v>6965</v>
      </c>
      <c r="F862" s="159">
        <v>142000</v>
      </c>
      <c r="G862" s="159">
        <v>989030000</v>
      </c>
      <c r="H862" s="159">
        <v>98903000</v>
      </c>
      <c r="I862" s="159">
        <v>1087933000</v>
      </c>
      <c r="J862" s="159">
        <f>bargiri[[#This Row],[مقدار]]*INDEX(invoice[پیش دریافت به ازای هر کیلوگرم],MATCH(bargiri[[#This Row],[شماره سند مبنا]],invoice[شماره پیش فاکتور],0))</f>
        <v>228579122.38140327</v>
      </c>
      <c r="K862" s="159">
        <f>bargiri[[#This Row],[مبلغ خالص]]-bargiri[[#This Row],[میزان استهلاک پیش دریافتی]]</f>
        <v>859353877.61859679</v>
      </c>
      <c r="L862" s="160" t="s">
        <v>593</v>
      </c>
      <c r="M862" s="159"/>
      <c r="N862" s="159">
        <f>IF(bargiri[[#This Row],[مبلغ واریزی]]&lt;&gt;"",bargiri[[#This Row],[مانده مبلغ]]-bargiri[[#This Row],[مبلغ واریزی]],bargiri[[#This Row],[مانده مبلغ]])</f>
        <v>859353877.61859679</v>
      </c>
      <c r="O862" s="159" t="s">
        <v>593</v>
      </c>
      <c r="P862" s="159">
        <f>VLOOKUP(bargiri[[#This Row],[شماره سند مبنا]],invoice[[شماره پیش فاکتور]:[پیش دریافت به ازای هر کیلوگرم]],14,0)</f>
        <v>32818.251598191426</v>
      </c>
      <c r="Q862" s="159">
        <f>IF(bargiri[[#This Row],[مبلغ ناخالص]]-(bargiri[[#This Row],[نرخ استهلاک]]*bargiri[[#This Row],[مقدار]])&lt;0,0,bargiri[[#This Row],[مبلغ ناخالص]]-(bargiri[[#This Row],[نرخ استهلاک]]*bargiri[[#This Row],[مقدار]]))</f>
        <v>760450877.61859679</v>
      </c>
    </row>
    <row r="863" spans="1:17" s="22" customFormat="1" ht="13.8" x14ac:dyDescent="0.25">
      <c r="A863" s="22">
        <v>666</v>
      </c>
      <c r="B863" s="22" t="s">
        <v>698</v>
      </c>
      <c r="C863" s="22" t="s">
        <v>107</v>
      </c>
      <c r="D863" s="22" t="s">
        <v>30</v>
      </c>
      <c r="E863" s="158">
        <v>11525</v>
      </c>
      <c r="F863" s="159">
        <v>70000</v>
      </c>
      <c r="G863" s="159">
        <v>806750000</v>
      </c>
      <c r="H863" s="159">
        <v>80675000</v>
      </c>
      <c r="I863" s="159">
        <v>887425000</v>
      </c>
      <c r="J863" s="159">
        <f>bargiri[[#This Row],[مقدار]]*INDEX(invoice[پیش دریافت به ازای هر کیلوگرم],MATCH(bargiri[[#This Row],[شماره سند مبنا]],invoice[شماره پیش فاکتور],0))</f>
        <v>443712500</v>
      </c>
      <c r="K863" s="159">
        <f>bargiri[[#This Row],[مبلغ خالص]]-bargiri[[#This Row],[میزان استهلاک پیش دریافتی]]</f>
        <v>443712500</v>
      </c>
      <c r="L863" s="160" t="s">
        <v>593</v>
      </c>
      <c r="M863" s="159"/>
      <c r="N863" s="159">
        <f>IF(bargiri[[#This Row],[مبلغ واریزی]]&lt;&gt;"",bargiri[[#This Row],[مانده مبلغ]]-bargiri[[#This Row],[مبلغ واریزی]],bargiri[[#This Row],[مانده مبلغ]])</f>
        <v>443712500</v>
      </c>
      <c r="O863" s="159" t="s">
        <v>593</v>
      </c>
      <c r="P863" s="159">
        <f>VLOOKUP(bargiri[[#This Row],[شماره سند مبنا]],invoice[[شماره پیش فاکتور]:[پیش دریافت به ازای هر کیلوگرم]],14,0)</f>
        <v>38500</v>
      </c>
      <c r="Q863" s="159">
        <f>IF(bargiri[[#This Row],[مبلغ ناخالص]]-(bargiri[[#This Row],[نرخ استهلاک]]*bargiri[[#This Row],[مقدار]])&lt;0,0,bargiri[[#This Row],[مبلغ ناخالص]]-(bargiri[[#This Row],[نرخ استهلاک]]*bargiri[[#This Row],[مقدار]]))</f>
        <v>363037500</v>
      </c>
    </row>
    <row r="864" spans="1:17" s="22" customFormat="1" ht="13.8" x14ac:dyDescent="0.25">
      <c r="A864" s="22">
        <v>665</v>
      </c>
      <c r="B864" s="22" t="s">
        <v>835</v>
      </c>
      <c r="C864" s="22" t="s">
        <v>644</v>
      </c>
      <c r="D864" s="22" t="s">
        <v>67</v>
      </c>
      <c r="E864" s="158">
        <v>8340</v>
      </c>
      <c r="F864" s="159">
        <v>95000</v>
      </c>
      <c r="G864" s="159">
        <v>792300000</v>
      </c>
      <c r="H864" s="159">
        <v>79230000</v>
      </c>
      <c r="I864" s="159">
        <v>871530000</v>
      </c>
      <c r="J864" s="159">
        <f>bargiri[[#This Row],[مقدار]]*INDEX(invoice[پیش دریافت به ازای هر کیلوگرم],MATCH(bargiri[[#This Row],[شماره سند مبنا]],invoice[شماره پیش فاکتور],0))</f>
        <v>253584079.09947607</v>
      </c>
      <c r="K864" s="159">
        <f>bargiri[[#This Row],[مبلغ خالص]]-bargiri[[#This Row],[میزان استهلاک پیش دریافتی]]</f>
        <v>617945920.9005239</v>
      </c>
      <c r="L864" s="160" t="s">
        <v>593</v>
      </c>
      <c r="M864" s="159"/>
      <c r="N864" s="159">
        <f>IF(bargiri[[#This Row],[مبلغ واریزی]]&lt;&gt;"",bargiri[[#This Row],[مانده مبلغ]]-bargiri[[#This Row],[مبلغ واریزی]],bargiri[[#This Row],[مانده مبلغ]])</f>
        <v>617945920.9005239</v>
      </c>
      <c r="O864" s="159" t="s">
        <v>593</v>
      </c>
      <c r="P864" s="159">
        <f>VLOOKUP(bargiri[[#This Row],[شماره سند مبنا]],invoice[[شماره پیش فاکتور]:[پیش دریافت به ازای هر کیلوگرم]],14,0)</f>
        <v>30405.764880033101</v>
      </c>
      <c r="Q864" s="159">
        <f>IF(bargiri[[#This Row],[مبلغ ناخالص]]-(bargiri[[#This Row],[نرخ استهلاک]]*bargiri[[#This Row],[مقدار]])&lt;0,0,bargiri[[#This Row],[مبلغ ناخالص]]-(bargiri[[#This Row],[نرخ استهلاک]]*bargiri[[#This Row],[مقدار]]))</f>
        <v>538715920.9005239</v>
      </c>
    </row>
    <row r="865" spans="1:17" s="22" customFormat="1" ht="13.8" x14ac:dyDescent="0.25">
      <c r="A865" s="22">
        <v>664</v>
      </c>
      <c r="B865" s="22" t="s">
        <v>835</v>
      </c>
      <c r="C865" s="22" t="s">
        <v>72</v>
      </c>
      <c r="D865" s="22" t="s">
        <v>73</v>
      </c>
      <c r="E865" s="158">
        <v>21040</v>
      </c>
      <c r="F865" s="159">
        <v>57273</v>
      </c>
      <c r="G865" s="159">
        <v>1205023920</v>
      </c>
      <c r="H865" s="159">
        <v>120502392</v>
      </c>
      <c r="I865" s="159">
        <v>1325526312</v>
      </c>
      <c r="J865" s="159" t="e">
        <f>bargiri[[#This Row],[مقدار]]*INDEX(invoice[پیش دریافت به ازای هر کیلوگرم],MATCH(bargiri[[#This Row],[شماره سند مبنا]],invoice[شماره پیش فاکتور],0))</f>
        <v>#N/A</v>
      </c>
      <c r="K865" s="159" t="e">
        <f>bargiri[[#This Row],[مبلغ خالص]]-bargiri[[#This Row],[میزان استهلاک پیش دریافتی]]</f>
        <v>#N/A</v>
      </c>
      <c r="L865" s="160" t="s">
        <v>593</v>
      </c>
      <c r="M865" s="159"/>
      <c r="N865" s="159" t="e">
        <f>IF(bargiri[[#This Row],[مبلغ واریزی]]&lt;&gt;"",bargiri[[#This Row],[مانده مبلغ]]-bargiri[[#This Row],[مبلغ واریزی]],bargiri[[#This Row],[مانده مبلغ]])</f>
        <v>#N/A</v>
      </c>
      <c r="O865" s="159" t="s">
        <v>593</v>
      </c>
      <c r="P865" s="159" t="e">
        <f>VLOOKUP(bargiri[[#This Row],[شماره سند مبنا]],invoice[[شماره پیش فاکتور]:[پیش دریافت به ازای هر کیلوگرم]],14,0)</f>
        <v>#N/A</v>
      </c>
      <c r="Q865" s="159" t="e">
        <f>IF(bargiri[[#This Row],[مبلغ ناخالص]]-(bargiri[[#This Row],[نرخ استهلاک]]*bargiri[[#This Row],[مقدار]])&lt;0,0,bargiri[[#This Row],[مبلغ ناخالص]]-(bargiri[[#This Row],[نرخ استهلاک]]*bargiri[[#This Row],[مقدار]]))</f>
        <v>#N/A</v>
      </c>
    </row>
    <row r="866" spans="1:17" s="22" customFormat="1" ht="13.8" x14ac:dyDescent="0.25">
      <c r="A866" s="22">
        <v>663</v>
      </c>
      <c r="B866" s="22" t="s">
        <v>836</v>
      </c>
      <c r="C866" s="22" t="s">
        <v>72</v>
      </c>
      <c r="D866" s="22" t="s">
        <v>73</v>
      </c>
      <c r="E866" s="158">
        <v>20525</v>
      </c>
      <c r="F866" s="159">
        <v>57273</v>
      </c>
      <c r="G866" s="159">
        <v>1175528325</v>
      </c>
      <c r="H866" s="159">
        <v>117552833</v>
      </c>
      <c r="I866" s="159">
        <v>1293081158</v>
      </c>
      <c r="J866" s="159" t="e">
        <f>bargiri[[#This Row],[مقدار]]*INDEX(invoice[پیش دریافت به ازای هر کیلوگرم],MATCH(bargiri[[#This Row],[شماره سند مبنا]],invoice[شماره پیش فاکتور],0))</f>
        <v>#N/A</v>
      </c>
      <c r="K866" s="159" t="e">
        <f>bargiri[[#This Row],[مبلغ خالص]]-bargiri[[#This Row],[میزان استهلاک پیش دریافتی]]</f>
        <v>#N/A</v>
      </c>
      <c r="L866" s="160" t="s">
        <v>593</v>
      </c>
      <c r="M866" s="159"/>
      <c r="N866" s="159" t="e">
        <f>IF(bargiri[[#This Row],[مبلغ واریزی]]&lt;&gt;"",bargiri[[#This Row],[مانده مبلغ]]-bargiri[[#This Row],[مبلغ واریزی]],bargiri[[#This Row],[مانده مبلغ]])</f>
        <v>#N/A</v>
      </c>
      <c r="O866" s="159" t="s">
        <v>593</v>
      </c>
      <c r="P866" s="159" t="e">
        <f>VLOOKUP(bargiri[[#This Row],[شماره سند مبنا]],invoice[[شماره پیش فاکتور]:[پیش دریافت به ازای هر کیلوگرم]],14,0)</f>
        <v>#N/A</v>
      </c>
      <c r="Q866" s="159" t="e">
        <f>IF(bargiri[[#This Row],[مبلغ ناخالص]]-(bargiri[[#This Row],[نرخ استهلاک]]*bargiri[[#This Row],[مقدار]])&lt;0,0,bargiri[[#This Row],[مبلغ ناخالص]]-(bargiri[[#This Row],[نرخ استهلاک]]*bargiri[[#This Row],[مقدار]]))</f>
        <v>#N/A</v>
      </c>
    </row>
    <row r="867" spans="1:17" s="22" customFormat="1" ht="13.8" x14ac:dyDescent="0.25">
      <c r="A867" s="22">
        <v>662</v>
      </c>
      <c r="B867" s="22" t="s">
        <v>837</v>
      </c>
      <c r="C867" s="22" t="s">
        <v>616</v>
      </c>
      <c r="D867" s="22" t="s">
        <v>67</v>
      </c>
      <c r="E867" s="158">
        <v>19825</v>
      </c>
      <c r="F867" s="159">
        <v>142000</v>
      </c>
      <c r="G867" s="159">
        <v>2815150000</v>
      </c>
      <c r="H867" s="159">
        <v>281515000</v>
      </c>
      <c r="I867" s="159">
        <v>3096665000</v>
      </c>
      <c r="J867" s="159">
        <f>bargiri[[#This Row],[مقدار]]*INDEX(invoice[پیش دریافت به ازای هر کیلوگرم],MATCH(bargiri[[#This Row],[شماره سند مبنا]],invoice[شماره پیش فاکتور],0))</f>
        <v>464499750</v>
      </c>
      <c r="K867" s="159">
        <f>bargiri[[#This Row],[مبلغ خالص]]-bargiri[[#This Row],[میزان استهلاک پیش دریافتی]]</f>
        <v>2632165250</v>
      </c>
      <c r="L867" s="160" t="s">
        <v>593</v>
      </c>
      <c r="M867" s="159"/>
      <c r="N867" s="159">
        <f>IF(bargiri[[#This Row],[مبلغ واریزی]]&lt;&gt;"",bargiri[[#This Row],[مانده مبلغ]]-bargiri[[#This Row],[مبلغ واریزی]],bargiri[[#This Row],[مانده مبلغ]])</f>
        <v>2632165250</v>
      </c>
      <c r="O867" s="159" t="s">
        <v>593</v>
      </c>
      <c r="P867" s="159">
        <f>VLOOKUP(bargiri[[#This Row],[شماره سند مبنا]],invoice[[شماره پیش فاکتور]:[پیش دریافت به ازای هر کیلوگرم]],14,0)</f>
        <v>23430</v>
      </c>
      <c r="Q867" s="159">
        <f>IF(bargiri[[#This Row],[مبلغ ناخالص]]-(bargiri[[#This Row],[نرخ استهلاک]]*bargiri[[#This Row],[مقدار]])&lt;0,0,bargiri[[#This Row],[مبلغ ناخالص]]-(bargiri[[#This Row],[نرخ استهلاک]]*bargiri[[#This Row],[مقدار]]))</f>
        <v>2350650250</v>
      </c>
    </row>
    <row r="868" spans="1:17" s="22" customFormat="1" ht="13.8" x14ac:dyDescent="0.25">
      <c r="A868" s="22">
        <v>661</v>
      </c>
      <c r="B868" s="22" t="s">
        <v>837</v>
      </c>
      <c r="C868" s="22" t="s">
        <v>461</v>
      </c>
      <c r="D868" s="22" t="s">
        <v>35</v>
      </c>
      <c r="E868" s="158">
        <v>7815</v>
      </c>
      <c r="F868" s="159">
        <v>142000</v>
      </c>
      <c r="G868" s="159">
        <v>1109730000</v>
      </c>
      <c r="H868" s="159">
        <v>110973000</v>
      </c>
      <c r="I868" s="159">
        <v>1220703000</v>
      </c>
      <c r="J868" s="159">
        <f>bargiri[[#This Row],[مقدار]]*INDEX(invoice[پیش دریافت به ازای هر کیلوگرم],MATCH(bargiri[[#This Row],[شماره سند مبنا]],invoice[شماره پیش فاکتور],0))</f>
        <v>256474636.23986599</v>
      </c>
      <c r="K868" s="159">
        <f>bargiri[[#This Row],[مبلغ خالص]]-bargiri[[#This Row],[میزان استهلاک پیش دریافتی]]</f>
        <v>964228363.76013398</v>
      </c>
      <c r="L868" s="160" t="s">
        <v>296</v>
      </c>
      <c r="M868" s="159"/>
      <c r="N868" s="159">
        <f>IF(bargiri[[#This Row],[مبلغ واریزی]]&lt;&gt;"",bargiri[[#This Row],[مانده مبلغ]]-bargiri[[#This Row],[مبلغ واریزی]],bargiri[[#This Row],[مانده مبلغ]])</f>
        <v>964228363.76013398</v>
      </c>
      <c r="O868" s="159">
        <v>0</v>
      </c>
      <c r="P868" s="159">
        <f>VLOOKUP(bargiri[[#This Row],[شماره سند مبنا]],invoice[[شماره پیش فاکتور]:[پیش دریافت به ازای هر کیلوگرم]],14,0)</f>
        <v>32818.251598191426</v>
      </c>
      <c r="Q868" s="159">
        <f>IF(bargiri[[#This Row],[مبلغ ناخالص]]-(bargiri[[#This Row],[نرخ استهلاک]]*bargiri[[#This Row],[مقدار]])&lt;0,0,bargiri[[#This Row],[مبلغ ناخالص]]-(bargiri[[#This Row],[نرخ استهلاک]]*bargiri[[#This Row],[مقدار]]))</f>
        <v>853255363.76013398</v>
      </c>
    </row>
    <row r="869" spans="1:17" s="22" customFormat="1" ht="13.8" x14ac:dyDescent="0.25">
      <c r="A869" s="22">
        <v>660</v>
      </c>
      <c r="B869" s="22" t="s">
        <v>837</v>
      </c>
      <c r="C869" s="22" t="s">
        <v>458</v>
      </c>
      <c r="D869" s="22" t="s">
        <v>156</v>
      </c>
      <c r="E869" s="158">
        <v>21675</v>
      </c>
      <c r="F869" s="159">
        <v>142000</v>
      </c>
      <c r="G869" s="159">
        <v>3077850000</v>
      </c>
      <c r="H869" s="159">
        <v>307785000</v>
      </c>
      <c r="I869" s="159">
        <v>3385635000</v>
      </c>
      <c r="J869" s="159">
        <f>bargiri[[#This Row],[مقدار]]*INDEX(invoice[پیش دریافت به ازای هر کیلوگرم],MATCH(bargiri[[#This Row],[شماره سند مبنا]],invoice[شماره پیش فاکتور],0))</f>
        <v>612242862.02254415</v>
      </c>
      <c r="K869" s="159">
        <f>bargiri[[#This Row],[مبلغ خالص]]-bargiri[[#This Row],[میزان استهلاک پیش دریافتی]]</f>
        <v>2773392137.9774561</v>
      </c>
      <c r="L869" s="160" t="s">
        <v>593</v>
      </c>
      <c r="M869" s="159"/>
      <c r="N869" s="159">
        <f>IF(bargiri[[#This Row],[مبلغ واریزی]]&lt;&gt;"",bargiri[[#This Row],[مانده مبلغ]]-bargiri[[#This Row],[مبلغ واریزی]],bargiri[[#This Row],[مانده مبلغ]])</f>
        <v>2773392137.9774561</v>
      </c>
      <c r="O869" s="159" t="s">
        <v>593</v>
      </c>
      <c r="P869" s="159">
        <f>VLOOKUP(bargiri[[#This Row],[شماره سند مبنا]],invoice[[شماره پیش فاکتور]:[پیش دریافت به ازای هر کیلوگرم]],14,0)</f>
        <v>28246.498824569509</v>
      </c>
      <c r="Q869" s="159">
        <f>IF(bargiri[[#This Row],[مبلغ ناخالص]]-(bargiri[[#This Row],[نرخ استهلاک]]*bargiri[[#This Row],[مقدار]])&lt;0,0,bargiri[[#This Row],[مبلغ ناخالص]]-(bargiri[[#This Row],[نرخ استهلاک]]*bargiri[[#This Row],[مقدار]]))</f>
        <v>2465607137.9774561</v>
      </c>
    </row>
    <row r="870" spans="1:17" s="22" customFormat="1" ht="13.8" x14ac:dyDescent="0.25">
      <c r="A870" s="22">
        <v>659</v>
      </c>
      <c r="B870" s="22" t="s">
        <v>837</v>
      </c>
      <c r="C870" s="22" t="s">
        <v>463</v>
      </c>
      <c r="D870" s="22" t="s">
        <v>207</v>
      </c>
      <c r="E870" s="158">
        <v>19980</v>
      </c>
      <c r="F870" s="159">
        <v>142000</v>
      </c>
      <c r="G870" s="159">
        <v>2837160000</v>
      </c>
      <c r="H870" s="159">
        <v>283716000</v>
      </c>
      <c r="I870" s="159">
        <v>3120876000</v>
      </c>
      <c r="J870" s="159">
        <f>bargiri[[#This Row],[مقدار]]*INDEX(invoice[پیش دریافت به ازای هر کیلوگرم],MATCH(bargiri[[#This Row],[شماره سند مبنا]],invoice[شماره پیش فاکتور],0))</f>
        <v>601530321.37203169</v>
      </c>
      <c r="K870" s="159">
        <f>bargiri[[#This Row],[مبلغ خالص]]-bargiri[[#This Row],[میزان استهلاک پیش دریافتی]]</f>
        <v>2519345678.6279683</v>
      </c>
      <c r="L870" s="160" t="s">
        <v>296</v>
      </c>
      <c r="M870" s="159"/>
      <c r="N870" s="159">
        <f>IF(bargiri[[#This Row],[مبلغ واریزی]]&lt;&gt;"",bargiri[[#This Row],[مانده مبلغ]]-bargiri[[#This Row],[مبلغ واریزی]],bargiri[[#This Row],[مانده مبلغ]])</f>
        <v>2519345678.6279683</v>
      </c>
      <c r="O870" s="159" t="s">
        <v>385</v>
      </c>
      <c r="P870" s="159">
        <f>VLOOKUP(bargiri[[#This Row],[شماره سند مبنا]],invoice[[شماره پیش فاکتور]:[پیش دریافت به ازای هر کیلوگرم]],14,0)</f>
        <v>30106.622691292876</v>
      </c>
      <c r="Q870" s="159">
        <f>IF(bargiri[[#This Row],[مبلغ ناخالص]]-(bargiri[[#This Row],[نرخ استهلاک]]*bargiri[[#This Row],[مقدار]])&lt;0,0,bargiri[[#This Row],[مبلغ ناخالص]]-(bargiri[[#This Row],[نرخ استهلاک]]*bargiri[[#This Row],[مقدار]]))</f>
        <v>2235629678.6279683</v>
      </c>
    </row>
    <row r="871" spans="1:17" s="22" customFormat="1" ht="13.8" x14ac:dyDescent="0.25">
      <c r="A871" s="22">
        <v>658</v>
      </c>
      <c r="B871" s="22" t="s">
        <v>837</v>
      </c>
      <c r="C871" s="22" t="s">
        <v>72</v>
      </c>
      <c r="D871" s="22" t="s">
        <v>73</v>
      </c>
      <c r="E871" s="158">
        <v>20630</v>
      </c>
      <c r="F871" s="159">
        <v>57273</v>
      </c>
      <c r="G871" s="159">
        <v>1181541990</v>
      </c>
      <c r="H871" s="159">
        <v>118154199</v>
      </c>
      <c r="I871" s="159">
        <v>1299696189</v>
      </c>
      <c r="J871" s="159" t="e">
        <f>bargiri[[#This Row],[مقدار]]*INDEX(invoice[پیش دریافت به ازای هر کیلوگرم],MATCH(bargiri[[#This Row],[شماره سند مبنا]],invoice[شماره پیش فاکتور],0))</f>
        <v>#N/A</v>
      </c>
      <c r="K871" s="159" t="e">
        <f>bargiri[[#This Row],[مبلغ خالص]]-bargiri[[#This Row],[میزان استهلاک پیش دریافتی]]</f>
        <v>#N/A</v>
      </c>
      <c r="L871" s="160" t="s">
        <v>593</v>
      </c>
      <c r="M871" s="159"/>
      <c r="N871" s="159" t="e">
        <f>IF(bargiri[[#This Row],[مبلغ واریزی]]&lt;&gt;"",bargiri[[#This Row],[مانده مبلغ]]-bargiri[[#This Row],[مبلغ واریزی]],bargiri[[#This Row],[مانده مبلغ]])</f>
        <v>#N/A</v>
      </c>
      <c r="O871" s="159" t="s">
        <v>593</v>
      </c>
      <c r="P871" s="159" t="e">
        <f>VLOOKUP(bargiri[[#This Row],[شماره سند مبنا]],invoice[[شماره پیش فاکتور]:[پیش دریافت به ازای هر کیلوگرم]],14,0)</f>
        <v>#N/A</v>
      </c>
      <c r="Q871" s="159" t="e">
        <f>IF(bargiri[[#This Row],[مبلغ ناخالص]]-(bargiri[[#This Row],[نرخ استهلاک]]*bargiri[[#This Row],[مقدار]])&lt;0,0,bargiri[[#This Row],[مبلغ ناخالص]]-(bargiri[[#This Row],[نرخ استهلاک]]*bargiri[[#This Row],[مقدار]]))</f>
        <v>#N/A</v>
      </c>
    </row>
    <row r="872" spans="1:17" s="22" customFormat="1" ht="13.8" x14ac:dyDescent="0.25">
      <c r="A872" s="22">
        <v>657</v>
      </c>
      <c r="B872" s="22" t="s">
        <v>837</v>
      </c>
      <c r="C872" s="22" t="s">
        <v>72</v>
      </c>
      <c r="D872" s="22" t="s">
        <v>73</v>
      </c>
      <c r="E872" s="158">
        <v>20605</v>
      </c>
      <c r="F872" s="159">
        <v>57273</v>
      </c>
      <c r="G872" s="159">
        <v>1180110165</v>
      </c>
      <c r="H872" s="159">
        <v>118011017</v>
      </c>
      <c r="I872" s="159">
        <v>1298121182</v>
      </c>
      <c r="J872" s="159" t="e">
        <f>bargiri[[#This Row],[مقدار]]*INDEX(invoice[پیش دریافت به ازای هر کیلوگرم],MATCH(bargiri[[#This Row],[شماره سند مبنا]],invoice[شماره پیش فاکتور],0))</f>
        <v>#N/A</v>
      </c>
      <c r="K872" s="159" t="e">
        <f>bargiri[[#This Row],[مبلغ خالص]]-bargiri[[#This Row],[میزان استهلاک پیش دریافتی]]</f>
        <v>#N/A</v>
      </c>
      <c r="L872" s="160" t="s">
        <v>593</v>
      </c>
      <c r="M872" s="159"/>
      <c r="N872" s="159" t="e">
        <f>IF(bargiri[[#This Row],[مبلغ واریزی]]&lt;&gt;"",bargiri[[#This Row],[مانده مبلغ]]-bargiri[[#This Row],[مبلغ واریزی]],bargiri[[#This Row],[مانده مبلغ]])</f>
        <v>#N/A</v>
      </c>
      <c r="O872" s="159" t="s">
        <v>593</v>
      </c>
      <c r="P872" s="159" t="e">
        <f>VLOOKUP(bargiri[[#This Row],[شماره سند مبنا]],invoice[[شماره پیش فاکتور]:[پیش دریافت به ازای هر کیلوگرم]],14,0)</f>
        <v>#N/A</v>
      </c>
      <c r="Q872" s="159" t="e">
        <f>IF(bargiri[[#This Row],[مبلغ ناخالص]]-(bargiri[[#This Row],[نرخ استهلاک]]*bargiri[[#This Row],[مقدار]])&lt;0,0,bargiri[[#This Row],[مبلغ ناخالص]]-(bargiri[[#This Row],[نرخ استهلاک]]*bargiri[[#This Row],[مقدار]]))</f>
        <v>#N/A</v>
      </c>
    </row>
    <row r="873" spans="1:17" s="22" customFormat="1" ht="13.8" x14ac:dyDescent="0.25">
      <c r="A873" s="22">
        <v>656</v>
      </c>
      <c r="B873" s="22" t="s">
        <v>837</v>
      </c>
      <c r="C873" s="22" t="s">
        <v>617</v>
      </c>
      <c r="D873" s="22" t="s">
        <v>211</v>
      </c>
      <c r="E873" s="158">
        <v>18525</v>
      </c>
      <c r="F873" s="159">
        <v>142000</v>
      </c>
      <c r="G873" s="159">
        <v>2630550000</v>
      </c>
      <c r="H873" s="159">
        <v>263055000</v>
      </c>
      <c r="I873" s="159">
        <v>2893605000</v>
      </c>
      <c r="J873" s="159">
        <f>bargiri[[#This Row],[مقدار]]*INDEX(invoice[پیش دریافت به ازای هر کیلوگرم],MATCH(bargiri[[#This Row],[شماره سند مبنا]],invoice[شماره پیش فاکتور],0))</f>
        <v>832585600.56267786</v>
      </c>
      <c r="K873" s="159">
        <f>bargiri[[#This Row],[مبلغ خالص]]-bargiri[[#This Row],[میزان استهلاک پیش دریافتی]]</f>
        <v>2061019399.4373221</v>
      </c>
      <c r="L873" s="160" t="s">
        <v>593</v>
      </c>
      <c r="M873" s="159"/>
      <c r="N873" s="159">
        <f>IF(bargiri[[#This Row],[مبلغ واریزی]]&lt;&gt;"",bargiri[[#This Row],[مانده مبلغ]]-bargiri[[#This Row],[مبلغ واریزی]],bargiri[[#This Row],[مانده مبلغ]])</f>
        <v>2061019399.4373221</v>
      </c>
      <c r="O873" s="159" t="s">
        <v>593</v>
      </c>
      <c r="P873" s="159">
        <f>VLOOKUP(bargiri[[#This Row],[شماره سند مبنا]],invoice[[شماره پیش فاکتور]:[پیش دریافت به ازای هر کیلوگرم]],14,0)</f>
        <v>44943.892068160749</v>
      </c>
      <c r="Q873" s="159">
        <f>IF(bargiri[[#This Row],[مبلغ ناخالص]]-(bargiri[[#This Row],[نرخ استهلاک]]*bargiri[[#This Row],[مقدار]])&lt;0,0,bargiri[[#This Row],[مبلغ ناخالص]]-(bargiri[[#This Row],[نرخ استهلاک]]*bargiri[[#This Row],[مقدار]]))</f>
        <v>1797964399.4373221</v>
      </c>
    </row>
    <row r="874" spans="1:17" s="22" customFormat="1" ht="13.8" x14ac:dyDescent="0.25">
      <c r="A874" s="22">
        <v>655</v>
      </c>
      <c r="B874" s="22" t="s">
        <v>838</v>
      </c>
      <c r="C874" s="22" t="s">
        <v>833</v>
      </c>
      <c r="D874" s="22" t="s">
        <v>17</v>
      </c>
      <c r="E874" s="158">
        <v>22100</v>
      </c>
      <c r="F874" s="159">
        <v>142000</v>
      </c>
      <c r="G874" s="159">
        <v>3138200000</v>
      </c>
      <c r="H874" s="159">
        <v>313820000</v>
      </c>
      <c r="I874" s="159">
        <v>3452020000</v>
      </c>
      <c r="J874" s="159">
        <f>bargiri[[#This Row],[مقدار]]*INDEX(invoice[پیش دریافت به ازای هر کیلوگرم],MATCH(bargiri[[#This Row],[شماره سند مبنا]],invoice[شماره پیش فاکتور],0))</f>
        <v>517803000</v>
      </c>
      <c r="K874" s="159">
        <f>bargiri[[#This Row],[مبلغ خالص]]-bargiri[[#This Row],[میزان استهلاک پیش دریافتی]]</f>
        <v>2934217000</v>
      </c>
      <c r="L874" s="160" t="s">
        <v>593</v>
      </c>
      <c r="M874" s="159"/>
      <c r="N874" s="159">
        <f>IF(bargiri[[#This Row],[مبلغ واریزی]]&lt;&gt;"",bargiri[[#This Row],[مانده مبلغ]]-bargiri[[#This Row],[مبلغ واریزی]],bargiri[[#This Row],[مانده مبلغ]])</f>
        <v>2934217000</v>
      </c>
      <c r="O874" s="159" t="s">
        <v>593</v>
      </c>
      <c r="P874" s="159">
        <f>VLOOKUP(bargiri[[#This Row],[شماره سند مبنا]],invoice[[شماره پیش فاکتور]:[پیش دریافت به ازای هر کیلوگرم]],14,0)</f>
        <v>23430</v>
      </c>
      <c r="Q874" s="159">
        <f>IF(bargiri[[#This Row],[مبلغ ناخالص]]-(bargiri[[#This Row],[نرخ استهلاک]]*bargiri[[#This Row],[مقدار]])&lt;0,0,bargiri[[#This Row],[مبلغ ناخالص]]-(bargiri[[#This Row],[نرخ استهلاک]]*bargiri[[#This Row],[مقدار]]))</f>
        <v>2620397000</v>
      </c>
    </row>
    <row r="875" spans="1:17" s="22" customFormat="1" ht="13.8" x14ac:dyDescent="0.25">
      <c r="A875" s="22">
        <v>654</v>
      </c>
      <c r="B875" s="22" t="s">
        <v>838</v>
      </c>
      <c r="C875" s="22" t="s">
        <v>617</v>
      </c>
      <c r="D875" s="22" t="s">
        <v>211</v>
      </c>
      <c r="E875" s="158">
        <v>18955</v>
      </c>
      <c r="F875" s="159">
        <v>142000</v>
      </c>
      <c r="G875" s="159">
        <v>2691610000</v>
      </c>
      <c r="H875" s="159">
        <v>269161000</v>
      </c>
      <c r="I875" s="159">
        <v>2960771000</v>
      </c>
      <c r="J875" s="159">
        <f>bargiri[[#This Row],[مقدار]]*INDEX(invoice[پیش دریافت به ازای هر کیلوگرم],MATCH(bargiri[[#This Row],[شماره سند مبنا]],invoice[شماره پیش فاکتور],0))</f>
        <v>851911474.15198696</v>
      </c>
      <c r="K875" s="159">
        <f>bargiri[[#This Row],[مبلغ خالص]]-bargiri[[#This Row],[میزان استهلاک پیش دریافتی]]</f>
        <v>2108859525.8480129</v>
      </c>
      <c r="L875" s="160" t="s">
        <v>593</v>
      </c>
      <c r="M875" s="159"/>
      <c r="N875" s="159">
        <f>IF(bargiri[[#This Row],[مبلغ واریزی]]&lt;&gt;"",bargiri[[#This Row],[مانده مبلغ]]-bargiri[[#This Row],[مبلغ واریزی]],bargiri[[#This Row],[مانده مبلغ]])</f>
        <v>2108859525.8480129</v>
      </c>
      <c r="O875" s="159" t="s">
        <v>593</v>
      </c>
      <c r="P875" s="159">
        <f>VLOOKUP(bargiri[[#This Row],[شماره سند مبنا]],invoice[[شماره پیش فاکتور]:[پیش دریافت به ازای هر کیلوگرم]],14,0)</f>
        <v>44943.892068160749</v>
      </c>
      <c r="Q875" s="159">
        <f>IF(bargiri[[#This Row],[مبلغ ناخالص]]-(bargiri[[#This Row],[نرخ استهلاک]]*bargiri[[#This Row],[مقدار]])&lt;0,0,bargiri[[#This Row],[مبلغ ناخالص]]-(bargiri[[#This Row],[نرخ استهلاک]]*bargiri[[#This Row],[مقدار]]))</f>
        <v>1839698525.8480129</v>
      </c>
    </row>
    <row r="876" spans="1:17" s="22" customFormat="1" ht="13.8" x14ac:dyDescent="0.25">
      <c r="A876" s="22">
        <v>653</v>
      </c>
      <c r="B876" s="22" t="s">
        <v>838</v>
      </c>
      <c r="C876" s="22" t="s">
        <v>673</v>
      </c>
      <c r="D876" s="22" t="s">
        <v>70</v>
      </c>
      <c r="E876" s="158">
        <v>18935</v>
      </c>
      <c r="F876" s="159">
        <v>167500</v>
      </c>
      <c r="G876" s="159">
        <v>3171612500</v>
      </c>
      <c r="H876" s="159">
        <v>317161250</v>
      </c>
      <c r="I876" s="159">
        <v>3488773750</v>
      </c>
      <c r="J876" s="159">
        <f>bargiri[[#This Row],[مقدار]]*INDEX(invoice[پیش دریافت به ازای هر کیلوگرم],MATCH(bargiri[[#This Row],[شماره سند مبنا]],invoice[شماره پیش فاکتور],0))</f>
        <v>1874565000</v>
      </c>
      <c r="K876" s="159">
        <f>bargiri[[#This Row],[مبلغ خالص]]-bargiri[[#This Row],[میزان استهلاک پیش دریافتی]]</f>
        <v>1614208750</v>
      </c>
      <c r="L876" s="160" t="s">
        <v>593</v>
      </c>
      <c r="M876" s="159"/>
      <c r="N876" s="159">
        <f>IF(bargiri[[#This Row],[مبلغ واریزی]]&lt;&gt;"",bargiri[[#This Row],[مانده مبلغ]]-bargiri[[#This Row],[مبلغ واریزی]],bargiri[[#This Row],[مانده مبلغ]])</f>
        <v>1614208750</v>
      </c>
      <c r="O876" s="159" t="s">
        <v>593</v>
      </c>
      <c r="P876" s="159">
        <f>VLOOKUP(bargiri[[#This Row],[شماره سند مبنا]],invoice[[شماره پیش فاکتور]:[پیش دریافت به ازای هر کیلوگرم]],14,0)</f>
        <v>99000</v>
      </c>
      <c r="Q876" s="159">
        <f>IF(bargiri[[#This Row],[مبلغ ناخالص]]-(bargiri[[#This Row],[نرخ استهلاک]]*bargiri[[#This Row],[مقدار]])&lt;0,0,bargiri[[#This Row],[مبلغ ناخالص]]-(bargiri[[#This Row],[نرخ استهلاک]]*bargiri[[#This Row],[مقدار]]))</f>
        <v>1297047500</v>
      </c>
    </row>
    <row r="877" spans="1:17" s="22" customFormat="1" ht="13.8" x14ac:dyDescent="0.25">
      <c r="A877" s="22">
        <v>652</v>
      </c>
      <c r="B877" s="22" t="s">
        <v>838</v>
      </c>
      <c r="C877" s="22" t="s">
        <v>649</v>
      </c>
      <c r="D877" s="22" t="s">
        <v>67</v>
      </c>
      <c r="E877" s="158">
        <v>19955</v>
      </c>
      <c r="F877" s="159">
        <v>201000</v>
      </c>
      <c r="G877" s="159">
        <v>4010955000</v>
      </c>
      <c r="H877" s="159">
        <v>401095500</v>
      </c>
      <c r="I877" s="159">
        <v>4412050500</v>
      </c>
      <c r="J877" s="159">
        <f>bargiri[[#This Row],[مقدار]]*INDEX(invoice[پیش دریافت به ازای هر کیلوگرم],MATCH(bargiri[[#This Row],[شماره سند مبنا]],invoice[شماره پیش فاکتور],0))</f>
        <v>4412050500</v>
      </c>
      <c r="K877" s="159">
        <f>bargiri[[#This Row],[مبلغ خالص]]-bargiri[[#This Row],[میزان استهلاک پیش دریافتی]]</f>
        <v>0</v>
      </c>
      <c r="L877" s="160" t="s">
        <v>593</v>
      </c>
      <c r="M877" s="159"/>
      <c r="N877" s="159">
        <f>IF(bargiri[[#This Row],[مبلغ واریزی]]&lt;&gt;"",bargiri[[#This Row],[مانده مبلغ]]-bargiri[[#This Row],[مبلغ واریزی]],bargiri[[#This Row],[مانده مبلغ]])</f>
        <v>0</v>
      </c>
      <c r="O877" s="159" t="s">
        <v>593</v>
      </c>
      <c r="P877" s="159">
        <f>VLOOKUP(bargiri[[#This Row],[شماره سند مبنا]],invoice[[شماره پیش فاکتور]:[پیش دریافت به ازای هر کیلوگرم]],14,0)</f>
        <v>221100</v>
      </c>
      <c r="Q877" s="159">
        <f>IF(bargiri[[#This Row],[مبلغ ناخالص]]-(bargiri[[#This Row],[نرخ استهلاک]]*bargiri[[#This Row],[مقدار]])&lt;0,0,bargiri[[#This Row],[مبلغ ناخالص]]-(bargiri[[#This Row],[نرخ استهلاک]]*bargiri[[#This Row],[مقدار]]))</f>
        <v>0</v>
      </c>
    </row>
    <row r="878" spans="1:17" s="22" customFormat="1" ht="13.8" x14ac:dyDescent="0.25">
      <c r="A878" s="22">
        <v>651</v>
      </c>
      <c r="B878" s="22" t="s">
        <v>838</v>
      </c>
      <c r="C878" s="22" t="s">
        <v>72</v>
      </c>
      <c r="D878" s="22" t="s">
        <v>73</v>
      </c>
      <c r="E878" s="158">
        <v>20490</v>
      </c>
      <c r="F878" s="159">
        <v>57273</v>
      </c>
      <c r="G878" s="159">
        <v>1173523770</v>
      </c>
      <c r="H878" s="159">
        <v>117352377</v>
      </c>
      <c r="I878" s="159">
        <v>1290876147</v>
      </c>
      <c r="J878" s="159" t="e">
        <f>bargiri[[#This Row],[مقدار]]*INDEX(invoice[پیش دریافت به ازای هر کیلوگرم],MATCH(bargiri[[#This Row],[شماره سند مبنا]],invoice[شماره پیش فاکتور],0))</f>
        <v>#N/A</v>
      </c>
      <c r="K878" s="159" t="e">
        <f>bargiri[[#This Row],[مبلغ خالص]]-bargiri[[#This Row],[میزان استهلاک پیش دریافتی]]</f>
        <v>#N/A</v>
      </c>
      <c r="L878" s="160" t="s">
        <v>593</v>
      </c>
      <c r="M878" s="159"/>
      <c r="N878" s="159" t="e">
        <f>IF(bargiri[[#This Row],[مبلغ واریزی]]&lt;&gt;"",bargiri[[#This Row],[مانده مبلغ]]-bargiri[[#This Row],[مبلغ واریزی]],bargiri[[#This Row],[مانده مبلغ]])</f>
        <v>#N/A</v>
      </c>
      <c r="O878" s="159" t="s">
        <v>593</v>
      </c>
      <c r="P878" s="159" t="e">
        <f>VLOOKUP(bargiri[[#This Row],[شماره سند مبنا]],invoice[[شماره پیش فاکتور]:[پیش دریافت به ازای هر کیلوگرم]],14,0)</f>
        <v>#N/A</v>
      </c>
      <c r="Q878" s="159" t="e">
        <f>IF(bargiri[[#This Row],[مبلغ ناخالص]]-(bargiri[[#This Row],[نرخ استهلاک]]*bargiri[[#This Row],[مقدار]])&lt;0,0,bargiri[[#This Row],[مبلغ ناخالص]]-(bargiri[[#This Row],[نرخ استهلاک]]*bargiri[[#This Row],[مقدار]]))</f>
        <v>#N/A</v>
      </c>
    </row>
    <row r="879" spans="1:17" s="22" customFormat="1" ht="13.8" x14ac:dyDescent="0.25">
      <c r="A879" s="22">
        <v>650</v>
      </c>
      <c r="B879" s="22" t="s">
        <v>838</v>
      </c>
      <c r="C879" s="22" t="s">
        <v>72</v>
      </c>
      <c r="D879" s="22" t="s">
        <v>73</v>
      </c>
      <c r="E879" s="158">
        <v>20735</v>
      </c>
      <c r="F879" s="159">
        <v>57273</v>
      </c>
      <c r="G879" s="159">
        <v>1187555655</v>
      </c>
      <c r="H879" s="159">
        <v>118755566</v>
      </c>
      <c r="I879" s="159">
        <v>1306311221</v>
      </c>
      <c r="J879" s="159" t="e">
        <f>bargiri[[#This Row],[مقدار]]*INDEX(invoice[پیش دریافت به ازای هر کیلوگرم],MATCH(bargiri[[#This Row],[شماره سند مبنا]],invoice[شماره پیش فاکتور],0))</f>
        <v>#N/A</v>
      </c>
      <c r="K879" s="159" t="e">
        <f>bargiri[[#This Row],[مبلغ خالص]]-bargiri[[#This Row],[میزان استهلاک پیش دریافتی]]</f>
        <v>#N/A</v>
      </c>
      <c r="L879" s="160" t="s">
        <v>593</v>
      </c>
      <c r="M879" s="159"/>
      <c r="N879" s="159" t="e">
        <f>IF(bargiri[[#This Row],[مبلغ واریزی]]&lt;&gt;"",bargiri[[#This Row],[مانده مبلغ]]-bargiri[[#This Row],[مبلغ واریزی]],bargiri[[#This Row],[مانده مبلغ]])</f>
        <v>#N/A</v>
      </c>
      <c r="O879" s="159" t="s">
        <v>593</v>
      </c>
      <c r="P879" s="159" t="e">
        <f>VLOOKUP(bargiri[[#This Row],[شماره سند مبنا]],invoice[[شماره پیش فاکتور]:[پیش دریافت به ازای هر کیلوگرم]],14,0)</f>
        <v>#N/A</v>
      </c>
      <c r="Q879" s="159" t="e">
        <f>IF(bargiri[[#This Row],[مبلغ ناخالص]]-(bargiri[[#This Row],[نرخ استهلاک]]*bargiri[[#This Row],[مقدار]])&lt;0,0,bargiri[[#This Row],[مبلغ ناخالص]]-(bargiri[[#This Row],[نرخ استهلاک]]*bargiri[[#This Row],[مقدار]]))</f>
        <v>#N/A</v>
      </c>
    </row>
    <row r="880" spans="1:17" s="22" customFormat="1" ht="13.8" x14ac:dyDescent="0.25">
      <c r="A880" s="22">
        <v>649</v>
      </c>
      <c r="B880" s="22" t="s">
        <v>838</v>
      </c>
      <c r="C880" s="22" t="s">
        <v>608</v>
      </c>
      <c r="D880" s="22" t="s">
        <v>40</v>
      </c>
      <c r="E880" s="158">
        <v>18575</v>
      </c>
      <c r="F880" s="159">
        <v>142000</v>
      </c>
      <c r="G880" s="159">
        <v>2637650000</v>
      </c>
      <c r="H880" s="159">
        <v>263765000</v>
      </c>
      <c r="I880" s="159">
        <v>2901415000</v>
      </c>
      <c r="J880" s="159">
        <f>bargiri[[#This Row],[مقدار]]*INDEX(invoice[پیش دریافت به ازای هر کیلوگرم],MATCH(bargiri[[#This Row],[شماره سند مبنا]],invoice[شماره پیش فاکتور],0))</f>
        <v>435212250</v>
      </c>
      <c r="K880" s="159">
        <f>bargiri[[#This Row],[مبلغ خالص]]-bargiri[[#This Row],[میزان استهلاک پیش دریافتی]]</f>
        <v>2466202750</v>
      </c>
      <c r="L880" s="160" t="s">
        <v>593</v>
      </c>
      <c r="M880" s="159"/>
      <c r="N880" s="159">
        <f>IF(bargiri[[#This Row],[مبلغ واریزی]]&lt;&gt;"",bargiri[[#This Row],[مانده مبلغ]]-bargiri[[#This Row],[مبلغ واریزی]],bargiri[[#This Row],[مانده مبلغ]])</f>
        <v>2466202750</v>
      </c>
      <c r="O880" s="159" t="s">
        <v>593</v>
      </c>
      <c r="P880" s="159">
        <f>VLOOKUP(bargiri[[#This Row],[شماره سند مبنا]],invoice[[شماره پیش فاکتور]:[پیش دریافت به ازای هر کیلوگرم]],14,0)</f>
        <v>23430</v>
      </c>
      <c r="Q880" s="159">
        <f>IF(bargiri[[#This Row],[مبلغ ناخالص]]-(bargiri[[#This Row],[نرخ استهلاک]]*bargiri[[#This Row],[مقدار]])&lt;0,0,bargiri[[#This Row],[مبلغ ناخالص]]-(bargiri[[#This Row],[نرخ استهلاک]]*bargiri[[#This Row],[مقدار]]))</f>
        <v>2202437750</v>
      </c>
    </row>
    <row r="881" spans="1:17" s="22" customFormat="1" ht="13.8" x14ac:dyDescent="0.25">
      <c r="A881" s="22">
        <v>648</v>
      </c>
      <c r="B881" s="22" t="s">
        <v>697</v>
      </c>
      <c r="C881" s="22" t="s">
        <v>644</v>
      </c>
      <c r="D881" s="22" t="s">
        <v>67</v>
      </c>
      <c r="E881" s="158">
        <v>15015</v>
      </c>
      <c r="F881" s="159">
        <v>95000</v>
      </c>
      <c r="G881" s="159">
        <v>1426425000</v>
      </c>
      <c r="H881" s="159">
        <v>142642500</v>
      </c>
      <c r="I881" s="159">
        <v>1569067500</v>
      </c>
      <c r="J881" s="159">
        <f>bargiri[[#This Row],[مقدار]]*INDEX(invoice[پیش دریافت به ازای هر کیلوگرم],MATCH(bargiri[[#This Row],[شماره سند مبنا]],invoice[شماره پیش فاکتور],0))</f>
        <v>456542559.67369699</v>
      </c>
      <c r="K881" s="159">
        <f>bargiri[[#This Row],[مبلغ خالص]]-bargiri[[#This Row],[میزان استهلاک پیش دریافتی]]</f>
        <v>1112524940.326303</v>
      </c>
      <c r="L881" s="160" t="s">
        <v>593</v>
      </c>
      <c r="M881" s="159"/>
      <c r="N881" s="159">
        <f>IF(bargiri[[#This Row],[مبلغ واریزی]]&lt;&gt;"",bargiri[[#This Row],[مانده مبلغ]]-bargiri[[#This Row],[مبلغ واریزی]],bargiri[[#This Row],[مانده مبلغ]])</f>
        <v>1112524940.326303</v>
      </c>
      <c r="O881" s="159" t="s">
        <v>593</v>
      </c>
      <c r="P881" s="159">
        <f>VLOOKUP(bargiri[[#This Row],[شماره سند مبنا]],invoice[[شماره پیش فاکتور]:[پیش دریافت به ازای هر کیلوگرم]],14,0)</f>
        <v>30405.764880033101</v>
      </c>
      <c r="Q881" s="159">
        <f>IF(bargiri[[#This Row],[مبلغ ناخالص]]-(bargiri[[#This Row],[نرخ استهلاک]]*bargiri[[#This Row],[مقدار]])&lt;0,0,bargiri[[#This Row],[مبلغ ناخالص]]-(bargiri[[#This Row],[نرخ استهلاک]]*bargiri[[#This Row],[مقدار]]))</f>
        <v>969882440.32630301</v>
      </c>
    </row>
    <row r="882" spans="1:17" s="22" customFormat="1" ht="13.8" x14ac:dyDescent="0.25">
      <c r="A882" s="22">
        <v>647</v>
      </c>
      <c r="B882" s="22" t="s">
        <v>697</v>
      </c>
      <c r="C882" s="22" t="s">
        <v>644</v>
      </c>
      <c r="D882" s="22" t="s">
        <v>67</v>
      </c>
      <c r="E882" s="158">
        <v>8370</v>
      </c>
      <c r="F882" s="159">
        <v>95000</v>
      </c>
      <c r="G882" s="159">
        <v>795150000</v>
      </c>
      <c r="H882" s="159">
        <v>79515000</v>
      </c>
      <c r="I882" s="159">
        <v>874665000</v>
      </c>
      <c r="J882" s="159">
        <f>bargiri[[#This Row],[مقدار]]*INDEX(invoice[پیش دریافت به ازای هر کیلوگرم],MATCH(bargiri[[#This Row],[شماره سند مبنا]],invoice[شماره پیش فاکتور],0))</f>
        <v>254496252.04587704</v>
      </c>
      <c r="K882" s="159">
        <f>bargiri[[#This Row],[مبلغ خالص]]-bargiri[[#This Row],[میزان استهلاک پیش دریافتی]]</f>
        <v>620168747.95412302</v>
      </c>
      <c r="L882" s="160" t="s">
        <v>593</v>
      </c>
      <c r="M882" s="159"/>
      <c r="N882" s="159">
        <f>IF(bargiri[[#This Row],[مبلغ واریزی]]&lt;&gt;"",bargiri[[#This Row],[مانده مبلغ]]-bargiri[[#This Row],[مبلغ واریزی]],bargiri[[#This Row],[مانده مبلغ]])</f>
        <v>620168747.95412302</v>
      </c>
      <c r="O882" s="159" t="s">
        <v>593</v>
      </c>
      <c r="P882" s="159">
        <f>VLOOKUP(bargiri[[#This Row],[شماره سند مبنا]],invoice[[شماره پیش فاکتور]:[پیش دریافت به ازای هر کیلوگرم]],14,0)</f>
        <v>30405.764880033101</v>
      </c>
      <c r="Q882" s="159">
        <f>IF(bargiri[[#This Row],[مبلغ ناخالص]]-(bargiri[[#This Row],[نرخ استهلاک]]*bargiri[[#This Row],[مقدار]])&lt;0,0,bargiri[[#This Row],[مبلغ ناخالص]]-(bargiri[[#This Row],[نرخ استهلاک]]*bargiri[[#This Row],[مقدار]]))</f>
        <v>540653747.95412302</v>
      </c>
    </row>
    <row r="883" spans="1:17" s="22" customFormat="1" ht="13.8" x14ac:dyDescent="0.25">
      <c r="A883" s="22">
        <v>646</v>
      </c>
      <c r="B883" s="22" t="s">
        <v>697</v>
      </c>
      <c r="C883" s="22" t="s">
        <v>464</v>
      </c>
      <c r="D883" s="22" t="s">
        <v>221</v>
      </c>
      <c r="E883" s="158">
        <v>14490</v>
      </c>
      <c r="F883" s="159">
        <v>142000</v>
      </c>
      <c r="G883" s="159">
        <v>2057580000</v>
      </c>
      <c r="H883" s="159">
        <v>205758000</v>
      </c>
      <c r="I883" s="159">
        <v>2263338000</v>
      </c>
      <c r="J883" s="159">
        <f>bargiri[[#This Row],[مقدار]]*INDEX(invoice[پیش دریافت به ازای هر کیلوگرم],MATCH(bargiri[[#This Row],[شماره سند مبنا]],invoice[شماره پیش فاکتور],0))</f>
        <v>339500700</v>
      </c>
      <c r="K883" s="159">
        <f>bargiri[[#This Row],[مبلغ خالص]]-bargiri[[#This Row],[میزان استهلاک پیش دریافتی]]</f>
        <v>1923837300</v>
      </c>
      <c r="L883" s="160" t="s">
        <v>593</v>
      </c>
      <c r="M883" s="159"/>
      <c r="N883" s="159">
        <f>IF(bargiri[[#This Row],[مبلغ واریزی]]&lt;&gt;"",bargiri[[#This Row],[مانده مبلغ]]-bargiri[[#This Row],[مبلغ واریزی]],bargiri[[#This Row],[مانده مبلغ]])</f>
        <v>1923837300</v>
      </c>
      <c r="O883" s="159" t="s">
        <v>593</v>
      </c>
      <c r="P883" s="159">
        <f>VLOOKUP(bargiri[[#This Row],[شماره سند مبنا]],invoice[[شماره پیش فاکتور]:[پیش دریافت به ازای هر کیلوگرم]],14,0)</f>
        <v>23430</v>
      </c>
      <c r="Q883" s="159">
        <f>IF(bargiri[[#This Row],[مبلغ ناخالص]]-(bargiri[[#This Row],[نرخ استهلاک]]*bargiri[[#This Row],[مقدار]])&lt;0,0,bargiri[[#This Row],[مبلغ ناخالص]]-(bargiri[[#This Row],[نرخ استهلاک]]*bargiri[[#This Row],[مقدار]]))</f>
        <v>1718079300</v>
      </c>
    </row>
    <row r="884" spans="1:17" s="22" customFormat="1" ht="13.8" x14ac:dyDescent="0.25">
      <c r="A884" s="22">
        <v>645</v>
      </c>
      <c r="B884" s="22" t="s">
        <v>697</v>
      </c>
      <c r="C884" s="22" t="s">
        <v>209</v>
      </c>
      <c r="D884" s="22" t="s">
        <v>40</v>
      </c>
      <c r="E884" s="158">
        <v>18525</v>
      </c>
      <c r="F884" s="159">
        <v>66200</v>
      </c>
      <c r="G884" s="159">
        <v>1226355000</v>
      </c>
      <c r="H884" s="159">
        <v>122635500</v>
      </c>
      <c r="I884" s="159">
        <v>1348990500</v>
      </c>
      <c r="J884" s="159">
        <f>bargiri[[#This Row],[مقدار]]*INDEX(invoice[پیش دریافت به ازای هر کیلوگرم],MATCH(bargiri[[#This Row],[شماره سند مبنا]],invoice[شماره پیش فاکتور],0))</f>
        <v>202348575</v>
      </c>
      <c r="K884" s="159">
        <f>bargiri[[#This Row],[مبلغ خالص]]-bargiri[[#This Row],[میزان استهلاک پیش دریافتی]]</f>
        <v>1146641925</v>
      </c>
      <c r="L884" s="160" t="s">
        <v>593</v>
      </c>
      <c r="M884" s="159"/>
      <c r="N884" s="159">
        <f>IF(bargiri[[#This Row],[مبلغ واریزی]]&lt;&gt;"",bargiri[[#This Row],[مانده مبلغ]]-bargiri[[#This Row],[مبلغ واریزی]],bargiri[[#This Row],[مانده مبلغ]])</f>
        <v>1146641925</v>
      </c>
      <c r="O884" s="159" t="s">
        <v>593</v>
      </c>
      <c r="P884" s="159">
        <f>VLOOKUP(bargiri[[#This Row],[شماره سند مبنا]],invoice[[شماره پیش فاکتور]:[پیش دریافت به ازای هر کیلوگرم]],14,0)</f>
        <v>10923</v>
      </c>
      <c r="Q884" s="159">
        <f>IF(bargiri[[#This Row],[مبلغ ناخالص]]-(bargiri[[#This Row],[نرخ استهلاک]]*bargiri[[#This Row],[مقدار]])&lt;0,0,bargiri[[#This Row],[مبلغ ناخالص]]-(bargiri[[#This Row],[نرخ استهلاک]]*bargiri[[#This Row],[مقدار]]))</f>
        <v>1024006425</v>
      </c>
    </row>
    <row r="885" spans="1:17" s="22" customFormat="1" ht="13.8" x14ac:dyDescent="0.25">
      <c r="A885" s="22">
        <v>644</v>
      </c>
      <c r="B885" s="22" t="s">
        <v>839</v>
      </c>
      <c r="C885" s="22" t="s">
        <v>182</v>
      </c>
      <c r="D885" s="22" t="s">
        <v>20</v>
      </c>
      <c r="E885" s="158">
        <v>19020</v>
      </c>
      <c r="F885" s="159">
        <v>86500</v>
      </c>
      <c r="G885" s="159">
        <v>1645230000</v>
      </c>
      <c r="H885" s="159">
        <v>164523000</v>
      </c>
      <c r="I885" s="159">
        <v>1809753000</v>
      </c>
      <c r="J885" s="159">
        <f>bargiri[[#This Row],[مقدار]]*INDEX(invoice[پیش دریافت به ازای هر کیلوگرم],MATCH(bargiri[[#This Row],[شماره سند مبنا]],invoice[شماره پیش فاکتور],0))</f>
        <v>246784500</v>
      </c>
      <c r="K885" s="159">
        <f>bargiri[[#This Row],[مبلغ خالص]]-bargiri[[#This Row],[میزان استهلاک پیش دریافتی]]</f>
        <v>1562968500</v>
      </c>
      <c r="L885" s="160" t="s">
        <v>593</v>
      </c>
      <c r="M885" s="159"/>
      <c r="N885" s="159">
        <f>IF(bargiri[[#This Row],[مبلغ واریزی]]&lt;&gt;"",bargiri[[#This Row],[مانده مبلغ]]-bargiri[[#This Row],[مبلغ واریزی]],bargiri[[#This Row],[مانده مبلغ]])</f>
        <v>1562968500</v>
      </c>
      <c r="O885" s="159" t="s">
        <v>593</v>
      </c>
      <c r="P885" s="159">
        <f>VLOOKUP(bargiri[[#This Row],[شماره سند مبنا]],invoice[[شماره پیش فاکتور]:[پیش دریافت به ازای هر کیلوگرم]],14,0)</f>
        <v>12975</v>
      </c>
      <c r="Q885" s="159">
        <f>IF(bargiri[[#This Row],[مبلغ ناخالص]]-(bargiri[[#This Row],[نرخ استهلاک]]*bargiri[[#This Row],[مقدار]])&lt;0,0,bargiri[[#This Row],[مبلغ ناخالص]]-(bargiri[[#This Row],[نرخ استهلاک]]*bargiri[[#This Row],[مقدار]]))</f>
        <v>1398445500</v>
      </c>
    </row>
    <row r="886" spans="1:17" s="22" customFormat="1" ht="13.8" x14ac:dyDescent="0.25">
      <c r="A886" s="22">
        <v>643</v>
      </c>
      <c r="B886" s="22" t="s">
        <v>839</v>
      </c>
      <c r="C886" s="22" t="s">
        <v>107</v>
      </c>
      <c r="D886" s="22" t="s">
        <v>30</v>
      </c>
      <c r="E886" s="158">
        <v>11615</v>
      </c>
      <c r="F886" s="159">
        <v>70000</v>
      </c>
      <c r="G886" s="159">
        <v>813050000</v>
      </c>
      <c r="H886" s="159">
        <v>81305000</v>
      </c>
      <c r="I886" s="159">
        <v>894355000</v>
      </c>
      <c r="J886" s="159">
        <f>bargiri[[#This Row],[مقدار]]*INDEX(invoice[پیش دریافت به ازای هر کیلوگرم],MATCH(bargiri[[#This Row],[شماره سند مبنا]],invoice[شماره پیش فاکتور],0))</f>
        <v>447177500</v>
      </c>
      <c r="K886" s="159">
        <f>bargiri[[#This Row],[مبلغ خالص]]-bargiri[[#This Row],[میزان استهلاک پیش دریافتی]]</f>
        <v>447177500</v>
      </c>
      <c r="L886" s="160" t="s">
        <v>593</v>
      </c>
      <c r="M886" s="159"/>
      <c r="N886" s="159">
        <f>IF(bargiri[[#This Row],[مبلغ واریزی]]&lt;&gt;"",bargiri[[#This Row],[مانده مبلغ]]-bargiri[[#This Row],[مبلغ واریزی]],bargiri[[#This Row],[مانده مبلغ]])</f>
        <v>447177500</v>
      </c>
      <c r="O886" s="159" t="s">
        <v>593</v>
      </c>
      <c r="P886" s="159">
        <f>VLOOKUP(bargiri[[#This Row],[شماره سند مبنا]],invoice[[شماره پیش فاکتور]:[پیش دریافت به ازای هر کیلوگرم]],14,0)</f>
        <v>38500</v>
      </c>
      <c r="Q886" s="159">
        <f>IF(bargiri[[#This Row],[مبلغ ناخالص]]-(bargiri[[#This Row],[نرخ استهلاک]]*bargiri[[#This Row],[مقدار]])&lt;0,0,bargiri[[#This Row],[مبلغ ناخالص]]-(bargiri[[#This Row],[نرخ استهلاک]]*bargiri[[#This Row],[مقدار]]))</f>
        <v>365872500</v>
      </c>
    </row>
    <row r="887" spans="1:17" s="22" customFormat="1" ht="13.8" x14ac:dyDescent="0.25">
      <c r="A887" s="22">
        <v>642</v>
      </c>
      <c r="B887" s="22" t="s">
        <v>839</v>
      </c>
      <c r="C887" s="22" t="s">
        <v>616</v>
      </c>
      <c r="D887" s="22" t="s">
        <v>67</v>
      </c>
      <c r="E887" s="158">
        <v>20045</v>
      </c>
      <c r="F887" s="159">
        <v>142000</v>
      </c>
      <c r="G887" s="159">
        <v>2846390000</v>
      </c>
      <c r="H887" s="159">
        <v>284639000</v>
      </c>
      <c r="I887" s="159">
        <v>3131029000</v>
      </c>
      <c r="J887" s="159">
        <f>bargiri[[#This Row],[مقدار]]*INDEX(invoice[پیش دریافت به ازای هر کیلوگرم],MATCH(bargiri[[#This Row],[شماره سند مبنا]],invoice[شماره پیش فاکتور],0))</f>
        <v>469654350</v>
      </c>
      <c r="K887" s="159">
        <f>bargiri[[#This Row],[مبلغ خالص]]-bargiri[[#This Row],[میزان استهلاک پیش دریافتی]]</f>
        <v>2661374650</v>
      </c>
      <c r="L887" s="160" t="s">
        <v>593</v>
      </c>
      <c r="M887" s="159"/>
      <c r="N887" s="159">
        <f>IF(bargiri[[#This Row],[مبلغ واریزی]]&lt;&gt;"",bargiri[[#This Row],[مانده مبلغ]]-bargiri[[#This Row],[مبلغ واریزی]],bargiri[[#This Row],[مانده مبلغ]])</f>
        <v>2661374650</v>
      </c>
      <c r="O887" s="159" t="s">
        <v>593</v>
      </c>
      <c r="P887" s="159">
        <f>VLOOKUP(bargiri[[#This Row],[شماره سند مبنا]],invoice[[شماره پیش فاکتور]:[پیش دریافت به ازای هر کیلوگرم]],14,0)</f>
        <v>23430</v>
      </c>
      <c r="Q887" s="159">
        <f>IF(bargiri[[#This Row],[مبلغ ناخالص]]-(bargiri[[#This Row],[نرخ استهلاک]]*bargiri[[#This Row],[مقدار]])&lt;0,0,bargiri[[#This Row],[مبلغ ناخالص]]-(bargiri[[#This Row],[نرخ استهلاک]]*bargiri[[#This Row],[مقدار]]))</f>
        <v>2376735650</v>
      </c>
    </row>
    <row r="888" spans="1:17" s="22" customFormat="1" ht="13.8" x14ac:dyDescent="0.25">
      <c r="A888" s="22">
        <v>641</v>
      </c>
      <c r="B888" s="22" t="s">
        <v>839</v>
      </c>
      <c r="C888" s="22" t="s">
        <v>607</v>
      </c>
      <c r="D888" s="22" t="s">
        <v>180</v>
      </c>
      <c r="E888" s="158">
        <v>7755</v>
      </c>
      <c r="F888" s="159">
        <v>142000</v>
      </c>
      <c r="G888" s="159">
        <v>1101210000</v>
      </c>
      <c r="H888" s="159">
        <v>110121000</v>
      </c>
      <c r="I888" s="159">
        <v>1211331000</v>
      </c>
      <c r="J888" s="159">
        <f>bargiri[[#This Row],[مقدار]]*INDEX(invoice[پیش دریافت به ازای هر کیلوگرم],MATCH(bargiri[[#This Row],[شماره سند مبنا]],invoice[شماره پیش فاکتور],0))</f>
        <v>578886633.1551559</v>
      </c>
      <c r="K888" s="159">
        <f>bargiri[[#This Row],[مبلغ خالص]]-bargiri[[#This Row],[میزان استهلاک پیش دریافتی]]</f>
        <v>632444366.8448441</v>
      </c>
      <c r="L888" s="160" t="s">
        <v>593</v>
      </c>
      <c r="M888" s="159"/>
      <c r="N888" s="159">
        <f>IF(bargiri[[#This Row],[مبلغ واریزی]]&lt;&gt;"",bargiri[[#This Row],[مانده مبلغ]]-bargiri[[#This Row],[مبلغ واریزی]],bargiri[[#This Row],[مانده مبلغ]])</f>
        <v>632444366.8448441</v>
      </c>
      <c r="O888" s="159" t="s">
        <v>593</v>
      </c>
      <c r="P888" s="159">
        <f>VLOOKUP(bargiri[[#This Row],[شماره سند مبنا]],invoice[[شماره پیش فاکتور]:[پیش دریافت به ازای هر کیلوگرم]],14,0)</f>
        <v>74646.890155403729</v>
      </c>
      <c r="Q888" s="159">
        <f>IF(bargiri[[#This Row],[مبلغ ناخالص]]-(bargiri[[#This Row],[نرخ استهلاک]]*bargiri[[#This Row],[مقدار]])&lt;0,0,bargiri[[#This Row],[مبلغ ناخالص]]-(bargiri[[#This Row],[نرخ استهلاک]]*bargiri[[#This Row],[مقدار]]))</f>
        <v>522323366.8448441</v>
      </c>
    </row>
    <row r="889" spans="1:17" s="22" customFormat="1" ht="13.8" x14ac:dyDescent="0.25">
      <c r="A889" s="22">
        <v>640</v>
      </c>
      <c r="B889" s="22" t="s">
        <v>839</v>
      </c>
      <c r="C889" s="22" t="s">
        <v>72</v>
      </c>
      <c r="D889" s="22" t="s">
        <v>73</v>
      </c>
      <c r="E889" s="158">
        <v>20565</v>
      </c>
      <c r="F889" s="159">
        <v>57273</v>
      </c>
      <c r="G889" s="159">
        <v>1177819245</v>
      </c>
      <c r="H889" s="159">
        <v>117781925</v>
      </c>
      <c r="I889" s="159">
        <v>1295601170</v>
      </c>
      <c r="J889" s="159" t="e">
        <f>bargiri[[#This Row],[مقدار]]*INDEX(invoice[پیش دریافت به ازای هر کیلوگرم],MATCH(bargiri[[#This Row],[شماره سند مبنا]],invoice[شماره پیش فاکتور],0))</f>
        <v>#N/A</v>
      </c>
      <c r="K889" s="159" t="e">
        <f>bargiri[[#This Row],[مبلغ خالص]]-bargiri[[#This Row],[میزان استهلاک پیش دریافتی]]</f>
        <v>#N/A</v>
      </c>
      <c r="L889" s="160" t="s">
        <v>593</v>
      </c>
      <c r="M889" s="159"/>
      <c r="N889" s="159" t="e">
        <f>IF(bargiri[[#This Row],[مبلغ واریزی]]&lt;&gt;"",bargiri[[#This Row],[مانده مبلغ]]-bargiri[[#This Row],[مبلغ واریزی]],bargiri[[#This Row],[مانده مبلغ]])</f>
        <v>#N/A</v>
      </c>
      <c r="O889" s="159" t="s">
        <v>593</v>
      </c>
      <c r="P889" s="159" t="e">
        <f>VLOOKUP(bargiri[[#This Row],[شماره سند مبنا]],invoice[[شماره پیش فاکتور]:[پیش دریافت به ازای هر کیلوگرم]],14,0)</f>
        <v>#N/A</v>
      </c>
      <c r="Q889" s="159" t="e">
        <f>IF(bargiri[[#This Row],[مبلغ ناخالص]]-(bargiri[[#This Row],[نرخ استهلاک]]*bargiri[[#This Row],[مقدار]])&lt;0,0,bargiri[[#This Row],[مبلغ ناخالص]]-(bargiri[[#This Row],[نرخ استهلاک]]*bargiri[[#This Row],[مقدار]]))</f>
        <v>#N/A</v>
      </c>
    </row>
    <row r="890" spans="1:17" s="22" customFormat="1" ht="13.8" x14ac:dyDescent="0.25">
      <c r="A890" s="22">
        <v>639</v>
      </c>
      <c r="B890" s="22" t="s">
        <v>839</v>
      </c>
      <c r="C890" s="22" t="s">
        <v>72</v>
      </c>
      <c r="D890" s="22" t="s">
        <v>73</v>
      </c>
      <c r="E890" s="158">
        <v>20485</v>
      </c>
      <c r="F890" s="159">
        <v>57273</v>
      </c>
      <c r="G890" s="159">
        <v>1173237405</v>
      </c>
      <c r="H890" s="159">
        <v>117323741</v>
      </c>
      <c r="I890" s="159">
        <v>1290561146</v>
      </c>
      <c r="J890" s="159" t="e">
        <f>bargiri[[#This Row],[مقدار]]*INDEX(invoice[پیش دریافت به ازای هر کیلوگرم],MATCH(bargiri[[#This Row],[شماره سند مبنا]],invoice[شماره پیش فاکتور],0))</f>
        <v>#N/A</v>
      </c>
      <c r="K890" s="159" t="e">
        <f>bargiri[[#This Row],[مبلغ خالص]]-bargiri[[#This Row],[میزان استهلاک پیش دریافتی]]</f>
        <v>#N/A</v>
      </c>
      <c r="L890" s="160" t="s">
        <v>593</v>
      </c>
      <c r="M890" s="159"/>
      <c r="N890" s="159" t="e">
        <f>IF(bargiri[[#This Row],[مبلغ واریزی]]&lt;&gt;"",bargiri[[#This Row],[مانده مبلغ]]-bargiri[[#This Row],[مبلغ واریزی]],bargiri[[#This Row],[مانده مبلغ]])</f>
        <v>#N/A</v>
      </c>
      <c r="O890" s="159" t="s">
        <v>593</v>
      </c>
      <c r="P890" s="159" t="e">
        <f>VLOOKUP(bargiri[[#This Row],[شماره سند مبنا]],invoice[[شماره پیش فاکتور]:[پیش دریافت به ازای هر کیلوگرم]],14,0)</f>
        <v>#N/A</v>
      </c>
      <c r="Q890" s="159" t="e">
        <f>IF(bargiri[[#This Row],[مبلغ ناخالص]]-(bargiri[[#This Row],[نرخ استهلاک]]*bargiri[[#This Row],[مقدار]])&lt;0,0,bargiri[[#This Row],[مبلغ ناخالص]]-(bargiri[[#This Row],[نرخ استهلاک]]*bargiri[[#This Row],[مقدار]]))</f>
        <v>#N/A</v>
      </c>
    </row>
    <row r="891" spans="1:17" s="22" customFormat="1" ht="13.8" x14ac:dyDescent="0.25">
      <c r="A891" s="22">
        <v>638</v>
      </c>
      <c r="B891" s="22" t="s">
        <v>840</v>
      </c>
      <c r="C891" s="22" t="s">
        <v>456</v>
      </c>
      <c r="D891" s="22" t="s">
        <v>213</v>
      </c>
      <c r="E891" s="158">
        <v>7515</v>
      </c>
      <c r="F891" s="159">
        <v>142000</v>
      </c>
      <c r="G891" s="159">
        <v>1067130000</v>
      </c>
      <c r="H891" s="159">
        <v>106713000</v>
      </c>
      <c r="I891" s="159">
        <v>1173843000</v>
      </c>
      <c r="J891" s="159">
        <f>bargiri[[#This Row],[مقدار]]*INDEX(invoice[پیش دریافت به ازای هر کیلوگرم],MATCH(bargiri[[#This Row],[شماره سند مبنا]],invoice[شماره پیش فاکتور],0))</f>
        <v>891761002.63508606</v>
      </c>
      <c r="K891" s="159">
        <f>bargiri[[#This Row],[مبلغ خالص]]-bargiri[[#This Row],[میزان استهلاک پیش دریافتی]]</f>
        <v>282081997.36491394</v>
      </c>
      <c r="L891" s="160" t="s">
        <v>250</v>
      </c>
      <c r="M891" s="159"/>
      <c r="N891" s="159">
        <f>IF(bargiri[[#This Row],[مبلغ واریزی]]&lt;&gt;"",bargiri[[#This Row],[مانده مبلغ]]-bargiri[[#This Row],[مبلغ واریزی]],bargiri[[#This Row],[مانده مبلغ]])</f>
        <v>282081997.36491394</v>
      </c>
      <c r="O891" s="159">
        <v>0</v>
      </c>
      <c r="P891" s="159">
        <f>VLOOKUP(bargiri[[#This Row],[شماره سند مبنا]],invoice[[شماره پیش فاکتور]:[پیش دریافت به ازای هر کیلوگرم]],14,0)</f>
        <v>118664.13874053041</v>
      </c>
      <c r="Q891" s="159">
        <f>IF(bargiri[[#This Row],[مبلغ ناخالص]]-(bargiri[[#This Row],[نرخ استهلاک]]*bargiri[[#This Row],[مقدار]])&lt;0,0,bargiri[[#This Row],[مبلغ ناخالص]]-(bargiri[[#This Row],[نرخ استهلاک]]*bargiri[[#This Row],[مقدار]]))</f>
        <v>175368997.36491394</v>
      </c>
    </row>
    <row r="892" spans="1:17" s="22" customFormat="1" ht="13.8" x14ac:dyDescent="0.25">
      <c r="A892" s="22">
        <v>637</v>
      </c>
      <c r="B892" s="22" t="s">
        <v>840</v>
      </c>
      <c r="C892" s="22" t="s">
        <v>649</v>
      </c>
      <c r="D892" s="22" t="s">
        <v>67</v>
      </c>
      <c r="E892" s="158">
        <v>19875</v>
      </c>
      <c r="F892" s="159">
        <v>201000</v>
      </c>
      <c r="G892" s="159">
        <v>3994875000</v>
      </c>
      <c r="H892" s="159">
        <v>399487500</v>
      </c>
      <c r="I892" s="159">
        <v>4394362500</v>
      </c>
      <c r="J892" s="159">
        <f>bargiri[[#This Row],[مقدار]]*INDEX(invoice[پیش دریافت به ازای هر کیلوگرم],MATCH(bargiri[[#This Row],[شماره سند مبنا]],invoice[شماره پیش فاکتور],0))</f>
        <v>4394362500</v>
      </c>
      <c r="K892" s="159">
        <f>bargiri[[#This Row],[مبلغ خالص]]-bargiri[[#This Row],[میزان استهلاک پیش دریافتی]]</f>
        <v>0</v>
      </c>
      <c r="L892" s="160" t="s">
        <v>593</v>
      </c>
      <c r="M892" s="159"/>
      <c r="N892" s="159">
        <f>IF(bargiri[[#This Row],[مبلغ واریزی]]&lt;&gt;"",bargiri[[#This Row],[مانده مبلغ]]-bargiri[[#This Row],[مبلغ واریزی]],bargiri[[#This Row],[مانده مبلغ]])</f>
        <v>0</v>
      </c>
      <c r="O892" s="159" t="s">
        <v>593</v>
      </c>
      <c r="P892" s="159">
        <f>VLOOKUP(bargiri[[#This Row],[شماره سند مبنا]],invoice[[شماره پیش فاکتور]:[پیش دریافت به ازای هر کیلوگرم]],14,0)</f>
        <v>221100</v>
      </c>
      <c r="Q892" s="159">
        <f>IF(bargiri[[#This Row],[مبلغ ناخالص]]-(bargiri[[#This Row],[نرخ استهلاک]]*bargiri[[#This Row],[مقدار]])&lt;0,0,bargiri[[#This Row],[مبلغ ناخالص]]-(bargiri[[#This Row],[نرخ استهلاک]]*bargiri[[#This Row],[مقدار]]))</f>
        <v>0</v>
      </c>
    </row>
    <row r="893" spans="1:17" s="22" customFormat="1" ht="13.8" x14ac:dyDescent="0.25">
      <c r="A893" s="22">
        <v>636</v>
      </c>
      <c r="B893" s="22" t="s">
        <v>840</v>
      </c>
      <c r="C893" s="22" t="s">
        <v>107</v>
      </c>
      <c r="D893" s="22" t="s">
        <v>30</v>
      </c>
      <c r="E893" s="158">
        <v>11510</v>
      </c>
      <c r="F893" s="159">
        <v>70000</v>
      </c>
      <c r="G893" s="159">
        <v>805700000</v>
      </c>
      <c r="H893" s="159">
        <v>80570000</v>
      </c>
      <c r="I893" s="159">
        <v>886270000</v>
      </c>
      <c r="J893" s="159">
        <f>bargiri[[#This Row],[مقدار]]*INDEX(invoice[پیش دریافت به ازای هر کیلوگرم],MATCH(bargiri[[#This Row],[شماره سند مبنا]],invoice[شماره پیش فاکتور],0))</f>
        <v>443135000</v>
      </c>
      <c r="K893" s="159">
        <f>bargiri[[#This Row],[مبلغ خالص]]-bargiri[[#This Row],[میزان استهلاک پیش دریافتی]]</f>
        <v>443135000</v>
      </c>
      <c r="L893" s="160" t="s">
        <v>593</v>
      </c>
      <c r="M893" s="159"/>
      <c r="N893" s="159">
        <f>IF(bargiri[[#This Row],[مبلغ واریزی]]&lt;&gt;"",bargiri[[#This Row],[مانده مبلغ]]-bargiri[[#This Row],[مبلغ واریزی]],bargiri[[#This Row],[مانده مبلغ]])</f>
        <v>443135000</v>
      </c>
      <c r="O893" s="159" t="s">
        <v>593</v>
      </c>
      <c r="P893" s="159">
        <f>VLOOKUP(bargiri[[#This Row],[شماره سند مبنا]],invoice[[شماره پیش فاکتور]:[پیش دریافت به ازای هر کیلوگرم]],14,0)</f>
        <v>38500</v>
      </c>
      <c r="Q893" s="159">
        <f>IF(bargiri[[#This Row],[مبلغ ناخالص]]-(bargiri[[#This Row],[نرخ استهلاک]]*bargiri[[#This Row],[مقدار]])&lt;0,0,bargiri[[#This Row],[مبلغ ناخالص]]-(bargiri[[#This Row],[نرخ استهلاک]]*bargiri[[#This Row],[مقدار]]))</f>
        <v>362565000</v>
      </c>
    </row>
    <row r="894" spans="1:17" s="22" customFormat="1" ht="13.8" x14ac:dyDescent="0.25">
      <c r="A894" s="22">
        <v>635</v>
      </c>
      <c r="B894" s="22" t="s">
        <v>840</v>
      </c>
      <c r="C894" s="22" t="s">
        <v>608</v>
      </c>
      <c r="D894" s="22" t="s">
        <v>40</v>
      </c>
      <c r="E894" s="158">
        <v>18475</v>
      </c>
      <c r="F894" s="159">
        <v>142000</v>
      </c>
      <c r="G894" s="159">
        <v>2623450000</v>
      </c>
      <c r="H894" s="159">
        <v>262345000</v>
      </c>
      <c r="I894" s="159">
        <v>2885795000</v>
      </c>
      <c r="J894" s="159">
        <f>bargiri[[#This Row],[مقدار]]*INDEX(invoice[پیش دریافت به ازای هر کیلوگرم],MATCH(bargiri[[#This Row],[شماره سند مبنا]],invoice[شماره پیش فاکتور],0))</f>
        <v>432869250</v>
      </c>
      <c r="K894" s="159">
        <f>bargiri[[#This Row],[مبلغ خالص]]-bargiri[[#This Row],[میزان استهلاک پیش دریافتی]]</f>
        <v>2452925750</v>
      </c>
      <c r="L894" s="160" t="s">
        <v>593</v>
      </c>
      <c r="M894" s="159"/>
      <c r="N894" s="159">
        <f>IF(bargiri[[#This Row],[مبلغ واریزی]]&lt;&gt;"",bargiri[[#This Row],[مانده مبلغ]]-bargiri[[#This Row],[مبلغ واریزی]],bargiri[[#This Row],[مانده مبلغ]])</f>
        <v>2452925750</v>
      </c>
      <c r="O894" s="159" t="s">
        <v>593</v>
      </c>
      <c r="P894" s="159">
        <f>VLOOKUP(bargiri[[#This Row],[شماره سند مبنا]],invoice[[شماره پیش فاکتور]:[پیش دریافت به ازای هر کیلوگرم]],14,0)</f>
        <v>23430</v>
      </c>
      <c r="Q894" s="159">
        <f>IF(bargiri[[#This Row],[مبلغ ناخالص]]-(bargiri[[#This Row],[نرخ استهلاک]]*bargiri[[#This Row],[مقدار]])&lt;0,0,bargiri[[#This Row],[مبلغ ناخالص]]-(bargiri[[#This Row],[نرخ استهلاک]]*bargiri[[#This Row],[مقدار]]))</f>
        <v>2190580750</v>
      </c>
    </row>
    <row r="895" spans="1:17" s="22" customFormat="1" ht="13.8" x14ac:dyDescent="0.25">
      <c r="A895" s="22">
        <v>634</v>
      </c>
      <c r="B895" s="22" t="s">
        <v>840</v>
      </c>
      <c r="C895" s="22" t="s">
        <v>673</v>
      </c>
      <c r="D895" s="22" t="s">
        <v>70</v>
      </c>
      <c r="E895" s="158">
        <v>19935</v>
      </c>
      <c r="F895" s="159">
        <v>167500</v>
      </c>
      <c r="G895" s="159">
        <v>3339112500</v>
      </c>
      <c r="H895" s="159">
        <v>333911250</v>
      </c>
      <c r="I895" s="159">
        <v>3673023750</v>
      </c>
      <c r="J895" s="159">
        <f>bargiri[[#This Row],[مقدار]]*INDEX(invoice[پیش دریافت به ازای هر کیلوگرم],MATCH(bargiri[[#This Row],[شماره سند مبنا]],invoice[شماره پیش فاکتور],0))</f>
        <v>1973565000</v>
      </c>
      <c r="K895" s="159">
        <f>bargiri[[#This Row],[مبلغ خالص]]-bargiri[[#This Row],[میزان استهلاک پیش دریافتی]]</f>
        <v>1699458750</v>
      </c>
      <c r="L895" s="160" t="s">
        <v>593</v>
      </c>
      <c r="M895" s="159"/>
      <c r="N895" s="159">
        <f>IF(bargiri[[#This Row],[مبلغ واریزی]]&lt;&gt;"",bargiri[[#This Row],[مانده مبلغ]]-bargiri[[#This Row],[مبلغ واریزی]],bargiri[[#This Row],[مانده مبلغ]])</f>
        <v>1699458750</v>
      </c>
      <c r="O895" s="159" t="s">
        <v>593</v>
      </c>
      <c r="P895" s="159">
        <f>VLOOKUP(bargiri[[#This Row],[شماره سند مبنا]],invoice[[شماره پیش فاکتور]:[پیش دریافت به ازای هر کیلوگرم]],14,0)</f>
        <v>99000</v>
      </c>
      <c r="Q895" s="159">
        <f>IF(bargiri[[#This Row],[مبلغ ناخالص]]-(bargiri[[#This Row],[نرخ استهلاک]]*bargiri[[#This Row],[مقدار]])&lt;0,0,bargiri[[#This Row],[مبلغ ناخالص]]-(bargiri[[#This Row],[نرخ استهلاک]]*bargiri[[#This Row],[مقدار]]))</f>
        <v>1365547500</v>
      </c>
    </row>
    <row r="896" spans="1:17" s="22" customFormat="1" ht="13.8" x14ac:dyDescent="0.25">
      <c r="A896" s="22">
        <v>633</v>
      </c>
      <c r="B896" s="22" t="s">
        <v>840</v>
      </c>
      <c r="C896" s="22" t="s">
        <v>187</v>
      </c>
      <c r="D896" s="22" t="s">
        <v>43</v>
      </c>
      <c r="E896" s="158">
        <v>22270</v>
      </c>
      <c r="F896" s="159">
        <v>80000</v>
      </c>
      <c r="G896" s="159">
        <v>1781600000</v>
      </c>
      <c r="H896" s="159">
        <v>178160000</v>
      </c>
      <c r="I896" s="159">
        <v>1959760000</v>
      </c>
      <c r="J896" s="159">
        <f>bargiri[[#This Row],[مقدار]]*INDEX(invoice[پیش دریافت به ازای هر کیلوگرم],MATCH(bargiri[[#This Row],[شماره سند مبنا]],invoice[شماره پیش فاکتور],0))</f>
        <v>391952000</v>
      </c>
      <c r="K896" s="159">
        <f>bargiri[[#This Row],[مبلغ خالص]]-bargiri[[#This Row],[میزان استهلاک پیش دریافتی]]</f>
        <v>1567808000</v>
      </c>
      <c r="L896" s="160" t="s">
        <v>593</v>
      </c>
      <c r="M896" s="159"/>
      <c r="N896" s="159">
        <f>IF(bargiri[[#This Row],[مبلغ واریزی]]&lt;&gt;"",bargiri[[#This Row],[مانده مبلغ]]-bargiri[[#This Row],[مبلغ واریزی]],bargiri[[#This Row],[مانده مبلغ]])</f>
        <v>1567808000</v>
      </c>
      <c r="O896" s="159" t="s">
        <v>593</v>
      </c>
      <c r="P896" s="159">
        <f>VLOOKUP(bargiri[[#This Row],[شماره سند مبنا]],invoice[[شماره پیش فاکتور]:[پیش دریافت به ازای هر کیلوگرم]],14,0)</f>
        <v>17600</v>
      </c>
      <c r="Q896" s="159">
        <f>IF(bargiri[[#This Row],[مبلغ ناخالص]]-(bargiri[[#This Row],[نرخ استهلاک]]*bargiri[[#This Row],[مقدار]])&lt;0,0,bargiri[[#This Row],[مبلغ ناخالص]]-(bargiri[[#This Row],[نرخ استهلاک]]*bargiri[[#This Row],[مقدار]]))</f>
        <v>1389648000</v>
      </c>
    </row>
    <row r="897" spans="1:17" s="22" customFormat="1" ht="13.8" x14ac:dyDescent="0.25">
      <c r="A897" s="22">
        <v>632</v>
      </c>
      <c r="B897" s="22" t="s">
        <v>840</v>
      </c>
      <c r="C897" s="22" t="s">
        <v>458</v>
      </c>
      <c r="D897" s="22" t="s">
        <v>156</v>
      </c>
      <c r="E897" s="158">
        <v>22055</v>
      </c>
      <c r="F897" s="159">
        <v>142000</v>
      </c>
      <c r="G897" s="159">
        <v>3131810000</v>
      </c>
      <c r="H897" s="159">
        <v>313181000</v>
      </c>
      <c r="I897" s="159">
        <v>3444991000</v>
      </c>
      <c r="J897" s="159">
        <f>bargiri[[#This Row],[مقدار]]*INDEX(invoice[پیش دریافت به ازای هر کیلوگرم],MATCH(bargiri[[#This Row],[شماره سند مبنا]],invoice[شماره پیش فاکتور],0))</f>
        <v>622976531.57588053</v>
      </c>
      <c r="K897" s="159">
        <f>bargiri[[#This Row],[مبلغ خالص]]-bargiri[[#This Row],[میزان استهلاک پیش دریافتی]]</f>
        <v>2822014468.4241195</v>
      </c>
      <c r="L897" s="160" t="s">
        <v>593</v>
      </c>
      <c r="M897" s="159"/>
      <c r="N897" s="159">
        <f>IF(bargiri[[#This Row],[مبلغ واریزی]]&lt;&gt;"",bargiri[[#This Row],[مانده مبلغ]]-bargiri[[#This Row],[مبلغ واریزی]],bargiri[[#This Row],[مانده مبلغ]])</f>
        <v>2822014468.4241195</v>
      </c>
      <c r="O897" s="159" t="s">
        <v>593</v>
      </c>
      <c r="P897" s="159">
        <f>VLOOKUP(bargiri[[#This Row],[شماره سند مبنا]],invoice[[شماره پیش فاکتور]:[پیش دریافت به ازای هر کیلوگرم]],14,0)</f>
        <v>28246.498824569509</v>
      </c>
      <c r="Q897" s="159">
        <f>IF(bargiri[[#This Row],[مبلغ ناخالص]]-(bargiri[[#This Row],[نرخ استهلاک]]*bargiri[[#This Row],[مقدار]])&lt;0,0,bargiri[[#This Row],[مبلغ ناخالص]]-(bargiri[[#This Row],[نرخ استهلاک]]*bargiri[[#This Row],[مقدار]]))</f>
        <v>2508833468.4241195</v>
      </c>
    </row>
    <row r="898" spans="1:17" s="22" customFormat="1" ht="13.8" x14ac:dyDescent="0.25">
      <c r="A898" s="22">
        <v>631</v>
      </c>
      <c r="B898" s="22" t="s">
        <v>841</v>
      </c>
      <c r="C898" s="22" t="s">
        <v>72</v>
      </c>
      <c r="D898" s="22" t="s">
        <v>73</v>
      </c>
      <c r="E898" s="158">
        <v>20595</v>
      </c>
      <c r="F898" s="159">
        <v>57273</v>
      </c>
      <c r="G898" s="159">
        <v>1179537435</v>
      </c>
      <c r="H898" s="159">
        <v>117953744</v>
      </c>
      <c r="I898" s="159">
        <v>1297491179</v>
      </c>
      <c r="J898" s="159" t="e">
        <f>bargiri[[#This Row],[مقدار]]*INDEX(invoice[پیش دریافت به ازای هر کیلوگرم],MATCH(bargiri[[#This Row],[شماره سند مبنا]],invoice[شماره پیش فاکتور],0))</f>
        <v>#N/A</v>
      </c>
      <c r="K898" s="159" t="e">
        <f>bargiri[[#This Row],[مبلغ خالص]]-bargiri[[#This Row],[میزان استهلاک پیش دریافتی]]</f>
        <v>#N/A</v>
      </c>
      <c r="L898" s="160" t="s">
        <v>296</v>
      </c>
      <c r="M898" s="159"/>
      <c r="N898" s="159" t="e">
        <f>IF(bargiri[[#This Row],[مبلغ واریزی]]&lt;&gt;"",bargiri[[#This Row],[مانده مبلغ]]-bargiri[[#This Row],[مبلغ واریزی]],bargiri[[#This Row],[مانده مبلغ]])</f>
        <v>#N/A</v>
      </c>
      <c r="O898" s="159" t="s">
        <v>385</v>
      </c>
      <c r="P898" s="159" t="e">
        <f>VLOOKUP(bargiri[[#This Row],[شماره سند مبنا]],invoice[[شماره پیش فاکتور]:[پیش دریافت به ازای هر کیلوگرم]],14,0)</f>
        <v>#N/A</v>
      </c>
      <c r="Q898" s="159" t="e">
        <f>IF(bargiri[[#This Row],[مبلغ ناخالص]]-(bargiri[[#This Row],[نرخ استهلاک]]*bargiri[[#This Row],[مقدار]])&lt;0,0,bargiri[[#This Row],[مبلغ ناخالص]]-(bargiri[[#This Row],[نرخ استهلاک]]*bargiri[[#This Row],[مقدار]]))</f>
        <v>#N/A</v>
      </c>
    </row>
    <row r="899" spans="1:17" s="22" customFormat="1" ht="13.8" x14ac:dyDescent="0.25">
      <c r="A899" s="22">
        <v>630</v>
      </c>
      <c r="B899" s="22" t="s">
        <v>841</v>
      </c>
      <c r="C899" s="22" t="s">
        <v>72</v>
      </c>
      <c r="D899" s="22" t="s">
        <v>73</v>
      </c>
      <c r="E899" s="158">
        <v>20640</v>
      </c>
      <c r="F899" s="159">
        <v>57273</v>
      </c>
      <c r="G899" s="159">
        <v>1182114720</v>
      </c>
      <c r="H899" s="159">
        <v>118211472</v>
      </c>
      <c r="I899" s="159">
        <v>1300326192</v>
      </c>
      <c r="J899" s="159" t="e">
        <f>bargiri[[#This Row],[مقدار]]*INDEX(invoice[پیش دریافت به ازای هر کیلوگرم],MATCH(bargiri[[#This Row],[شماره سند مبنا]],invoice[شماره پیش فاکتور],0))</f>
        <v>#N/A</v>
      </c>
      <c r="K899" s="159" t="e">
        <f>bargiri[[#This Row],[مبلغ خالص]]-bargiri[[#This Row],[میزان استهلاک پیش دریافتی]]</f>
        <v>#N/A</v>
      </c>
      <c r="L899" s="160" t="s">
        <v>296</v>
      </c>
      <c r="M899" s="159"/>
      <c r="N899" s="159" t="e">
        <f>IF(bargiri[[#This Row],[مبلغ واریزی]]&lt;&gt;"",bargiri[[#This Row],[مانده مبلغ]]-bargiri[[#This Row],[مبلغ واریزی]],bargiri[[#This Row],[مانده مبلغ]])</f>
        <v>#N/A</v>
      </c>
      <c r="O899" s="159">
        <v>0</v>
      </c>
      <c r="P899" s="159" t="e">
        <f>VLOOKUP(bargiri[[#This Row],[شماره سند مبنا]],invoice[[شماره پیش فاکتور]:[پیش دریافت به ازای هر کیلوگرم]],14,0)</f>
        <v>#N/A</v>
      </c>
      <c r="Q899" s="159" t="e">
        <f>IF(bargiri[[#This Row],[مبلغ ناخالص]]-(bargiri[[#This Row],[نرخ استهلاک]]*bargiri[[#This Row],[مقدار]])&lt;0,0,bargiri[[#This Row],[مبلغ ناخالص]]-(bargiri[[#This Row],[نرخ استهلاک]]*bargiri[[#This Row],[مقدار]]))</f>
        <v>#N/A</v>
      </c>
    </row>
    <row r="900" spans="1:17" s="22" customFormat="1" ht="13.8" x14ac:dyDescent="0.25">
      <c r="A900" s="22">
        <v>629</v>
      </c>
      <c r="B900" s="22" t="s">
        <v>841</v>
      </c>
      <c r="C900" s="22" t="s">
        <v>72</v>
      </c>
      <c r="D900" s="22" t="s">
        <v>73</v>
      </c>
      <c r="E900" s="158">
        <v>20315</v>
      </c>
      <c r="F900" s="159">
        <v>57273</v>
      </c>
      <c r="G900" s="159">
        <v>1163500995</v>
      </c>
      <c r="H900" s="159">
        <v>116350100</v>
      </c>
      <c r="I900" s="159">
        <v>1279851095</v>
      </c>
      <c r="J900" s="159" t="e">
        <f>bargiri[[#This Row],[مقدار]]*INDEX(invoice[پیش دریافت به ازای هر کیلوگرم],MATCH(bargiri[[#This Row],[شماره سند مبنا]],invoice[شماره پیش فاکتور],0))</f>
        <v>#N/A</v>
      </c>
      <c r="K900" s="159" t="e">
        <f>bargiri[[#This Row],[مبلغ خالص]]-bargiri[[#This Row],[میزان استهلاک پیش دریافتی]]</f>
        <v>#N/A</v>
      </c>
      <c r="L900" s="160" t="s">
        <v>593</v>
      </c>
      <c r="M900" s="159"/>
      <c r="N900" s="159" t="e">
        <f>IF(bargiri[[#This Row],[مبلغ واریزی]]&lt;&gt;"",bargiri[[#This Row],[مانده مبلغ]]-bargiri[[#This Row],[مبلغ واریزی]],bargiri[[#This Row],[مانده مبلغ]])</f>
        <v>#N/A</v>
      </c>
      <c r="O900" s="159" t="s">
        <v>593</v>
      </c>
      <c r="P900" s="159" t="e">
        <f>VLOOKUP(bargiri[[#This Row],[شماره سند مبنا]],invoice[[شماره پیش فاکتور]:[پیش دریافت به ازای هر کیلوگرم]],14,0)</f>
        <v>#N/A</v>
      </c>
      <c r="Q900" s="159" t="e">
        <f>IF(bargiri[[#This Row],[مبلغ ناخالص]]-(bargiri[[#This Row],[نرخ استهلاک]]*bargiri[[#This Row],[مقدار]])&lt;0,0,bargiri[[#This Row],[مبلغ ناخالص]]-(bargiri[[#This Row],[نرخ استهلاک]]*bargiri[[#This Row],[مقدار]]))</f>
        <v>#N/A</v>
      </c>
    </row>
    <row r="901" spans="1:17" s="22" customFormat="1" ht="13.8" x14ac:dyDescent="0.25">
      <c r="A901" s="22">
        <v>628</v>
      </c>
      <c r="B901" s="22" t="s">
        <v>841</v>
      </c>
      <c r="C901" s="22" t="s">
        <v>616</v>
      </c>
      <c r="D901" s="22" t="s">
        <v>67</v>
      </c>
      <c r="E901" s="158">
        <v>19660</v>
      </c>
      <c r="F901" s="159">
        <v>142000</v>
      </c>
      <c r="G901" s="159">
        <v>2791720000</v>
      </c>
      <c r="H901" s="159">
        <v>279172000</v>
      </c>
      <c r="I901" s="159">
        <v>3070892000</v>
      </c>
      <c r="J901" s="159">
        <f>bargiri[[#This Row],[مقدار]]*INDEX(invoice[پیش دریافت به ازای هر کیلوگرم],MATCH(bargiri[[#This Row],[شماره سند مبنا]],invoice[شماره پیش فاکتور],0))</f>
        <v>460633800</v>
      </c>
      <c r="K901" s="159">
        <f>bargiri[[#This Row],[مبلغ خالص]]-bargiri[[#This Row],[میزان استهلاک پیش دریافتی]]</f>
        <v>2610258200</v>
      </c>
      <c r="L901" s="160" t="s">
        <v>593</v>
      </c>
      <c r="M901" s="159"/>
      <c r="N901" s="159">
        <f>IF(bargiri[[#This Row],[مبلغ واریزی]]&lt;&gt;"",bargiri[[#This Row],[مانده مبلغ]]-bargiri[[#This Row],[مبلغ واریزی]],bargiri[[#This Row],[مانده مبلغ]])</f>
        <v>2610258200</v>
      </c>
      <c r="O901" s="159" t="s">
        <v>593</v>
      </c>
      <c r="P901" s="159">
        <f>VLOOKUP(bargiri[[#This Row],[شماره سند مبنا]],invoice[[شماره پیش فاکتور]:[پیش دریافت به ازای هر کیلوگرم]],14,0)</f>
        <v>23430</v>
      </c>
      <c r="Q901" s="159">
        <f>IF(bargiri[[#This Row],[مبلغ ناخالص]]-(bargiri[[#This Row],[نرخ استهلاک]]*bargiri[[#This Row],[مقدار]])&lt;0,0,bargiri[[#This Row],[مبلغ ناخالص]]-(bargiri[[#This Row],[نرخ استهلاک]]*bargiri[[#This Row],[مقدار]]))</f>
        <v>2331086200</v>
      </c>
    </row>
    <row r="902" spans="1:17" s="22" customFormat="1" ht="13.8" x14ac:dyDescent="0.25">
      <c r="A902" s="22">
        <v>627</v>
      </c>
      <c r="B902" s="22" t="s">
        <v>841</v>
      </c>
      <c r="C902" s="22" t="s">
        <v>72</v>
      </c>
      <c r="D902" s="22" t="s">
        <v>73</v>
      </c>
      <c r="E902" s="158">
        <v>20605</v>
      </c>
      <c r="F902" s="159">
        <v>57273</v>
      </c>
      <c r="G902" s="159">
        <v>1180110165</v>
      </c>
      <c r="H902" s="159">
        <v>118011017</v>
      </c>
      <c r="I902" s="159">
        <v>1298121182</v>
      </c>
      <c r="J902" s="159" t="e">
        <f>bargiri[[#This Row],[مقدار]]*INDEX(invoice[پیش دریافت به ازای هر کیلوگرم],MATCH(bargiri[[#This Row],[شماره سند مبنا]],invoice[شماره پیش فاکتور],0))</f>
        <v>#N/A</v>
      </c>
      <c r="K902" s="159" t="e">
        <f>bargiri[[#This Row],[مبلغ خالص]]-bargiri[[#This Row],[میزان استهلاک پیش دریافتی]]</f>
        <v>#N/A</v>
      </c>
      <c r="L902" s="160" t="s">
        <v>593</v>
      </c>
      <c r="M902" s="159"/>
      <c r="N902" s="159" t="e">
        <f>IF(bargiri[[#This Row],[مبلغ واریزی]]&lt;&gt;"",bargiri[[#This Row],[مانده مبلغ]]-bargiri[[#This Row],[مبلغ واریزی]],bargiri[[#This Row],[مانده مبلغ]])</f>
        <v>#N/A</v>
      </c>
      <c r="O902" s="159" t="s">
        <v>593</v>
      </c>
      <c r="P902" s="159" t="e">
        <f>VLOOKUP(bargiri[[#This Row],[شماره سند مبنا]],invoice[[شماره پیش فاکتور]:[پیش دریافت به ازای هر کیلوگرم]],14,0)</f>
        <v>#N/A</v>
      </c>
      <c r="Q902" s="159" t="e">
        <f>IF(bargiri[[#This Row],[مبلغ ناخالص]]-(bargiri[[#This Row],[نرخ استهلاک]]*bargiri[[#This Row],[مقدار]])&lt;0,0,bargiri[[#This Row],[مبلغ ناخالص]]-(bargiri[[#This Row],[نرخ استهلاک]]*bargiri[[#This Row],[مقدار]]))</f>
        <v>#N/A</v>
      </c>
    </row>
    <row r="903" spans="1:17" s="22" customFormat="1" ht="13.8" x14ac:dyDescent="0.25">
      <c r="A903" s="22">
        <v>626</v>
      </c>
      <c r="B903" s="22" t="s">
        <v>841</v>
      </c>
      <c r="C903" s="22" t="s">
        <v>72</v>
      </c>
      <c r="D903" s="22" t="s">
        <v>73</v>
      </c>
      <c r="E903" s="158">
        <v>20500</v>
      </c>
      <c r="F903" s="159">
        <v>57273</v>
      </c>
      <c r="G903" s="159">
        <v>1174096500</v>
      </c>
      <c r="H903" s="159">
        <v>117409650</v>
      </c>
      <c r="I903" s="159">
        <v>1291506150</v>
      </c>
      <c r="J903" s="159" t="e">
        <f>bargiri[[#This Row],[مقدار]]*INDEX(invoice[پیش دریافت به ازای هر کیلوگرم],MATCH(bargiri[[#This Row],[شماره سند مبنا]],invoice[شماره پیش فاکتور],0))</f>
        <v>#N/A</v>
      </c>
      <c r="K903" s="159" t="e">
        <f>bargiri[[#This Row],[مبلغ خالص]]-bargiri[[#This Row],[میزان استهلاک پیش دریافتی]]</f>
        <v>#N/A</v>
      </c>
      <c r="L903" s="160" t="s">
        <v>593</v>
      </c>
      <c r="M903" s="159"/>
      <c r="N903" s="159" t="e">
        <f>IF(bargiri[[#This Row],[مبلغ واریزی]]&lt;&gt;"",bargiri[[#This Row],[مانده مبلغ]]-bargiri[[#This Row],[مبلغ واریزی]],bargiri[[#This Row],[مانده مبلغ]])</f>
        <v>#N/A</v>
      </c>
      <c r="O903" s="159" t="s">
        <v>593</v>
      </c>
      <c r="P903" s="159" t="e">
        <f>VLOOKUP(bargiri[[#This Row],[شماره سند مبنا]],invoice[[شماره پیش فاکتور]:[پیش دریافت به ازای هر کیلوگرم]],14,0)</f>
        <v>#N/A</v>
      </c>
      <c r="Q903" s="159" t="e">
        <f>IF(bargiri[[#This Row],[مبلغ ناخالص]]-(bargiri[[#This Row],[نرخ استهلاک]]*bargiri[[#This Row],[مقدار]])&lt;0,0,bargiri[[#This Row],[مبلغ ناخالص]]-(bargiri[[#This Row],[نرخ استهلاک]]*bargiri[[#This Row],[مقدار]]))</f>
        <v>#N/A</v>
      </c>
    </row>
    <row r="904" spans="1:17" s="22" customFormat="1" ht="13.8" x14ac:dyDescent="0.25">
      <c r="A904" s="22">
        <v>625</v>
      </c>
      <c r="B904" s="22" t="s">
        <v>694</v>
      </c>
      <c r="C904" s="22" t="s">
        <v>182</v>
      </c>
      <c r="D904" s="22" t="s">
        <v>20</v>
      </c>
      <c r="E904" s="158">
        <v>18885</v>
      </c>
      <c r="F904" s="159">
        <v>86500</v>
      </c>
      <c r="G904" s="159">
        <v>1633552500</v>
      </c>
      <c r="H904" s="159">
        <v>163355250</v>
      </c>
      <c r="I904" s="159">
        <v>1796907750</v>
      </c>
      <c r="J904" s="159">
        <f>bargiri[[#This Row],[مقدار]]*INDEX(invoice[پیش دریافت به ازای هر کیلوگرم],MATCH(bargiri[[#This Row],[شماره سند مبنا]],invoice[شماره پیش فاکتور],0))</f>
        <v>245032875</v>
      </c>
      <c r="K904" s="159">
        <f>bargiri[[#This Row],[مبلغ خالص]]-bargiri[[#This Row],[میزان استهلاک پیش دریافتی]]</f>
        <v>1551874875</v>
      </c>
      <c r="L904" s="160" t="s">
        <v>593</v>
      </c>
      <c r="M904" s="159"/>
      <c r="N904" s="159">
        <f>IF(bargiri[[#This Row],[مبلغ واریزی]]&lt;&gt;"",bargiri[[#This Row],[مانده مبلغ]]-bargiri[[#This Row],[مبلغ واریزی]],bargiri[[#This Row],[مانده مبلغ]])</f>
        <v>1551874875</v>
      </c>
      <c r="O904" s="159" t="s">
        <v>593</v>
      </c>
      <c r="P904" s="159">
        <f>VLOOKUP(bargiri[[#This Row],[شماره سند مبنا]],invoice[[شماره پیش فاکتور]:[پیش دریافت به ازای هر کیلوگرم]],14,0)</f>
        <v>12975</v>
      </c>
      <c r="Q904" s="159">
        <f>IF(bargiri[[#This Row],[مبلغ ناخالص]]-(bargiri[[#This Row],[نرخ استهلاک]]*bargiri[[#This Row],[مقدار]])&lt;0,0,bargiri[[#This Row],[مبلغ ناخالص]]-(bargiri[[#This Row],[نرخ استهلاک]]*bargiri[[#This Row],[مقدار]]))</f>
        <v>1388519625</v>
      </c>
    </row>
    <row r="905" spans="1:17" s="22" customFormat="1" ht="13.8" x14ac:dyDescent="0.25">
      <c r="A905" s="22">
        <v>624</v>
      </c>
      <c r="B905" s="22" t="s">
        <v>694</v>
      </c>
      <c r="C905" s="22" t="s">
        <v>214</v>
      </c>
      <c r="D905" s="22" t="s">
        <v>67</v>
      </c>
      <c r="E905" s="158">
        <v>1415</v>
      </c>
      <c r="F905" s="159">
        <v>65000</v>
      </c>
      <c r="G905" s="159">
        <v>91975000</v>
      </c>
      <c r="H905" s="159">
        <v>9197500</v>
      </c>
      <c r="I905" s="159">
        <v>101172500</v>
      </c>
      <c r="J905" s="159">
        <f>bargiri[[#This Row],[مقدار]]*INDEX(invoice[پیش دریافت به ازای هر کیلوگرم],MATCH(bargiri[[#This Row],[شماره سند مبنا]],invoice[شماره پیش فاکتور],0))</f>
        <v>15175875</v>
      </c>
      <c r="K905" s="159">
        <f>bargiri[[#This Row],[مبلغ خالص]]-bargiri[[#This Row],[میزان استهلاک پیش دریافتی]]</f>
        <v>85996625</v>
      </c>
      <c r="L905" s="160" t="s">
        <v>593</v>
      </c>
      <c r="M905" s="159"/>
      <c r="N905" s="159">
        <f>IF(bargiri[[#This Row],[مبلغ واریزی]]&lt;&gt;"",bargiri[[#This Row],[مانده مبلغ]]-bargiri[[#This Row],[مبلغ واریزی]],bargiri[[#This Row],[مانده مبلغ]])</f>
        <v>85996625</v>
      </c>
      <c r="O905" s="159" t="s">
        <v>593</v>
      </c>
      <c r="P905" s="159">
        <f>VLOOKUP(bargiri[[#This Row],[شماره سند مبنا]],invoice[[شماره پیش فاکتور]:[پیش دریافت به ازای هر کیلوگرم]],14,0)</f>
        <v>10725</v>
      </c>
      <c r="Q905" s="159">
        <f>IF(bargiri[[#This Row],[مبلغ ناخالص]]-(bargiri[[#This Row],[نرخ استهلاک]]*bargiri[[#This Row],[مقدار]])&lt;0,0,bargiri[[#This Row],[مبلغ ناخالص]]-(bargiri[[#This Row],[نرخ استهلاک]]*bargiri[[#This Row],[مقدار]]))</f>
        <v>76799125</v>
      </c>
    </row>
    <row r="906" spans="1:17" s="22" customFormat="1" ht="13.8" x14ac:dyDescent="0.25">
      <c r="A906" s="22">
        <v>624</v>
      </c>
      <c r="B906" s="22" t="s">
        <v>694</v>
      </c>
      <c r="C906" s="22" t="s">
        <v>644</v>
      </c>
      <c r="D906" s="22" t="s">
        <v>67</v>
      </c>
      <c r="E906" s="158">
        <v>18645</v>
      </c>
      <c r="F906" s="159">
        <v>95000</v>
      </c>
      <c r="G906" s="159">
        <v>1771275000</v>
      </c>
      <c r="H906" s="159">
        <v>177127500</v>
      </c>
      <c r="I906" s="159">
        <v>1948402500</v>
      </c>
      <c r="J906" s="159">
        <f>bargiri[[#This Row],[مقدار]]*INDEX(invoice[پیش دریافت به ازای هر کیلوگرم],MATCH(bargiri[[#This Row],[شماره سند مبنا]],invoice[شماره پیش فاکتور],0))</f>
        <v>566915486.18821716</v>
      </c>
      <c r="K906" s="159">
        <f>bargiri[[#This Row],[مبلغ خالص]]-bargiri[[#This Row],[میزان استهلاک پیش دریافتی]]</f>
        <v>1381487013.8117828</v>
      </c>
      <c r="L906" s="160" t="s">
        <v>593</v>
      </c>
      <c r="M906" s="159"/>
      <c r="N906" s="159">
        <f>IF(bargiri[[#This Row],[مبلغ واریزی]]&lt;&gt;"",bargiri[[#This Row],[مانده مبلغ]]-bargiri[[#This Row],[مبلغ واریزی]],bargiri[[#This Row],[مانده مبلغ]])</f>
        <v>1381487013.8117828</v>
      </c>
      <c r="O906" s="159" t="s">
        <v>593</v>
      </c>
      <c r="P906" s="159">
        <f>VLOOKUP(bargiri[[#This Row],[شماره سند مبنا]],invoice[[شماره پیش فاکتور]:[پیش دریافت به ازای هر کیلوگرم]],14,0)</f>
        <v>30405.764880033101</v>
      </c>
      <c r="Q906" s="159">
        <f>IF(bargiri[[#This Row],[مبلغ ناخالص]]-(bargiri[[#This Row],[نرخ استهلاک]]*bargiri[[#This Row],[مقدار]])&lt;0,0,bargiri[[#This Row],[مبلغ ناخالص]]-(bargiri[[#This Row],[نرخ استهلاک]]*bargiri[[#This Row],[مقدار]]))</f>
        <v>1204359513.8117828</v>
      </c>
    </row>
    <row r="907" spans="1:17" s="22" customFormat="1" ht="13.8" x14ac:dyDescent="0.25">
      <c r="A907" s="22">
        <v>623</v>
      </c>
      <c r="B907" s="22" t="s">
        <v>694</v>
      </c>
      <c r="C907" s="22" t="s">
        <v>461</v>
      </c>
      <c r="D907" s="22" t="s">
        <v>35</v>
      </c>
      <c r="E907" s="158">
        <v>7355</v>
      </c>
      <c r="F907" s="159">
        <v>142000</v>
      </c>
      <c r="G907" s="159">
        <v>1044410000</v>
      </c>
      <c r="H907" s="159">
        <v>104441000</v>
      </c>
      <c r="I907" s="159">
        <v>1148851000</v>
      </c>
      <c r="J907" s="159">
        <f>bargiri[[#This Row],[مقدار]]*INDEX(invoice[پیش دریافت به ازای هر کیلوگرم],MATCH(bargiri[[#This Row],[شماره سند مبنا]],invoice[شماره پیش فاکتور],0))</f>
        <v>241378240.50469795</v>
      </c>
      <c r="K907" s="159">
        <f>bargiri[[#This Row],[مبلغ خالص]]-bargiri[[#This Row],[میزان استهلاک پیش دریافتی]]</f>
        <v>907472759.49530208</v>
      </c>
      <c r="L907" s="160" t="s">
        <v>593</v>
      </c>
      <c r="M907" s="159"/>
      <c r="N907" s="159">
        <f>IF(bargiri[[#This Row],[مبلغ واریزی]]&lt;&gt;"",bargiri[[#This Row],[مانده مبلغ]]-bargiri[[#This Row],[مبلغ واریزی]],bargiri[[#This Row],[مانده مبلغ]])</f>
        <v>907472759.49530208</v>
      </c>
      <c r="O907" s="159" t="s">
        <v>593</v>
      </c>
      <c r="P907" s="159">
        <f>VLOOKUP(bargiri[[#This Row],[شماره سند مبنا]],invoice[[شماره پیش فاکتور]:[پیش دریافت به ازای هر کیلوگرم]],14,0)</f>
        <v>32818.251598191426</v>
      </c>
      <c r="Q907" s="159">
        <f>IF(bargiri[[#This Row],[مبلغ ناخالص]]-(bargiri[[#This Row],[نرخ استهلاک]]*bargiri[[#This Row],[مقدار]])&lt;0,0,bargiri[[#This Row],[مبلغ ناخالص]]-(bargiri[[#This Row],[نرخ استهلاک]]*bargiri[[#This Row],[مقدار]]))</f>
        <v>803031759.49530208</v>
      </c>
    </row>
    <row r="908" spans="1:17" s="22" customFormat="1" ht="13.8" x14ac:dyDescent="0.25">
      <c r="A908" s="22">
        <v>622</v>
      </c>
      <c r="B908" s="22" t="s">
        <v>694</v>
      </c>
      <c r="C908" s="22" t="s">
        <v>833</v>
      </c>
      <c r="D908" s="22" t="s">
        <v>17</v>
      </c>
      <c r="E908" s="158">
        <v>22030</v>
      </c>
      <c r="F908" s="159">
        <v>142000</v>
      </c>
      <c r="G908" s="159">
        <v>3128260000</v>
      </c>
      <c r="H908" s="159">
        <v>312826000</v>
      </c>
      <c r="I908" s="159">
        <v>3441086000</v>
      </c>
      <c r="J908" s="159">
        <f>bargiri[[#This Row],[مقدار]]*INDEX(invoice[پیش دریافت به ازای هر کیلوگرم],MATCH(bargiri[[#This Row],[شماره سند مبنا]],invoice[شماره پیش فاکتور],0))</f>
        <v>516162900</v>
      </c>
      <c r="K908" s="159">
        <f>bargiri[[#This Row],[مبلغ خالص]]-bargiri[[#This Row],[میزان استهلاک پیش دریافتی]]</f>
        <v>2924923100</v>
      </c>
      <c r="L908" s="160" t="s">
        <v>593</v>
      </c>
      <c r="M908" s="159"/>
      <c r="N908" s="159">
        <f>IF(bargiri[[#This Row],[مبلغ واریزی]]&lt;&gt;"",bargiri[[#This Row],[مانده مبلغ]]-bargiri[[#This Row],[مبلغ واریزی]],bargiri[[#This Row],[مانده مبلغ]])</f>
        <v>2924923100</v>
      </c>
      <c r="O908" s="159" t="s">
        <v>593</v>
      </c>
      <c r="P908" s="159">
        <f>VLOOKUP(bargiri[[#This Row],[شماره سند مبنا]],invoice[[شماره پیش فاکتور]:[پیش دریافت به ازای هر کیلوگرم]],14,0)</f>
        <v>23430</v>
      </c>
      <c r="Q908" s="159">
        <f>IF(bargiri[[#This Row],[مبلغ ناخالص]]-(bargiri[[#This Row],[نرخ استهلاک]]*bargiri[[#This Row],[مقدار]])&lt;0,0,bargiri[[#This Row],[مبلغ ناخالص]]-(bargiri[[#This Row],[نرخ استهلاک]]*bargiri[[#This Row],[مقدار]]))</f>
        <v>2612097100</v>
      </c>
    </row>
    <row r="909" spans="1:17" s="22" customFormat="1" ht="13.8" x14ac:dyDescent="0.25">
      <c r="A909" s="22">
        <v>621</v>
      </c>
      <c r="B909" s="22" t="s">
        <v>694</v>
      </c>
      <c r="C909" s="22" t="s">
        <v>209</v>
      </c>
      <c r="D909" s="22" t="s">
        <v>40</v>
      </c>
      <c r="E909" s="158">
        <v>18370</v>
      </c>
      <c r="F909" s="159">
        <v>66200</v>
      </c>
      <c r="G909" s="159">
        <v>1216094000</v>
      </c>
      <c r="H909" s="159">
        <v>121609400</v>
      </c>
      <c r="I909" s="159">
        <v>1337703400</v>
      </c>
      <c r="J909" s="159">
        <f>bargiri[[#This Row],[مقدار]]*INDEX(invoice[پیش دریافت به ازای هر کیلوگرم],MATCH(bargiri[[#This Row],[شماره سند مبنا]],invoice[شماره پیش فاکتور],0))</f>
        <v>200655510</v>
      </c>
      <c r="K909" s="159">
        <f>bargiri[[#This Row],[مبلغ خالص]]-bargiri[[#This Row],[میزان استهلاک پیش دریافتی]]</f>
        <v>1137047890</v>
      </c>
      <c r="L909" s="160" t="s">
        <v>593</v>
      </c>
      <c r="M909" s="159"/>
      <c r="N909" s="159">
        <f>IF(bargiri[[#This Row],[مبلغ واریزی]]&lt;&gt;"",bargiri[[#This Row],[مانده مبلغ]]-bargiri[[#This Row],[مبلغ واریزی]],bargiri[[#This Row],[مانده مبلغ]])</f>
        <v>1137047890</v>
      </c>
      <c r="O909" s="159" t="s">
        <v>593</v>
      </c>
      <c r="P909" s="159">
        <f>VLOOKUP(bargiri[[#This Row],[شماره سند مبنا]],invoice[[شماره پیش فاکتور]:[پیش دریافت به ازای هر کیلوگرم]],14,0)</f>
        <v>10923</v>
      </c>
      <c r="Q909" s="159">
        <f>IF(bargiri[[#This Row],[مبلغ ناخالص]]-(bargiri[[#This Row],[نرخ استهلاک]]*bargiri[[#This Row],[مقدار]])&lt;0,0,bargiri[[#This Row],[مبلغ ناخالص]]-(bargiri[[#This Row],[نرخ استهلاک]]*bargiri[[#This Row],[مقدار]]))</f>
        <v>1015438490</v>
      </c>
    </row>
    <row r="910" spans="1:17" s="22" customFormat="1" ht="13.8" x14ac:dyDescent="0.25">
      <c r="A910" s="22">
        <v>620</v>
      </c>
      <c r="B910" s="22" t="s">
        <v>842</v>
      </c>
      <c r="C910" s="22" t="s">
        <v>461</v>
      </c>
      <c r="D910" s="22" t="s">
        <v>35</v>
      </c>
      <c r="E910" s="158">
        <v>7310</v>
      </c>
      <c r="F910" s="159">
        <v>142000</v>
      </c>
      <c r="G910" s="159">
        <v>1038020000</v>
      </c>
      <c r="H910" s="159">
        <v>103802000</v>
      </c>
      <c r="I910" s="159">
        <v>1141822000</v>
      </c>
      <c r="J910" s="159">
        <f>bargiri[[#This Row],[مقدار]]*INDEX(invoice[پیش دریافت به ازای هر کیلوگرم],MATCH(bargiri[[#This Row],[شماره سند مبنا]],invoice[شماره پیش فاکتور],0))</f>
        <v>239901419.18277931</v>
      </c>
      <c r="K910" s="159">
        <f>bargiri[[#This Row],[مبلغ خالص]]-bargiri[[#This Row],[میزان استهلاک پیش دریافتی]]</f>
        <v>901920580.81722069</v>
      </c>
      <c r="L910" s="160" t="s">
        <v>593</v>
      </c>
      <c r="M910" s="159"/>
      <c r="N910" s="159">
        <f>IF(bargiri[[#This Row],[مبلغ واریزی]]&lt;&gt;"",bargiri[[#This Row],[مانده مبلغ]]-bargiri[[#This Row],[مبلغ واریزی]],bargiri[[#This Row],[مانده مبلغ]])</f>
        <v>901920580.81722069</v>
      </c>
      <c r="O910" s="159" t="s">
        <v>593</v>
      </c>
      <c r="P910" s="159">
        <f>VLOOKUP(bargiri[[#This Row],[شماره سند مبنا]],invoice[[شماره پیش فاکتور]:[پیش دریافت به ازای هر کیلوگرم]],14,0)</f>
        <v>32818.251598191426</v>
      </c>
      <c r="Q910" s="159">
        <f>IF(bargiri[[#This Row],[مبلغ ناخالص]]-(bargiri[[#This Row],[نرخ استهلاک]]*bargiri[[#This Row],[مقدار]])&lt;0,0,bargiri[[#This Row],[مبلغ ناخالص]]-(bargiri[[#This Row],[نرخ استهلاک]]*bargiri[[#This Row],[مقدار]]))</f>
        <v>798118580.81722069</v>
      </c>
    </row>
    <row r="911" spans="1:17" s="22" customFormat="1" ht="13.8" x14ac:dyDescent="0.25">
      <c r="A911" s="22">
        <v>619</v>
      </c>
      <c r="B911" s="22" t="s">
        <v>842</v>
      </c>
      <c r="C911" s="22" t="s">
        <v>72</v>
      </c>
      <c r="D911" s="22" t="s">
        <v>73</v>
      </c>
      <c r="E911" s="158">
        <v>20565</v>
      </c>
      <c r="F911" s="159">
        <v>57273</v>
      </c>
      <c r="G911" s="159">
        <v>1177819245</v>
      </c>
      <c r="H911" s="159">
        <v>117781925</v>
      </c>
      <c r="I911" s="159">
        <v>1295601170</v>
      </c>
      <c r="J911" s="159" t="e">
        <f>bargiri[[#This Row],[مقدار]]*INDEX(invoice[پیش دریافت به ازای هر کیلوگرم],MATCH(bargiri[[#This Row],[شماره سند مبنا]],invoice[شماره پیش فاکتور],0))</f>
        <v>#N/A</v>
      </c>
      <c r="K911" s="159" t="e">
        <f>bargiri[[#This Row],[مبلغ خالص]]-bargiri[[#This Row],[میزان استهلاک پیش دریافتی]]</f>
        <v>#N/A</v>
      </c>
      <c r="L911" s="160" t="s">
        <v>593</v>
      </c>
      <c r="M911" s="159"/>
      <c r="N911" s="159" t="e">
        <f>IF(bargiri[[#This Row],[مبلغ واریزی]]&lt;&gt;"",bargiri[[#This Row],[مانده مبلغ]]-bargiri[[#This Row],[مبلغ واریزی]],bargiri[[#This Row],[مانده مبلغ]])</f>
        <v>#N/A</v>
      </c>
      <c r="O911" s="159" t="s">
        <v>593</v>
      </c>
      <c r="P911" s="159" t="e">
        <f>VLOOKUP(bargiri[[#This Row],[شماره سند مبنا]],invoice[[شماره پیش فاکتور]:[پیش دریافت به ازای هر کیلوگرم]],14,0)</f>
        <v>#N/A</v>
      </c>
      <c r="Q911" s="159" t="e">
        <f>IF(bargiri[[#This Row],[مبلغ ناخالص]]-(bargiri[[#This Row],[نرخ استهلاک]]*bargiri[[#This Row],[مقدار]])&lt;0,0,bargiri[[#This Row],[مبلغ ناخالص]]-(bargiri[[#This Row],[نرخ استهلاک]]*bargiri[[#This Row],[مقدار]]))</f>
        <v>#N/A</v>
      </c>
    </row>
    <row r="912" spans="1:17" s="22" customFormat="1" ht="13.8" x14ac:dyDescent="0.25">
      <c r="A912" s="22">
        <v>618</v>
      </c>
      <c r="B912" s="22" t="s">
        <v>842</v>
      </c>
      <c r="C912" s="22" t="s">
        <v>214</v>
      </c>
      <c r="D912" s="22" t="s">
        <v>67</v>
      </c>
      <c r="E912" s="158">
        <v>20060</v>
      </c>
      <c r="F912" s="159">
        <v>65000</v>
      </c>
      <c r="G912" s="159">
        <v>1303900000</v>
      </c>
      <c r="H912" s="159">
        <v>130390000</v>
      </c>
      <c r="I912" s="159">
        <v>1434290000</v>
      </c>
      <c r="J912" s="159">
        <f>bargiri[[#This Row],[مقدار]]*INDEX(invoice[پیش دریافت به ازای هر کیلوگرم],MATCH(bargiri[[#This Row],[شماره سند مبنا]],invoice[شماره پیش فاکتور],0))</f>
        <v>215143500</v>
      </c>
      <c r="K912" s="159">
        <f>bargiri[[#This Row],[مبلغ خالص]]-bargiri[[#This Row],[میزان استهلاک پیش دریافتی]]</f>
        <v>1219146500</v>
      </c>
      <c r="L912" s="160" t="s">
        <v>593</v>
      </c>
      <c r="M912" s="159"/>
      <c r="N912" s="159">
        <f>IF(bargiri[[#This Row],[مبلغ واریزی]]&lt;&gt;"",bargiri[[#This Row],[مانده مبلغ]]-bargiri[[#This Row],[مبلغ واریزی]],bargiri[[#This Row],[مانده مبلغ]])</f>
        <v>1219146500</v>
      </c>
      <c r="O912" s="159" t="s">
        <v>593</v>
      </c>
      <c r="P912" s="159">
        <f>VLOOKUP(bargiri[[#This Row],[شماره سند مبنا]],invoice[[شماره پیش فاکتور]:[پیش دریافت به ازای هر کیلوگرم]],14,0)</f>
        <v>10725</v>
      </c>
      <c r="Q912" s="159">
        <f>IF(bargiri[[#This Row],[مبلغ ناخالص]]-(bargiri[[#This Row],[نرخ استهلاک]]*bargiri[[#This Row],[مقدار]])&lt;0,0,bargiri[[#This Row],[مبلغ ناخالص]]-(bargiri[[#This Row],[نرخ استهلاک]]*bargiri[[#This Row],[مقدار]]))</f>
        <v>1088756500</v>
      </c>
    </row>
    <row r="913" spans="1:17" s="22" customFormat="1" ht="13.8" x14ac:dyDescent="0.25">
      <c r="A913" s="22">
        <v>617</v>
      </c>
      <c r="B913" s="22" t="s">
        <v>842</v>
      </c>
      <c r="C913" s="22" t="s">
        <v>72</v>
      </c>
      <c r="D913" s="22" t="s">
        <v>73</v>
      </c>
      <c r="E913" s="158">
        <v>20405</v>
      </c>
      <c r="F913" s="159">
        <v>57273</v>
      </c>
      <c r="G913" s="159">
        <v>1168655565</v>
      </c>
      <c r="H913" s="159">
        <v>116865557</v>
      </c>
      <c r="I913" s="159">
        <v>1285521122</v>
      </c>
      <c r="J913" s="159" t="e">
        <f>bargiri[[#This Row],[مقدار]]*INDEX(invoice[پیش دریافت به ازای هر کیلوگرم],MATCH(bargiri[[#This Row],[شماره سند مبنا]],invoice[شماره پیش فاکتور],0))</f>
        <v>#N/A</v>
      </c>
      <c r="K913" s="159" t="e">
        <f>bargiri[[#This Row],[مبلغ خالص]]-bargiri[[#This Row],[میزان استهلاک پیش دریافتی]]</f>
        <v>#N/A</v>
      </c>
      <c r="L913" s="160" t="s">
        <v>593</v>
      </c>
      <c r="M913" s="159"/>
      <c r="N913" s="159" t="e">
        <f>IF(bargiri[[#This Row],[مبلغ واریزی]]&lt;&gt;"",bargiri[[#This Row],[مانده مبلغ]]-bargiri[[#This Row],[مبلغ واریزی]],bargiri[[#This Row],[مانده مبلغ]])</f>
        <v>#N/A</v>
      </c>
      <c r="O913" s="159" t="s">
        <v>593</v>
      </c>
      <c r="P913" s="159" t="e">
        <f>VLOOKUP(bargiri[[#This Row],[شماره سند مبنا]],invoice[[شماره پیش فاکتور]:[پیش دریافت به ازای هر کیلوگرم]],14,0)</f>
        <v>#N/A</v>
      </c>
      <c r="Q913" s="159" t="e">
        <f>IF(bargiri[[#This Row],[مبلغ ناخالص]]-(bargiri[[#This Row],[نرخ استهلاک]]*bargiri[[#This Row],[مقدار]])&lt;0,0,bargiri[[#This Row],[مبلغ ناخالص]]-(bargiri[[#This Row],[نرخ استهلاک]]*bargiri[[#This Row],[مقدار]]))</f>
        <v>#N/A</v>
      </c>
    </row>
    <row r="914" spans="1:17" s="22" customFormat="1" ht="13.8" x14ac:dyDescent="0.25">
      <c r="A914" s="22">
        <v>616</v>
      </c>
      <c r="B914" s="22" t="s">
        <v>842</v>
      </c>
      <c r="C914" s="22" t="s">
        <v>607</v>
      </c>
      <c r="D914" s="22" t="s">
        <v>180</v>
      </c>
      <c r="E914" s="158">
        <v>7625</v>
      </c>
      <c r="F914" s="159">
        <v>142000</v>
      </c>
      <c r="G914" s="159">
        <v>1082750000</v>
      </c>
      <c r="H914" s="159">
        <v>108275000</v>
      </c>
      <c r="I914" s="159">
        <v>1191025000</v>
      </c>
      <c r="J914" s="159">
        <f>bargiri[[#This Row],[مقدار]]*INDEX(invoice[پیش دریافت به ازای هر کیلوگرم],MATCH(bargiri[[#This Row],[شماره سند مبنا]],invoice[شماره پیش فاکتور],0))</f>
        <v>569182537.43495345</v>
      </c>
      <c r="K914" s="159">
        <f>bargiri[[#This Row],[مبلغ خالص]]-bargiri[[#This Row],[میزان استهلاک پیش دریافتی]]</f>
        <v>621842462.56504655</v>
      </c>
      <c r="L914" s="160" t="s">
        <v>593</v>
      </c>
      <c r="M914" s="159"/>
      <c r="N914" s="159">
        <f>IF(bargiri[[#This Row],[مبلغ واریزی]]&lt;&gt;"",bargiri[[#This Row],[مانده مبلغ]]-bargiri[[#This Row],[مبلغ واریزی]],bargiri[[#This Row],[مانده مبلغ]])</f>
        <v>621842462.56504655</v>
      </c>
      <c r="O914" s="159" t="s">
        <v>593</v>
      </c>
      <c r="P914" s="159">
        <f>VLOOKUP(bargiri[[#This Row],[شماره سند مبنا]],invoice[[شماره پیش فاکتور]:[پیش دریافت به ازای هر کیلوگرم]],14,0)</f>
        <v>74646.890155403729</v>
      </c>
      <c r="Q914" s="159">
        <f>IF(bargiri[[#This Row],[مبلغ ناخالص]]-(bargiri[[#This Row],[نرخ استهلاک]]*bargiri[[#This Row],[مقدار]])&lt;0,0,bargiri[[#This Row],[مبلغ ناخالص]]-(bargiri[[#This Row],[نرخ استهلاک]]*bargiri[[#This Row],[مقدار]]))</f>
        <v>513567462.56504655</v>
      </c>
    </row>
    <row r="915" spans="1:17" s="22" customFormat="1" ht="13.8" x14ac:dyDescent="0.25">
      <c r="A915" s="22">
        <v>615</v>
      </c>
      <c r="B915" s="22" t="s">
        <v>843</v>
      </c>
      <c r="C915" s="22" t="s">
        <v>214</v>
      </c>
      <c r="D915" s="22" t="s">
        <v>67</v>
      </c>
      <c r="E915" s="158">
        <v>10095</v>
      </c>
      <c r="F915" s="159">
        <v>65000</v>
      </c>
      <c r="G915" s="159">
        <v>656175000</v>
      </c>
      <c r="H915" s="159">
        <v>65617500</v>
      </c>
      <c r="I915" s="159">
        <v>721792500</v>
      </c>
      <c r="J915" s="159">
        <f>bargiri[[#This Row],[مقدار]]*INDEX(invoice[پیش دریافت به ازای هر کیلوگرم],MATCH(bargiri[[#This Row],[شماره سند مبنا]],invoice[شماره پیش فاکتور],0))</f>
        <v>108268875</v>
      </c>
      <c r="K915" s="159">
        <f>bargiri[[#This Row],[مبلغ خالص]]-bargiri[[#This Row],[میزان استهلاک پیش دریافتی]]</f>
        <v>613523625</v>
      </c>
      <c r="L915" s="160" t="s">
        <v>593</v>
      </c>
      <c r="M915" s="159"/>
      <c r="N915" s="159">
        <f>IF(bargiri[[#This Row],[مبلغ واریزی]]&lt;&gt;"",bargiri[[#This Row],[مانده مبلغ]]-bargiri[[#This Row],[مبلغ واریزی]],bargiri[[#This Row],[مانده مبلغ]])</f>
        <v>613523625</v>
      </c>
      <c r="O915" s="159" t="s">
        <v>593</v>
      </c>
      <c r="P915" s="159">
        <f>VLOOKUP(bargiri[[#This Row],[شماره سند مبنا]],invoice[[شماره پیش فاکتور]:[پیش دریافت به ازای هر کیلوگرم]],14,0)</f>
        <v>10725</v>
      </c>
      <c r="Q915" s="159">
        <f>IF(bargiri[[#This Row],[مبلغ ناخالص]]-(bargiri[[#This Row],[نرخ استهلاک]]*bargiri[[#This Row],[مقدار]])&lt;0,0,bargiri[[#This Row],[مبلغ ناخالص]]-(bargiri[[#This Row],[نرخ استهلاک]]*bargiri[[#This Row],[مقدار]]))</f>
        <v>547906125</v>
      </c>
    </row>
    <row r="916" spans="1:17" s="22" customFormat="1" ht="13.8" x14ac:dyDescent="0.25">
      <c r="A916" s="22">
        <v>614</v>
      </c>
      <c r="B916" s="22" t="s">
        <v>843</v>
      </c>
      <c r="C916" s="22" t="s">
        <v>456</v>
      </c>
      <c r="D916" s="22" t="s">
        <v>213</v>
      </c>
      <c r="E916" s="158">
        <v>7460</v>
      </c>
      <c r="F916" s="159">
        <v>142000</v>
      </c>
      <c r="G916" s="159">
        <v>1059320000</v>
      </c>
      <c r="H916" s="159">
        <v>105932000</v>
      </c>
      <c r="I916" s="159">
        <v>1165252000</v>
      </c>
      <c r="J916" s="159">
        <f>bargiri[[#This Row],[مقدار]]*INDEX(invoice[پیش دریافت به ازای هر کیلوگرم],MATCH(bargiri[[#This Row],[شماره سند مبنا]],invoice[شماره پیش فاکتور],0))</f>
        <v>885234475.00435686</v>
      </c>
      <c r="K916" s="159">
        <f>bargiri[[#This Row],[مبلغ خالص]]-bargiri[[#This Row],[میزان استهلاک پیش دریافتی]]</f>
        <v>280017524.99564314</v>
      </c>
      <c r="L916" s="160" t="s">
        <v>593</v>
      </c>
      <c r="M916" s="159"/>
      <c r="N916" s="159">
        <f>IF(bargiri[[#This Row],[مبلغ واریزی]]&lt;&gt;"",bargiri[[#This Row],[مانده مبلغ]]-bargiri[[#This Row],[مبلغ واریزی]],bargiri[[#This Row],[مانده مبلغ]])</f>
        <v>280017524.99564314</v>
      </c>
      <c r="O916" s="159" t="s">
        <v>593</v>
      </c>
      <c r="P916" s="159">
        <f>VLOOKUP(bargiri[[#This Row],[شماره سند مبنا]],invoice[[شماره پیش فاکتور]:[پیش دریافت به ازای هر کیلوگرم]],14,0)</f>
        <v>118664.13874053041</v>
      </c>
      <c r="Q916" s="159">
        <f>IF(bargiri[[#This Row],[مبلغ ناخالص]]-(bargiri[[#This Row],[نرخ استهلاک]]*bargiri[[#This Row],[مقدار]])&lt;0,0,bargiri[[#This Row],[مبلغ ناخالص]]-(bargiri[[#This Row],[نرخ استهلاک]]*bargiri[[#This Row],[مقدار]]))</f>
        <v>174085524.99564314</v>
      </c>
    </row>
    <row r="917" spans="1:17" s="22" customFormat="1" ht="13.8" x14ac:dyDescent="0.25">
      <c r="A917" s="22">
        <v>613</v>
      </c>
      <c r="B917" s="22" t="s">
        <v>843</v>
      </c>
      <c r="C917" s="22" t="s">
        <v>214</v>
      </c>
      <c r="D917" s="22" t="s">
        <v>67</v>
      </c>
      <c r="E917" s="158">
        <v>19970</v>
      </c>
      <c r="F917" s="159">
        <v>65000</v>
      </c>
      <c r="G917" s="159">
        <v>1298050000</v>
      </c>
      <c r="H917" s="159">
        <v>129805000</v>
      </c>
      <c r="I917" s="159">
        <v>1427855000</v>
      </c>
      <c r="J917" s="159">
        <f>bargiri[[#This Row],[مقدار]]*INDEX(invoice[پیش دریافت به ازای هر کیلوگرم],MATCH(bargiri[[#This Row],[شماره سند مبنا]],invoice[شماره پیش فاکتور],0))</f>
        <v>214178250</v>
      </c>
      <c r="K917" s="159">
        <f>bargiri[[#This Row],[مبلغ خالص]]-bargiri[[#This Row],[میزان استهلاک پیش دریافتی]]</f>
        <v>1213676750</v>
      </c>
      <c r="L917" s="160" t="s">
        <v>593</v>
      </c>
      <c r="M917" s="159"/>
      <c r="N917" s="159">
        <f>IF(bargiri[[#This Row],[مبلغ واریزی]]&lt;&gt;"",bargiri[[#This Row],[مانده مبلغ]]-bargiri[[#This Row],[مبلغ واریزی]],bargiri[[#This Row],[مانده مبلغ]])</f>
        <v>1213676750</v>
      </c>
      <c r="O917" s="159" t="s">
        <v>593</v>
      </c>
      <c r="P917" s="159">
        <f>VLOOKUP(bargiri[[#This Row],[شماره سند مبنا]],invoice[[شماره پیش فاکتور]:[پیش دریافت به ازای هر کیلوگرم]],14,0)</f>
        <v>10725</v>
      </c>
      <c r="Q917" s="159">
        <f>IF(bargiri[[#This Row],[مبلغ ناخالص]]-(bargiri[[#This Row],[نرخ استهلاک]]*bargiri[[#This Row],[مقدار]])&lt;0,0,bargiri[[#This Row],[مبلغ ناخالص]]-(bargiri[[#This Row],[نرخ استهلاک]]*bargiri[[#This Row],[مقدار]]))</f>
        <v>1083871750</v>
      </c>
    </row>
    <row r="918" spans="1:17" s="22" customFormat="1" ht="13.8" x14ac:dyDescent="0.25">
      <c r="A918" s="22">
        <v>612</v>
      </c>
      <c r="B918" s="22" t="s">
        <v>844</v>
      </c>
      <c r="C918" s="22" t="s">
        <v>464</v>
      </c>
      <c r="D918" s="22" t="s">
        <v>221</v>
      </c>
      <c r="E918" s="158">
        <v>14355</v>
      </c>
      <c r="F918" s="159">
        <v>142000</v>
      </c>
      <c r="G918" s="159">
        <v>2038410000</v>
      </c>
      <c r="H918" s="159">
        <v>203841000</v>
      </c>
      <c r="I918" s="159">
        <v>2242251000</v>
      </c>
      <c r="J918" s="159">
        <f>bargiri[[#This Row],[مقدار]]*INDEX(invoice[پیش دریافت به ازای هر کیلوگرم],MATCH(bargiri[[#This Row],[شماره سند مبنا]],invoice[شماره پیش فاکتور],0))</f>
        <v>336337650</v>
      </c>
      <c r="K918" s="159">
        <f>bargiri[[#This Row],[مبلغ خالص]]-bargiri[[#This Row],[میزان استهلاک پیش دریافتی]]</f>
        <v>1905913350</v>
      </c>
      <c r="L918" s="160" t="s">
        <v>593</v>
      </c>
      <c r="M918" s="159"/>
      <c r="N918" s="159">
        <f>IF(bargiri[[#This Row],[مبلغ واریزی]]&lt;&gt;"",bargiri[[#This Row],[مانده مبلغ]]-bargiri[[#This Row],[مبلغ واریزی]],bargiri[[#This Row],[مانده مبلغ]])</f>
        <v>1905913350</v>
      </c>
      <c r="O918" s="159" t="s">
        <v>593</v>
      </c>
      <c r="P918" s="159">
        <f>VLOOKUP(bargiri[[#This Row],[شماره سند مبنا]],invoice[[شماره پیش فاکتور]:[پیش دریافت به ازای هر کیلوگرم]],14,0)</f>
        <v>23430</v>
      </c>
      <c r="Q918" s="159">
        <f>IF(bargiri[[#This Row],[مبلغ ناخالص]]-(bargiri[[#This Row],[نرخ استهلاک]]*bargiri[[#This Row],[مقدار]])&lt;0,0,bargiri[[#This Row],[مبلغ ناخالص]]-(bargiri[[#This Row],[نرخ استهلاک]]*bargiri[[#This Row],[مقدار]]))</f>
        <v>1702072350</v>
      </c>
    </row>
    <row r="919" spans="1:17" s="22" customFormat="1" ht="13.8" x14ac:dyDescent="0.25">
      <c r="A919" s="22">
        <v>611</v>
      </c>
      <c r="B919" s="22" t="s">
        <v>844</v>
      </c>
      <c r="C919" s="22" t="s">
        <v>458</v>
      </c>
      <c r="D919" s="22" t="s">
        <v>156</v>
      </c>
      <c r="E919" s="158">
        <v>22170</v>
      </c>
      <c r="F919" s="159">
        <v>142000</v>
      </c>
      <c r="G919" s="159">
        <v>3148140000</v>
      </c>
      <c r="H919" s="159">
        <v>314814000</v>
      </c>
      <c r="I919" s="159">
        <v>3462954000</v>
      </c>
      <c r="J919" s="159">
        <f>bargiri[[#This Row],[مقدار]]*INDEX(invoice[پیش دریافت به ازای هر کیلوگرم],MATCH(bargiri[[#This Row],[شماره سند مبنا]],invoice[شماره پیش فاکتور],0))</f>
        <v>626224878.94070601</v>
      </c>
      <c r="K919" s="159">
        <f>bargiri[[#This Row],[مبلغ خالص]]-bargiri[[#This Row],[میزان استهلاک پیش دریافتی]]</f>
        <v>2836729121.0592937</v>
      </c>
      <c r="L919" s="160" t="s">
        <v>593</v>
      </c>
      <c r="M919" s="159"/>
      <c r="N919" s="159">
        <f>IF(bargiri[[#This Row],[مبلغ واریزی]]&lt;&gt;"",bargiri[[#This Row],[مانده مبلغ]]-bargiri[[#This Row],[مبلغ واریزی]],bargiri[[#This Row],[مانده مبلغ]])</f>
        <v>2836729121.0592937</v>
      </c>
      <c r="O919" s="159" t="s">
        <v>593</v>
      </c>
      <c r="P919" s="159">
        <f>VLOOKUP(bargiri[[#This Row],[شماره سند مبنا]],invoice[[شماره پیش فاکتور]:[پیش دریافت به ازای هر کیلوگرم]],14,0)</f>
        <v>28246.498824569509</v>
      </c>
      <c r="Q919" s="159">
        <f>IF(bargiri[[#This Row],[مبلغ ناخالص]]-(bargiri[[#This Row],[نرخ استهلاک]]*bargiri[[#This Row],[مقدار]])&lt;0,0,bargiri[[#This Row],[مبلغ ناخالص]]-(bargiri[[#This Row],[نرخ استهلاک]]*bargiri[[#This Row],[مقدار]]))</f>
        <v>2521915121.0592937</v>
      </c>
    </row>
    <row r="920" spans="1:17" s="22" customFormat="1" ht="13.8" x14ac:dyDescent="0.25">
      <c r="A920" s="22">
        <v>610</v>
      </c>
      <c r="B920" s="22" t="s">
        <v>845</v>
      </c>
      <c r="C920" s="22" t="s">
        <v>616</v>
      </c>
      <c r="D920" s="22" t="s">
        <v>67</v>
      </c>
      <c r="E920" s="158">
        <v>19915</v>
      </c>
      <c r="F920" s="159">
        <v>142000</v>
      </c>
      <c r="G920" s="159">
        <v>2827930000</v>
      </c>
      <c r="H920" s="159">
        <v>282793000</v>
      </c>
      <c r="I920" s="159">
        <v>3110723000</v>
      </c>
      <c r="J920" s="159">
        <f>bargiri[[#This Row],[مقدار]]*INDEX(invoice[پیش دریافت به ازای هر کیلوگرم],MATCH(bargiri[[#This Row],[شماره سند مبنا]],invoice[شماره پیش فاکتور],0))</f>
        <v>466608450</v>
      </c>
      <c r="K920" s="159">
        <f>bargiri[[#This Row],[مبلغ خالص]]-bargiri[[#This Row],[میزان استهلاک پیش دریافتی]]</f>
        <v>2644114550</v>
      </c>
      <c r="L920" s="160" t="s">
        <v>593</v>
      </c>
      <c r="M920" s="159"/>
      <c r="N920" s="159">
        <f>IF(bargiri[[#This Row],[مبلغ واریزی]]&lt;&gt;"",bargiri[[#This Row],[مانده مبلغ]]-bargiri[[#This Row],[مبلغ واریزی]],bargiri[[#This Row],[مانده مبلغ]])</f>
        <v>2644114550</v>
      </c>
      <c r="O920" s="159" t="s">
        <v>593</v>
      </c>
      <c r="P920" s="159">
        <f>VLOOKUP(bargiri[[#This Row],[شماره سند مبنا]],invoice[[شماره پیش فاکتور]:[پیش دریافت به ازای هر کیلوگرم]],14,0)</f>
        <v>23430</v>
      </c>
      <c r="Q920" s="159">
        <f>IF(bargiri[[#This Row],[مبلغ ناخالص]]-(bargiri[[#This Row],[نرخ استهلاک]]*bargiri[[#This Row],[مقدار]])&lt;0,0,bargiri[[#This Row],[مبلغ ناخالص]]-(bargiri[[#This Row],[نرخ استهلاک]]*bargiri[[#This Row],[مقدار]]))</f>
        <v>2361321550</v>
      </c>
    </row>
    <row r="921" spans="1:17" s="22" customFormat="1" ht="13.8" x14ac:dyDescent="0.25">
      <c r="A921" s="22">
        <v>609</v>
      </c>
      <c r="B921" s="22" t="s">
        <v>846</v>
      </c>
      <c r="C921" s="22" t="s">
        <v>616</v>
      </c>
      <c r="D921" s="22" t="s">
        <v>67</v>
      </c>
      <c r="E921" s="158">
        <v>20100</v>
      </c>
      <c r="F921" s="159">
        <v>142000</v>
      </c>
      <c r="G921" s="159">
        <v>2854200000</v>
      </c>
      <c r="H921" s="159">
        <v>285420000</v>
      </c>
      <c r="I921" s="159">
        <v>3139620000</v>
      </c>
      <c r="J921" s="159">
        <f>bargiri[[#This Row],[مقدار]]*INDEX(invoice[پیش دریافت به ازای هر کیلوگرم],MATCH(bargiri[[#This Row],[شماره سند مبنا]],invoice[شماره پیش فاکتور],0))</f>
        <v>470943000</v>
      </c>
      <c r="K921" s="159">
        <f>bargiri[[#This Row],[مبلغ خالص]]-bargiri[[#This Row],[میزان استهلاک پیش دریافتی]]</f>
        <v>2668677000</v>
      </c>
      <c r="L921" s="160" t="s">
        <v>593</v>
      </c>
      <c r="M921" s="159"/>
      <c r="N921" s="159">
        <f>IF(bargiri[[#This Row],[مبلغ واریزی]]&lt;&gt;"",bargiri[[#This Row],[مانده مبلغ]]-bargiri[[#This Row],[مبلغ واریزی]],bargiri[[#This Row],[مانده مبلغ]])</f>
        <v>2668677000</v>
      </c>
      <c r="O921" s="159" t="s">
        <v>593</v>
      </c>
      <c r="P921" s="159">
        <f>VLOOKUP(bargiri[[#This Row],[شماره سند مبنا]],invoice[[شماره پیش فاکتور]:[پیش دریافت به ازای هر کیلوگرم]],14,0)</f>
        <v>23430</v>
      </c>
      <c r="Q921" s="159">
        <f>IF(bargiri[[#This Row],[مبلغ ناخالص]]-(bargiri[[#This Row],[نرخ استهلاک]]*bargiri[[#This Row],[مقدار]])&lt;0,0,bargiri[[#This Row],[مبلغ ناخالص]]-(bargiri[[#This Row],[نرخ استهلاک]]*bargiri[[#This Row],[مقدار]]))</f>
        <v>2383257000</v>
      </c>
    </row>
    <row r="922" spans="1:17" s="22" customFormat="1" ht="13.8" x14ac:dyDescent="0.25">
      <c r="A922" s="22">
        <v>608</v>
      </c>
      <c r="B922" s="22" t="s">
        <v>846</v>
      </c>
      <c r="C922" s="22" t="s">
        <v>616</v>
      </c>
      <c r="D922" s="22" t="s">
        <v>67</v>
      </c>
      <c r="E922" s="158">
        <v>20000</v>
      </c>
      <c r="F922" s="159">
        <v>142000</v>
      </c>
      <c r="G922" s="159">
        <v>2840000000</v>
      </c>
      <c r="H922" s="159">
        <v>284000000</v>
      </c>
      <c r="I922" s="159">
        <v>3124000000</v>
      </c>
      <c r="J922" s="159">
        <f>bargiri[[#This Row],[مقدار]]*INDEX(invoice[پیش دریافت به ازای هر کیلوگرم],MATCH(bargiri[[#This Row],[شماره سند مبنا]],invoice[شماره پیش فاکتور],0))</f>
        <v>468600000</v>
      </c>
      <c r="K922" s="159">
        <f>bargiri[[#This Row],[مبلغ خالص]]-bargiri[[#This Row],[میزان استهلاک پیش دریافتی]]</f>
        <v>2655400000</v>
      </c>
      <c r="L922" s="160" t="s">
        <v>593</v>
      </c>
      <c r="M922" s="159"/>
      <c r="N922" s="159">
        <f>IF(bargiri[[#This Row],[مبلغ واریزی]]&lt;&gt;"",bargiri[[#This Row],[مانده مبلغ]]-bargiri[[#This Row],[مبلغ واریزی]],bargiri[[#This Row],[مانده مبلغ]])</f>
        <v>2655400000</v>
      </c>
      <c r="O922" s="159" t="s">
        <v>593</v>
      </c>
      <c r="P922" s="159">
        <f>VLOOKUP(bargiri[[#This Row],[شماره سند مبنا]],invoice[[شماره پیش فاکتور]:[پیش دریافت به ازای هر کیلوگرم]],14,0)</f>
        <v>23430</v>
      </c>
      <c r="Q922" s="159">
        <f>IF(bargiri[[#This Row],[مبلغ ناخالص]]-(bargiri[[#This Row],[نرخ استهلاک]]*bargiri[[#This Row],[مقدار]])&lt;0,0,bargiri[[#This Row],[مبلغ ناخالص]]-(bargiri[[#This Row],[نرخ استهلاک]]*bargiri[[#This Row],[مقدار]]))</f>
        <v>2371400000</v>
      </c>
    </row>
    <row r="923" spans="1:17" s="22" customFormat="1" ht="13.8" x14ac:dyDescent="0.25">
      <c r="A923" s="22">
        <v>607</v>
      </c>
      <c r="B923" s="22" t="s">
        <v>845</v>
      </c>
      <c r="C923" s="22" t="s">
        <v>182</v>
      </c>
      <c r="D923" s="22" t="s">
        <v>20</v>
      </c>
      <c r="E923" s="158">
        <v>19945</v>
      </c>
      <c r="F923" s="159">
        <v>86500</v>
      </c>
      <c r="G923" s="159">
        <v>1725242500</v>
      </c>
      <c r="H923" s="159">
        <v>172524250</v>
      </c>
      <c r="I923" s="159">
        <v>1897766750</v>
      </c>
      <c r="J923" s="159">
        <f>bargiri[[#This Row],[مقدار]]*INDEX(invoice[پیش دریافت به ازای هر کیلوگرم],MATCH(bargiri[[#This Row],[شماره سند مبنا]],invoice[شماره پیش فاکتور],0))</f>
        <v>258786375</v>
      </c>
      <c r="K923" s="159">
        <f>bargiri[[#This Row],[مبلغ خالص]]-bargiri[[#This Row],[میزان استهلاک پیش دریافتی]]</f>
        <v>1638980375</v>
      </c>
      <c r="L923" s="160" t="s">
        <v>593</v>
      </c>
      <c r="M923" s="159"/>
      <c r="N923" s="159">
        <f>IF(bargiri[[#This Row],[مبلغ واریزی]]&lt;&gt;"",bargiri[[#This Row],[مانده مبلغ]]-bargiri[[#This Row],[مبلغ واریزی]],bargiri[[#This Row],[مانده مبلغ]])</f>
        <v>1638980375</v>
      </c>
      <c r="O923" s="159" t="s">
        <v>593</v>
      </c>
      <c r="P923" s="159">
        <f>VLOOKUP(bargiri[[#This Row],[شماره سند مبنا]],invoice[[شماره پیش فاکتور]:[پیش دریافت به ازای هر کیلوگرم]],14,0)</f>
        <v>12975</v>
      </c>
      <c r="Q923" s="159">
        <f>IF(bargiri[[#This Row],[مبلغ ناخالص]]-(bargiri[[#This Row],[نرخ استهلاک]]*bargiri[[#This Row],[مقدار]])&lt;0,0,bargiri[[#This Row],[مبلغ ناخالص]]-(bargiri[[#This Row],[نرخ استهلاک]]*bargiri[[#This Row],[مقدار]]))</f>
        <v>1466456125</v>
      </c>
    </row>
    <row r="924" spans="1:17" s="22" customFormat="1" ht="13.8" x14ac:dyDescent="0.25">
      <c r="A924" s="22">
        <v>606</v>
      </c>
      <c r="B924" s="22" t="s">
        <v>845</v>
      </c>
      <c r="C924" s="22" t="s">
        <v>72</v>
      </c>
      <c r="D924" s="22" t="s">
        <v>73</v>
      </c>
      <c r="E924" s="158">
        <v>20470</v>
      </c>
      <c r="F924" s="159">
        <v>57273</v>
      </c>
      <c r="G924" s="159">
        <v>1172378310</v>
      </c>
      <c r="H924" s="159">
        <v>117237831</v>
      </c>
      <c r="I924" s="159">
        <v>1289616141</v>
      </c>
      <c r="J924" s="159" t="e">
        <f>bargiri[[#This Row],[مقدار]]*INDEX(invoice[پیش دریافت به ازای هر کیلوگرم],MATCH(bargiri[[#This Row],[شماره سند مبنا]],invoice[شماره پیش فاکتور],0))</f>
        <v>#N/A</v>
      </c>
      <c r="K924" s="159" t="e">
        <f>bargiri[[#This Row],[مبلغ خالص]]-bargiri[[#This Row],[میزان استهلاک پیش دریافتی]]</f>
        <v>#N/A</v>
      </c>
      <c r="L924" s="160" t="s">
        <v>593</v>
      </c>
      <c r="M924" s="159"/>
      <c r="N924" s="159" t="e">
        <f>IF(bargiri[[#This Row],[مبلغ واریزی]]&lt;&gt;"",bargiri[[#This Row],[مانده مبلغ]]-bargiri[[#This Row],[مبلغ واریزی]],bargiri[[#This Row],[مانده مبلغ]])</f>
        <v>#N/A</v>
      </c>
      <c r="O924" s="159" t="s">
        <v>593</v>
      </c>
      <c r="P924" s="159" t="e">
        <f>VLOOKUP(bargiri[[#This Row],[شماره سند مبنا]],invoice[[شماره پیش فاکتور]:[پیش دریافت به ازای هر کیلوگرم]],14,0)</f>
        <v>#N/A</v>
      </c>
      <c r="Q924" s="159" t="e">
        <f>IF(bargiri[[#This Row],[مبلغ ناخالص]]-(bargiri[[#This Row],[نرخ استهلاک]]*bargiri[[#This Row],[مقدار]])&lt;0,0,bargiri[[#This Row],[مبلغ ناخالص]]-(bargiri[[#This Row],[نرخ استهلاک]]*bargiri[[#This Row],[مقدار]]))</f>
        <v>#N/A</v>
      </c>
    </row>
    <row r="925" spans="1:17" s="22" customFormat="1" ht="13.8" x14ac:dyDescent="0.25">
      <c r="A925" s="22">
        <v>605</v>
      </c>
      <c r="B925" s="22" t="s">
        <v>845</v>
      </c>
      <c r="C925" s="22" t="s">
        <v>72</v>
      </c>
      <c r="D925" s="22" t="s">
        <v>73</v>
      </c>
      <c r="E925" s="158">
        <v>20505</v>
      </c>
      <c r="F925" s="159">
        <v>57273</v>
      </c>
      <c r="G925" s="159">
        <v>1174382865</v>
      </c>
      <c r="H925" s="159">
        <v>117438287</v>
      </c>
      <c r="I925" s="159">
        <v>1291821152</v>
      </c>
      <c r="J925" s="159" t="e">
        <f>bargiri[[#This Row],[مقدار]]*INDEX(invoice[پیش دریافت به ازای هر کیلوگرم],MATCH(bargiri[[#This Row],[شماره سند مبنا]],invoice[شماره پیش فاکتور],0))</f>
        <v>#N/A</v>
      </c>
      <c r="K925" s="159" t="e">
        <f>bargiri[[#This Row],[مبلغ خالص]]-bargiri[[#This Row],[میزان استهلاک پیش دریافتی]]</f>
        <v>#N/A</v>
      </c>
      <c r="L925" s="160" t="s">
        <v>593</v>
      </c>
      <c r="M925" s="159"/>
      <c r="N925" s="159" t="e">
        <f>IF(bargiri[[#This Row],[مبلغ واریزی]]&lt;&gt;"",bargiri[[#This Row],[مانده مبلغ]]-bargiri[[#This Row],[مبلغ واریزی]],bargiri[[#This Row],[مانده مبلغ]])</f>
        <v>#N/A</v>
      </c>
      <c r="O925" s="159" t="s">
        <v>593</v>
      </c>
      <c r="P925" s="159" t="e">
        <f>VLOOKUP(bargiri[[#This Row],[شماره سند مبنا]],invoice[[شماره پیش فاکتور]:[پیش دریافت به ازای هر کیلوگرم]],14,0)</f>
        <v>#N/A</v>
      </c>
      <c r="Q925" s="159" t="e">
        <f>IF(bargiri[[#This Row],[مبلغ ناخالص]]-(bargiri[[#This Row],[نرخ استهلاک]]*bargiri[[#This Row],[مقدار]])&lt;0,0,bargiri[[#This Row],[مبلغ ناخالص]]-(bargiri[[#This Row],[نرخ استهلاک]]*bargiri[[#This Row],[مقدار]]))</f>
        <v>#N/A</v>
      </c>
    </row>
    <row r="926" spans="1:17" s="22" customFormat="1" ht="13.8" x14ac:dyDescent="0.25">
      <c r="A926" s="22">
        <v>604</v>
      </c>
      <c r="B926" s="22" t="s">
        <v>845</v>
      </c>
      <c r="C926" s="22" t="s">
        <v>691</v>
      </c>
      <c r="D926" s="22" t="s">
        <v>692</v>
      </c>
      <c r="E926" s="158">
        <v>8875</v>
      </c>
      <c r="F926" s="159">
        <v>160000</v>
      </c>
      <c r="G926" s="159">
        <v>1420000000</v>
      </c>
      <c r="H926" s="159">
        <v>142000000</v>
      </c>
      <c r="I926" s="159">
        <v>1562000000</v>
      </c>
      <c r="J926" s="159">
        <f>bargiri[[#This Row],[مقدار]]*INDEX(invoice[پیش دریافت به ازای هر کیلوگرم],MATCH(bargiri[[#This Row],[شماره سند مبنا]],invoice[شماره پیش فاکتور],0))</f>
        <v>1562000000</v>
      </c>
      <c r="K926" s="159">
        <f>bargiri[[#This Row],[مبلغ خالص]]-bargiri[[#This Row],[میزان استهلاک پیش دریافتی]]</f>
        <v>0</v>
      </c>
      <c r="L926" s="160" t="s">
        <v>593</v>
      </c>
      <c r="M926" s="159"/>
      <c r="N926" s="159">
        <f>IF(bargiri[[#This Row],[مبلغ واریزی]]&lt;&gt;"",bargiri[[#This Row],[مانده مبلغ]]-bargiri[[#This Row],[مبلغ واریزی]],bargiri[[#This Row],[مانده مبلغ]])</f>
        <v>0</v>
      </c>
      <c r="O926" s="159" t="s">
        <v>593</v>
      </c>
      <c r="P926" s="159">
        <f>VLOOKUP(bargiri[[#This Row],[شماره سند مبنا]],invoice[[شماره پیش فاکتور]:[پیش دریافت به ازای هر کیلوگرم]],14,0)</f>
        <v>176000</v>
      </c>
      <c r="Q926" s="159">
        <f>IF(bargiri[[#This Row],[مبلغ ناخالص]]-(bargiri[[#This Row],[نرخ استهلاک]]*bargiri[[#This Row],[مقدار]])&lt;0,0,bargiri[[#This Row],[مبلغ ناخالص]]-(bargiri[[#This Row],[نرخ استهلاک]]*bargiri[[#This Row],[مقدار]]))</f>
        <v>0</v>
      </c>
    </row>
    <row r="927" spans="1:17" s="22" customFormat="1" ht="13.8" x14ac:dyDescent="0.25">
      <c r="A927" s="22">
        <v>603</v>
      </c>
      <c r="B927" s="22" t="s">
        <v>845</v>
      </c>
      <c r="C927" s="22" t="s">
        <v>182</v>
      </c>
      <c r="D927" s="22" t="s">
        <v>20</v>
      </c>
      <c r="E927" s="158">
        <v>17970</v>
      </c>
      <c r="F927" s="159">
        <v>86500</v>
      </c>
      <c r="G927" s="159">
        <v>1554405000</v>
      </c>
      <c r="H927" s="159">
        <v>155440500</v>
      </c>
      <c r="I927" s="159">
        <v>1709845500</v>
      </c>
      <c r="J927" s="159">
        <f>bargiri[[#This Row],[مقدار]]*INDEX(invoice[پیش دریافت به ازای هر کیلوگرم],MATCH(bargiri[[#This Row],[شماره سند مبنا]],invoice[شماره پیش فاکتور],0))</f>
        <v>233160750</v>
      </c>
      <c r="K927" s="159">
        <f>bargiri[[#This Row],[مبلغ خالص]]-bargiri[[#This Row],[میزان استهلاک پیش دریافتی]]</f>
        <v>1476684750</v>
      </c>
      <c r="L927" s="160" t="s">
        <v>593</v>
      </c>
      <c r="M927" s="159"/>
      <c r="N927" s="159">
        <f>IF(bargiri[[#This Row],[مبلغ واریزی]]&lt;&gt;"",bargiri[[#This Row],[مانده مبلغ]]-bargiri[[#This Row],[مبلغ واریزی]],bargiri[[#This Row],[مانده مبلغ]])</f>
        <v>1476684750</v>
      </c>
      <c r="O927" s="159" t="s">
        <v>593</v>
      </c>
      <c r="P927" s="159">
        <f>VLOOKUP(bargiri[[#This Row],[شماره سند مبنا]],invoice[[شماره پیش فاکتور]:[پیش دریافت به ازای هر کیلوگرم]],14,0)</f>
        <v>12975</v>
      </c>
      <c r="Q927" s="159">
        <f>IF(bargiri[[#This Row],[مبلغ ناخالص]]-(bargiri[[#This Row],[نرخ استهلاک]]*bargiri[[#This Row],[مقدار]])&lt;0,0,bargiri[[#This Row],[مبلغ ناخالص]]-(bargiri[[#This Row],[نرخ استهلاک]]*bargiri[[#This Row],[مقدار]]))</f>
        <v>1321244250</v>
      </c>
    </row>
    <row r="928" spans="1:17" s="22" customFormat="1" ht="13.8" x14ac:dyDescent="0.25">
      <c r="A928" s="22">
        <v>602</v>
      </c>
      <c r="B928" s="22" t="s">
        <v>687</v>
      </c>
      <c r="C928" s="22" t="s">
        <v>182</v>
      </c>
      <c r="D928" s="22" t="s">
        <v>20</v>
      </c>
      <c r="E928" s="158">
        <v>20080</v>
      </c>
      <c r="F928" s="159">
        <v>86500</v>
      </c>
      <c r="G928" s="159">
        <v>1736920000</v>
      </c>
      <c r="H928" s="159">
        <v>173692000</v>
      </c>
      <c r="I928" s="159">
        <v>1910612000</v>
      </c>
      <c r="J928" s="159">
        <f>bargiri[[#This Row],[مقدار]]*INDEX(invoice[پیش دریافت به ازای هر کیلوگرم],MATCH(bargiri[[#This Row],[شماره سند مبنا]],invoice[شماره پیش فاکتور],0))</f>
        <v>260538000</v>
      </c>
      <c r="K928" s="159">
        <f>bargiri[[#This Row],[مبلغ خالص]]-bargiri[[#This Row],[میزان استهلاک پیش دریافتی]]</f>
        <v>1650074000</v>
      </c>
      <c r="L928" s="160" t="s">
        <v>593</v>
      </c>
      <c r="M928" s="159"/>
      <c r="N928" s="159">
        <f>IF(bargiri[[#This Row],[مبلغ واریزی]]&lt;&gt;"",bargiri[[#This Row],[مانده مبلغ]]-bargiri[[#This Row],[مبلغ واریزی]],bargiri[[#This Row],[مانده مبلغ]])</f>
        <v>1650074000</v>
      </c>
      <c r="O928" s="159" t="s">
        <v>593</v>
      </c>
      <c r="P928" s="159">
        <f>VLOOKUP(bargiri[[#This Row],[شماره سند مبنا]],invoice[[شماره پیش فاکتور]:[پیش دریافت به ازای هر کیلوگرم]],14,0)</f>
        <v>12975</v>
      </c>
      <c r="Q928" s="159">
        <f>IF(bargiri[[#This Row],[مبلغ ناخالص]]-(bargiri[[#This Row],[نرخ استهلاک]]*bargiri[[#This Row],[مقدار]])&lt;0,0,bargiri[[#This Row],[مبلغ ناخالص]]-(bargiri[[#This Row],[نرخ استهلاک]]*bargiri[[#This Row],[مقدار]]))</f>
        <v>1476382000</v>
      </c>
    </row>
    <row r="929" spans="1:17" s="22" customFormat="1" ht="13.8" x14ac:dyDescent="0.25">
      <c r="A929" s="22">
        <v>601</v>
      </c>
      <c r="B929" s="22" t="s">
        <v>687</v>
      </c>
      <c r="C929" s="22" t="s">
        <v>72</v>
      </c>
      <c r="D929" s="22" t="s">
        <v>73</v>
      </c>
      <c r="E929" s="158">
        <v>21085</v>
      </c>
      <c r="F929" s="159">
        <v>57273</v>
      </c>
      <c r="G929" s="159">
        <v>1207601205</v>
      </c>
      <c r="H929" s="159">
        <v>120760121</v>
      </c>
      <c r="I929" s="159">
        <v>1328361326</v>
      </c>
      <c r="J929" s="159" t="e">
        <f>bargiri[[#This Row],[مقدار]]*INDEX(invoice[پیش دریافت به ازای هر کیلوگرم],MATCH(bargiri[[#This Row],[شماره سند مبنا]],invoice[شماره پیش فاکتور],0))</f>
        <v>#N/A</v>
      </c>
      <c r="K929" s="159" t="e">
        <f>bargiri[[#This Row],[مبلغ خالص]]-bargiri[[#This Row],[میزان استهلاک پیش دریافتی]]</f>
        <v>#N/A</v>
      </c>
      <c r="L929" s="160" t="s">
        <v>593</v>
      </c>
      <c r="M929" s="159"/>
      <c r="N929" s="159" t="e">
        <f>IF(bargiri[[#This Row],[مبلغ واریزی]]&lt;&gt;"",bargiri[[#This Row],[مانده مبلغ]]-bargiri[[#This Row],[مبلغ واریزی]],bargiri[[#This Row],[مانده مبلغ]])</f>
        <v>#N/A</v>
      </c>
      <c r="O929" s="159" t="s">
        <v>593</v>
      </c>
      <c r="P929" s="159" t="e">
        <f>VLOOKUP(bargiri[[#This Row],[شماره سند مبنا]],invoice[[شماره پیش فاکتور]:[پیش دریافت به ازای هر کیلوگرم]],14,0)</f>
        <v>#N/A</v>
      </c>
      <c r="Q929" s="159" t="e">
        <f>IF(bargiri[[#This Row],[مبلغ ناخالص]]-(bargiri[[#This Row],[نرخ استهلاک]]*bargiri[[#This Row],[مقدار]])&lt;0,0,bargiri[[#This Row],[مبلغ ناخالص]]-(bargiri[[#This Row],[نرخ استهلاک]]*bargiri[[#This Row],[مقدار]]))</f>
        <v>#N/A</v>
      </c>
    </row>
    <row r="930" spans="1:17" s="22" customFormat="1" ht="13.8" x14ac:dyDescent="0.25">
      <c r="A930" s="22">
        <v>600</v>
      </c>
      <c r="B930" s="22" t="s">
        <v>687</v>
      </c>
      <c r="C930" s="22" t="s">
        <v>72</v>
      </c>
      <c r="D930" s="22" t="s">
        <v>73</v>
      </c>
      <c r="E930" s="158">
        <v>21035</v>
      </c>
      <c r="F930" s="159">
        <v>57273</v>
      </c>
      <c r="G930" s="159">
        <v>1204737555</v>
      </c>
      <c r="H930" s="159">
        <v>120473756</v>
      </c>
      <c r="I930" s="159">
        <v>1325211311</v>
      </c>
      <c r="J930" s="159" t="e">
        <f>bargiri[[#This Row],[مقدار]]*INDEX(invoice[پیش دریافت به ازای هر کیلوگرم],MATCH(bargiri[[#This Row],[شماره سند مبنا]],invoice[شماره پیش فاکتور],0))</f>
        <v>#N/A</v>
      </c>
      <c r="K930" s="159" t="e">
        <f>bargiri[[#This Row],[مبلغ خالص]]-bargiri[[#This Row],[میزان استهلاک پیش دریافتی]]</f>
        <v>#N/A</v>
      </c>
      <c r="L930" s="160" t="s">
        <v>593</v>
      </c>
      <c r="M930" s="159"/>
      <c r="N930" s="159" t="e">
        <f>IF(bargiri[[#This Row],[مبلغ واریزی]]&lt;&gt;"",bargiri[[#This Row],[مانده مبلغ]]-bargiri[[#This Row],[مبلغ واریزی]],bargiri[[#This Row],[مانده مبلغ]])</f>
        <v>#N/A</v>
      </c>
      <c r="O930" s="159" t="s">
        <v>593</v>
      </c>
      <c r="P930" s="159" t="e">
        <f>VLOOKUP(bargiri[[#This Row],[شماره سند مبنا]],invoice[[شماره پیش فاکتور]:[پیش دریافت به ازای هر کیلوگرم]],14,0)</f>
        <v>#N/A</v>
      </c>
      <c r="Q930" s="159" t="e">
        <f>IF(bargiri[[#This Row],[مبلغ ناخالص]]-(bargiri[[#This Row],[نرخ استهلاک]]*bargiri[[#This Row],[مقدار]])&lt;0,0,bargiri[[#This Row],[مبلغ ناخالص]]-(bargiri[[#This Row],[نرخ استهلاک]]*bargiri[[#This Row],[مقدار]]))</f>
        <v>#N/A</v>
      </c>
    </row>
    <row r="931" spans="1:17" s="22" customFormat="1" ht="13.8" x14ac:dyDescent="0.25">
      <c r="A931" s="22">
        <v>599</v>
      </c>
      <c r="B931" s="22" t="s">
        <v>687</v>
      </c>
      <c r="C931" s="22" t="s">
        <v>651</v>
      </c>
      <c r="D931" s="22" t="s">
        <v>40</v>
      </c>
      <c r="E931" s="158">
        <v>14145</v>
      </c>
      <c r="F931" s="159">
        <v>201000</v>
      </c>
      <c r="G931" s="159">
        <v>2843145000</v>
      </c>
      <c r="H931" s="159">
        <v>284314500</v>
      </c>
      <c r="I931" s="159">
        <v>3127459500</v>
      </c>
      <c r="J931" s="159">
        <f>bargiri[[#This Row],[مقدار]]*INDEX(invoice[پیش دریافت به ازای هر کیلوگرم],MATCH(bargiri[[#This Row],[شماره سند مبنا]],invoice[شماره پیش فاکتور],0))</f>
        <v>3127459500</v>
      </c>
      <c r="K931" s="159">
        <f>bargiri[[#This Row],[مبلغ خالص]]-bargiri[[#This Row],[میزان استهلاک پیش دریافتی]]</f>
        <v>0</v>
      </c>
      <c r="L931" s="160" t="s">
        <v>593</v>
      </c>
      <c r="M931" s="159"/>
      <c r="N931" s="159">
        <f>IF(bargiri[[#This Row],[مبلغ واریزی]]&lt;&gt;"",bargiri[[#This Row],[مانده مبلغ]]-bargiri[[#This Row],[مبلغ واریزی]],bargiri[[#This Row],[مانده مبلغ]])</f>
        <v>0</v>
      </c>
      <c r="O931" s="159" t="s">
        <v>593</v>
      </c>
      <c r="P931" s="159">
        <f>VLOOKUP(bargiri[[#This Row],[شماره سند مبنا]],invoice[[شماره پیش فاکتور]:[پیش دریافت به ازای هر کیلوگرم]],14,0)</f>
        <v>221100</v>
      </c>
      <c r="Q931" s="159">
        <f>IF(bargiri[[#This Row],[مبلغ ناخالص]]-(bargiri[[#This Row],[نرخ استهلاک]]*bargiri[[#This Row],[مقدار]])&lt;0,0,bargiri[[#This Row],[مبلغ ناخالص]]-(bargiri[[#This Row],[نرخ استهلاک]]*bargiri[[#This Row],[مقدار]]))</f>
        <v>0</v>
      </c>
    </row>
    <row r="932" spans="1:17" s="22" customFormat="1" ht="13.8" x14ac:dyDescent="0.25">
      <c r="A932" s="22">
        <v>599</v>
      </c>
      <c r="B932" s="22" t="s">
        <v>687</v>
      </c>
      <c r="C932" s="22" t="s">
        <v>209</v>
      </c>
      <c r="D932" s="22" t="s">
        <v>40</v>
      </c>
      <c r="E932" s="158">
        <v>4275</v>
      </c>
      <c r="F932" s="159">
        <v>66200</v>
      </c>
      <c r="G932" s="159">
        <v>283005000</v>
      </c>
      <c r="H932" s="159">
        <v>28300500</v>
      </c>
      <c r="I932" s="159">
        <v>311305500</v>
      </c>
      <c r="J932" s="159">
        <f>bargiri[[#This Row],[مقدار]]*INDEX(invoice[پیش دریافت به ازای هر کیلوگرم],MATCH(bargiri[[#This Row],[شماره سند مبنا]],invoice[شماره پیش فاکتور],0))</f>
        <v>46695825</v>
      </c>
      <c r="K932" s="159">
        <f>bargiri[[#This Row],[مبلغ خالص]]-bargiri[[#This Row],[میزان استهلاک پیش دریافتی]]</f>
        <v>264609675</v>
      </c>
      <c r="L932" s="160" t="s">
        <v>593</v>
      </c>
      <c r="M932" s="159"/>
      <c r="N932" s="159">
        <f>IF(bargiri[[#This Row],[مبلغ واریزی]]&lt;&gt;"",bargiri[[#This Row],[مانده مبلغ]]-bargiri[[#This Row],[مبلغ واریزی]],bargiri[[#This Row],[مانده مبلغ]])</f>
        <v>264609675</v>
      </c>
      <c r="O932" s="159" t="s">
        <v>593</v>
      </c>
      <c r="P932" s="159">
        <f>VLOOKUP(bargiri[[#This Row],[شماره سند مبنا]],invoice[[شماره پیش فاکتور]:[پیش دریافت به ازای هر کیلوگرم]],14,0)</f>
        <v>10923</v>
      </c>
      <c r="Q932" s="159">
        <f>IF(bargiri[[#This Row],[مبلغ ناخالص]]-(bargiri[[#This Row],[نرخ استهلاک]]*bargiri[[#This Row],[مقدار]])&lt;0,0,bargiri[[#This Row],[مبلغ ناخالص]]-(bargiri[[#This Row],[نرخ استهلاک]]*bargiri[[#This Row],[مقدار]]))</f>
        <v>236309175</v>
      </c>
    </row>
    <row r="933" spans="1:17" s="22" customFormat="1" ht="13.8" x14ac:dyDescent="0.25">
      <c r="A933" s="22">
        <v>598</v>
      </c>
      <c r="B933" s="22" t="s">
        <v>687</v>
      </c>
      <c r="C933" s="22" t="s">
        <v>605</v>
      </c>
      <c r="D933" s="22" t="s">
        <v>70</v>
      </c>
      <c r="E933" s="158">
        <v>19930</v>
      </c>
      <c r="F933" s="159">
        <v>142000</v>
      </c>
      <c r="G933" s="159">
        <v>2830060000</v>
      </c>
      <c r="H933" s="159">
        <v>283006000</v>
      </c>
      <c r="I933" s="159">
        <v>3113066000</v>
      </c>
      <c r="J933" s="159">
        <f>bargiri[[#This Row],[مقدار]]*INDEX(invoice[پیش دریافت به ازای هر کیلوگرم],MATCH(bargiri[[#This Row],[شماره سند مبنا]],invoice[شماره پیش فاکتور],0))</f>
        <v>466959900</v>
      </c>
      <c r="K933" s="159">
        <f>bargiri[[#This Row],[مبلغ خالص]]-bargiri[[#This Row],[میزان استهلاک پیش دریافتی]]</f>
        <v>2646106100</v>
      </c>
      <c r="L933" s="160" t="s">
        <v>593</v>
      </c>
      <c r="M933" s="159"/>
      <c r="N933" s="159">
        <f>IF(bargiri[[#This Row],[مبلغ واریزی]]&lt;&gt;"",bargiri[[#This Row],[مانده مبلغ]]-bargiri[[#This Row],[مبلغ واریزی]],bargiri[[#This Row],[مانده مبلغ]])</f>
        <v>2646106100</v>
      </c>
      <c r="O933" s="159" t="s">
        <v>593</v>
      </c>
      <c r="P933" s="159">
        <f>VLOOKUP(bargiri[[#This Row],[شماره سند مبنا]],invoice[[شماره پیش فاکتور]:[پیش دریافت به ازای هر کیلوگرم]],14,0)</f>
        <v>23430</v>
      </c>
      <c r="Q933" s="159">
        <f>IF(bargiri[[#This Row],[مبلغ ناخالص]]-(bargiri[[#This Row],[نرخ استهلاک]]*bargiri[[#This Row],[مقدار]])&lt;0,0,bargiri[[#This Row],[مبلغ ناخالص]]-(bargiri[[#This Row],[نرخ استهلاک]]*bargiri[[#This Row],[مقدار]]))</f>
        <v>2363100100</v>
      </c>
    </row>
    <row r="934" spans="1:17" s="22" customFormat="1" ht="13.8" x14ac:dyDescent="0.25">
      <c r="A934" s="22">
        <v>597</v>
      </c>
      <c r="B934" s="22" t="s">
        <v>687</v>
      </c>
      <c r="C934" s="22" t="s">
        <v>616</v>
      </c>
      <c r="D934" s="22" t="s">
        <v>67</v>
      </c>
      <c r="E934" s="158">
        <v>20085</v>
      </c>
      <c r="F934" s="159">
        <v>142000</v>
      </c>
      <c r="G934" s="159">
        <v>2852070000</v>
      </c>
      <c r="H934" s="159">
        <v>285207000</v>
      </c>
      <c r="I934" s="159">
        <v>3137277000</v>
      </c>
      <c r="J934" s="159">
        <f>bargiri[[#This Row],[مقدار]]*INDEX(invoice[پیش دریافت به ازای هر کیلوگرم],MATCH(bargiri[[#This Row],[شماره سند مبنا]],invoice[شماره پیش فاکتور],0))</f>
        <v>470591550</v>
      </c>
      <c r="K934" s="159">
        <f>bargiri[[#This Row],[مبلغ خالص]]-bargiri[[#This Row],[میزان استهلاک پیش دریافتی]]</f>
        <v>2666685450</v>
      </c>
      <c r="L934" s="160" t="s">
        <v>593</v>
      </c>
      <c r="M934" s="159"/>
      <c r="N934" s="159">
        <f>IF(bargiri[[#This Row],[مبلغ واریزی]]&lt;&gt;"",bargiri[[#This Row],[مانده مبلغ]]-bargiri[[#This Row],[مبلغ واریزی]],bargiri[[#This Row],[مانده مبلغ]])</f>
        <v>2666685450</v>
      </c>
      <c r="O934" s="159" t="s">
        <v>593</v>
      </c>
      <c r="P934" s="159">
        <f>VLOOKUP(bargiri[[#This Row],[شماره سند مبنا]],invoice[[شماره پیش فاکتور]:[پیش دریافت به ازای هر کیلوگرم]],14,0)</f>
        <v>23430</v>
      </c>
      <c r="Q934" s="159">
        <f>IF(bargiri[[#This Row],[مبلغ ناخالص]]-(bargiri[[#This Row],[نرخ استهلاک]]*bargiri[[#This Row],[مقدار]])&lt;0,0,bargiri[[#This Row],[مبلغ ناخالص]]-(bargiri[[#This Row],[نرخ استهلاک]]*bargiri[[#This Row],[مقدار]]))</f>
        <v>2381478450</v>
      </c>
    </row>
    <row r="935" spans="1:17" s="22" customFormat="1" ht="13.8" x14ac:dyDescent="0.25">
      <c r="A935" s="22">
        <v>596</v>
      </c>
      <c r="B935" s="22" t="s">
        <v>687</v>
      </c>
      <c r="C935" s="22" t="s">
        <v>458</v>
      </c>
      <c r="D935" s="22" t="s">
        <v>156</v>
      </c>
      <c r="E935" s="158">
        <v>22145</v>
      </c>
      <c r="F935" s="159">
        <v>142000</v>
      </c>
      <c r="G935" s="159">
        <v>3144590000</v>
      </c>
      <c r="H935" s="159">
        <v>314459000</v>
      </c>
      <c r="I935" s="159">
        <v>3459049000</v>
      </c>
      <c r="J935" s="159">
        <f>bargiri[[#This Row],[مقدار]]*INDEX(invoice[پیش دریافت به ازای هر کیلوگرم],MATCH(bargiri[[#This Row],[شماره سند مبنا]],invoice[شماره پیش فاکتور],0))</f>
        <v>625518716.47009182</v>
      </c>
      <c r="K935" s="159">
        <f>bargiri[[#This Row],[مبلغ خالص]]-bargiri[[#This Row],[میزان استهلاک پیش دریافتی]]</f>
        <v>2833530283.5299082</v>
      </c>
      <c r="L935" s="160" t="s">
        <v>593</v>
      </c>
      <c r="M935" s="159"/>
      <c r="N935" s="159">
        <f>IF(bargiri[[#This Row],[مبلغ واریزی]]&lt;&gt;"",bargiri[[#This Row],[مانده مبلغ]]-bargiri[[#This Row],[مبلغ واریزی]],bargiri[[#This Row],[مانده مبلغ]])</f>
        <v>2833530283.5299082</v>
      </c>
      <c r="O935" s="159" t="s">
        <v>593</v>
      </c>
      <c r="P935" s="159">
        <f>VLOOKUP(bargiri[[#This Row],[شماره سند مبنا]],invoice[[شماره پیش فاکتور]:[پیش دریافت به ازای هر کیلوگرم]],14,0)</f>
        <v>28246.498824569509</v>
      </c>
      <c r="Q935" s="159">
        <f>IF(bargiri[[#This Row],[مبلغ ناخالص]]-(bargiri[[#This Row],[نرخ استهلاک]]*bargiri[[#This Row],[مقدار]])&lt;0,0,bargiri[[#This Row],[مبلغ ناخالص]]-(bargiri[[#This Row],[نرخ استهلاک]]*bargiri[[#This Row],[مقدار]]))</f>
        <v>2519071283.5299082</v>
      </c>
    </row>
    <row r="936" spans="1:17" s="22" customFormat="1" ht="13.8" x14ac:dyDescent="0.25">
      <c r="A936" s="22">
        <v>595</v>
      </c>
      <c r="B936" s="22" t="s">
        <v>847</v>
      </c>
      <c r="C936" s="22" t="s">
        <v>456</v>
      </c>
      <c r="D936" s="22" t="s">
        <v>213</v>
      </c>
      <c r="E936" s="158">
        <v>7525</v>
      </c>
      <c r="F936" s="159">
        <v>142000</v>
      </c>
      <c r="G936" s="159">
        <v>1068550000</v>
      </c>
      <c r="H936" s="159">
        <v>106855000</v>
      </c>
      <c r="I936" s="159">
        <v>1175405000</v>
      </c>
      <c r="J936" s="159">
        <f>bargiri[[#This Row],[مقدار]]*INDEX(invoice[پیش دریافت به ازای هر کیلوگرم],MATCH(bargiri[[#This Row],[شماره سند مبنا]],invoice[شماره پیش فاکتور],0))</f>
        <v>892947644.02249134</v>
      </c>
      <c r="K936" s="159">
        <f>bargiri[[#This Row],[مبلغ خالص]]-bargiri[[#This Row],[میزان استهلاک پیش دریافتی]]</f>
        <v>282457355.97750866</v>
      </c>
      <c r="L936" s="160" t="s">
        <v>593</v>
      </c>
      <c r="M936" s="159"/>
      <c r="N936" s="159">
        <f>IF(bargiri[[#This Row],[مبلغ واریزی]]&lt;&gt;"",bargiri[[#This Row],[مانده مبلغ]]-bargiri[[#This Row],[مبلغ واریزی]],bargiri[[#This Row],[مانده مبلغ]])</f>
        <v>282457355.97750866</v>
      </c>
      <c r="O936" s="159" t="s">
        <v>593</v>
      </c>
      <c r="P936" s="159">
        <f>VLOOKUP(bargiri[[#This Row],[شماره سند مبنا]],invoice[[شماره پیش فاکتور]:[پیش دریافت به ازای هر کیلوگرم]],14,0)</f>
        <v>118664.13874053041</v>
      </c>
      <c r="Q936" s="159">
        <f>IF(bargiri[[#This Row],[مبلغ ناخالص]]-(bargiri[[#This Row],[نرخ استهلاک]]*bargiri[[#This Row],[مقدار]])&lt;0,0,bargiri[[#This Row],[مبلغ ناخالص]]-(bargiri[[#This Row],[نرخ استهلاک]]*bargiri[[#This Row],[مقدار]]))</f>
        <v>175602355.97750866</v>
      </c>
    </row>
    <row r="937" spans="1:17" s="22" customFormat="1" ht="13.8" x14ac:dyDescent="0.25">
      <c r="A937" s="22">
        <v>594</v>
      </c>
      <c r="B937" s="22" t="s">
        <v>847</v>
      </c>
      <c r="C937" s="22" t="s">
        <v>848</v>
      </c>
      <c r="D937" s="22" t="s">
        <v>219</v>
      </c>
      <c r="E937" s="158">
        <v>18910</v>
      </c>
      <c r="F937" s="159">
        <v>151100</v>
      </c>
      <c r="G937" s="159">
        <v>2857301000</v>
      </c>
      <c r="H937" s="159">
        <v>285730100</v>
      </c>
      <c r="I937" s="159">
        <v>3143031100</v>
      </c>
      <c r="J937" s="159">
        <f>bargiri[[#This Row],[مقدار]]*INDEX(invoice[پیش دریافت به ازای هر کیلوگرم],MATCH(bargiri[[#This Row],[شماره سند مبنا]],invoice[شماره پیش فاکتور],0))</f>
        <v>471454665</v>
      </c>
      <c r="K937" s="159">
        <f>bargiri[[#This Row],[مبلغ خالص]]-bargiri[[#This Row],[میزان استهلاک پیش دریافتی]]</f>
        <v>2671576435</v>
      </c>
      <c r="L937" s="160" t="s">
        <v>593</v>
      </c>
      <c r="M937" s="159"/>
      <c r="N937" s="159">
        <f>IF(bargiri[[#This Row],[مبلغ واریزی]]&lt;&gt;"",bargiri[[#This Row],[مانده مبلغ]]-bargiri[[#This Row],[مبلغ واریزی]],bargiri[[#This Row],[مانده مبلغ]])</f>
        <v>2671576435</v>
      </c>
      <c r="O937" s="159" t="s">
        <v>593</v>
      </c>
      <c r="P937" s="159">
        <f>VLOOKUP(bargiri[[#This Row],[شماره سند مبنا]],invoice[[شماره پیش فاکتور]:[پیش دریافت به ازای هر کیلوگرم]],14,0)</f>
        <v>24931.5</v>
      </c>
      <c r="Q937" s="159">
        <f>IF(bargiri[[#This Row],[مبلغ ناخالص]]-(bargiri[[#This Row],[نرخ استهلاک]]*bargiri[[#This Row],[مقدار]])&lt;0,0,bargiri[[#This Row],[مبلغ ناخالص]]-(bargiri[[#This Row],[نرخ استهلاک]]*bargiri[[#This Row],[مقدار]]))</f>
        <v>2385846335</v>
      </c>
    </row>
    <row r="938" spans="1:17" s="22" customFormat="1" ht="13.8" x14ac:dyDescent="0.25">
      <c r="A938" s="22">
        <v>594</v>
      </c>
      <c r="B938" s="22" t="s">
        <v>847</v>
      </c>
      <c r="C938" s="22" t="s">
        <v>606</v>
      </c>
      <c r="D938" s="22" t="s">
        <v>219</v>
      </c>
      <c r="E938" s="158">
        <v>1015</v>
      </c>
      <c r="F938" s="159">
        <v>142000</v>
      </c>
      <c r="G938" s="159">
        <v>144130000</v>
      </c>
      <c r="H938" s="159">
        <v>14413000</v>
      </c>
      <c r="I938" s="159">
        <v>158543000</v>
      </c>
      <c r="J938" s="159">
        <f>bargiri[[#This Row],[مقدار]]*INDEX(invoice[پیش دریافت به ازای هر کیلوگرم],MATCH(bargiri[[#This Row],[شماره سند مبنا]],invoice[شماره پیش فاکتور],0))</f>
        <v>44096512.941176474</v>
      </c>
      <c r="K938" s="159">
        <f>bargiri[[#This Row],[مبلغ خالص]]-bargiri[[#This Row],[میزان استهلاک پیش دریافتی]]</f>
        <v>114446487.05882353</v>
      </c>
      <c r="L938" s="160" t="s">
        <v>593</v>
      </c>
      <c r="M938" s="159"/>
      <c r="N938" s="159">
        <f>IF(bargiri[[#This Row],[مبلغ واریزی]]&lt;&gt;"",bargiri[[#This Row],[مانده مبلغ]]-bargiri[[#This Row],[مبلغ واریزی]],bargiri[[#This Row],[مانده مبلغ]])</f>
        <v>114446487.05882353</v>
      </c>
      <c r="O938" s="159" t="s">
        <v>593</v>
      </c>
      <c r="P938" s="159">
        <f>VLOOKUP(bargiri[[#This Row],[شماره سند مبنا]],invoice[[شماره پیش فاکتور]:[پیش دریافت به ازای هر کیلوگرم]],14,0)</f>
        <v>43444.840336134461</v>
      </c>
      <c r="Q938" s="159">
        <f>IF(bargiri[[#This Row],[مبلغ ناخالص]]-(bargiri[[#This Row],[نرخ استهلاک]]*bargiri[[#This Row],[مقدار]])&lt;0,0,bargiri[[#This Row],[مبلغ ناخالص]]-(bargiri[[#This Row],[نرخ استهلاک]]*bargiri[[#This Row],[مقدار]]))</f>
        <v>100033487.05882353</v>
      </c>
    </row>
    <row r="939" spans="1:17" s="22" customFormat="1" ht="13.8" x14ac:dyDescent="0.25">
      <c r="A939" s="22">
        <v>593</v>
      </c>
      <c r="B939" s="22" t="s">
        <v>847</v>
      </c>
      <c r="C939" s="22" t="s">
        <v>72</v>
      </c>
      <c r="D939" s="22" t="s">
        <v>73</v>
      </c>
      <c r="E939" s="158">
        <v>20580</v>
      </c>
      <c r="F939" s="159">
        <v>57273</v>
      </c>
      <c r="G939" s="159">
        <v>1178678340</v>
      </c>
      <c r="H939" s="159">
        <v>117867834</v>
      </c>
      <c r="I939" s="159">
        <v>1296546174</v>
      </c>
      <c r="J939" s="159" t="e">
        <f>bargiri[[#This Row],[مقدار]]*INDEX(invoice[پیش دریافت به ازای هر کیلوگرم],MATCH(bargiri[[#This Row],[شماره سند مبنا]],invoice[شماره پیش فاکتور],0))</f>
        <v>#N/A</v>
      </c>
      <c r="K939" s="159" t="e">
        <f>bargiri[[#This Row],[مبلغ خالص]]-bargiri[[#This Row],[میزان استهلاک پیش دریافتی]]</f>
        <v>#N/A</v>
      </c>
      <c r="L939" s="160" t="s">
        <v>593</v>
      </c>
      <c r="M939" s="159"/>
      <c r="N939" s="159" t="e">
        <f>IF(bargiri[[#This Row],[مبلغ واریزی]]&lt;&gt;"",bargiri[[#This Row],[مانده مبلغ]]-bargiri[[#This Row],[مبلغ واریزی]],bargiri[[#This Row],[مانده مبلغ]])</f>
        <v>#N/A</v>
      </c>
      <c r="O939" s="159" t="s">
        <v>593</v>
      </c>
      <c r="P939" s="159" t="e">
        <f>VLOOKUP(bargiri[[#This Row],[شماره سند مبنا]],invoice[[شماره پیش فاکتور]:[پیش دریافت به ازای هر کیلوگرم]],14,0)</f>
        <v>#N/A</v>
      </c>
      <c r="Q939" s="159" t="e">
        <f>IF(bargiri[[#This Row],[مبلغ ناخالص]]-(bargiri[[#This Row],[نرخ استهلاک]]*bargiri[[#This Row],[مقدار]])&lt;0,0,bargiri[[#This Row],[مبلغ ناخالص]]-(bargiri[[#This Row],[نرخ استهلاک]]*bargiri[[#This Row],[مقدار]]))</f>
        <v>#N/A</v>
      </c>
    </row>
    <row r="940" spans="1:17" s="22" customFormat="1" ht="13.8" x14ac:dyDescent="0.25">
      <c r="A940" s="22">
        <v>592</v>
      </c>
      <c r="B940" s="22" t="s">
        <v>847</v>
      </c>
      <c r="C940" s="22" t="s">
        <v>72</v>
      </c>
      <c r="D940" s="22" t="s">
        <v>73</v>
      </c>
      <c r="E940" s="158">
        <v>20515</v>
      </c>
      <c r="F940" s="159">
        <v>57273</v>
      </c>
      <c r="G940" s="159">
        <v>1174955595</v>
      </c>
      <c r="H940" s="159">
        <v>117495560</v>
      </c>
      <c r="I940" s="159">
        <v>1292451155</v>
      </c>
      <c r="J940" s="159" t="e">
        <f>bargiri[[#This Row],[مقدار]]*INDEX(invoice[پیش دریافت به ازای هر کیلوگرم],MATCH(bargiri[[#This Row],[شماره سند مبنا]],invoice[شماره پیش فاکتور],0))</f>
        <v>#N/A</v>
      </c>
      <c r="K940" s="159" t="e">
        <f>bargiri[[#This Row],[مبلغ خالص]]-bargiri[[#This Row],[میزان استهلاک پیش دریافتی]]</f>
        <v>#N/A</v>
      </c>
      <c r="L940" s="160" t="s">
        <v>593</v>
      </c>
      <c r="M940" s="159"/>
      <c r="N940" s="159" t="e">
        <f>IF(bargiri[[#This Row],[مبلغ واریزی]]&lt;&gt;"",bargiri[[#This Row],[مانده مبلغ]]-bargiri[[#This Row],[مبلغ واریزی]],bargiri[[#This Row],[مانده مبلغ]])</f>
        <v>#N/A</v>
      </c>
      <c r="O940" s="159" t="s">
        <v>593</v>
      </c>
      <c r="P940" s="159" t="e">
        <f>VLOOKUP(bargiri[[#This Row],[شماره سند مبنا]],invoice[[شماره پیش فاکتور]:[پیش دریافت به ازای هر کیلوگرم]],14,0)</f>
        <v>#N/A</v>
      </c>
      <c r="Q940" s="159" t="e">
        <f>IF(bargiri[[#This Row],[مبلغ ناخالص]]-(bargiri[[#This Row],[نرخ استهلاک]]*bargiri[[#This Row],[مقدار]])&lt;0,0,bargiri[[#This Row],[مبلغ ناخالص]]-(bargiri[[#This Row],[نرخ استهلاک]]*bargiri[[#This Row],[مقدار]]))</f>
        <v>#N/A</v>
      </c>
    </row>
    <row r="941" spans="1:17" s="22" customFormat="1" ht="13.8" x14ac:dyDescent="0.25">
      <c r="A941" s="22">
        <v>591</v>
      </c>
      <c r="B941" s="22" t="s">
        <v>847</v>
      </c>
      <c r="C941" s="22" t="s">
        <v>833</v>
      </c>
      <c r="D941" s="22" t="s">
        <v>17</v>
      </c>
      <c r="E941" s="158">
        <v>18175</v>
      </c>
      <c r="F941" s="159">
        <v>142000</v>
      </c>
      <c r="G941" s="159">
        <v>2580850000</v>
      </c>
      <c r="H941" s="159">
        <v>258085000</v>
      </c>
      <c r="I941" s="159">
        <v>2838935000</v>
      </c>
      <c r="J941" s="159">
        <f>bargiri[[#This Row],[مقدار]]*INDEX(invoice[پیش دریافت به ازای هر کیلوگرم],MATCH(bargiri[[#This Row],[شماره سند مبنا]],invoice[شماره پیش فاکتور],0))</f>
        <v>425840250</v>
      </c>
      <c r="K941" s="159">
        <f>bargiri[[#This Row],[مبلغ خالص]]-bargiri[[#This Row],[میزان استهلاک پیش دریافتی]]</f>
        <v>2413094750</v>
      </c>
      <c r="L941" s="160" t="s">
        <v>593</v>
      </c>
      <c r="M941" s="159"/>
      <c r="N941" s="159">
        <f>IF(bargiri[[#This Row],[مبلغ واریزی]]&lt;&gt;"",bargiri[[#This Row],[مانده مبلغ]]-bargiri[[#This Row],[مبلغ واریزی]],bargiri[[#This Row],[مانده مبلغ]])</f>
        <v>2413094750</v>
      </c>
      <c r="O941" s="159" t="s">
        <v>593</v>
      </c>
      <c r="P941" s="159">
        <f>VLOOKUP(bargiri[[#This Row],[شماره سند مبنا]],invoice[[شماره پیش فاکتور]:[پیش دریافت به ازای هر کیلوگرم]],14,0)</f>
        <v>23430</v>
      </c>
      <c r="Q941" s="159">
        <f>IF(bargiri[[#This Row],[مبلغ ناخالص]]-(bargiri[[#This Row],[نرخ استهلاک]]*bargiri[[#This Row],[مقدار]])&lt;0,0,bargiri[[#This Row],[مبلغ ناخالص]]-(bargiri[[#This Row],[نرخ استهلاک]]*bargiri[[#This Row],[مقدار]]))</f>
        <v>2155009750</v>
      </c>
    </row>
    <row r="942" spans="1:17" s="22" customFormat="1" ht="13.8" x14ac:dyDescent="0.25">
      <c r="A942" s="22">
        <v>590</v>
      </c>
      <c r="B942" s="22" t="s">
        <v>847</v>
      </c>
      <c r="C942" s="22" t="s">
        <v>456</v>
      </c>
      <c r="D942" s="22" t="s">
        <v>213</v>
      </c>
      <c r="E942" s="158">
        <v>7240</v>
      </c>
      <c r="F942" s="159">
        <v>142000</v>
      </c>
      <c r="G942" s="159">
        <v>1028080000</v>
      </c>
      <c r="H942" s="159">
        <v>102808000</v>
      </c>
      <c r="I942" s="159">
        <v>1130888000</v>
      </c>
      <c r="J942" s="159">
        <f>bargiri[[#This Row],[مقدار]]*INDEX(invoice[پیش دریافت به ازای هر کیلوگرم],MATCH(bargiri[[#This Row],[شماره سند مبنا]],invoice[شماره پیش فاکتور],0))</f>
        <v>859128364.48144019</v>
      </c>
      <c r="K942" s="159">
        <f>bargiri[[#This Row],[مبلغ خالص]]-bargiri[[#This Row],[میزان استهلاک پیش دریافتی]]</f>
        <v>271759635.51855981</v>
      </c>
      <c r="L942" s="160" t="s">
        <v>593</v>
      </c>
      <c r="M942" s="159"/>
      <c r="N942" s="159">
        <f>IF(bargiri[[#This Row],[مبلغ واریزی]]&lt;&gt;"",bargiri[[#This Row],[مانده مبلغ]]-bargiri[[#This Row],[مبلغ واریزی]],bargiri[[#This Row],[مانده مبلغ]])</f>
        <v>271759635.51855981</v>
      </c>
      <c r="O942" s="159" t="s">
        <v>593</v>
      </c>
      <c r="P942" s="159">
        <f>VLOOKUP(bargiri[[#This Row],[شماره سند مبنا]],invoice[[شماره پیش فاکتور]:[پیش دریافت به ازای هر کیلوگرم]],14,0)</f>
        <v>118664.13874053041</v>
      </c>
      <c r="Q942" s="159">
        <f>IF(bargiri[[#This Row],[مبلغ ناخالص]]-(bargiri[[#This Row],[نرخ استهلاک]]*bargiri[[#This Row],[مقدار]])&lt;0,0,bargiri[[#This Row],[مبلغ ناخالص]]-(bargiri[[#This Row],[نرخ استهلاک]]*bargiri[[#This Row],[مقدار]]))</f>
        <v>168951635.51855981</v>
      </c>
    </row>
    <row r="943" spans="1:17" s="22" customFormat="1" ht="13.8" x14ac:dyDescent="0.25">
      <c r="A943" s="22">
        <v>589</v>
      </c>
      <c r="B943" s="22" t="s">
        <v>847</v>
      </c>
      <c r="C943" s="22" t="s">
        <v>616</v>
      </c>
      <c r="D943" s="22" t="s">
        <v>67</v>
      </c>
      <c r="E943" s="158">
        <v>20245</v>
      </c>
      <c r="F943" s="159">
        <v>142000</v>
      </c>
      <c r="G943" s="159">
        <v>2874790000</v>
      </c>
      <c r="H943" s="159">
        <v>287479000</v>
      </c>
      <c r="I943" s="159">
        <v>3162269000</v>
      </c>
      <c r="J943" s="159">
        <f>bargiri[[#This Row],[مقدار]]*INDEX(invoice[پیش دریافت به ازای هر کیلوگرم],MATCH(bargiri[[#This Row],[شماره سند مبنا]],invoice[شماره پیش فاکتور],0))</f>
        <v>474340350</v>
      </c>
      <c r="K943" s="159">
        <f>bargiri[[#This Row],[مبلغ خالص]]-bargiri[[#This Row],[میزان استهلاک پیش دریافتی]]</f>
        <v>2687928650</v>
      </c>
      <c r="L943" s="160" t="s">
        <v>593</v>
      </c>
      <c r="M943" s="159"/>
      <c r="N943" s="159">
        <f>IF(bargiri[[#This Row],[مبلغ واریزی]]&lt;&gt;"",bargiri[[#This Row],[مانده مبلغ]]-bargiri[[#This Row],[مبلغ واریزی]],bargiri[[#This Row],[مانده مبلغ]])</f>
        <v>2687928650</v>
      </c>
      <c r="O943" s="159" t="s">
        <v>593</v>
      </c>
      <c r="P943" s="159">
        <f>VLOOKUP(bargiri[[#This Row],[شماره سند مبنا]],invoice[[شماره پیش فاکتور]:[پیش دریافت به ازای هر کیلوگرم]],14,0)</f>
        <v>23430</v>
      </c>
      <c r="Q943" s="159">
        <f>IF(bargiri[[#This Row],[مبلغ ناخالص]]-(bargiri[[#This Row],[نرخ استهلاک]]*bargiri[[#This Row],[مقدار]])&lt;0,0,bargiri[[#This Row],[مبلغ ناخالص]]-(bargiri[[#This Row],[نرخ استهلاک]]*bargiri[[#This Row],[مقدار]]))</f>
        <v>2400449650</v>
      </c>
    </row>
    <row r="944" spans="1:17" s="22" customFormat="1" ht="13.8" x14ac:dyDescent="0.25">
      <c r="A944" s="22">
        <v>588</v>
      </c>
      <c r="B944" s="22" t="s">
        <v>849</v>
      </c>
      <c r="C944" s="22" t="s">
        <v>182</v>
      </c>
      <c r="D944" s="22" t="s">
        <v>20</v>
      </c>
      <c r="E944" s="158">
        <v>18055</v>
      </c>
      <c r="F944" s="159">
        <v>86500</v>
      </c>
      <c r="G944" s="159">
        <v>1561757500</v>
      </c>
      <c r="H944" s="159">
        <v>156175750</v>
      </c>
      <c r="I944" s="159">
        <v>1717933250</v>
      </c>
      <c r="J944" s="159">
        <f>bargiri[[#This Row],[مقدار]]*INDEX(invoice[پیش دریافت به ازای هر کیلوگرم],MATCH(bargiri[[#This Row],[شماره سند مبنا]],invoice[شماره پیش فاکتور],0))</f>
        <v>234263625</v>
      </c>
      <c r="K944" s="159">
        <f>bargiri[[#This Row],[مبلغ خالص]]-bargiri[[#This Row],[میزان استهلاک پیش دریافتی]]</f>
        <v>1483669625</v>
      </c>
      <c r="L944" s="160" t="s">
        <v>593</v>
      </c>
      <c r="M944" s="159"/>
      <c r="N944" s="159">
        <f>IF(bargiri[[#This Row],[مبلغ واریزی]]&lt;&gt;"",bargiri[[#This Row],[مانده مبلغ]]-bargiri[[#This Row],[مبلغ واریزی]],bargiri[[#This Row],[مانده مبلغ]])</f>
        <v>1483669625</v>
      </c>
      <c r="O944" s="159" t="s">
        <v>593</v>
      </c>
      <c r="P944" s="159">
        <f>VLOOKUP(bargiri[[#This Row],[شماره سند مبنا]],invoice[[شماره پیش فاکتور]:[پیش دریافت به ازای هر کیلوگرم]],14,0)</f>
        <v>12975</v>
      </c>
      <c r="Q944" s="159">
        <f>IF(bargiri[[#This Row],[مبلغ ناخالص]]-(bargiri[[#This Row],[نرخ استهلاک]]*bargiri[[#This Row],[مقدار]])&lt;0,0,bargiri[[#This Row],[مبلغ ناخالص]]-(bargiri[[#This Row],[نرخ استهلاک]]*bargiri[[#This Row],[مقدار]]))</f>
        <v>1327493875</v>
      </c>
    </row>
    <row r="945" spans="1:17" s="22" customFormat="1" ht="13.8" x14ac:dyDescent="0.25">
      <c r="A945" s="22">
        <v>587</v>
      </c>
      <c r="B945" s="22" t="s">
        <v>849</v>
      </c>
      <c r="C945" s="22" t="s">
        <v>616</v>
      </c>
      <c r="D945" s="22" t="s">
        <v>67</v>
      </c>
      <c r="E945" s="158">
        <v>7435</v>
      </c>
      <c r="F945" s="159">
        <v>142000</v>
      </c>
      <c r="G945" s="159">
        <v>1055770000</v>
      </c>
      <c r="H945" s="159">
        <v>105577000</v>
      </c>
      <c r="I945" s="159">
        <v>1161347000</v>
      </c>
      <c r="J945" s="159">
        <f>bargiri[[#This Row],[مقدار]]*INDEX(invoice[پیش دریافت به ازای هر کیلوگرم],MATCH(bargiri[[#This Row],[شماره سند مبنا]],invoice[شماره پیش فاکتور],0))</f>
        <v>174202050</v>
      </c>
      <c r="K945" s="159">
        <f>bargiri[[#This Row],[مبلغ خالص]]-bargiri[[#This Row],[میزان استهلاک پیش دریافتی]]</f>
        <v>987144950</v>
      </c>
      <c r="L945" s="160" t="s">
        <v>593</v>
      </c>
      <c r="M945" s="159"/>
      <c r="N945" s="159">
        <f>IF(bargiri[[#This Row],[مبلغ واریزی]]&lt;&gt;"",bargiri[[#This Row],[مانده مبلغ]]-bargiri[[#This Row],[مبلغ واریزی]],bargiri[[#This Row],[مانده مبلغ]])</f>
        <v>987144950</v>
      </c>
      <c r="O945" s="159" t="s">
        <v>593</v>
      </c>
      <c r="P945" s="159">
        <f>VLOOKUP(bargiri[[#This Row],[شماره سند مبنا]],invoice[[شماره پیش فاکتور]:[پیش دریافت به ازای هر کیلوگرم]],14,0)</f>
        <v>23430</v>
      </c>
      <c r="Q945" s="159">
        <f>IF(bargiri[[#This Row],[مبلغ ناخالص]]-(bargiri[[#This Row],[نرخ استهلاک]]*bargiri[[#This Row],[مقدار]])&lt;0,0,bargiri[[#This Row],[مبلغ ناخالص]]-(bargiri[[#This Row],[نرخ استهلاک]]*bargiri[[#This Row],[مقدار]]))</f>
        <v>881567950</v>
      </c>
    </row>
    <row r="946" spans="1:17" s="22" customFormat="1" ht="13.8" x14ac:dyDescent="0.25">
      <c r="A946" s="22">
        <v>586</v>
      </c>
      <c r="B946" s="22" t="s">
        <v>849</v>
      </c>
      <c r="C946" s="22" t="s">
        <v>616</v>
      </c>
      <c r="D946" s="22" t="s">
        <v>67</v>
      </c>
      <c r="E946" s="158">
        <v>19920</v>
      </c>
      <c r="F946" s="159">
        <v>142000</v>
      </c>
      <c r="G946" s="159">
        <v>2828640000</v>
      </c>
      <c r="H946" s="159">
        <v>282864000</v>
      </c>
      <c r="I946" s="159">
        <v>3111504000</v>
      </c>
      <c r="J946" s="159">
        <f>bargiri[[#This Row],[مقدار]]*INDEX(invoice[پیش دریافت به ازای هر کیلوگرم],MATCH(bargiri[[#This Row],[شماره سند مبنا]],invoice[شماره پیش فاکتور],0))</f>
        <v>466725600</v>
      </c>
      <c r="K946" s="159">
        <f>bargiri[[#This Row],[مبلغ خالص]]-bargiri[[#This Row],[میزان استهلاک پیش دریافتی]]</f>
        <v>2644778400</v>
      </c>
      <c r="L946" s="160" t="s">
        <v>593</v>
      </c>
      <c r="M946" s="159"/>
      <c r="N946" s="159">
        <f>IF(bargiri[[#This Row],[مبلغ واریزی]]&lt;&gt;"",bargiri[[#This Row],[مانده مبلغ]]-bargiri[[#This Row],[مبلغ واریزی]],bargiri[[#This Row],[مانده مبلغ]])</f>
        <v>2644778400</v>
      </c>
      <c r="O946" s="159" t="s">
        <v>593</v>
      </c>
      <c r="P946" s="159">
        <f>VLOOKUP(bargiri[[#This Row],[شماره سند مبنا]],invoice[[شماره پیش فاکتور]:[پیش دریافت به ازای هر کیلوگرم]],14,0)</f>
        <v>23430</v>
      </c>
      <c r="Q946" s="159">
        <f>IF(bargiri[[#This Row],[مبلغ ناخالص]]-(bargiri[[#This Row],[نرخ استهلاک]]*bargiri[[#This Row],[مقدار]])&lt;0,0,bargiri[[#This Row],[مبلغ ناخالص]]-(bargiri[[#This Row],[نرخ استهلاک]]*bargiri[[#This Row],[مقدار]]))</f>
        <v>2361914400</v>
      </c>
    </row>
    <row r="947" spans="1:17" s="22" customFormat="1" ht="13.8" x14ac:dyDescent="0.25">
      <c r="A947" s="22">
        <v>585</v>
      </c>
      <c r="B947" s="22" t="s">
        <v>849</v>
      </c>
      <c r="C947" s="22" t="s">
        <v>72</v>
      </c>
      <c r="D947" s="22" t="s">
        <v>73</v>
      </c>
      <c r="E947" s="158">
        <v>20595</v>
      </c>
      <c r="F947" s="159">
        <v>57273</v>
      </c>
      <c r="G947" s="159">
        <v>1179537435</v>
      </c>
      <c r="H947" s="159">
        <v>117953744</v>
      </c>
      <c r="I947" s="159">
        <v>1297491179</v>
      </c>
      <c r="J947" s="159" t="e">
        <f>bargiri[[#This Row],[مقدار]]*INDEX(invoice[پیش دریافت به ازای هر کیلوگرم],MATCH(bargiri[[#This Row],[شماره سند مبنا]],invoice[شماره پیش فاکتور],0))</f>
        <v>#N/A</v>
      </c>
      <c r="K947" s="159" t="e">
        <f>bargiri[[#This Row],[مبلغ خالص]]-bargiri[[#This Row],[میزان استهلاک پیش دریافتی]]</f>
        <v>#N/A</v>
      </c>
      <c r="L947" s="160" t="s">
        <v>593</v>
      </c>
      <c r="M947" s="159"/>
      <c r="N947" s="159" t="e">
        <f>IF(bargiri[[#This Row],[مبلغ واریزی]]&lt;&gt;"",bargiri[[#This Row],[مانده مبلغ]]-bargiri[[#This Row],[مبلغ واریزی]],bargiri[[#This Row],[مانده مبلغ]])</f>
        <v>#N/A</v>
      </c>
      <c r="O947" s="159" t="s">
        <v>593</v>
      </c>
      <c r="P947" s="159" t="e">
        <f>VLOOKUP(bargiri[[#This Row],[شماره سند مبنا]],invoice[[شماره پیش فاکتور]:[پیش دریافت به ازای هر کیلوگرم]],14,0)</f>
        <v>#N/A</v>
      </c>
      <c r="Q947" s="159" t="e">
        <f>IF(bargiri[[#This Row],[مبلغ ناخالص]]-(bargiri[[#This Row],[نرخ استهلاک]]*bargiri[[#This Row],[مقدار]])&lt;0,0,bargiri[[#This Row],[مبلغ ناخالص]]-(bargiri[[#This Row],[نرخ استهلاک]]*bargiri[[#This Row],[مقدار]]))</f>
        <v>#N/A</v>
      </c>
    </row>
    <row r="948" spans="1:17" s="22" customFormat="1" ht="13.8" x14ac:dyDescent="0.25">
      <c r="A948" s="22">
        <v>583</v>
      </c>
      <c r="B948" s="22" t="s">
        <v>849</v>
      </c>
      <c r="C948" s="22" t="s">
        <v>72</v>
      </c>
      <c r="D948" s="22" t="s">
        <v>73</v>
      </c>
      <c r="E948" s="158">
        <v>20640</v>
      </c>
      <c r="F948" s="159">
        <v>57273</v>
      </c>
      <c r="G948" s="159">
        <v>1182114720</v>
      </c>
      <c r="H948" s="159">
        <v>118211472</v>
      </c>
      <c r="I948" s="159">
        <v>1300326192</v>
      </c>
      <c r="J948" s="159" t="e">
        <f>bargiri[[#This Row],[مقدار]]*INDEX(invoice[پیش دریافت به ازای هر کیلوگرم],MATCH(bargiri[[#This Row],[شماره سند مبنا]],invoice[شماره پیش فاکتور],0))</f>
        <v>#N/A</v>
      </c>
      <c r="K948" s="159" t="e">
        <f>bargiri[[#This Row],[مبلغ خالص]]-bargiri[[#This Row],[میزان استهلاک پیش دریافتی]]</f>
        <v>#N/A</v>
      </c>
      <c r="L948" s="160" t="s">
        <v>593</v>
      </c>
      <c r="M948" s="159"/>
      <c r="N948" s="159" t="e">
        <f>IF(bargiri[[#This Row],[مبلغ واریزی]]&lt;&gt;"",bargiri[[#This Row],[مانده مبلغ]]-bargiri[[#This Row],[مبلغ واریزی]],bargiri[[#This Row],[مانده مبلغ]])</f>
        <v>#N/A</v>
      </c>
      <c r="O948" s="159" t="s">
        <v>593</v>
      </c>
      <c r="P948" s="159" t="e">
        <f>VLOOKUP(bargiri[[#This Row],[شماره سند مبنا]],invoice[[شماره پیش فاکتور]:[پیش دریافت به ازای هر کیلوگرم]],14,0)</f>
        <v>#N/A</v>
      </c>
      <c r="Q948" s="159" t="e">
        <f>IF(bargiri[[#This Row],[مبلغ ناخالص]]-(bargiri[[#This Row],[نرخ استهلاک]]*bargiri[[#This Row],[مقدار]])&lt;0,0,bargiri[[#This Row],[مبلغ ناخالص]]-(bargiri[[#This Row],[نرخ استهلاک]]*bargiri[[#This Row],[مقدار]]))</f>
        <v>#N/A</v>
      </c>
    </row>
    <row r="949" spans="1:17" s="22" customFormat="1" ht="13.8" x14ac:dyDescent="0.25">
      <c r="A949" s="22">
        <v>582</v>
      </c>
      <c r="B949" s="22" t="s">
        <v>850</v>
      </c>
      <c r="C949" s="22" t="s">
        <v>107</v>
      </c>
      <c r="D949" s="22" t="s">
        <v>30</v>
      </c>
      <c r="E949" s="158">
        <v>11530</v>
      </c>
      <c r="F949" s="159">
        <v>70000</v>
      </c>
      <c r="G949" s="159">
        <v>807100000</v>
      </c>
      <c r="H949" s="159">
        <v>80710000</v>
      </c>
      <c r="I949" s="159">
        <v>887810000</v>
      </c>
      <c r="J949" s="159">
        <f>bargiri[[#This Row],[مقدار]]*INDEX(invoice[پیش دریافت به ازای هر کیلوگرم],MATCH(bargiri[[#This Row],[شماره سند مبنا]],invoice[شماره پیش فاکتور],0))</f>
        <v>443905000</v>
      </c>
      <c r="K949" s="159">
        <f>bargiri[[#This Row],[مبلغ خالص]]-bargiri[[#This Row],[میزان استهلاک پیش دریافتی]]</f>
        <v>443905000</v>
      </c>
      <c r="L949" s="160" t="s">
        <v>593</v>
      </c>
      <c r="M949" s="159"/>
      <c r="N949" s="159">
        <f>IF(bargiri[[#This Row],[مبلغ واریزی]]&lt;&gt;"",bargiri[[#This Row],[مانده مبلغ]]-bargiri[[#This Row],[مبلغ واریزی]],bargiri[[#This Row],[مانده مبلغ]])</f>
        <v>443905000</v>
      </c>
      <c r="O949" s="159" t="s">
        <v>593</v>
      </c>
      <c r="P949" s="159">
        <f>VLOOKUP(bargiri[[#This Row],[شماره سند مبنا]],invoice[[شماره پیش فاکتور]:[پیش دریافت به ازای هر کیلوگرم]],14,0)</f>
        <v>38500</v>
      </c>
      <c r="Q949" s="159">
        <f>IF(bargiri[[#This Row],[مبلغ ناخالص]]-(bargiri[[#This Row],[نرخ استهلاک]]*bargiri[[#This Row],[مقدار]])&lt;0,0,bargiri[[#This Row],[مبلغ ناخالص]]-(bargiri[[#This Row],[نرخ استهلاک]]*bargiri[[#This Row],[مقدار]]))</f>
        <v>363195000</v>
      </c>
    </row>
    <row r="950" spans="1:17" s="22" customFormat="1" ht="13.8" x14ac:dyDescent="0.25">
      <c r="A950" s="22">
        <v>581</v>
      </c>
      <c r="B950" s="22" t="s">
        <v>850</v>
      </c>
      <c r="C950" s="22" t="s">
        <v>456</v>
      </c>
      <c r="D950" s="22" t="s">
        <v>213</v>
      </c>
      <c r="E950" s="158">
        <v>7400</v>
      </c>
      <c r="F950" s="159">
        <v>142000</v>
      </c>
      <c r="G950" s="159">
        <v>1050800000</v>
      </c>
      <c r="H950" s="159">
        <v>105080000</v>
      </c>
      <c r="I950" s="159">
        <v>1155880000</v>
      </c>
      <c r="J950" s="159">
        <f>bargiri[[#This Row],[مقدار]]*INDEX(invoice[پیش دریافت به ازای هر کیلوگرم],MATCH(bargiri[[#This Row],[شماره سند مبنا]],invoice[شماره پیش فاکتور],0))</f>
        <v>878114626.67992508</v>
      </c>
      <c r="K950" s="159">
        <f>bargiri[[#This Row],[مبلغ خالص]]-bargiri[[#This Row],[میزان استهلاک پیش دریافتی]]</f>
        <v>277765373.32007492</v>
      </c>
      <c r="L950" s="160" t="s">
        <v>593</v>
      </c>
      <c r="M950" s="159"/>
      <c r="N950" s="159">
        <f>IF(bargiri[[#This Row],[مبلغ واریزی]]&lt;&gt;"",bargiri[[#This Row],[مانده مبلغ]]-bargiri[[#This Row],[مبلغ واریزی]],bargiri[[#This Row],[مانده مبلغ]])</f>
        <v>277765373.32007492</v>
      </c>
      <c r="O950" s="159" t="s">
        <v>593</v>
      </c>
      <c r="P950" s="159">
        <f>VLOOKUP(bargiri[[#This Row],[شماره سند مبنا]],invoice[[شماره پیش فاکتور]:[پیش دریافت به ازای هر کیلوگرم]],14,0)</f>
        <v>118664.13874053041</v>
      </c>
      <c r="Q950" s="159">
        <f>IF(bargiri[[#This Row],[مبلغ ناخالص]]-(bargiri[[#This Row],[نرخ استهلاک]]*bargiri[[#This Row],[مقدار]])&lt;0,0,bargiri[[#This Row],[مبلغ ناخالص]]-(bargiri[[#This Row],[نرخ استهلاک]]*bargiri[[#This Row],[مقدار]]))</f>
        <v>172685373.32007492</v>
      </c>
    </row>
    <row r="951" spans="1:17" s="22" customFormat="1" ht="13.8" x14ac:dyDescent="0.25">
      <c r="A951" s="22">
        <v>580</v>
      </c>
      <c r="B951" s="22" t="s">
        <v>850</v>
      </c>
      <c r="C951" s="22" t="s">
        <v>851</v>
      </c>
      <c r="D951" s="22" t="s">
        <v>40</v>
      </c>
      <c r="E951" s="158">
        <v>12200</v>
      </c>
      <c r="F951" s="159">
        <v>151200</v>
      </c>
      <c r="G951" s="159">
        <v>1844640000</v>
      </c>
      <c r="H951" s="159">
        <v>184464000</v>
      </c>
      <c r="I951" s="159">
        <v>2029104000</v>
      </c>
      <c r="J951" s="159">
        <f>bargiri[[#This Row],[مقدار]]*INDEX(invoice[پیش دریافت به ازای هر کیلوگرم],MATCH(bargiri[[#This Row],[شماره سند مبنا]],invoice[شماره پیش فاکتور],0))</f>
        <v>304164300</v>
      </c>
      <c r="K951" s="159">
        <f>bargiri[[#This Row],[مبلغ خالص]]-bargiri[[#This Row],[میزان استهلاک پیش دریافتی]]</f>
        <v>1724939700</v>
      </c>
      <c r="L951" s="160" t="s">
        <v>593</v>
      </c>
      <c r="M951" s="159"/>
      <c r="N951" s="159">
        <f>IF(bargiri[[#This Row],[مبلغ واریزی]]&lt;&gt;"",bargiri[[#This Row],[مانده مبلغ]]-bargiri[[#This Row],[مبلغ واریزی]],bargiri[[#This Row],[مانده مبلغ]])</f>
        <v>1724939700</v>
      </c>
      <c r="O951" s="159" t="s">
        <v>593</v>
      </c>
      <c r="P951" s="159">
        <f>VLOOKUP(bargiri[[#This Row],[شماره سند مبنا]],invoice[[شماره پیش فاکتور]:[پیش دریافت به ازای هر کیلوگرم]],14,0)</f>
        <v>24931.5</v>
      </c>
      <c r="Q951" s="159">
        <f>IF(bargiri[[#This Row],[مبلغ ناخالص]]-(bargiri[[#This Row],[نرخ استهلاک]]*bargiri[[#This Row],[مقدار]])&lt;0,0,bargiri[[#This Row],[مبلغ ناخالص]]-(bargiri[[#This Row],[نرخ استهلاک]]*bargiri[[#This Row],[مقدار]]))</f>
        <v>1540475700</v>
      </c>
    </row>
    <row r="952" spans="1:17" s="22" customFormat="1" ht="13.8" x14ac:dyDescent="0.25">
      <c r="A952" s="22">
        <v>580</v>
      </c>
      <c r="B952" s="22" t="s">
        <v>850</v>
      </c>
      <c r="C952" s="22" t="s">
        <v>651</v>
      </c>
      <c r="D952" s="22" t="s">
        <v>40</v>
      </c>
      <c r="E952" s="158">
        <v>5855</v>
      </c>
      <c r="F952" s="159">
        <v>201000</v>
      </c>
      <c r="G952" s="159">
        <v>1176855000</v>
      </c>
      <c r="H952" s="159">
        <v>117685500</v>
      </c>
      <c r="I952" s="159">
        <v>1294540500</v>
      </c>
      <c r="J952" s="159">
        <f>bargiri[[#This Row],[مقدار]]*INDEX(invoice[پیش دریافت به ازای هر کیلوگرم],MATCH(bargiri[[#This Row],[شماره سند مبنا]],invoice[شماره پیش فاکتور],0))</f>
        <v>1294540500</v>
      </c>
      <c r="K952" s="159">
        <f>bargiri[[#This Row],[مبلغ خالص]]-bargiri[[#This Row],[میزان استهلاک پیش دریافتی]]</f>
        <v>0</v>
      </c>
      <c r="L952" s="160" t="s">
        <v>593</v>
      </c>
      <c r="M952" s="159"/>
      <c r="N952" s="159">
        <f>IF(bargiri[[#This Row],[مبلغ واریزی]]&lt;&gt;"",bargiri[[#This Row],[مانده مبلغ]]-bargiri[[#This Row],[مبلغ واریزی]],bargiri[[#This Row],[مانده مبلغ]])</f>
        <v>0</v>
      </c>
      <c r="O952" s="159" t="s">
        <v>593</v>
      </c>
      <c r="P952" s="159">
        <f>VLOOKUP(bargiri[[#This Row],[شماره سند مبنا]],invoice[[شماره پیش فاکتور]:[پیش دریافت به ازای هر کیلوگرم]],14,0)</f>
        <v>221100</v>
      </c>
      <c r="Q952" s="159">
        <f>IF(bargiri[[#This Row],[مبلغ ناخالص]]-(bargiri[[#This Row],[نرخ استهلاک]]*bargiri[[#This Row],[مقدار]])&lt;0,0,bargiri[[#This Row],[مبلغ ناخالص]]-(bargiri[[#This Row],[نرخ استهلاک]]*bargiri[[#This Row],[مقدار]]))</f>
        <v>0</v>
      </c>
    </row>
    <row r="953" spans="1:17" s="22" customFormat="1" ht="13.8" x14ac:dyDescent="0.25">
      <c r="A953" s="22">
        <v>579</v>
      </c>
      <c r="B953" s="22" t="s">
        <v>850</v>
      </c>
      <c r="C953" s="22" t="s">
        <v>607</v>
      </c>
      <c r="D953" s="22" t="s">
        <v>180</v>
      </c>
      <c r="E953" s="158">
        <v>7705</v>
      </c>
      <c r="F953" s="159">
        <v>142000</v>
      </c>
      <c r="G953" s="159">
        <v>1094110000</v>
      </c>
      <c r="H953" s="159">
        <v>109411000</v>
      </c>
      <c r="I953" s="159">
        <v>1203521000</v>
      </c>
      <c r="J953" s="159">
        <f>bargiri[[#This Row],[مقدار]]*INDEX(invoice[پیش دریافت به ازای هر کیلوگرم],MATCH(bargiri[[#This Row],[شماره سند مبنا]],invoice[شماره پیش فاکتور],0))</f>
        <v>575154288.64738572</v>
      </c>
      <c r="K953" s="159">
        <f>bargiri[[#This Row],[مبلغ خالص]]-bargiri[[#This Row],[میزان استهلاک پیش دریافتی]]</f>
        <v>628366711.35261428</v>
      </c>
      <c r="L953" s="160" t="s">
        <v>593</v>
      </c>
      <c r="M953" s="159"/>
      <c r="N953" s="159">
        <f>IF(bargiri[[#This Row],[مبلغ واریزی]]&lt;&gt;"",bargiri[[#This Row],[مانده مبلغ]]-bargiri[[#This Row],[مبلغ واریزی]],bargiri[[#This Row],[مانده مبلغ]])</f>
        <v>628366711.35261428</v>
      </c>
      <c r="O953" s="159" t="s">
        <v>593</v>
      </c>
      <c r="P953" s="159">
        <f>VLOOKUP(bargiri[[#This Row],[شماره سند مبنا]],invoice[[شماره پیش فاکتور]:[پیش دریافت به ازای هر کیلوگرم]],14,0)</f>
        <v>74646.890155403729</v>
      </c>
      <c r="Q953" s="159">
        <f>IF(bargiri[[#This Row],[مبلغ ناخالص]]-(bargiri[[#This Row],[نرخ استهلاک]]*bargiri[[#This Row],[مقدار]])&lt;0,0,bargiri[[#This Row],[مبلغ ناخالص]]-(bargiri[[#This Row],[نرخ استهلاک]]*bargiri[[#This Row],[مقدار]]))</f>
        <v>518955711.35261428</v>
      </c>
    </row>
    <row r="954" spans="1:17" s="22" customFormat="1" ht="13.8" x14ac:dyDescent="0.25">
      <c r="A954" s="22">
        <v>578</v>
      </c>
      <c r="B954" s="22" t="s">
        <v>850</v>
      </c>
      <c r="C954" s="22" t="s">
        <v>182</v>
      </c>
      <c r="D954" s="22" t="s">
        <v>20</v>
      </c>
      <c r="E954" s="158">
        <v>19010</v>
      </c>
      <c r="F954" s="159">
        <v>86500</v>
      </c>
      <c r="G954" s="159">
        <v>1644365000</v>
      </c>
      <c r="H954" s="159">
        <v>164436500</v>
      </c>
      <c r="I954" s="159">
        <v>1808801500</v>
      </c>
      <c r="J954" s="159">
        <f>bargiri[[#This Row],[مقدار]]*INDEX(invoice[پیش دریافت به ازای هر کیلوگرم],MATCH(bargiri[[#This Row],[شماره سند مبنا]],invoice[شماره پیش فاکتور],0))</f>
        <v>246654750</v>
      </c>
      <c r="K954" s="159">
        <f>bargiri[[#This Row],[مبلغ خالص]]-bargiri[[#This Row],[میزان استهلاک پیش دریافتی]]</f>
        <v>1562146750</v>
      </c>
      <c r="L954" s="160" t="s">
        <v>593</v>
      </c>
      <c r="M954" s="159"/>
      <c r="N954" s="159">
        <f>IF(bargiri[[#This Row],[مبلغ واریزی]]&lt;&gt;"",bargiri[[#This Row],[مانده مبلغ]]-bargiri[[#This Row],[مبلغ واریزی]],bargiri[[#This Row],[مانده مبلغ]])</f>
        <v>1562146750</v>
      </c>
      <c r="O954" s="159" t="s">
        <v>593</v>
      </c>
      <c r="P954" s="159">
        <f>VLOOKUP(bargiri[[#This Row],[شماره سند مبنا]],invoice[[شماره پیش فاکتور]:[پیش دریافت به ازای هر کیلوگرم]],14,0)</f>
        <v>12975</v>
      </c>
      <c r="Q954" s="159">
        <f>IF(bargiri[[#This Row],[مبلغ ناخالص]]-(bargiri[[#This Row],[نرخ استهلاک]]*bargiri[[#This Row],[مقدار]])&lt;0,0,bargiri[[#This Row],[مبلغ ناخالص]]-(bargiri[[#This Row],[نرخ استهلاک]]*bargiri[[#This Row],[مقدار]]))</f>
        <v>1397710250</v>
      </c>
    </row>
    <row r="955" spans="1:17" s="22" customFormat="1" ht="13.8" x14ac:dyDescent="0.25">
      <c r="A955" s="22">
        <v>577</v>
      </c>
      <c r="B955" s="22" t="s">
        <v>686</v>
      </c>
      <c r="C955" s="22" t="s">
        <v>616</v>
      </c>
      <c r="D955" s="22" t="s">
        <v>67</v>
      </c>
      <c r="E955" s="158">
        <v>19950</v>
      </c>
      <c r="F955" s="159">
        <v>142000</v>
      </c>
      <c r="G955" s="159">
        <v>2832900000</v>
      </c>
      <c r="H955" s="159">
        <v>283290000</v>
      </c>
      <c r="I955" s="159">
        <v>3116190000</v>
      </c>
      <c r="J955" s="159">
        <f>bargiri[[#This Row],[مقدار]]*INDEX(invoice[پیش دریافت به ازای هر کیلوگرم],MATCH(bargiri[[#This Row],[شماره سند مبنا]],invoice[شماره پیش فاکتور],0))</f>
        <v>467428500</v>
      </c>
      <c r="K955" s="159">
        <f>bargiri[[#This Row],[مبلغ خالص]]-bargiri[[#This Row],[میزان استهلاک پیش دریافتی]]</f>
        <v>2648761500</v>
      </c>
      <c r="L955" s="160" t="s">
        <v>593</v>
      </c>
      <c r="M955" s="159"/>
      <c r="N955" s="159">
        <f>IF(bargiri[[#This Row],[مبلغ واریزی]]&lt;&gt;"",bargiri[[#This Row],[مانده مبلغ]]-bargiri[[#This Row],[مبلغ واریزی]],bargiri[[#This Row],[مانده مبلغ]])</f>
        <v>2648761500</v>
      </c>
      <c r="O955" s="159" t="s">
        <v>593</v>
      </c>
      <c r="P955" s="159">
        <f>VLOOKUP(bargiri[[#This Row],[شماره سند مبنا]],invoice[[شماره پیش فاکتور]:[پیش دریافت به ازای هر کیلوگرم]],14,0)</f>
        <v>23430</v>
      </c>
      <c r="Q955" s="159">
        <f>IF(bargiri[[#This Row],[مبلغ ناخالص]]-(bargiri[[#This Row],[نرخ استهلاک]]*bargiri[[#This Row],[مقدار]])&lt;0,0,bargiri[[#This Row],[مبلغ ناخالص]]-(bargiri[[#This Row],[نرخ استهلاک]]*bargiri[[#This Row],[مقدار]]))</f>
        <v>2365471500</v>
      </c>
    </row>
    <row r="956" spans="1:17" s="22" customFormat="1" ht="13.8" x14ac:dyDescent="0.25">
      <c r="A956" s="22">
        <v>576</v>
      </c>
      <c r="B956" s="22" t="s">
        <v>686</v>
      </c>
      <c r="C956" s="22" t="s">
        <v>616</v>
      </c>
      <c r="D956" s="22" t="s">
        <v>67</v>
      </c>
      <c r="E956" s="158">
        <v>7805</v>
      </c>
      <c r="F956" s="159">
        <v>142000</v>
      </c>
      <c r="G956" s="159">
        <v>1108310000</v>
      </c>
      <c r="H956" s="159">
        <v>110831000</v>
      </c>
      <c r="I956" s="159">
        <v>1219141000</v>
      </c>
      <c r="J956" s="159">
        <f>bargiri[[#This Row],[مقدار]]*INDEX(invoice[پیش دریافت به ازای هر کیلوگرم],MATCH(bargiri[[#This Row],[شماره سند مبنا]],invoice[شماره پیش فاکتور],0))</f>
        <v>182871150</v>
      </c>
      <c r="K956" s="159">
        <f>bargiri[[#This Row],[مبلغ خالص]]-bargiri[[#This Row],[میزان استهلاک پیش دریافتی]]</f>
        <v>1036269850</v>
      </c>
      <c r="L956" s="160" t="s">
        <v>593</v>
      </c>
      <c r="M956" s="159"/>
      <c r="N956" s="159">
        <f>IF(bargiri[[#This Row],[مبلغ واریزی]]&lt;&gt;"",bargiri[[#This Row],[مانده مبلغ]]-bargiri[[#This Row],[مبلغ واریزی]],bargiri[[#This Row],[مانده مبلغ]])</f>
        <v>1036269850</v>
      </c>
      <c r="O956" s="159" t="s">
        <v>593</v>
      </c>
      <c r="P956" s="159">
        <f>VLOOKUP(bargiri[[#This Row],[شماره سند مبنا]],invoice[[شماره پیش فاکتور]:[پیش دریافت به ازای هر کیلوگرم]],14,0)</f>
        <v>23430</v>
      </c>
      <c r="Q956" s="159">
        <f>IF(bargiri[[#This Row],[مبلغ ناخالص]]-(bargiri[[#This Row],[نرخ استهلاک]]*bargiri[[#This Row],[مقدار]])&lt;0,0,bargiri[[#This Row],[مبلغ ناخالص]]-(bargiri[[#This Row],[نرخ استهلاک]]*bargiri[[#This Row],[مقدار]]))</f>
        <v>925438850</v>
      </c>
    </row>
    <row r="957" spans="1:17" s="22" customFormat="1" ht="13.8" x14ac:dyDescent="0.25">
      <c r="A957" s="22">
        <v>575</v>
      </c>
      <c r="B957" s="22" t="s">
        <v>686</v>
      </c>
      <c r="C957" s="22" t="s">
        <v>182</v>
      </c>
      <c r="D957" s="22" t="s">
        <v>20</v>
      </c>
      <c r="E957" s="158">
        <v>18990</v>
      </c>
      <c r="F957" s="159">
        <v>86500</v>
      </c>
      <c r="G957" s="159">
        <v>1642635000</v>
      </c>
      <c r="H957" s="159">
        <v>164263500</v>
      </c>
      <c r="I957" s="159">
        <v>1806898500</v>
      </c>
      <c r="J957" s="159">
        <f>bargiri[[#This Row],[مقدار]]*INDEX(invoice[پیش دریافت به ازای هر کیلوگرم],MATCH(bargiri[[#This Row],[شماره سند مبنا]],invoice[شماره پیش فاکتور],0))</f>
        <v>246395250</v>
      </c>
      <c r="K957" s="159">
        <f>bargiri[[#This Row],[مبلغ خالص]]-bargiri[[#This Row],[میزان استهلاک پیش دریافتی]]</f>
        <v>1560503250</v>
      </c>
      <c r="L957" s="160" t="s">
        <v>593</v>
      </c>
      <c r="M957" s="159"/>
      <c r="N957" s="159">
        <f>IF(bargiri[[#This Row],[مبلغ واریزی]]&lt;&gt;"",bargiri[[#This Row],[مانده مبلغ]]-bargiri[[#This Row],[مبلغ واریزی]],bargiri[[#This Row],[مانده مبلغ]])</f>
        <v>1560503250</v>
      </c>
      <c r="O957" s="159" t="s">
        <v>593</v>
      </c>
      <c r="P957" s="159">
        <f>VLOOKUP(bargiri[[#This Row],[شماره سند مبنا]],invoice[[شماره پیش فاکتور]:[پیش دریافت به ازای هر کیلوگرم]],14,0)</f>
        <v>12975</v>
      </c>
      <c r="Q957" s="159">
        <f>IF(bargiri[[#This Row],[مبلغ ناخالص]]-(bargiri[[#This Row],[نرخ استهلاک]]*bargiri[[#This Row],[مقدار]])&lt;0,0,bargiri[[#This Row],[مبلغ ناخالص]]-(bargiri[[#This Row],[نرخ استهلاک]]*bargiri[[#This Row],[مقدار]]))</f>
        <v>1396239750</v>
      </c>
    </row>
    <row r="958" spans="1:17" s="22" customFormat="1" ht="13.8" x14ac:dyDescent="0.25">
      <c r="A958" s="22">
        <v>574</v>
      </c>
      <c r="B958" s="22" t="s">
        <v>852</v>
      </c>
      <c r="C958" s="22" t="s">
        <v>456</v>
      </c>
      <c r="D958" s="22" t="s">
        <v>213</v>
      </c>
      <c r="E958" s="158">
        <v>7430</v>
      </c>
      <c r="F958" s="159">
        <v>142000</v>
      </c>
      <c r="G958" s="159">
        <v>1055060000</v>
      </c>
      <c r="H958" s="159">
        <v>105506000</v>
      </c>
      <c r="I958" s="159">
        <v>1160566000</v>
      </c>
      <c r="J958" s="159">
        <f>bargiri[[#This Row],[مقدار]]*INDEX(invoice[پیش دریافت به ازای هر کیلوگرم],MATCH(bargiri[[#This Row],[شماره سند مبنا]],invoice[شماره پیش فاکتور],0))</f>
        <v>881674550.84214091</v>
      </c>
      <c r="K958" s="159">
        <f>bargiri[[#This Row],[مبلغ خالص]]-bargiri[[#This Row],[میزان استهلاک پیش دریافتی]]</f>
        <v>278891449.15785909</v>
      </c>
      <c r="L958" s="160" t="s">
        <v>593</v>
      </c>
      <c r="M958" s="159"/>
      <c r="N958" s="159">
        <f>IF(bargiri[[#This Row],[مبلغ واریزی]]&lt;&gt;"",bargiri[[#This Row],[مانده مبلغ]]-bargiri[[#This Row],[مبلغ واریزی]],bargiri[[#This Row],[مانده مبلغ]])</f>
        <v>278891449.15785909</v>
      </c>
      <c r="O958" s="159" t="s">
        <v>593</v>
      </c>
      <c r="P958" s="159">
        <f>VLOOKUP(bargiri[[#This Row],[شماره سند مبنا]],invoice[[شماره پیش فاکتور]:[پیش دریافت به ازای هر کیلوگرم]],14,0)</f>
        <v>118664.13874053041</v>
      </c>
      <c r="Q958" s="159">
        <f>IF(bargiri[[#This Row],[مبلغ ناخالص]]-(bargiri[[#This Row],[نرخ استهلاک]]*bargiri[[#This Row],[مقدار]])&lt;0,0,bargiri[[#This Row],[مبلغ ناخالص]]-(bargiri[[#This Row],[نرخ استهلاک]]*bargiri[[#This Row],[مقدار]]))</f>
        <v>173385449.15785909</v>
      </c>
    </row>
    <row r="959" spans="1:17" s="22" customFormat="1" ht="13.8" x14ac:dyDescent="0.25">
      <c r="A959" s="22">
        <v>573</v>
      </c>
      <c r="B959" s="22" t="s">
        <v>852</v>
      </c>
      <c r="C959" s="22" t="s">
        <v>644</v>
      </c>
      <c r="D959" s="22" t="s">
        <v>67</v>
      </c>
      <c r="E959" s="158">
        <v>8070</v>
      </c>
      <c r="F959" s="159">
        <v>95000</v>
      </c>
      <c r="G959" s="159">
        <v>766650000</v>
      </c>
      <c r="H959" s="159">
        <v>76665000</v>
      </c>
      <c r="I959" s="159">
        <v>843315000</v>
      </c>
      <c r="J959" s="159">
        <f>bargiri[[#This Row],[مقدار]]*INDEX(invoice[پیش دریافت به ازای هر کیلوگرم],MATCH(bargiri[[#This Row],[شماره سند مبنا]],invoice[شماره پیش فاکتور],0))</f>
        <v>245374522.58186713</v>
      </c>
      <c r="K959" s="159">
        <f>bargiri[[#This Row],[مبلغ خالص]]-bargiri[[#This Row],[میزان استهلاک پیش دریافتی]]</f>
        <v>597940477.4181329</v>
      </c>
      <c r="L959" s="160" t="s">
        <v>593</v>
      </c>
      <c r="M959" s="159"/>
      <c r="N959" s="159">
        <f>IF(bargiri[[#This Row],[مبلغ واریزی]]&lt;&gt;"",bargiri[[#This Row],[مانده مبلغ]]-bargiri[[#This Row],[مبلغ واریزی]],bargiri[[#This Row],[مانده مبلغ]])</f>
        <v>597940477.4181329</v>
      </c>
      <c r="O959" s="159" t="s">
        <v>593</v>
      </c>
      <c r="P959" s="159">
        <f>VLOOKUP(bargiri[[#This Row],[شماره سند مبنا]],invoice[[شماره پیش فاکتور]:[پیش دریافت به ازای هر کیلوگرم]],14,0)</f>
        <v>30405.764880033101</v>
      </c>
      <c r="Q959" s="159">
        <f>IF(bargiri[[#This Row],[مبلغ ناخالص]]-(bargiri[[#This Row],[نرخ استهلاک]]*bargiri[[#This Row],[مقدار]])&lt;0,0,bargiri[[#This Row],[مبلغ ناخالص]]-(bargiri[[#This Row],[نرخ استهلاک]]*bargiri[[#This Row],[مقدار]]))</f>
        <v>521275477.4181329</v>
      </c>
    </row>
    <row r="960" spans="1:17" s="22" customFormat="1" ht="13.8" x14ac:dyDescent="0.25">
      <c r="A960" s="22">
        <v>572</v>
      </c>
      <c r="B960" s="22" t="s">
        <v>852</v>
      </c>
      <c r="C960" s="22" t="s">
        <v>601</v>
      </c>
      <c r="D960" s="22" t="s">
        <v>25</v>
      </c>
      <c r="E960" s="158">
        <v>12025</v>
      </c>
      <c r="F960" s="159">
        <v>142000</v>
      </c>
      <c r="G960" s="159">
        <v>1707550000</v>
      </c>
      <c r="H960" s="159">
        <v>170755000</v>
      </c>
      <c r="I960" s="159">
        <v>1878305000</v>
      </c>
      <c r="J960" s="159">
        <f>bargiri[[#This Row],[مقدار]]*INDEX(invoice[پیش دریافت به ازای هر کیلوگرم],MATCH(bargiri[[#This Row],[شماره سند مبنا]],invoice[شماره پیش فاکتور],0))</f>
        <v>281745750</v>
      </c>
      <c r="K960" s="159">
        <f>bargiri[[#This Row],[مبلغ خالص]]-bargiri[[#This Row],[میزان استهلاک پیش دریافتی]]</f>
        <v>1596559250</v>
      </c>
      <c r="L960" s="160" t="s">
        <v>593</v>
      </c>
      <c r="M960" s="159"/>
      <c r="N960" s="159">
        <f>IF(bargiri[[#This Row],[مبلغ واریزی]]&lt;&gt;"",bargiri[[#This Row],[مانده مبلغ]]-bargiri[[#This Row],[مبلغ واریزی]],bargiri[[#This Row],[مانده مبلغ]])</f>
        <v>1596559250</v>
      </c>
      <c r="O960" s="159" t="s">
        <v>593</v>
      </c>
      <c r="P960" s="159">
        <f>VLOOKUP(bargiri[[#This Row],[شماره سند مبنا]],invoice[[شماره پیش فاکتور]:[پیش دریافت به ازای هر کیلوگرم]],14,0)</f>
        <v>23430</v>
      </c>
      <c r="Q960" s="159">
        <f>IF(bargiri[[#This Row],[مبلغ ناخالص]]-(bargiri[[#This Row],[نرخ استهلاک]]*bargiri[[#This Row],[مقدار]])&lt;0,0,bargiri[[#This Row],[مبلغ ناخالص]]-(bargiri[[#This Row],[نرخ استهلاک]]*bargiri[[#This Row],[مقدار]]))</f>
        <v>1425804250</v>
      </c>
    </row>
    <row r="961" spans="1:17" s="22" customFormat="1" ht="13.8" x14ac:dyDescent="0.25">
      <c r="A961" s="22">
        <v>571</v>
      </c>
      <c r="B961" s="22" t="s">
        <v>852</v>
      </c>
      <c r="C961" s="22" t="s">
        <v>851</v>
      </c>
      <c r="D961" s="22" t="s">
        <v>40</v>
      </c>
      <c r="E961" s="158">
        <v>17800</v>
      </c>
      <c r="F961" s="159">
        <v>151200</v>
      </c>
      <c r="G961" s="159">
        <v>2691360000</v>
      </c>
      <c r="H961" s="159">
        <v>269136000</v>
      </c>
      <c r="I961" s="159">
        <v>2960496000</v>
      </c>
      <c r="J961" s="159">
        <f>bargiri[[#This Row],[مقدار]]*INDEX(invoice[پیش دریافت به ازای هر کیلوگرم],MATCH(bargiri[[#This Row],[شماره سند مبنا]],invoice[شماره پیش فاکتور],0))</f>
        <v>443780700</v>
      </c>
      <c r="K961" s="159">
        <f>bargiri[[#This Row],[مبلغ خالص]]-bargiri[[#This Row],[میزان استهلاک پیش دریافتی]]</f>
        <v>2516715300</v>
      </c>
      <c r="L961" s="160" t="s">
        <v>593</v>
      </c>
      <c r="M961" s="159"/>
      <c r="N961" s="159">
        <f>IF(bargiri[[#This Row],[مبلغ واریزی]]&lt;&gt;"",bargiri[[#This Row],[مانده مبلغ]]-bargiri[[#This Row],[مبلغ واریزی]],bargiri[[#This Row],[مانده مبلغ]])</f>
        <v>2516715300</v>
      </c>
      <c r="O961" s="159" t="s">
        <v>593</v>
      </c>
      <c r="P961" s="159">
        <f>VLOOKUP(bargiri[[#This Row],[شماره سند مبنا]],invoice[[شماره پیش فاکتور]:[پیش دریافت به ازای هر کیلوگرم]],14,0)</f>
        <v>24931.5</v>
      </c>
      <c r="Q961" s="159">
        <f>IF(bargiri[[#This Row],[مبلغ ناخالص]]-(bargiri[[#This Row],[نرخ استهلاک]]*bargiri[[#This Row],[مقدار]])&lt;0,0,bargiri[[#This Row],[مبلغ ناخالص]]-(bargiri[[#This Row],[نرخ استهلاک]]*bargiri[[#This Row],[مقدار]]))</f>
        <v>2247579300</v>
      </c>
    </row>
    <row r="962" spans="1:17" s="22" customFormat="1" ht="13.8" x14ac:dyDescent="0.25">
      <c r="A962" s="22">
        <v>570</v>
      </c>
      <c r="B962" s="22" t="s">
        <v>852</v>
      </c>
      <c r="C962" s="22" t="s">
        <v>664</v>
      </c>
      <c r="D962" s="22" t="s">
        <v>70</v>
      </c>
      <c r="E962" s="158">
        <v>1010</v>
      </c>
      <c r="F962" s="159">
        <v>167500</v>
      </c>
      <c r="G962" s="159">
        <v>169175000</v>
      </c>
      <c r="H962" s="159">
        <v>16917500</v>
      </c>
      <c r="I962" s="159">
        <v>186092500</v>
      </c>
      <c r="J962" s="159">
        <f>bargiri[[#This Row],[مقدار]]*INDEX(invoice[پیش دریافت به ازای هر کیلوگرم],MATCH(bargiri[[#This Row],[شماره سند مبنا]],invoice[شماره پیش فاکتور],0))</f>
        <v>186092500</v>
      </c>
      <c r="K962" s="159">
        <f>bargiri[[#This Row],[مبلغ خالص]]-bargiri[[#This Row],[میزان استهلاک پیش دریافتی]]</f>
        <v>0</v>
      </c>
      <c r="L962" s="160" t="s">
        <v>593</v>
      </c>
      <c r="M962" s="159"/>
      <c r="N962" s="159">
        <f>IF(bargiri[[#This Row],[مبلغ واریزی]]&lt;&gt;"",bargiri[[#This Row],[مانده مبلغ]]-bargiri[[#This Row],[مبلغ واریزی]],bargiri[[#This Row],[مانده مبلغ]])</f>
        <v>0</v>
      </c>
      <c r="O962" s="159" t="s">
        <v>593</v>
      </c>
      <c r="P962" s="159">
        <f>VLOOKUP(bargiri[[#This Row],[شماره سند مبنا]],invoice[[شماره پیش فاکتور]:[پیش دریافت به ازای هر کیلوگرم]],14,0)</f>
        <v>184250</v>
      </c>
      <c r="Q962" s="159">
        <f>IF(bargiri[[#This Row],[مبلغ ناخالص]]-(bargiri[[#This Row],[نرخ استهلاک]]*bargiri[[#This Row],[مقدار]])&lt;0,0,bargiri[[#This Row],[مبلغ ناخالص]]-(bargiri[[#This Row],[نرخ استهلاک]]*bargiri[[#This Row],[مقدار]]))</f>
        <v>0</v>
      </c>
    </row>
    <row r="963" spans="1:17" s="22" customFormat="1" ht="13.8" x14ac:dyDescent="0.25">
      <c r="A963" s="22">
        <v>570</v>
      </c>
      <c r="B963" s="22" t="s">
        <v>852</v>
      </c>
      <c r="C963" s="22" t="s">
        <v>605</v>
      </c>
      <c r="D963" s="22" t="s">
        <v>70</v>
      </c>
      <c r="E963" s="158">
        <v>19015</v>
      </c>
      <c r="F963" s="159">
        <v>142000</v>
      </c>
      <c r="G963" s="159">
        <v>2700130000</v>
      </c>
      <c r="H963" s="159">
        <v>270013000</v>
      </c>
      <c r="I963" s="159">
        <v>2970143000</v>
      </c>
      <c r="J963" s="159">
        <f>bargiri[[#This Row],[مقدار]]*INDEX(invoice[پیش دریافت به ازای هر کیلوگرم],MATCH(bargiri[[#This Row],[شماره سند مبنا]],invoice[شماره پیش فاکتور],0))</f>
        <v>445521450</v>
      </c>
      <c r="K963" s="159">
        <f>bargiri[[#This Row],[مبلغ خالص]]-bargiri[[#This Row],[میزان استهلاک پیش دریافتی]]</f>
        <v>2524621550</v>
      </c>
      <c r="L963" s="160" t="s">
        <v>593</v>
      </c>
      <c r="M963" s="159"/>
      <c r="N963" s="159">
        <f>IF(bargiri[[#This Row],[مبلغ واریزی]]&lt;&gt;"",bargiri[[#This Row],[مانده مبلغ]]-bargiri[[#This Row],[مبلغ واریزی]],bargiri[[#This Row],[مانده مبلغ]])</f>
        <v>2524621550</v>
      </c>
      <c r="O963" s="159" t="s">
        <v>593</v>
      </c>
      <c r="P963" s="159">
        <f>VLOOKUP(bargiri[[#This Row],[شماره سند مبنا]],invoice[[شماره پیش فاکتور]:[پیش دریافت به ازای هر کیلوگرم]],14,0)</f>
        <v>23430</v>
      </c>
      <c r="Q963" s="159">
        <f>IF(bargiri[[#This Row],[مبلغ ناخالص]]-(bargiri[[#This Row],[نرخ استهلاک]]*bargiri[[#This Row],[مقدار]])&lt;0,0,bargiri[[#This Row],[مبلغ ناخالص]]-(bargiri[[#This Row],[نرخ استهلاک]]*bargiri[[#This Row],[مقدار]]))</f>
        <v>2254608550</v>
      </c>
    </row>
    <row r="964" spans="1:17" s="22" customFormat="1" ht="13.8" x14ac:dyDescent="0.25">
      <c r="A964" s="22">
        <v>569</v>
      </c>
      <c r="B964" s="22" t="s">
        <v>853</v>
      </c>
      <c r="C964" s="22" t="s">
        <v>72</v>
      </c>
      <c r="D964" s="22" t="s">
        <v>73</v>
      </c>
      <c r="E964" s="158">
        <v>20620</v>
      </c>
      <c r="F964" s="159">
        <v>57273</v>
      </c>
      <c r="G964" s="159">
        <v>1180969260</v>
      </c>
      <c r="H964" s="159">
        <v>118096926</v>
      </c>
      <c r="I964" s="159">
        <v>1299066186</v>
      </c>
      <c r="J964" s="159" t="e">
        <f>bargiri[[#This Row],[مقدار]]*INDEX(invoice[پیش دریافت به ازای هر کیلوگرم],MATCH(bargiri[[#This Row],[شماره سند مبنا]],invoice[شماره پیش فاکتور],0))</f>
        <v>#N/A</v>
      </c>
      <c r="K964" s="159" t="e">
        <f>bargiri[[#This Row],[مبلغ خالص]]-bargiri[[#This Row],[میزان استهلاک پیش دریافتی]]</f>
        <v>#N/A</v>
      </c>
      <c r="L964" s="160" t="s">
        <v>593</v>
      </c>
      <c r="M964" s="159"/>
      <c r="N964" s="159" t="e">
        <f>IF(bargiri[[#This Row],[مبلغ واریزی]]&lt;&gt;"",bargiri[[#This Row],[مانده مبلغ]]-bargiri[[#This Row],[مبلغ واریزی]],bargiri[[#This Row],[مانده مبلغ]])</f>
        <v>#N/A</v>
      </c>
      <c r="O964" s="159" t="s">
        <v>593</v>
      </c>
      <c r="P964" s="159" t="e">
        <f>VLOOKUP(bargiri[[#This Row],[شماره سند مبنا]],invoice[[شماره پیش فاکتور]:[پیش دریافت به ازای هر کیلوگرم]],14,0)</f>
        <v>#N/A</v>
      </c>
      <c r="Q964" s="159" t="e">
        <f>IF(bargiri[[#This Row],[مبلغ ناخالص]]-(bargiri[[#This Row],[نرخ استهلاک]]*bargiri[[#This Row],[مقدار]])&lt;0,0,bargiri[[#This Row],[مبلغ ناخالص]]-(bargiri[[#This Row],[نرخ استهلاک]]*bargiri[[#This Row],[مقدار]]))</f>
        <v>#N/A</v>
      </c>
    </row>
    <row r="965" spans="1:17" s="22" customFormat="1" ht="13.8" x14ac:dyDescent="0.25">
      <c r="A965" s="22">
        <v>568</v>
      </c>
      <c r="B965" s="22" t="s">
        <v>853</v>
      </c>
      <c r="C965" s="22" t="s">
        <v>72</v>
      </c>
      <c r="D965" s="22" t="s">
        <v>73</v>
      </c>
      <c r="E965" s="158">
        <v>20505</v>
      </c>
      <c r="F965" s="159">
        <v>57273</v>
      </c>
      <c r="G965" s="159">
        <v>1174382865</v>
      </c>
      <c r="H965" s="159">
        <v>117438287</v>
      </c>
      <c r="I965" s="159">
        <v>1291821152</v>
      </c>
      <c r="J965" s="159" t="e">
        <f>bargiri[[#This Row],[مقدار]]*INDEX(invoice[پیش دریافت به ازای هر کیلوگرم],MATCH(bargiri[[#This Row],[شماره سند مبنا]],invoice[شماره پیش فاکتور],0))</f>
        <v>#N/A</v>
      </c>
      <c r="K965" s="159" t="e">
        <f>bargiri[[#This Row],[مبلغ خالص]]-bargiri[[#This Row],[میزان استهلاک پیش دریافتی]]</f>
        <v>#N/A</v>
      </c>
      <c r="L965" s="160" t="s">
        <v>593</v>
      </c>
      <c r="M965" s="159"/>
      <c r="N965" s="159" t="e">
        <f>IF(bargiri[[#This Row],[مبلغ واریزی]]&lt;&gt;"",bargiri[[#This Row],[مانده مبلغ]]-bargiri[[#This Row],[مبلغ واریزی]],bargiri[[#This Row],[مانده مبلغ]])</f>
        <v>#N/A</v>
      </c>
      <c r="O965" s="159" t="s">
        <v>593</v>
      </c>
      <c r="P965" s="159" t="e">
        <f>VLOOKUP(bargiri[[#This Row],[شماره سند مبنا]],invoice[[شماره پیش فاکتور]:[پیش دریافت به ازای هر کیلوگرم]],14,0)</f>
        <v>#N/A</v>
      </c>
      <c r="Q965" s="159" t="e">
        <f>IF(bargiri[[#This Row],[مبلغ ناخالص]]-(bargiri[[#This Row],[نرخ استهلاک]]*bargiri[[#This Row],[مقدار]])&lt;0,0,bargiri[[#This Row],[مبلغ ناخالص]]-(bargiri[[#This Row],[نرخ استهلاک]]*bargiri[[#This Row],[مقدار]]))</f>
        <v>#N/A</v>
      </c>
    </row>
    <row r="966" spans="1:17" s="22" customFormat="1" ht="13.8" x14ac:dyDescent="0.25">
      <c r="A966" s="22">
        <v>567</v>
      </c>
      <c r="B966" s="22" t="s">
        <v>853</v>
      </c>
      <c r="C966" s="22" t="s">
        <v>72</v>
      </c>
      <c r="D966" s="22" t="s">
        <v>73</v>
      </c>
      <c r="E966" s="158">
        <v>20560</v>
      </c>
      <c r="F966" s="159">
        <v>57273</v>
      </c>
      <c r="G966" s="159">
        <v>1177532880</v>
      </c>
      <c r="H966" s="159">
        <v>117753288</v>
      </c>
      <c r="I966" s="159">
        <v>1295286168</v>
      </c>
      <c r="J966" s="159" t="e">
        <f>bargiri[[#This Row],[مقدار]]*INDEX(invoice[پیش دریافت به ازای هر کیلوگرم],MATCH(bargiri[[#This Row],[شماره سند مبنا]],invoice[شماره پیش فاکتور],0))</f>
        <v>#N/A</v>
      </c>
      <c r="K966" s="159" t="e">
        <f>bargiri[[#This Row],[مبلغ خالص]]-bargiri[[#This Row],[میزان استهلاک پیش دریافتی]]</f>
        <v>#N/A</v>
      </c>
      <c r="L966" s="160" t="s">
        <v>593</v>
      </c>
      <c r="M966" s="159"/>
      <c r="N966" s="159" t="e">
        <f>IF(bargiri[[#This Row],[مبلغ واریزی]]&lt;&gt;"",bargiri[[#This Row],[مانده مبلغ]]-bargiri[[#This Row],[مبلغ واریزی]],bargiri[[#This Row],[مانده مبلغ]])</f>
        <v>#N/A</v>
      </c>
      <c r="O966" s="159" t="s">
        <v>593</v>
      </c>
      <c r="P966" s="159" t="e">
        <f>VLOOKUP(bargiri[[#This Row],[شماره سند مبنا]],invoice[[شماره پیش فاکتور]:[پیش دریافت به ازای هر کیلوگرم]],14,0)</f>
        <v>#N/A</v>
      </c>
      <c r="Q966" s="159" t="e">
        <f>IF(bargiri[[#This Row],[مبلغ ناخالص]]-(bargiri[[#This Row],[نرخ استهلاک]]*bargiri[[#This Row],[مقدار]])&lt;0,0,bargiri[[#This Row],[مبلغ ناخالص]]-(bargiri[[#This Row],[نرخ استهلاک]]*bargiri[[#This Row],[مقدار]]))</f>
        <v>#N/A</v>
      </c>
    </row>
    <row r="967" spans="1:17" s="22" customFormat="1" ht="13.8" x14ac:dyDescent="0.25">
      <c r="A967" s="22">
        <v>566</v>
      </c>
      <c r="B967" s="22" t="s">
        <v>853</v>
      </c>
      <c r="C967" s="22" t="s">
        <v>189</v>
      </c>
      <c r="D967" s="22" t="s">
        <v>173</v>
      </c>
      <c r="E967" s="158">
        <v>22100</v>
      </c>
      <c r="F967" s="159">
        <v>75000</v>
      </c>
      <c r="G967" s="159">
        <v>1657500000</v>
      </c>
      <c r="H967" s="159">
        <v>165750000</v>
      </c>
      <c r="I967" s="159">
        <v>1823250000</v>
      </c>
      <c r="J967" s="159">
        <f>bargiri[[#This Row],[مقدار]]*INDEX(invoice[پیش دریافت به ازای هر کیلوگرم],MATCH(bargiri[[#This Row],[شماره سند مبنا]],invoice[شماره پیش فاکتور],0))</f>
        <v>273487500</v>
      </c>
      <c r="K967" s="159">
        <f>bargiri[[#This Row],[مبلغ خالص]]-bargiri[[#This Row],[میزان استهلاک پیش دریافتی]]</f>
        <v>1549762500</v>
      </c>
      <c r="L967" s="160" t="s">
        <v>593</v>
      </c>
      <c r="M967" s="159"/>
      <c r="N967" s="159">
        <f>IF(bargiri[[#This Row],[مبلغ واریزی]]&lt;&gt;"",bargiri[[#This Row],[مانده مبلغ]]-bargiri[[#This Row],[مبلغ واریزی]],bargiri[[#This Row],[مانده مبلغ]])</f>
        <v>1549762500</v>
      </c>
      <c r="O967" s="159" t="s">
        <v>593</v>
      </c>
      <c r="P967" s="159">
        <f>VLOOKUP(bargiri[[#This Row],[شماره سند مبنا]],invoice[[شماره پیش فاکتور]:[پیش دریافت به ازای هر کیلوگرم]],14,0)</f>
        <v>12375</v>
      </c>
      <c r="Q967" s="159">
        <f>IF(bargiri[[#This Row],[مبلغ ناخالص]]-(bargiri[[#This Row],[نرخ استهلاک]]*bargiri[[#This Row],[مقدار]])&lt;0,0,bargiri[[#This Row],[مبلغ ناخالص]]-(bargiri[[#This Row],[نرخ استهلاک]]*bargiri[[#This Row],[مقدار]]))</f>
        <v>1384012500</v>
      </c>
    </row>
    <row r="968" spans="1:17" s="22" customFormat="1" ht="13.8" x14ac:dyDescent="0.25">
      <c r="A968" s="22">
        <v>565</v>
      </c>
      <c r="B968" s="22" t="s">
        <v>853</v>
      </c>
      <c r="C968" s="22" t="s">
        <v>458</v>
      </c>
      <c r="D968" s="22" t="s">
        <v>156</v>
      </c>
      <c r="E968" s="158">
        <v>22080</v>
      </c>
      <c r="F968" s="159">
        <v>142000</v>
      </c>
      <c r="G968" s="159">
        <v>3135360000</v>
      </c>
      <c r="H968" s="159">
        <v>313536000</v>
      </c>
      <c r="I968" s="159">
        <v>3448896000</v>
      </c>
      <c r="J968" s="159">
        <f>bargiri[[#This Row],[مقدار]]*INDEX(invoice[پیش دریافت به ازای هر کیلوگرم],MATCH(bargiri[[#This Row],[شماره سند مبنا]],invoice[شماره پیش فاکتور],0))</f>
        <v>623682694.04649472</v>
      </c>
      <c r="K968" s="159">
        <f>bargiri[[#This Row],[مبلغ خالص]]-bargiri[[#This Row],[میزان استهلاک پیش دریافتی]]</f>
        <v>2825213305.9535055</v>
      </c>
      <c r="L968" s="160" t="s">
        <v>593</v>
      </c>
      <c r="M968" s="159"/>
      <c r="N968" s="159">
        <f>IF(bargiri[[#This Row],[مبلغ واریزی]]&lt;&gt;"",bargiri[[#This Row],[مانده مبلغ]]-bargiri[[#This Row],[مبلغ واریزی]],bargiri[[#This Row],[مانده مبلغ]])</f>
        <v>2825213305.9535055</v>
      </c>
      <c r="O968" s="159" t="s">
        <v>593</v>
      </c>
      <c r="P968" s="159">
        <f>VLOOKUP(bargiri[[#This Row],[شماره سند مبنا]],invoice[[شماره پیش فاکتور]:[پیش دریافت به ازای هر کیلوگرم]],14,0)</f>
        <v>28246.498824569509</v>
      </c>
      <c r="Q968" s="159">
        <f>IF(bargiri[[#This Row],[مبلغ ناخالص]]-(bargiri[[#This Row],[نرخ استهلاک]]*bargiri[[#This Row],[مقدار]])&lt;0,0,bargiri[[#This Row],[مبلغ ناخالص]]-(bargiri[[#This Row],[نرخ استهلاک]]*bargiri[[#This Row],[مقدار]]))</f>
        <v>2511677305.9535055</v>
      </c>
    </row>
    <row r="969" spans="1:17" s="22" customFormat="1" ht="13.8" x14ac:dyDescent="0.25">
      <c r="A969" s="22">
        <v>564</v>
      </c>
      <c r="B969" s="22" t="s">
        <v>681</v>
      </c>
      <c r="C969" s="22" t="s">
        <v>848</v>
      </c>
      <c r="D969" s="22" t="s">
        <v>219</v>
      </c>
      <c r="E969" s="158">
        <v>15000</v>
      </c>
      <c r="F969" s="159">
        <v>151100</v>
      </c>
      <c r="G969" s="159">
        <v>2266500000</v>
      </c>
      <c r="H969" s="159">
        <v>226650000</v>
      </c>
      <c r="I969" s="159">
        <v>2493150000</v>
      </c>
      <c r="J969" s="159">
        <f>bargiri[[#This Row],[مقدار]]*INDEX(invoice[پیش دریافت به ازای هر کیلوگرم],MATCH(bargiri[[#This Row],[شماره سند مبنا]],invoice[شماره پیش فاکتور],0))</f>
        <v>373972500</v>
      </c>
      <c r="K969" s="159">
        <f>bargiri[[#This Row],[مبلغ خالص]]-bargiri[[#This Row],[میزان استهلاک پیش دریافتی]]</f>
        <v>2119177500</v>
      </c>
      <c r="L969" s="160" t="s">
        <v>593</v>
      </c>
      <c r="M969" s="159"/>
      <c r="N969" s="159">
        <f>IF(bargiri[[#This Row],[مبلغ واریزی]]&lt;&gt;"",bargiri[[#This Row],[مانده مبلغ]]-bargiri[[#This Row],[مبلغ واریزی]],bargiri[[#This Row],[مانده مبلغ]])</f>
        <v>2119177500</v>
      </c>
      <c r="O969" s="159" t="s">
        <v>593</v>
      </c>
      <c r="P969" s="159">
        <f>VLOOKUP(bargiri[[#This Row],[شماره سند مبنا]],invoice[[شماره پیش فاکتور]:[پیش دریافت به ازای هر کیلوگرم]],14,0)</f>
        <v>24931.5</v>
      </c>
      <c r="Q969" s="159">
        <f>IF(bargiri[[#This Row],[مبلغ ناخالص]]-(bargiri[[#This Row],[نرخ استهلاک]]*bargiri[[#This Row],[مقدار]])&lt;0,0,bargiri[[#This Row],[مبلغ ناخالص]]-(bargiri[[#This Row],[نرخ استهلاک]]*bargiri[[#This Row],[مقدار]]))</f>
        <v>1892527500</v>
      </c>
    </row>
    <row r="970" spans="1:17" s="22" customFormat="1" ht="13.8" x14ac:dyDescent="0.25">
      <c r="A970" s="22">
        <v>563</v>
      </c>
      <c r="B970" s="22" t="s">
        <v>681</v>
      </c>
      <c r="C970" s="22" t="s">
        <v>644</v>
      </c>
      <c r="D970" s="22" t="s">
        <v>67</v>
      </c>
      <c r="E970" s="158">
        <v>8075</v>
      </c>
      <c r="F970" s="159">
        <v>95000</v>
      </c>
      <c r="G970" s="159">
        <v>767125000</v>
      </c>
      <c r="H970" s="159">
        <v>76712500</v>
      </c>
      <c r="I970" s="159">
        <v>843837500</v>
      </c>
      <c r="J970" s="159">
        <f>bargiri[[#This Row],[مقدار]]*INDEX(invoice[پیش دریافت به ازای هر کیلوگرم],MATCH(bargiri[[#This Row],[شماره سند مبنا]],invoice[شماره پیش فاکتور],0))</f>
        <v>245526551.40626729</v>
      </c>
      <c r="K970" s="159">
        <f>bargiri[[#This Row],[مبلغ خالص]]-bargiri[[#This Row],[میزان استهلاک پیش دریافتی]]</f>
        <v>598310948.59373271</v>
      </c>
      <c r="L970" s="160" t="s">
        <v>593</v>
      </c>
      <c r="M970" s="159"/>
      <c r="N970" s="159">
        <f>IF(bargiri[[#This Row],[مبلغ واریزی]]&lt;&gt;"",bargiri[[#This Row],[مانده مبلغ]]-bargiri[[#This Row],[مبلغ واریزی]],bargiri[[#This Row],[مانده مبلغ]])</f>
        <v>598310948.59373271</v>
      </c>
      <c r="O970" s="159" t="s">
        <v>593</v>
      </c>
      <c r="P970" s="159">
        <f>VLOOKUP(bargiri[[#This Row],[شماره سند مبنا]],invoice[[شماره پیش فاکتور]:[پیش دریافت به ازای هر کیلوگرم]],14,0)</f>
        <v>30405.764880033101</v>
      </c>
      <c r="Q970" s="159">
        <f>IF(bargiri[[#This Row],[مبلغ ناخالص]]-(bargiri[[#This Row],[نرخ استهلاک]]*bargiri[[#This Row],[مقدار]])&lt;0,0,bargiri[[#This Row],[مبلغ ناخالص]]-(bargiri[[#This Row],[نرخ استهلاک]]*bargiri[[#This Row],[مقدار]]))</f>
        <v>521598448.59373271</v>
      </c>
    </row>
    <row r="971" spans="1:17" s="22" customFormat="1" ht="13.8" x14ac:dyDescent="0.25">
      <c r="A971" s="22">
        <v>562</v>
      </c>
      <c r="B971" s="22" t="s">
        <v>681</v>
      </c>
      <c r="C971" s="22" t="s">
        <v>107</v>
      </c>
      <c r="D971" s="22" t="s">
        <v>30</v>
      </c>
      <c r="E971" s="158">
        <v>11565</v>
      </c>
      <c r="F971" s="159">
        <v>70000</v>
      </c>
      <c r="G971" s="159">
        <v>809550000</v>
      </c>
      <c r="H971" s="159">
        <v>80955000</v>
      </c>
      <c r="I971" s="159">
        <v>890505000</v>
      </c>
      <c r="J971" s="159">
        <f>bargiri[[#This Row],[مقدار]]*INDEX(invoice[پیش دریافت به ازای هر کیلوگرم],MATCH(bargiri[[#This Row],[شماره سند مبنا]],invoice[شماره پیش فاکتور],0))</f>
        <v>445252500</v>
      </c>
      <c r="K971" s="159">
        <f>bargiri[[#This Row],[مبلغ خالص]]-bargiri[[#This Row],[میزان استهلاک پیش دریافتی]]</f>
        <v>445252500</v>
      </c>
      <c r="L971" s="160" t="s">
        <v>593</v>
      </c>
      <c r="M971" s="159"/>
      <c r="N971" s="159">
        <f>IF(bargiri[[#This Row],[مبلغ واریزی]]&lt;&gt;"",bargiri[[#This Row],[مانده مبلغ]]-bargiri[[#This Row],[مبلغ واریزی]],bargiri[[#This Row],[مانده مبلغ]])</f>
        <v>445252500</v>
      </c>
      <c r="O971" s="159" t="s">
        <v>593</v>
      </c>
      <c r="P971" s="159">
        <f>VLOOKUP(bargiri[[#This Row],[شماره سند مبنا]],invoice[[شماره پیش فاکتور]:[پیش دریافت به ازای هر کیلوگرم]],14,0)</f>
        <v>38500</v>
      </c>
      <c r="Q971" s="159">
        <f>IF(bargiri[[#This Row],[مبلغ ناخالص]]-(bargiri[[#This Row],[نرخ استهلاک]]*bargiri[[#This Row],[مقدار]])&lt;0,0,bargiri[[#This Row],[مبلغ ناخالص]]-(bargiri[[#This Row],[نرخ استهلاک]]*bargiri[[#This Row],[مقدار]]))</f>
        <v>364297500</v>
      </c>
    </row>
    <row r="972" spans="1:17" s="22" customFormat="1" ht="13.8" x14ac:dyDescent="0.25">
      <c r="A972" s="22">
        <v>561</v>
      </c>
      <c r="B972" s="22" t="s">
        <v>681</v>
      </c>
      <c r="C972" s="22" t="s">
        <v>644</v>
      </c>
      <c r="D972" s="22" t="s">
        <v>67</v>
      </c>
      <c r="E972" s="158">
        <v>19915</v>
      </c>
      <c r="F972" s="159">
        <v>95000</v>
      </c>
      <c r="G972" s="159">
        <v>1891925000</v>
      </c>
      <c r="H972" s="159">
        <v>189192500</v>
      </c>
      <c r="I972" s="159">
        <v>2081117500</v>
      </c>
      <c r="J972" s="159">
        <f>bargiri[[#This Row],[مقدار]]*INDEX(invoice[پیش دریافت به ازای هر کیلوگرم],MATCH(bargiri[[#This Row],[شماره سند مبنا]],invoice[شماره پیش فاکتور],0))</f>
        <v>605530807.58585918</v>
      </c>
      <c r="K972" s="159">
        <f>bargiri[[#This Row],[مبلغ خالص]]-bargiri[[#This Row],[میزان استهلاک پیش دریافتی]]</f>
        <v>1475586692.4141407</v>
      </c>
      <c r="L972" s="160" t="s">
        <v>593</v>
      </c>
      <c r="M972" s="159"/>
      <c r="N972" s="159">
        <f>IF(bargiri[[#This Row],[مبلغ واریزی]]&lt;&gt;"",bargiri[[#This Row],[مانده مبلغ]]-bargiri[[#This Row],[مبلغ واریزی]],bargiri[[#This Row],[مانده مبلغ]])</f>
        <v>1475586692.4141407</v>
      </c>
      <c r="O972" s="159" t="s">
        <v>593</v>
      </c>
      <c r="P972" s="159">
        <f>VLOOKUP(bargiri[[#This Row],[شماره سند مبنا]],invoice[[شماره پیش فاکتور]:[پیش دریافت به ازای هر کیلوگرم]],14,0)</f>
        <v>30405.764880033101</v>
      </c>
      <c r="Q972" s="159">
        <f>IF(bargiri[[#This Row],[مبلغ ناخالص]]-(bargiri[[#This Row],[نرخ استهلاک]]*bargiri[[#This Row],[مقدار]])&lt;0,0,bargiri[[#This Row],[مبلغ ناخالص]]-(bargiri[[#This Row],[نرخ استهلاک]]*bargiri[[#This Row],[مقدار]]))</f>
        <v>1286394192.4141407</v>
      </c>
    </row>
    <row r="973" spans="1:17" s="22" customFormat="1" ht="13.8" x14ac:dyDescent="0.25">
      <c r="A973" s="22">
        <v>560</v>
      </c>
      <c r="B973" s="22" t="s">
        <v>681</v>
      </c>
      <c r="C973" s="22" t="s">
        <v>833</v>
      </c>
      <c r="D973" s="22" t="s">
        <v>17</v>
      </c>
      <c r="E973" s="158">
        <v>22085</v>
      </c>
      <c r="F973" s="159">
        <v>142000</v>
      </c>
      <c r="G973" s="159">
        <v>3136070000</v>
      </c>
      <c r="H973" s="159">
        <v>313607000</v>
      </c>
      <c r="I973" s="159">
        <v>3449677000</v>
      </c>
      <c r="J973" s="159">
        <f>bargiri[[#This Row],[مقدار]]*INDEX(invoice[پیش دریافت به ازای هر کیلوگرم],MATCH(bargiri[[#This Row],[شماره سند مبنا]],invoice[شماره پیش فاکتور],0))</f>
        <v>517451550</v>
      </c>
      <c r="K973" s="159">
        <f>bargiri[[#This Row],[مبلغ خالص]]-bargiri[[#This Row],[میزان استهلاک پیش دریافتی]]</f>
        <v>2932225450</v>
      </c>
      <c r="L973" s="160" t="s">
        <v>593</v>
      </c>
      <c r="M973" s="159"/>
      <c r="N973" s="159">
        <f>IF(bargiri[[#This Row],[مبلغ واریزی]]&lt;&gt;"",bargiri[[#This Row],[مانده مبلغ]]-bargiri[[#This Row],[مبلغ واریزی]],bargiri[[#This Row],[مانده مبلغ]])</f>
        <v>2932225450</v>
      </c>
      <c r="O973" s="159" t="s">
        <v>593</v>
      </c>
      <c r="P973" s="159">
        <f>VLOOKUP(bargiri[[#This Row],[شماره سند مبنا]],invoice[[شماره پیش فاکتور]:[پیش دریافت به ازای هر کیلوگرم]],14,0)</f>
        <v>23430</v>
      </c>
      <c r="Q973" s="159">
        <f>IF(bargiri[[#This Row],[مبلغ ناخالص]]-(bargiri[[#This Row],[نرخ استهلاک]]*bargiri[[#This Row],[مقدار]])&lt;0,0,bargiri[[#This Row],[مبلغ ناخالص]]-(bargiri[[#This Row],[نرخ استهلاک]]*bargiri[[#This Row],[مقدار]]))</f>
        <v>2618618450</v>
      </c>
    </row>
    <row r="974" spans="1:17" s="22" customFormat="1" ht="13.8" x14ac:dyDescent="0.25">
      <c r="A974" s="22">
        <v>559</v>
      </c>
      <c r="B974" s="22" t="s">
        <v>854</v>
      </c>
      <c r="C974" s="22" t="s">
        <v>644</v>
      </c>
      <c r="D974" s="22" t="s">
        <v>67</v>
      </c>
      <c r="E974" s="158">
        <v>9890</v>
      </c>
      <c r="F974" s="159">
        <v>95000</v>
      </c>
      <c r="G974" s="159">
        <v>939550000</v>
      </c>
      <c r="H974" s="159">
        <v>93955000</v>
      </c>
      <c r="I974" s="159">
        <v>1033505000</v>
      </c>
      <c r="J974" s="159">
        <f>bargiri[[#This Row],[مقدار]]*INDEX(invoice[پیش دریافت به ازای هر کیلوگرم],MATCH(bargiri[[#This Row],[شماره سند مبنا]],invoice[شماره پیش فاکتور],0))</f>
        <v>300713014.66352737</v>
      </c>
      <c r="K974" s="159">
        <f>bargiri[[#This Row],[مبلغ خالص]]-bargiri[[#This Row],[میزان استهلاک پیش دریافتی]]</f>
        <v>732791985.33647263</v>
      </c>
      <c r="L974" s="160" t="s">
        <v>593</v>
      </c>
      <c r="M974" s="159"/>
      <c r="N974" s="159">
        <f>IF(bargiri[[#This Row],[مبلغ واریزی]]&lt;&gt;"",bargiri[[#This Row],[مانده مبلغ]]-bargiri[[#This Row],[مبلغ واریزی]],bargiri[[#This Row],[مانده مبلغ]])</f>
        <v>732791985.33647263</v>
      </c>
      <c r="O974" s="159" t="s">
        <v>593</v>
      </c>
      <c r="P974" s="159">
        <f>VLOOKUP(bargiri[[#This Row],[شماره سند مبنا]],invoice[[شماره پیش فاکتور]:[پیش دریافت به ازای هر کیلوگرم]],14,0)</f>
        <v>30405.764880033101</v>
      </c>
      <c r="Q974" s="159">
        <f>IF(bargiri[[#This Row],[مبلغ ناخالص]]-(bargiri[[#This Row],[نرخ استهلاک]]*bargiri[[#This Row],[مقدار]])&lt;0,0,bargiri[[#This Row],[مبلغ ناخالص]]-(bargiri[[#This Row],[نرخ استهلاک]]*bargiri[[#This Row],[مقدار]]))</f>
        <v>638836985.33647263</v>
      </c>
    </row>
    <row r="975" spans="1:17" s="22" customFormat="1" ht="13.8" x14ac:dyDescent="0.25">
      <c r="A975" s="22">
        <v>558</v>
      </c>
      <c r="B975" s="22" t="s">
        <v>854</v>
      </c>
      <c r="C975" s="22" t="s">
        <v>187</v>
      </c>
      <c r="D975" s="22" t="s">
        <v>43</v>
      </c>
      <c r="E975" s="158">
        <v>22070</v>
      </c>
      <c r="F975" s="159">
        <v>80000</v>
      </c>
      <c r="G975" s="159">
        <v>1765600000</v>
      </c>
      <c r="H975" s="159">
        <v>176560000</v>
      </c>
      <c r="I975" s="159">
        <v>1942160000</v>
      </c>
      <c r="J975" s="159">
        <f>bargiri[[#This Row],[مقدار]]*INDEX(invoice[پیش دریافت به ازای هر کیلوگرم],MATCH(bargiri[[#This Row],[شماره سند مبنا]],invoice[شماره پیش فاکتور],0))</f>
        <v>388432000</v>
      </c>
      <c r="K975" s="159">
        <f>bargiri[[#This Row],[مبلغ خالص]]-bargiri[[#This Row],[میزان استهلاک پیش دریافتی]]</f>
        <v>1553728000</v>
      </c>
      <c r="L975" s="160" t="s">
        <v>593</v>
      </c>
      <c r="M975" s="159"/>
      <c r="N975" s="159">
        <f>IF(bargiri[[#This Row],[مبلغ واریزی]]&lt;&gt;"",bargiri[[#This Row],[مانده مبلغ]]-bargiri[[#This Row],[مبلغ واریزی]],bargiri[[#This Row],[مانده مبلغ]])</f>
        <v>1553728000</v>
      </c>
      <c r="O975" s="159" t="s">
        <v>593</v>
      </c>
      <c r="P975" s="159">
        <f>VLOOKUP(bargiri[[#This Row],[شماره سند مبنا]],invoice[[شماره پیش فاکتور]:[پیش دریافت به ازای هر کیلوگرم]],14,0)</f>
        <v>17600</v>
      </c>
      <c r="Q975" s="159">
        <f>IF(bargiri[[#This Row],[مبلغ ناخالص]]-(bargiri[[#This Row],[نرخ استهلاک]]*bargiri[[#This Row],[مقدار]])&lt;0,0,bargiri[[#This Row],[مبلغ ناخالص]]-(bargiri[[#This Row],[نرخ استهلاک]]*bargiri[[#This Row],[مقدار]]))</f>
        <v>1377168000</v>
      </c>
    </row>
    <row r="976" spans="1:17" s="22" customFormat="1" ht="13.8" x14ac:dyDescent="0.25">
      <c r="A976" s="22">
        <v>557</v>
      </c>
      <c r="B976" s="22" t="s">
        <v>854</v>
      </c>
      <c r="C976" s="22" t="s">
        <v>72</v>
      </c>
      <c r="D976" s="22" t="s">
        <v>73</v>
      </c>
      <c r="E976" s="158">
        <v>20320</v>
      </c>
      <c r="F976" s="159">
        <v>57273</v>
      </c>
      <c r="G976" s="159">
        <v>1163787360</v>
      </c>
      <c r="H976" s="159">
        <v>116378736</v>
      </c>
      <c r="I976" s="159">
        <v>1280166096</v>
      </c>
      <c r="J976" s="159" t="e">
        <f>bargiri[[#This Row],[مقدار]]*INDEX(invoice[پیش دریافت به ازای هر کیلوگرم],MATCH(bargiri[[#This Row],[شماره سند مبنا]],invoice[شماره پیش فاکتور],0))</f>
        <v>#N/A</v>
      </c>
      <c r="K976" s="159" t="e">
        <f>bargiri[[#This Row],[مبلغ خالص]]-bargiri[[#This Row],[میزان استهلاک پیش دریافتی]]</f>
        <v>#N/A</v>
      </c>
      <c r="L976" s="160" t="s">
        <v>593</v>
      </c>
      <c r="M976" s="159"/>
      <c r="N976" s="159" t="e">
        <f>IF(bargiri[[#This Row],[مبلغ واریزی]]&lt;&gt;"",bargiri[[#This Row],[مانده مبلغ]]-bargiri[[#This Row],[مبلغ واریزی]],bargiri[[#This Row],[مانده مبلغ]])</f>
        <v>#N/A</v>
      </c>
      <c r="O976" s="159" t="s">
        <v>593</v>
      </c>
      <c r="P976" s="159" t="e">
        <f>VLOOKUP(bargiri[[#This Row],[شماره سند مبنا]],invoice[[شماره پیش فاکتور]:[پیش دریافت به ازای هر کیلوگرم]],14,0)</f>
        <v>#N/A</v>
      </c>
      <c r="Q976" s="159" t="e">
        <f>IF(bargiri[[#This Row],[مبلغ ناخالص]]-(bargiri[[#This Row],[نرخ استهلاک]]*bargiri[[#This Row],[مقدار]])&lt;0,0,bargiri[[#This Row],[مبلغ ناخالص]]-(bargiri[[#This Row],[نرخ استهلاک]]*bargiri[[#This Row],[مقدار]]))</f>
        <v>#N/A</v>
      </c>
    </row>
    <row r="977" spans="1:17" s="22" customFormat="1" ht="13.8" x14ac:dyDescent="0.25">
      <c r="A977" s="22">
        <v>556</v>
      </c>
      <c r="B977" s="22" t="s">
        <v>854</v>
      </c>
      <c r="C977" s="22" t="s">
        <v>72</v>
      </c>
      <c r="D977" s="22" t="s">
        <v>73</v>
      </c>
      <c r="E977" s="158">
        <v>20545</v>
      </c>
      <c r="F977" s="159">
        <v>57273</v>
      </c>
      <c r="G977" s="159">
        <v>1176673785</v>
      </c>
      <c r="H977" s="159">
        <v>117667379</v>
      </c>
      <c r="I977" s="159">
        <v>1294341164</v>
      </c>
      <c r="J977" s="159" t="e">
        <f>bargiri[[#This Row],[مقدار]]*INDEX(invoice[پیش دریافت به ازای هر کیلوگرم],MATCH(bargiri[[#This Row],[شماره سند مبنا]],invoice[شماره پیش فاکتور],0))</f>
        <v>#N/A</v>
      </c>
      <c r="K977" s="159" t="e">
        <f>bargiri[[#This Row],[مبلغ خالص]]-bargiri[[#This Row],[میزان استهلاک پیش دریافتی]]</f>
        <v>#N/A</v>
      </c>
      <c r="L977" s="160" t="s">
        <v>593</v>
      </c>
      <c r="M977" s="159"/>
      <c r="N977" s="159" t="e">
        <f>IF(bargiri[[#This Row],[مبلغ واریزی]]&lt;&gt;"",bargiri[[#This Row],[مانده مبلغ]]-bargiri[[#This Row],[مبلغ واریزی]],bargiri[[#This Row],[مانده مبلغ]])</f>
        <v>#N/A</v>
      </c>
      <c r="O977" s="159" t="s">
        <v>593</v>
      </c>
      <c r="P977" s="159" t="e">
        <f>VLOOKUP(bargiri[[#This Row],[شماره سند مبنا]],invoice[[شماره پیش فاکتور]:[پیش دریافت به ازای هر کیلوگرم]],14,0)</f>
        <v>#N/A</v>
      </c>
      <c r="Q977" s="159" t="e">
        <f>IF(bargiri[[#This Row],[مبلغ ناخالص]]-(bargiri[[#This Row],[نرخ استهلاک]]*bargiri[[#This Row],[مقدار]])&lt;0,0,bargiri[[#This Row],[مبلغ ناخالص]]-(bargiri[[#This Row],[نرخ استهلاک]]*bargiri[[#This Row],[مقدار]]))</f>
        <v>#N/A</v>
      </c>
    </row>
    <row r="978" spans="1:17" s="22" customFormat="1" ht="13.8" x14ac:dyDescent="0.25">
      <c r="A978" s="22">
        <v>555</v>
      </c>
      <c r="B978" s="22" t="s">
        <v>854</v>
      </c>
      <c r="C978" s="22" t="s">
        <v>461</v>
      </c>
      <c r="D978" s="22" t="s">
        <v>35</v>
      </c>
      <c r="E978" s="158">
        <v>7040</v>
      </c>
      <c r="F978" s="159">
        <v>142000</v>
      </c>
      <c r="G978" s="159">
        <v>999680000</v>
      </c>
      <c r="H978" s="159">
        <v>99968000</v>
      </c>
      <c r="I978" s="159">
        <v>1099648000</v>
      </c>
      <c r="J978" s="159">
        <f>bargiri[[#This Row],[مقدار]]*INDEX(invoice[پیش دریافت به ازای هر کیلوگرم],MATCH(bargiri[[#This Row],[شماره سند مبنا]],invoice[شماره پیش فاکتور],0))</f>
        <v>231040491.25126764</v>
      </c>
      <c r="K978" s="159">
        <f>bargiri[[#This Row],[مبلغ خالص]]-bargiri[[#This Row],[میزان استهلاک پیش دریافتی]]</f>
        <v>868607508.74873233</v>
      </c>
      <c r="L978" s="160" t="s">
        <v>593</v>
      </c>
      <c r="M978" s="159"/>
      <c r="N978" s="159">
        <f>IF(bargiri[[#This Row],[مبلغ واریزی]]&lt;&gt;"",bargiri[[#This Row],[مانده مبلغ]]-bargiri[[#This Row],[مبلغ واریزی]],bargiri[[#This Row],[مانده مبلغ]])</f>
        <v>868607508.74873233</v>
      </c>
      <c r="O978" s="159" t="s">
        <v>593</v>
      </c>
      <c r="P978" s="159">
        <f>VLOOKUP(bargiri[[#This Row],[شماره سند مبنا]],invoice[[شماره پیش فاکتور]:[پیش دریافت به ازای هر کیلوگرم]],14,0)</f>
        <v>32818.251598191426</v>
      </c>
      <c r="Q978" s="159">
        <f>IF(bargiri[[#This Row],[مبلغ ناخالص]]-(bargiri[[#This Row],[نرخ استهلاک]]*bargiri[[#This Row],[مقدار]])&lt;0,0,bargiri[[#This Row],[مبلغ ناخالص]]-(bargiri[[#This Row],[نرخ استهلاک]]*bargiri[[#This Row],[مقدار]]))</f>
        <v>768639508.74873233</v>
      </c>
    </row>
    <row r="979" spans="1:17" s="22" customFormat="1" ht="13.8" x14ac:dyDescent="0.25">
      <c r="A979" s="22">
        <v>554</v>
      </c>
      <c r="B979" s="22" t="s">
        <v>855</v>
      </c>
      <c r="C979" s="22" t="s">
        <v>644</v>
      </c>
      <c r="D979" s="22" t="s">
        <v>67</v>
      </c>
      <c r="E979" s="158">
        <v>17900</v>
      </c>
      <c r="F979" s="159">
        <v>95000</v>
      </c>
      <c r="G979" s="159">
        <v>1700500000</v>
      </c>
      <c r="H979" s="159">
        <v>170050000</v>
      </c>
      <c r="I979" s="159">
        <v>1870550000</v>
      </c>
      <c r="J979" s="159">
        <f>bargiri[[#This Row],[مقدار]]*INDEX(invoice[پیش دریافت به ازای هر کیلوگرم],MATCH(bargiri[[#This Row],[شماره سند مبنا]],invoice[شماره پیش فاکتور],0))</f>
        <v>544263191.35259247</v>
      </c>
      <c r="K979" s="159">
        <f>bargiri[[#This Row],[مبلغ خالص]]-bargiri[[#This Row],[میزان استهلاک پیش دریافتی]]</f>
        <v>1326286808.6474075</v>
      </c>
      <c r="L979" s="160" t="s">
        <v>593</v>
      </c>
      <c r="M979" s="159"/>
      <c r="N979" s="159">
        <f>IF(bargiri[[#This Row],[مبلغ واریزی]]&lt;&gt;"",bargiri[[#This Row],[مانده مبلغ]]-bargiri[[#This Row],[مبلغ واریزی]],bargiri[[#This Row],[مانده مبلغ]])</f>
        <v>1326286808.6474075</v>
      </c>
      <c r="O979" s="159" t="s">
        <v>593</v>
      </c>
      <c r="P979" s="159">
        <f>VLOOKUP(bargiri[[#This Row],[شماره سند مبنا]],invoice[[شماره پیش فاکتور]:[پیش دریافت به ازای هر کیلوگرم]],14,0)</f>
        <v>30405.764880033101</v>
      </c>
      <c r="Q979" s="159">
        <f>IF(bargiri[[#This Row],[مبلغ ناخالص]]-(bargiri[[#This Row],[نرخ استهلاک]]*bargiri[[#This Row],[مقدار]])&lt;0,0,bargiri[[#This Row],[مبلغ ناخالص]]-(bargiri[[#This Row],[نرخ استهلاک]]*bargiri[[#This Row],[مقدار]]))</f>
        <v>1156236808.6474075</v>
      </c>
    </row>
    <row r="980" spans="1:17" s="22" customFormat="1" ht="13.8" x14ac:dyDescent="0.25">
      <c r="A980" s="22">
        <v>553</v>
      </c>
      <c r="B980" s="22" t="s">
        <v>855</v>
      </c>
      <c r="C980" s="22" t="s">
        <v>464</v>
      </c>
      <c r="D980" s="22" t="s">
        <v>221</v>
      </c>
      <c r="E980" s="158">
        <v>14220</v>
      </c>
      <c r="F980" s="159">
        <v>142000</v>
      </c>
      <c r="G980" s="159">
        <v>2019240000</v>
      </c>
      <c r="H980" s="159">
        <v>201924000</v>
      </c>
      <c r="I980" s="159">
        <v>2221164000</v>
      </c>
      <c r="J980" s="159">
        <f>bargiri[[#This Row],[مقدار]]*INDEX(invoice[پیش دریافت به ازای هر کیلوگرم],MATCH(bargiri[[#This Row],[شماره سند مبنا]],invoice[شماره پیش فاکتور],0))</f>
        <v>333174600</v>
      </c>
      <c r="K980" s="159">
        <f>bargiri[[#This Row],[مبلغ خالص]]-bargiri[[#This Row],[میزان استهلاک پیش دریافتی]]</f>
        <v>1887989400</v>
      </c>
      <c r="L980" s="160" t="s">
        <v>593</v>
      </c>
      <c r="M980" s="159"/>
      <c r="N980" s="159">
        <f>IF(bargiri[[#This Row],[مبلغ واریزی]]&lt;&gt;"",bargiri[[#This Row],[مانده مبلغ]]-bargiri[[#This Row],[مبلغ واریزی]],bargiri[[#This Row],[مانده مبلغ]])</f>
        <v>1887989400</v>
      </c>
      <c r="O980" s="159" t="s">
        <v>593</v>
      </c>
      <c r="P980" s="159">
        <f>VLOOKUP(bargiri[[#This Row],[شماره سند مبنا]],invoice[[شماره پیش فاکتور]:[پیش دریافت به ازای هر کیلوگرم]],14,0)</f>
        <v>23430</v>
      </c>
      <c r="Q980" s="159">
        <f>IF(bargiri[[#This Row],[مبلغ ناخالص]]-(bargiri[[#This Row],[نرخ استهلاک]]*bargiri[[#This Row],[مقدار]])&lt;0,0,bargiri[[#This Row],[مبلغ ناخالص]]-(bargiri[[#This Row],[نرخ استهلاک]]*bargiri[[#This Row],[مقدار]]))</f>
        <v>1686065400</v>
      </c>
    </row>
    <row r="981" spans="1:17" s="22" customFormat="1" ht="13.8" x14ac:dyDescent="0.25">
      <c r="A981" s="22">
        <v>552</v>
      </c>
      <c r="B981" s="22" t="s">
        <v>855</v>
      </c>
      <c r="C981" s="22" t="s">
        <v>608</v>
      </c>
      <c r="D981" s="22" t="s">
        <v>40</v>
      </c>
      <c r="E981" s="158">
        <v>18465</v>
      </c>
      <c r="F981" s="159">
        <v>142000</v>
      </c>
      <c r="G981" s="159">
        <v>2622030000</v>
      </c>
      <c r="H981" s="159">
        <v>262203000</v>
      </c>
      <c r="I981" s="159">
        <v>2884233000</v>
      </c>
      <c r="J981" s="159">
        <f>bargiri[[#This Row],[مقدار]]*INDEX(invoice[پیش دریافت به ازای هر کیلوگرم],MATCH(bargiri[[#This Row],[شماره سند مبنا]],invoice[شماره پیش فاکتور],0))</f>
        <v>432634950</v>
      </c>
      <c r="K981" s="159">
        <f>bargiri[[#This Row],[مبلغ خالص]]-bargiri[[#This Row],[میزان استهلاک پیش دریافتی]]</f>
        <v>2451598050</v>
      </c>
      <c r="L981" s="160" t="s">
        <v>593</v>
      </c>
      <c r="M981" s="159"/>
      <c r="N981" s="159">
        <f>IF(bargiri[[#This Row],[مبلغ واریزی]]&lt;&gt;"",bargiri[[#This Row],[مانده مبلغ]]-bargiri[[#This Row],[مبلغ واریزی]],bargiri[[#This Row],[مانده مبلغ]])</f>
        <v>2451598050</v>
      </c>
      <c r="O981" s="159" t="s">
        <v>593</v>
      </c>
      <c r="P981" s="159">
        <f>VLOOKUP(bargiri[[#This Row],[شماره سند مبنا]],invoice[[شماره پیش فاکتور]:[پیش دریافت به ازای هر کیلوگرم]],14,0)</f>
        <v>23430</v>
      </c>
      <c r="Q981" s="159">
        <f>IF(bargiri[[#This Row],[مبلغ ناخالص]]-(bargiri[[#This Row],[نرخ استهلاک]]*bargiri[[#This Row],[مقدار]])&lt;0,0,bargiri[[#This Row],[مبلغ ناخالص]]-(bargiri[[#This Row],[نرخ استهلاک]]*bargiri[[#This Row],[مقدار]]))</f>
        <v>2189395050</v>
      </c>
    </row>
    <row r="982" spans="1:17" s="22" customFormat="1" ht="13.8" x14ac:dyDescent="0.25">
      <c r="A982" s="22">
        <v>551</v>
      </c>
      <c r="B982" s="22" t="s">
        <v>855</v>
      </c>
      <c r="C982" s="22" t="s">
        <v>72</v>
      </c>
      <c r="D982" s="22" t="s">
        <v>73</v>
      </c>
      <c r="E982" s="158">
        <v>20530</v>
      </c>
      <c r="F982" s="159">
        <v>57273</v>
      </c>
      <c r="G982" s="159">
        <v>1175814690</v>
      </c>
      <c r="H982" s="159">
        <v>117581469</v>
      </c>
      <c r="I982" s="159">
        <v>1293396159</v>
      </c>
      <c r="J982" s="159" t="e">
        <f>bargiri[[#This Row],[مقدار]]*INDEX(invoice[پیش دریافت به ازای هر کیلوگرم],MATCH(bargiri[[#This Row],[شماره سند مبنا]],invoice[شماره پیش فاکتور],0))</f>
        <v>#N/A</v>
      </c>
      <c r="K982" s="159" t="e">
        <f>bargiri[[#This Row],[مبلغ خالص]]-bargiri[[#This Row],[میزان استهلاک پیش دریافتی]]</f>
        <v>#N/A</v>
      </c>
      <c r="L982" s="160" t="s">
        <v>593</v>
      </c>
      <c r="M982" s="159"/>
      <c r="N982" s="159" t="e">
        <f>IF(bargiri[[#This Row],[مبلغ واریزی]]&lt;&gt;"",bargiri[[#This Row],[مانده مبلغ]]-bargiri[[#This Row],[مبلغ واریزی]],bargiri[[#This Row],[مانده مبلغ]])</f>
        <v>#N/A</v>
      </c>
      <c r="O982" s="159" t="s">
        <v>593</v>
      </c>
      <c r="P982" s="159" t="e">
        <f>VLOOKUP(bargiri[[#This Row],[شماره سند مبنا]],invoice[[شماره پیش فاکتور]:[پیش دریافت به ازای هر کیلوگرم]],14,0)</f>
        <v>#N/A</v>
      </c>
      <c r="Q982" s="159" t="e">
        <f>IF(bargiri[[#This Row],[مبلغ ناخالص]]-(bargiri[[#This Row],[نرخ استهلاک]]*bargiri[[#This Row],[مقدار]])&lt;0,0,bargiri[[#This Row],[مبلغ ناخالص]]-(bargiri[[#This Row],[نرخ استهلاک]]*bargiri[[#This Row],[مقدار]]))</f>
        <v>#N/A</v>
      </c>
    </row>
    <row r="983" spans="1:17" s="22" customFormat="1" ht="13.8" x14ac:dyDescent="0.25">
      <c r="A983" s="22">
        <v>550</v>
      </c>
      <c r="B983" s="22" t="s">
        <v>855</v>
      </c>
      <c r="C983" s="22" t="s">
        <v>72</v>
      </c>
      <c r="D983" s="22" t="s">
        <v>73</v>
      </c>
      <c r="E983" s="158">
        <v>20525</v>
      </c>
      <c r="F983" s="159">
        <v>57273</v>
      </c>
      <c r="G983" s="159">
        <v>1175528325</v>
      </c>
      <c r="H983" s="159">
        <v>117552833</v>
      </c>
      <c r="I983" s="159">
        <v>1293081158</v>
      </c>
      <c r="J983" s="159" t="e">
        <f>bargiri[[#This Row],[مقدار]]*INDEX(invoice[پیش دریافت به ازای هر کیلوگرم],MATCH(bargiri[[#This Row],[شماره سند مبنا]],invoice[شماره پیش فاکتور],0))</f>
        <v>#N/A</v>
      </c>
      <c r="K983" s="159" t="e">
        <f>bargiri[[#This Row],[مبلغ خالص]]-bargiri[[#This Row],[میزان استهلاک پیش دریافتی]]</f>
        <v>#N/A</v>
      </c>
      <c r="L983" s="160" t="s">
        <v>593</v>
      </c>
      <c r="M983" s="159"/>
      <c r="N983" s="159" t="e">
        <f>IF(bargiri[[#This Row],[مبلغ واریزی]]&lt;&gt;"",bargiri[[#This Row],[مانده مبلغ]]-bargiri[[#This Row],[مبلغ واریزی]],bargiri[[#This Row],[مانده مبلغ]])</f>
        <v>#N/A</v>
      </c>
      <c r="O983" s="159" t="s">
        <v>593</v>
      </c>
      <c r="P983" s="159" t="e">
        <f>VLOOKUP(bargiri[[#This Row],[شماره سند مبنا]],invoice[[شماره پیش فاکتور]:[پیش دریافت به ازای هر کیلوگرم]],14,0)</f>
        <v>#N/A</v>
      </c>
      <c r="Q983" s="159" t="e">
        <f>IF(bargiri[[#This Row],[مبلغ ناخالص]]-(bargiri[[#This Row],[نرخ استهلاک]]*bargiri[[#This Row],[مقدار]])&lt;0,0,bargiri[[#This Row],[مبلغ ناخالص]]-(bargiri[[#This Row],[نرخ استهلاک]]*bargiri[[#This Row],[مقدار]]))</f>
        <v>#N/A</v>
      </c>
    </row>
    <row r="984" spans="1:17" s="22" customFormat="1" ht="13.8" x14ac:dyDescent="0.25">
      <c r="A984" s="22">
        <v>549</v>
      </c>
      <c r="B984" s="22" t="s">
        <v>855</v>
      </c>
      <c r="C984" s="22" t="s">
        <v>182</v>
      </c>
      <c r="D984" s="22" t="s">
        <v>20</v>
      </c>
      <c r="E984" s="158">
        <v>19045</v>
      </c>
      <c r="F984" s="159">
        <v>86500</v>
      </c>
      <c r="G984" s="159">
        <v>1647392500</v>
      </c>
      <c r="H984" s="159">
        <v>164739250</v>
      </c>
      <c r="I984" s="159">
        <v>1812131750</v>
      </c>
      <c r="J984" s="159">
        <f>bargiri[[#This Row],[مقدار]]*INDEX(invoice[پیش دریافت به ازای هر کیلوگرم],MATCH(bargiri[[#This Row],[شماره سند مبنا]],invoice[شماره پیش فاکتور],0))</f>
        <v>247108875</v>
      </c>
      <c r="K984" s="159">
        <f>bargiri[[#This Row],[مبلغ خالص]]-bargiri[[#This Row],[میزان استهلاک پیش دریافتی]]</f>
        <v>1565022875</v>
      </c>
      <c r="L984" s="160" t="s">
        <v>593</v>
      </c>
      <c r="M984" s="159"/>
      <c r="N984" s="159">
        <f>IF(bargiri[[#This Row],[مبلغ واریزی]]&lt;&gt;"",bargiri[[#This Row],[مانده مبلغ]]-bargiri[[#This Row],[مبلغ واریزی]],bargiri[[#This Row],[مانده مبلغ]])</f>
        <v>1565022875</v>
      </c>
      <c r="O984" s="159" t="s">
        <v>593</v>
      </c>
      <c r="P984" s="159">
        <f>VLOOKUP(bargiri[[#This Row],[شماره سند مبنا]],invoice[[شماره پیش فاکتور]:[پیش دریافت به ازای هر کیلوگرم]],14,0)</f>
        <v>12975</v>
      </c>
      <c r="Q984" s="159">
        <f>IF(bargiri[[#This Row],[مبلغ ناخالص]]-(bargiri[[#This Row],[نرخ استهلاک]]*bargiri[[#This Row],[مقدار]])&lt;0,0,bargiri[[#This Row],[مبلغ ناخالص]]-(bargiri[[#This Row],[نرخ استهلاک]]*bargiri[[#This Row],[مقدار]]))</f>
        <v>1400283625</v>
      </c>
    </row>
    <row r="985" spans="1:17" s="22" customFormat="1" ht="13.8" x14ac:dyDescent="0.25">
      <c r="A985" s="22">
        <v>548</v>
      </c>
      <c r="B985" s="22" t="s">
        <v>676</v>
      </c>
      <c r="C985" s="22" t="s">
        <v>644</v>
      </c>
      <c r="D985" s="22" t="s">
        <v>67</v>
      </c>
      <c r="E985" s="158">
        <v>19770</v>
      </c>
      <c r="F985" s="159">
        <v>95000</v>
      </c>
      <c r="G985" s="159">
        <v>1878150000</v>
      </c>
      <c r="H985" s="159">
        <v>187815000</v>
      </c>
      <c r="I985" s="159">
        <v>2065965000</v>
      </c>
      <c r="J985" s="159">
        <f>bargiri[[#This Row],[مقدار]]*INDEX(invoice[پیش دریافت به ازای هر کیلوگرم],MATCH(bargiri[[#This Row],[شماره سند مبنا]],invoice[شماره پیش فاکتور],0))</f>
        <v>601121971.67825437</v>
      </c>
      <c r="K985" s="159">
        <f>bargiri[[#This Row],[مبلغ خالص]]-bargiri[[#This Row],[میزان استهلاک پیش دریافتی]]</f>
        <v>1464843028.3217456</v>
      </c>
      <c r="L985" s="160" t="s">
        <v>593</v>
      </c>
      <c r="M985" s="159"/>
      <c r="N985" s="159">
        <f>IF(bargiri[[#This Row],[مبلغ واریزی]]&lt;&gt;"",bargiri[[#This Row],[مانده مبلغ]]-bargiri[[#This Row],[مبلغ واریزی]],bargiri[[#This Row],[مانده مبلغ]])</f>
        <v>1464843028.3217456</v>
      </c>
      <c r="O985" s="159" t="s">
        <v>593</v>
      </c>
      <c r="P985" s="159">
        <f>VLOOKUP(bargiri[[#This Row],[شماره سند مبنا]],invoice[[شماره پیش فاکتور]:[پیش دریافت به ازای هر کیلوگرم]],14,0)</f>
        <v>30405.764880033101</v>
      </c>
      <c r="Q985" s="159">
        <f>IF(bargiri[[#This Row],[مبلغ ناخالص]]-(bargiri[[#This Row],[نرخ استهلاک]]*bargiri[[#This Row],[مقدار]])&lt;0,0,bargiri[[#This Row],[مبلغ ناخالص]]-(bargiri[[#This Row],[نرخ استهلاک]]*bargiri[[#This Row],[مقدار]]))</f>
        <v>1277028028.3217456</v>
      </c>
    </row>
    <row r="986" spans="1:17" s="22" customFormat="1" ht="13.8" x14ac:dyDescent="0.25">
      <c r="A986" s="22">
        <v>547</v>
      </c>
      <c r="B986" s="22" t="s">
        <v>676</v>
      </c>
      <c r="C986" s="22" t="s">
        <v>461</v>
      </c>
      <c r="D986" s="22" t="s">
        <v>35</v>
      </c>
      <c r="E986" s="158">
        <v>7090</v>
      </c>
      <c r="F986" s="159">
        <v>142000</v>
      </c>
      <c r="G986" s="159">
        <v>1006780000</v>
      </c>
      <c r="H986" s="159">
        <v>100678000</v>
      </c>
      <c r="I986" s="159">
        <v>1107458000</v>
      </c>
      <c r="J986" s="159">
        <f>bargiri[[#This Row],[مقدار]]*INDEX(invoice[پیش دریافت به ازای هر کیلوگرم],MATCH(bargiri[[#This Row],[شماره سند مبنا]],invoice[شماره پیش فاکتور],0))</f>
        <v>232681403.8311772</v>
      </c>
      <c r="K986" s="159">
        <f>bargiri[[#This Row],[مبلغ خالص]]-bargiri[[#This Row],[میزان استهلاک پیش دریافتی]]</f>
        <v>874776596.16882277</v>
      </c>
      <c r="L986" s="160" t="s">
        <v>593</v>
      </c>
      <c r="M986" s="159"/>
      <c r="N986" s="159">
        <f>IF(bargiri[[#This Row],[مبلغ واریزی]]&lt;&gt;"",bargiri[[#This Row],[مانده مبلغ]]-bargiri[[#This Row],[مبلغ واریزی]],bargiri[[#This Row],[مانده مبلغ]])</f>
        <v>874776596.16882277</v>
      </c>
      <c r="O986" s="159" t="s">
        <v>593</v>
      </c>
      <c r="P986" s="159">
        <f>VLOOKUP(bargiri[[#This Row],[شماره سند مبنا]],invoice[[شماره پیش فاکتور]:[پیش دریافت به ازای هر کیلوگرم]],14,0)</f>
        <v>32818.251598191426</v>
      </c>
      <c r="Q986" s="159">
        <f>IF(bargiri[[#This Row],[مبلغ ناخالص]]-(bargiri[[#This Row],[نرخ استهلاک]]*bargiri[[#This Row],[مقدار]])&lt;0,0,bargiri[[#This Row],[مبلغ ناخالص]]-(bargiri[[#This Row],[نرخ استهلاک]]*bargiri[[#This Row],[مقدار]]))</f>
        <v>774098596.16882277</v>
      </c>
    </row>
    <row r="987" spans="1:17" s="22" customFormat="1" ht="13.8" x14ac:dyDescent="0.25">
      <c r="A987" s="22">
        <v>546</v>
      </c>
      <c r="B987" s="22" t="s">
        <v>676</v>
      </c>
      <c r="C987" s="22" t="s">
        <v>456</v>
      </c>
      <c r="D987" s="22" t="s">
        <v>213</v>
      </c>
      <c r="E987" s="158">
        <v>7575</v>
      </c>
      <c r="F987" s="159">
        <v>142000</v>
      </c>
      <c r="G987" s="159">
        <v>1075650000</v>
      </c>
      <c r="H987" s="159">
        <v>107565000</v>
      </c>
      <c r="I987" s="159">
        <v>1183215000</v>
      </c>
      <c r="J987" s="159">
        <f>bargiri[[#This Row],[مقدار]]*INDEX(invoice[پیش دریافت به ازای هر کیلوگرم],MATCH(bargiri[[#This Row],[شماره سند مبنا]],invoice[شماره پیش فاکتور],0))</f>
        <v>898880850.95951784</v>
      </c>
      <c r="K987" s="159">
        <f>bargiri[[#This Row],[مبلغ خالص]]-bargiri[[#This Row],[میزان استهلاک پیش دریافتی]]</f>
        <v>284334149.04048216</v>
      </c>
      <c r="L987" s="160" t="s">
        <v>593</v>
      </c>
      <c r="M987" s="159"/>
      <c r="N987" s="159">
        <f>IF(bargiri[[#This Row],[مبلغ واریزی]]&lt;&gt;"",bargiri[[#This Row],[مانده مبلغ]]-bargiri[[#This Row],[مبلغ واریزی]],bargiri[[#This Row],[مانده مبلغ]])</f>
        <v>284334149.04048216</v>
      </c>
      <c r="O987" s="159" t="s">
        <v>593</v>
      </c>
      <c r="P987" s="159">
        <f>VLOOKUP(bargiri[[#This Row],[شماره سند مبنا]],invoice[[شماره پیش فاکتور]:[پیش دریافت به ازای هر کیلوگرم]],14,0)</f>
        <v>118664.13874053041</v>
      </c>
      <c r="Q987" s="159">
        <f>IF(bargiri[[#This Row],[مبلغ ناخالص]]-(bargiri[[#This Row],[نرخ استهلاک]]*bargiri[[#This Row],[مقدار]])&lt;0,0,bargiri[[#This Row],[مبلغ ناخالص]]-(bargiri[[#This Row],[نرخ استهلاک]]*bargiri[[#This Row],[مقدار]]))</f>
        <v>176769149.04048216</v>
      </c>
    </row>
    <row r="988" spans="1:17" s="22" customFormat="1" ht="13.8" x14ac:dyDescent="0.25">
      <c r="A988" s="22">
        <v>545</v>
      </c>
      <c r="B988" s="22" t="s">
        <v>676</v>
      </c>
      <c r="C988" s="22" t="s">
        <v>182</v>
      </c>
      <c r="D988" s="22" t="s">
        <v>20</v>
      </c>
      <c r="E988" s="158">
        <v>19070</v>
      </c>
      <c r="F988" s="159">
        <v>86500</v>
      </c>
      <c r="G988" s="159">
        <v>1649555000</v>
      </c>
      <c r="H988" s="159">
        <v>164955500</v>
      </c>
      <c r="I988" s="159">
        <v>1814510500</v>
      </c>
      <c r="J988" s="159">
        <f>bargiri[[#This Row],[مقدار]]*INDEX(invoice[پیش دریافت به ازای هر کیلوگرم],MATCH(bargiri[[#This Row],[شماره سند مبنا]],invoice[شماره پیش فاکتور],0))</f>
        <v>247433250</v>
      </c>
      <c r="K988" s="159">
        <f>bargiri[[#This Row],[مبلغ خالص]]-bargiri[[#This Row],[میزان استهلاک پیش دریافتی]]</f>
        <v>1567077250</v>
      </c>
      <c r="L988" s="160" t="s">
        <v>593</v>
      </c>
      <c r="M988" s="159"/>
      <c r="N988" s="159">
        <f>IF(bargiri[[#This Row],[مبلغ واریزی]]&lt;&gt;"",bargiri[[#This Row],[مانده مبلغ]]-bargiri[[#This Row],[مبلغ واریزی]],bargiri[[#This Row],[مانده مبلغ]])</f>
        <v>1567077250</v>
      </c>
      <c r="O988" s="159" t="s">
        <v>593</v>
      </c>
      <c r="P988" s="159">
        <f>VLOOKUP(bargiri[[#This Row],[شماره سند مبنا]],invoice[[شماره پیش فاکتور]:[پیش دریافت به ازای هر کیلوگرم]],14,0)</f>
        <v>12975</v>
      </c>
      <c r="Q988" s="159">
        <f>IF(bargiri[[#This Row],[مبلغ ناخالص]]-(bargiri[[#This Row],[نرخ استهلاک]]*bargiri[[#This Row],[مقدار]])&lt;0,0,bargiri[[#This Row],[مبلغ ناخالص]]-(bargiri[[#This Row],[نرخ استهلاک]]*bargiri[[#This Row],[مقدار]]))</f>
        <v>1402121750</v>
      </c>
    </row>
    <row r="989" spans="1:17" s="22" customFormat="1" ht="13.8" x14ac:dyDescent="0.25">
      <c r="A989" s="22">
        <v>544</v>
      </c>
      <c r="B989" s="22" t="s">
        <v>856</v>
      </c>
      <c r="C989" s="22" t="s">
        <v>664</v>
      </c>
      <c r="D989" s="22" t="s">
        <v>70</v>
      </c>
      <c r="E989" s="158">
        <v>20040</v>
      </c>
      <c r="F989" s="159">
        <v>167500</v>
      </c>
      <c r="G989" s="159">
        <v>3356700000</v>
      </c>
      <c r="H989" s="159">
        <v>335670000</v>
      </c>
      <c r="I989" s="159">
        <v>3692370000</v>
      </c>
      <c r="J989" s="159">
        <f>bargiri[[#This Row],[مقدار]]*INDEX(invoice[پیش دریافت به ازای هر کیلوگرم],MATCH(bargiri[[#This Row],[شماره سند مبنا]],invoice[شماره پیش فاکتور],0))</f>
        <v>3692370000</v>
      </c>
      <c r="K989" s="159">
        <f>bargiri[[#This Row],[مبلغ خالص]]-bargiri[[#This Row],[میزان استهلاک پیش دریافتی]]</f>
        <v>0</v>
      </c>
      <c r="L989" s="160" t="s">
        <v>593</v>
      </c>
      <c r="M989" s="159"/>
      <c r="N989" s="159">
        <f>IF(bargiri[[#This Row],[مبلغ واریزی]]&lt;&gt;"",bargiri[[#This Row],[مانده مبلغ]]-bargiri[[#This Row],[مبلغ واریزی]],bargiri[[#This Row],[مانده مبلغ]])</f>
        <v>0</v>
      </c>
      <c r="O989" s="159" t="s">
        <v>593</v>
      </c>
      <c r="P989" s="159">
        <f>VLOOKUP(bargiri[[#This Row],[شماره سند مبنا]],invoice[[شماره پیش فاکتور]:[پیش دریافت به ازای هر کیلوگرم]],14,0)</f>
        <v>184250</v>
      </c>
      <c r="Q989" s="159">
        <f>IF(bargiri[[#This Row],[مبلغ ناخالص]]-(bargiri[[#This Row],[نرخ استهلاک]]*bargiri[[#This Row],[مقدار]])&lt;0,0,bargiri[[#This Row],[مبلغ ناخالص]]-(bargiri[[#This Row],[نرخ استهلاک]]*bargiri[[#This Row],[مقدار]]))</f>
        <v>0</v>
      </c>
    </row>
    <row r="990" spans="1:17" s="22" customFormat="1" ht="13.8" x14ac:dyDescent="0.25">
      <c r="A990" s="22">
        <v>543</v>
      </c>
      <c r="B990" s="22" t="s">
        <v>856</v>
      </c>
      <c r="C990" s="22" t="s">
        <v>182</v>
      </c>
      <c r="D990" s="22" t="s">
        <v>20</v>
      </c>
      <c r="E990" s="158">
        <v>19020</v>
      </c>
      <c r="F990" s="159">
        <v>86500</v>
      </c>
      <c r="G990" s="159">
        <v>1645230000</v>
      </c>
      <c r="H990" s="159">
        <v>164523000</v>
      </c>
      <c r="I990" s="159">
        <v>1809753000</v>
      </c>
      <c r="J990" s="159">
        <f>bargiri[[#This Row],[مقدار]]*INDEX(invoice[پیش دریافت به ازای هر کیلوگرم],MATCH(bargiri[[#This Row],[شماره سند مبنا]],invoice[شماره پیش فاکتور],0))</f>
        <v>246784500</v>
      </c>
      <c r="K990" s="159">
        <f>bargiri[[#This Row],[مبلغ خالص]]-bargiri[[#This Row],[میزان استهلاک پیش دریافتی]]</f>
        <v>1562968500</v>
      </c>
      <c r="L990" s="160" t="s">
        <v>593</v>
      </c>
      <c r="M990" s="159"/>
      <c r="N990" s="159">
        <f>IF(bargiri[[#This Row],[مبلغ واریزی]]&lt;&gt;"",bargiri[[#This Row],[مانده مبلغ]]-bargiri[[#This Row],[مبلغ واریزی]],bargiri[[#This Row],[مانده مبلغ]])</f>
        <v>1562968500</v>
      </c>
      <c r="O990" s="159" t="s">
        <v>593</v>
      </c>
      <c r="P990" s="159">
        <f>VLOOKUP(bargiri[[#This Row],[شماره سند مبنا]],invoice[[شماره پیش فاکتور]:[پیش دریافت به ازای هر کیلوگرم]],14,0)</f>
        <v>12975</v>
      </c>
      <c r="Q990" s="159">
        <f>IF(bargiri[[#This Row],[مبلغ ناخالص]]-(bargiri[[#This Row],[نرخ استهلاک]]*bargiri[[#This Row],[مقدار]])&lt;0,0,bargiri[[#This Row],[مبلغ ناخالص]]-(bargiri[[#This Row],[نرخ استهلاک]]*bargiri[[#This Row],[مقدار]]))</f>
        <v>1398445500</v>
      </c>
    </row>
    <row r="991" spans="1:17" s="22" customFormat="1" ht="13.8" x14ac:dyDescent="0.25">
      <c r="A991" s="22">
        <v>542</v>
      </c>
      <c r="B991" s="22" t="s">
        <v>857</v>
      </c>
      <c r="C991" s="22" t="s">
        <v>644</v>
      </c>
      <c r="D991" s="22" t="s">
        <v>67</v>
      </c>
      <c r="E991" s="158">
        <v>20050</v>
      </c>
      <c r="F991" s="159">
        <v>95000</v>
      </c>
      <c r="G991" s="159">
        <v>1904750000</v>
      </c>
      <c r="H991" s="159">
        <v>190475000</v>
      </c>
      <c r="I991" s="159">
        <v>2095225000</v>
      </c>
      <c r="J991" s="159">
        <f>bargiri[[#This Row],[مقدار]]*INDEX(invoice[پیش دریافت به ازای هر کیلوگرم],MATCH(bargiri[[#This Row],[شماره سند مبنا]],invoice[شماره پیش فاکتور],0))</f>
        <v>609635585.84466362</v>
      </c>
      <c r="K991" s="159">
        <f>bargiri[[#This Row],[مبلغ خالص]]-bargiri[[#This Row],[میزان استهلاک پیش دریافتی]]</f>
        <v>1485589414.1553364</v>
      </c>
      <c r="L991" s="160" t="s">
        <v>593</v>
      </c>
      <c r="M991" s="159"/>
      <c r="N991" s="159">
        <f>IF(bargiri[[#This Row],[مبلغ واریزی]]&lt;&gt;"",bargiri[[#This Row],[مانده مبلغ]]-bargiri[[#This Row],[مبلغ واریزی]],bargiri[[#This Row],[مانده مبلغ]])</f>
        <v>1485589414.1553364</v>
      </c>
      <c r="O991" s="159" t="s">
        <v>593</v>
      </c>
      <c r="P991" s="159">
        <f>VLOOKUP(bargiri[[#This Row],[شماره سند مبنا]],invoice[[شماره پیش فاکتور]:[پیش دریافت به ازای هر کیلوگرم]],14,0)</f>
        <v>30405.764880033101</v>
      </c>
      <c r="Q991" s="159">
        <f>IF(bargiri[[#This Row],[مبلغ ناخالص]]-(bargiri[[#This Row],[نرخ استهلاک]]*bargiri[[#This Row],[مقدار]])&lt;0,0,bargiri[[#This Row],[مبلغ ناخالص]]-(bargiri[[#This Row],[نرخ استهلاک]]*bargiri[[#This Row],[مقدار]]))</f>
        <v>1295114414.1553364</v>
      </c>
    </row>
    <row r="992" spans="1:17" s="22" customFormat="1" ht="13.8" x14ac:dyDescent="0.25">
      <c r="A992" s="22">
        <v>541</v>
      </c>
      <c r="B992" s="22" t="s">
        <v>857</v>
      </c>
      <c r="C992" s="22" t="s">
        <v>644</v>
      </c>
      <c r="D992" s="22" t="s">
        <v>67</v>
      </c>
      <c r="E992" s="158">
        <v>20080</v>
      </c>
      <c r="F992" s="159">
        <v>95000</v>
      </c>
      <c r="G992" s="159">
        <v>1907600000</v>
      </c>
      <c r="H992" s="159">
        <v>190760000</v>
      </c>
      <c r="I992" s="159">
        <v>2098360000</v>
      </c>
      <c r="J992" s="159">
        <f>bargiri[[#This Row],[مقدار]]*INDEX(invoice[پیش دریافت به ازای هر کیلوگرم],MATCH(bargiri[[#This Row],[شماره سند مبنا]],invoice[شماره پیش فاکتور],0))</f>
        <v>610547758.79106462</v>
      </c>
      <c r="K992" s="159">
        <f>bargiri[[#This Row],[مبلغ خالص]]-bargiri[[#This Row],[میزان استهلاک پیش دریافتی]]</f>
        <v>1487812241.2089353</v>
      </c>
      <c r="L992" s="160" t="s">
        <v>593</v>
      </c>
      <c r="M992" s="159"/>
      <c r="N992" s="159">
        <f>IF(bargiri[[#This Row],[مبلغ واریزی]]&lt;&gt;"",bargiri[[#This Row],[مانده مبلغ]]-bargiri[[#This Row],[مبلغ واریزی]],bargiri[[#This Row],[مانده مبلغ]])</f>
        <v>1487812241.2089353</v>
      </c>
      <c r="O992" s="159" t="s">
        <v>593</v>
      </c>
      <c r="P992" s="159">
        <f>VLOOKUP(bargiri[[#This Row],[شماره سند مبنا]],invoice[[شماره پیش فاکتور]:[پیش دریافت به ازای هر کیلوگرم]],14,0)</f>
        <v>30405.764880033101</v>
      </c>
      <c r="Q992" s="159">
        <f>IF(bargiri[[#This Row],[مبلغ ناخالص]]-(bargiri[[#This Row],[نرخ استهلاک]]*bargiri[[#This Row],[مقدار]])&lt;0,0,bargiri[[#This Row],[مبلغ ناخالص]]-(bargiri[[#This Row],[نرخ استهلاک]]*bargiri[[#This Row],[مقدار]]))</f>
        <v>1297052241.2089353</v>
      </c>
    </row>
    <row r="993" spans="1:17" s="22" customFormat="1" ht="13.8" x14ac:dyDescent="0.25">
      <c r="A993" s="22">
        <v>540</v>
      </c>
      <c r="B993" s="22" t="s">
        <v>857</v>
      </c>
      <c r="C993" s="22" t="s">
        <v>664</v>
      </c>
      <c r="D993" s="22" t="s">
        <v>70</v>
      </c>
      <c r="E993" s="158">
        <v>20010</v>
      </c>
      <c r="F993" s="159">
        <v>167500</v>
      </c>
      <c r="G993" s="159">
        <v>3351675000</v>
      </c>
      <c r="H993" s="159">
        <v>335167500</v>
      </c>
      <c r="I993" s="159">
        <v>3686842500</v>
      </c>
      <c r="J993" s="159">
        <f>bargiri[[#This Row],[مقدار]]*INDEX(invoice[پیش دریافت به ازای هر کیلوگرم],MATCH(bargiri[[#This Row],[شماره سند مبنا]],invoice[شماره پیش فاکتور],0))</f>
        <v>3686842500</v>
      </c>
      <c r="K993" s="159">
        <f>bargiri[[#This Row],[مبلغ خالص]]-bargiri[[#This Row],[میزان استهلاک پیش دریافتی]]</f>
        <v>0</v>
      </c>
      <c r="L993" s="160" t="s">
        <v>593</v>
      </c>
      <c r="M993" s="159"/>
      <c r="N993" s="159">
        <f>IF(bargiri[[#This Row],[مبلغ واریزی]]&lt;&gt;"",bargiri[[#This Row],[مانده مبلغ]]-bargiri[[#This Row],[مبلغ واریزی]],bargiri[[#This Row],[مانده مبلغ]])</f>
        <v>0</v>
      </c>
      <c r="O993" s="159" t="s">
        <v>593</v>
      </c>
      <c r="P993" s="159">
        <f>VLOOKUP(bargiri[[#This Row],[شماره سند مبنا]],invoice[[شماره پیش فاکتور]:[پیش دریافت به ازای هر کیلوگرم]],14,0)</f>
        <v>184250</v>
      </c>
      <c r="Q993" s="159">
        <f>IF(bargiri[[#This Row],[مبلغ ناخالص]]-(bargiri[[#This Row],[نرخ استهلاک]]*bargiri[[#This Row],[مقدار]])&lt;0,0,bargiri[[#This Row],[مبلغ ناخالص]]-(bargiri[[#This Row],[نرخ استهلاک]]*bargiri[[#This Row],[مقدار]]))</f>
        <v>0</v>
      </c>
    </row>
    <row r="994" spans="1:17" s="22" customFormat="1" ht="13.8" x14ac:dyDescent="0.25">
      <c r="A994" s="22">
        <v>539</v>
      </c>
      <c r="B994" s="22" t="s">
        <v>857</v>
      </c>
      <c r="C994" s="22" t="s">
        <v>644</v>
      </c>
      <c r="D994" s="22" t="s">
        <v>67</v>
      </c>
      <c r="E994" s="158">
        <v>19910</v>
      </c>
      <c r="F994" s="159">
        <v>95000</v>
      </c>
      <c r="G994" s="159">
        <v>1891450000</v>
      </c>
      <c r="H994" s="159">
        <v>189145000</v>
      </c>
      <c r="I994" s="159">
        <v>2080595000</v>
      </c>
      <c r="J994" s="159">
        <f>bargiri[[#This Row],[مقدار]]*INDEX(invoice[پیش دریافت به ازای هر کیلوگرم],MATCH(bargiri[[#This Row],[شماره سند مبنا]],invoice[شماره پیش فاکتور],0))</f>
        <v>605378778.76145899</v>
      </c>
      <c r="K994" s="159">
        <f>bargiri[[#This Row],[مبلغ خالص]]-bargiri[[#This Row],[میزان استهلاک پیش دریافتی]]</f>
        <v>1475216221.2385411</v>
      </c>
      <c r="L994" s="160" t="s">
        <v>593</v>
      </c>
      <c r="M994" s="159"/>
      <c r="N994" s="159">
        <f>IF(bargiri[[#This Row],[مبلغ واریزی]]&lt;&gt;"",bargiri[[#This Row],[مانده مبلغ]]-bargiri[[#This Row],[مبلغ واریزی]],bargiri[[#This Row],[مانده مبلغ]])</f>
        <v>1475216221.2385411</v>
      </c>
      <c r="O994" s="159" t="s">
        <v>593</v>
      </c>
      <c r="P994" s="159">
        <f>VLOOKUP(bargiri[[#This Row],[شماره سند مبنا]],invoice[[شماره پیش فاکتور]:[پیش دریافت به ازای هر کیلوگرم]],14,0)</f>
        <v>30405.764880033101</v>
      </c>
      <c r="Q994" s="159">
        <f>IF(bargiri[[#This Row],[مبلغ ناخالص]]-(bargiri[[#This Row],[نرخ استهلاک]]*bargiri[[#This Row],[مقدار]])&lt;0,0,bargiri[[#This Row],[مبلغ ناخالص]]-(bargiri[[#This Row],[نرخ استهلاک]]*bargiri[[#This Row],[مقدار]]))</f>
        <v>1286071221.2385411</v>
      </c>
    </row>
    <row r="995" spans="1:17" s="22" customFormat="1" ht="13.8" x14ac:dyDescent="0.25">
      <c r="A995" s="22">
        <v>538</v>
      </c>
      <c r="B995" s="22" t="s">
        <v>858</v>
      </c>
      <c r="C995" s="22" t="s">
        <v>644</v>
      </c>
      <c r="D995" s="22" t="s">
        <v>67</v>
      </c>
      <c r="E995" s="158">
        <v>7060</v>
      </c>
      <c r="F995" s="159">
        <v>95000</v>
      </c>
      <c r="G995" s="159">
        <v>670700000</v>
      </c>
      <c r="H995" s="159">
        <v>67070000</v>
      </c>
      <c r="I995" s="159">
        <v>737770000</v>
      </c>
      <c r="J995" s="159">
        <f>bargiri[[#This Row],[مقدار]]*INDEX(invoice[پیش دریافت به ازای هر کیلوگرم],MATCH(bargiri[[#This Row],[شماره سند مبنا]],invoice[شماره پیش فاکتور],0))</f>
        <v>214664700.05303368</v>
      </c>
      <c r="K995" s="159">
        <f>bargiri[[#This Row],[مبلغ خالص]]-bargiri[[#This Row],[میزان استهلاک پیش دریافتی]]</f>
        <v>523105299.94696629</v>
      </c>
      <c r="L995" s="160" t="s">
        <v>593</v>
      </c>
      <c r="M995" s="159"/>
      <c r="N995" s="159">
        <f>IF(bargiri[[#This Row],[مبلغ واریزی]]&lt;&gt;"",bargiri[[#This Row],[مانده مبلغ]]-bargiri[[#This Row],[مبلغ واریزی]],bargiri[[#This Row],[مانده مبلغ]])</f>
        <v>523105299.94696629</v>
      </c>
      <c r="O995" s="159" t="s">
        <v>593</v>
      </c>
      <c r="P995" s="159">
        <f>VLOOKUP(bargiri[[#This Row],[شماره سند مبنا]],invoice[[شماره پیش فاکتور]:[پیش دریافت به ازای هر کیلوگرم]],14,0)</f>
        <v>30405.764880033101</v>
      </c>
      <c r="Q995" s="159">
        <f>IF(bargiri[[#This Row],[مبلغ ناخالص]]-(bargiri[[#This Row],[نرخ استهلاک]]*bargiri[[#This Row],[مقدار]])&lt;0,0,bargiri[[#This Row],[مبلغ ناخالص]]-(bargiri[[#This Row],[نرخ استهلاک]]*bargiri[[#This Row],[مقدار]]))</f>
        <v>456035299.94696629</v>
      </c>
    </row>
    <row r="996" spans="1:17" s="22" customFormat="1" ht="13.8" x14ac:dyDescent="0.25">
      <c r="A996" s="22">
        <v>537</v>
      </c>
      <c r="B996" s="22" t="s">
        <v>858</v>
      </c>
      <c r="C996" s="22" t="s">
        <v>72</v>
      </c>
      <c r="D996" s="22" t="s">
        <v>73</v>
      </c>
      <c r="E996" s="158">
        <v>21015</v>
      </c>
      <c r="F996" s="159">
        <v>57273</v>
      </c>
      <c r="G996" s="159">
        <v>1203592095</v>
      </c>
      <c r="H996" s="159">
        <v>120359210</v>
      </c>
      <c r="I996" s="159">
        <v>1323951305</v>
      </c>
      <c r="J996" s="159" t="e">
        <f>bargiri[[#This Row],[مقدار]]*INDEX(invoice[پیش دریافت به ازای هر کیلوگرم],MATCH(bargiri[[#This Row],[شماره سند مبنا]],invoice[شماره پیش فاکتور],0))</f>
        <v>#N/A</v>
      </c>
      <c r="K996" s="159" t="e">
        <f>bargiri[[#This Row],[مبلغ خالص]]-bargiri[[#This Row],[میزان استهلاک پیش دریافتی]]</f>
        <v>#N/A</v>
      </c>
      <c r="L996" s="160" t="s">
        <v>593</v>
      </c>
      <c r="M996" s="159"/>
      <c r="N996" s="159" t="e">
        <f>IF(bargiri[[#This Row],[مبلغ واریزی]]&lt;&gt;"",bargiri[[#This Row],[مانده مبلغ]]-bargiri[[#This Row],[مبلغ واریزی]],bargiri[[#This Row],[مانده مبلغ]])</f>
        <v>#N/A</v>
      </c>
      <c r="O996" s="159" t="s">
        <v>593</v>
      </c>
      <c r="P996" s="159" t="e">
        <f>VLOOKUP(bargiri[[#This Row],[شماره سند مبنا]],invoice[[شماره پیش فاکتور]:[پیش دریافت به ازای هر کیلوگرم]],14,0)</f>
        <v>#N/A</v>
      </c>
      <c r="Q996" s="159" t="e">
        <f>IF(bargiri[[#This Row],[مبلغ ناخالص]]-(bargiri[[#This Row],[نرخ استهلاک]]*bargiri[[#This Row],[مقدار]])&lt;0,0,bargiri[[#This Row],[مبلغ ناخالص]]-(bargiri[[#This Row],[نرخ استهلاک]]*bargiri[[#This Row],[مقدار]]))</f>
        <v>#N/A</v>
      </c>
    </row>
    <row r="997" spans="1:17" s="22" customFormat="1" ht="13.8" x14ac:dyDescent="0.25">
      <c r="A997" s="22">
        <v>536</v>
      </c>
      <c r="B997" s="22" t="s">
        <v>858</v>
      </c>
      <c r="C997" s="22" t="s">
        <v>72</v>
      </c>
      <c r="D997" s="22" t="s">
        <v>73</v>
      </c>
      <c r="E997" s="158">
        <v>21045</v>
      </c>
      <c r="F997" s="159">
        <v>57273</v>
      </c>
      <c r="G997" s="159">
        <v>1205310285</v>
      </c>
      <c r="H997" s="159">
        <v>120531029</v>
      </c>
      <c r="I997" s="159">
        <v>1325841314</v>
      </c>
      <c r="J997" s="159" t="e">
        <f>bargiri[[#This Row],[مقدار]]*INDEX(invoice[پیش دریافت به ازای هر کیلوگرم],MATCH(bargiri[[#This Row],[شماره سند مبنا]],invoice[شماره پیش فاکتور],0))</f>
        <v>#N/A</v>
      </c>
      <c r="K997" s="159" t="e">
        <f>bargiri[[#This Row],[مبلغ خالص]]-bargiri[[#This Row],[میزان استهلاک پیش دریافتی]]</f>
        <v>#N/A</v>
      </c>
      <c r="L997" s="160" t="s">
        <v>593</v>
      </c>
      <c r="M997" s="159"/>
      <c r="N997" s="159" t="e">
        <f>IF(bargiri[[#This Row],[مبلغ واریزی]]&lt;&gt;"",bargiri[[#This Row],[مانده مبلغ]]-bargiri[[#This Row],[مبلغ واریزی]],bargiri[[#This Row],[مانده مبلغ]])</f>
        <v>#N/A</v>
      </c>
      <c r="O997" s="159" t="s">
        <v>593</v>
      </c>
      <c r="P997" s="159" t="e">
        <f>VLOOKUP(bargiri[[#This Row],[شماره سند مبنا]],invoice[[شماره پیش فاکتور]:[پیش دریافت به ازای هر کیلوگرم]],14,0)</f>
        <v>#N/A</v>
      </c>
      <c r="Q997" s="159" t="e">
        <f>IF(bargiri[[#This Row],[مبلغ ناخالص]]-(bargiri[[#This Row],[نرخ استهلاک]]*bargiri[[#This Row],[مقدار]])&lt;0,0,bargiri[[#This Row],[مبلغ ناخالص]]-(bargiri[[#This Row],[نرخ استهلاک]]*bargiri[[#This Row],[مقدار]]))</f>
        <v>#N/A</v>
      </c>
    </row>
    <row r="998" spans="1:17" s="22" customFormat="1" ht="13.8" x14ac:dyDescent="0.25">
      <c r="A998" s="22">
        <v>535</v>
      </c>
      <c r="B998" s="22" t="s">
        <v>858</v>
      </c>
      <c r="C998" s="22" t="s">
        <v>72</v>
      </c>
      <c r="D998" s="22" t="s">
        <v>73</v>
      </c>
      <c r="E998" s="158">
        <v>21025</v>
      </c>
      <c r="F998" s="159">
        <v>57273</v>
      </c>
      <c r="G998" s="159">
        <v>1204164825</v>
      </c>
      <c r="H998" s="159">
        <v>120416483</v>
      </c>
      <c r="I998" s="159">
        <v>1324581308</v>
      </c>
      <c r="J998" s="159" t="e">
        <f>bargiri[[#This Row],[مقدار]]*INDEX(invoice[پیش دریافت به ازای هر کیلوگرم],MATCH(bargiri[[#This Row],[شماره سند مبنا]],invoice[شماره پیش فاکتور],0))</f>
        <v>#N/A</v>
      </c>
      <c r="K998" s="159" t="e">
        <f>bargiri[[#This Row],[مبلغ خالص]]-bargiri[[#This Row],[میزان استهلاک پیش دریافتی]]</f>
        <v>#N/A</v>
      </c>
      <c r="L998" s="160" t="s">
        <v>593</v>
      </c>
      <c r="M998" s="159"/>
      <c r="N998" s="159" t="e">
        <f>IF(bargiri[[#This Row],[مبلغ واریزی]]&lt;&gt;"",bargiri[[#This Row],[مانده مبلغ]]-bargiri[[#This Row],[مبلغ واریزی]],bargiri[[#This Row],[مانده مبلغ]])</f>
        <v>#N/A</v>
      </c>
      <c r="O998" s="159" t="s">
        <v>593</v>
      </c>
      <c r="P998" s="159" t="e">
        <f>VLOOKUP(bargiri[[#This Row],[شماره سند مبنا]],invoice[[شماره پیش فاکتور]:[پیش دریافت به ازای هر کیلوگرم]],14,0)</f>
        <v>#N/A</v>
      </c>
      <c r="Q998" s="159" t="e">
        <f>IF(bargiri[[#This Row],[مبلغ ناخالص]]-(bargiri[[#This Row],[نرخ استهلاک]]*bargiri[[#This Row],[مقدار]])&lt;0,0,bargiri[[#This Row],[مبلغ ناخالص]]-(bargiri[[#This Row],[نرخ استهلاک]]*bargiri[[#This Row],[مقدار]]))</f>
        <v>#N/A</v>
      </c>
    </row>
    <row r="999" spans="1:17" s="22" customFormat="1" ht="13.8" x14ac:dyDescent="0.25">
      <c r="A999" s="22">
        <v>534</v>
      </c>
      <c r="B999" s="22" t="s">
        <v>859</v>
      </c>
      <c r="C999" s="22" t="s">
        <v>613</v>
      </c>
      <c r="D999" s="22" t="s">
        <v>219</v>
      </c>
      <c r="E999" s="158">
        <v>3910</v>
      </c>
      <c r="F999" s="159">
        <v>151200</v>
      </c>
      <c r="G999" s="159">
        <v>591192000</v>
      </c>
      <c r="H999" s="159">
        <v>59119200</v>
      </c>
      <c r="I999" s="159">
        <v>650311200</v>
      </c>
      <c r="J999" s="159">
        <f>bargiri[[#This Row],[مقدار]]*INDEX(invoice[پیش دریافت به ازای هر کیلوگرم],MATCH(bargiri[[#This Row],[شماره سند مبنا]],invoice[شماره پیش فاکتور],0))</f>
        <v>97546680</v>
      </c>
      <c r="K999" s="159">
        <f>bargiri[[#This Row],[مبلغ خالص]]-bargiri[[#This Row],[میزان استهلاک پیش دریافتی]]</f>
        <v>552764520</v>
      </c>
      <c r="L999" s="160" t="s">
        <v>593</v>
      </c>
      <c r="M999" s="159"/>
      <c r="N999" s="159">
        <f>IF(bargiri[[#This Row],[مبلغ واریزی]]&lt;&gt;"",bargiri[[#This Row],[مانده مبلغ]]-bargiri[[#This Row],[مبلغ واریزی]],bargiri[[#This Row],[مانده مبلغ]])</f>
        <v>552764520</v>
      </c>
      <c r="O999" s="159" t="s">
        <v>593</v>
      </c>
      <c r="P999" s="159">
        <f>VLOOKUP(bargiri[[#This Row],[شماره سند مبنا]],invoice[[شماره پیش فاکتور]:[پیش دریافت به ازای هر کیلوگرم]],14,0)</f>
        <v>24948</v>
      </c>
      <c r="Q999" s="159">
        <f>IF(bargiri[[#This Row],[مبلغ ناخالص]]-(bargiri[[#This Row],[نرخ استهلاک]]*bargiri[[#This Row],[مقدار]])&lt;0,0,bargiri[[#This Row],[مبلغ ناخالص]]-(bargiri[[#This Row],[نرخ استهلاک]]*bargiri[[#This Row],[مقدار]]))</f>
        <v>493645320</v>
      </c>
    </row>
    <row r="1000" spans="1:17" s="22" customFormat="1" ht="13.8" x14ac:dyDescent="0.25">
      <c r="A1000" s="22">
        <v>534</v>
      </c>
      <c r="B1000" s="22" t="s">
        <v>859</v>
      </c>
      <c r="C1000" s="22" t="s">
        <v>848</v>
      </c>
      <c r="D1000" s="22" t="s">
        <v>219</v>
      </c>
      <c r="E1000" s="158">
        <v>16090</v>
      </c>
      <c r="F1000" s="159">
        <v>151100</v>
      </c>
      <c r="G1000" s="159">
        <v>2431199000</v>
      </c>
      <c r="H1000" s="159">
        <v>243119900</v>
      </c>
      <c r="I1000" s="159">
        <v>2674318900</v>
      </c>
      <c r="J1000" s="159">
        <f>bargiri[[#This Row],[مقدار]]*INDEX(invoice[پیش دریافت به ازای هر کیلوگرم],MATCH(bargiri[[#This Row],[شماره سند مبنا]],invoice[شماره پیش فاکتور],0))</f>
        <v>401147835</v>
      </c>
      <c r="K1000" s="159">
        <f>bargiri[[#This Row],[مبلغ خالص]]-bargiri[[#This Row],[میزان استهلاک پیش دریافتی]]</f>
        <v>2273171065</v>
      </c>
      <c r="L1000" s="160" t="s">
        <v>593</v>
      </c>
      <c r="M1000" s="159"/>
      <c r="N1000" s="159">
        <f>IF(bargiri[[#This Row],[مبلغ واریزی]]&lt;&gt;"",bargiri[[#This Row],[مانده مبلغ]]-bargiri[[#This Row],[مبلغ واریزی]],bargiri[[#This Row],[مانده مبلغ]])</f>
        <v>2273171065</v>
      </c>
      <c r="O1000" s="159" t="s">
        <v>593</v>
      </c>
      <c r="P1000" s="159">
        <f>VLOOKUP(bargiri[[#This Row],[شماره سند مبنا]],invoice[[شماره پیش فاکتور]:[پیش دریافت به ازای هر کیلوگرم]],14,0)</f>
        <v>24931.5</v>
      </c>
      <c r="Q1000" s="159">
        <f>IF(bargiri[[#This Row],[مبلغ ناخالص]]-(bargiri[[#This Row],[نرخ استهلاک]]*bargiri[[#This Row],[مقدار]])&lt;0,0,bargiri[[#This Row],[مبلغ ناخالص]]-(bargiri[[#This Row],[نرخ استهلاک]]*bargiri[[#This Row],[مقدار]]))</f>
        <v>2030051165</v>
      </c>
    </row>
    <row r="1001" spans="1:17" s="22" customFormat="1" ht="13.8" x14ac:dyDescent="0.25">
      <c r="A1001" s="22">
        <v>533</v>
      </c>
      <c r="B1001" s="22" t="s">
        <v>859</v>
      </c>
      <c r="C1001" s="22" t="s">
        <v>659</v>
      </c>
      <c r="D1001" s="22" t="s">
        <v>17</v>
      </c>
      <c r="E1001" s="158">
        <v>8505</v>
      </c>
      <c r="F1001" s="159">
        <v>167500</v>
      </c>
      <c r="G1001" s="159">
        <v>1424587500</v>
      </c>
      <c r="H1001" s="159">
        <v>142458750</v>
      </c>
      <c r="I1001" s="159">
        <v>1567046250</v>
      </c>
      <c r="J1001" s="159">
        <f>bargiri[[#This Row],[مقدار]]*INDEX(invoice[پیش دریافت به ازای هر کیلوگرم],MATCH(bargiri[[#This Row],[شماره سند مبنا]],invoice[شماره پیش فاکتور],0))</f>
        <v>1567046250</v>
      </c>
      <c r="K1001" s="159">
        <f>bargiri[[#This Row],[مبلغ خالص]]-bargiri[[#This Row],[میزان استهلاک پیش دریافتی]]</f>
        <v>0</v>
      </c>
      <c r="L1001" s="160" t="s">
        <v>593</v>
      </c>
      <c r="M1001" s="159"/>
      <c r="N1001" s="159">
        <f>IF(bargiri[[#This Row],[مبلغ واریزی]]&lt;&gt;"",bargiri[[#This Row],[مانده مبلغ]]-bargiri[[#This Row],[مبلغ واریزی]],bargiri[[#This Row],[مانده مبلغ]])</f>
        <v>0</v>
      </c>
      <c r="O1001" s="159" t="s">
        <v>593</v>
      </c>
      <c r="P1001" s="159">
        <f>VLOOKUP(bargiri[[#This Row],[شماره سند مبنا]],invoice[[شماره پیش فاکتور]:[پیش دریافت به ازای هر کیلوگرم]],14,0)</f>
        <v>184250</v>
      </c>
      <c r="Q1001" s="159">
        <f>IF(bargiri[[#This Row],[مبلغ ناخالص]]-(bargiri[[#This Row],[نرخ استهلاک]]*bargiri[[#This Row],[مقدار]])&lt;0,0,bargiri[[#This Row],[مبلغ ناخالص]]-(bargiri[[#This Row],[نرخ استهلاک]]*bargiri[[#This Row],[مقدار]]))</f>
        <v>0</v>
      </c>
    </row>
    <row r="1002" spans="1:17" s="22" customFormat="1" ht="13.8" x14ac:dyDescent="0.25">
      <c r="A1002" s="22">
        <v>533</v>
      </c>
      <c r="B1002" s="22" t="s">
        <v>859</v>
      </c>
      <c r="C1002" s="22" t="s">
        <v>833</v>
      </c>
      <c r="D1002" s="22" t="s">
        <v>17</v>
      </c>
      <c r="E1002" s="158">
        <v>13565</v>
      </c>
      <c r="F1002" s="159">
        <v>142000</v>
      </c>
      <c r="G1002" s="159">
        <v>1926230000</v>
      </c>
      <c r="H1002" s="159">
        <v>192623000</v>
      </c>
      <c r="I1002" s="159">
        <v>2118853000</v>
      </c>
      <c r="J1002" s="159">
        <f>bargiri[[#This Row],[مقدار]]*INDEX(invoice[پیش دریافت به ازای هر کیلوگرم],MATCH(bargiri[[#This Row],[شماره سند مبنا]],invoice[شماره پیش فاکتور],0))</f>
        <v>317827950</v>
      </c>
      <c r="K1002" s="159">
        <f>bargiri[[#This Row],[مبلغ خالص]]-bargiri[[#This Row],[میزان استهلاک پیش دریافتی]]</f>
        <v>1801025050</v>
      </c>
      <c r="L1002" s="160" t="s">
        <v>593</v>
      </c>
      <c r="M1002" s="159"/>
      <c r="N1002" s="159">
        <f>IF(bargiri[[#This Row],[مبلغ واریزی]]&lt;&gt;"",bargiri[[#This Row],[مانده مبلغ]]-bargiri[[#This Row],[مبلغ واریزی]],bargiri[[#This Row],[مانده مبلغ]])</f>
        <v>1801025050</v>
      </c>
      <c r="O1002" s="159" t="s">
        <v>593</v>
      </c>
      <c r="P1002" s="159">
        <f>VLOOKUP(bargiri[[#This Row],[شماره سند مبنا]],invoice[[شماره پیش فاکتور]:[پیش دریافت به ازای هر کیلوگرم]],14,0)</f>
        <v>23430</v>
      </c>
      <c r="Q1002" s="159">
        <f>IF(bargiri[[#This Row],[مبلغ ناخالص]]-(bargiri[[#This Row],[نرخ استهلاک]]*bargiri[[#This Row],[مقدار]])&lt;0,0,bargiri[[#This Row],[مبلغ ناخالص]]-(bargiri[[#This Row],[نرخ استهلاک]]*bargiri[[#This Row],[مقدار]]))</f>
        <v>1608402050</v>
      </c>
    </row>
    <row r="1003" spans="1:17" s="22" customFormat="1" ht="13.8" x14ac:dyDescent="0.25">
      <c r="A1003" s="22">
        <v>532</v>
      </c>
      <c r="B1003" s="22" t="s">
        <v>859</v>
      </c>
      <c r="C1003" s="22" t="s">
        <v>464</v>
      </c>
      <c r="D1003" s="22" t="s">
        <v>221</v>
      </c>
      <c r="E1003" s="158">
        <v>13880</v>
      </c>
      <c r="F1003" s="159">
        <v>142000</v>
      </c>
      <c r="G1003" s="159">
        <v>1970960000</v>
      </c>
      <c r="H1003" s="159">
        <v>197096000</v>
      </c>
      <c r="I1003" s="159">
        <v>2168056000</v>
      </c>
      <c r="J1003" s="159">
        <f>bargiri[[#This Row],[مقدار]]*INDEX(invoice[پیش دریافت به ازای هر کیلوگرم],MATCH(bargiri[[#This Row],[شماره سند مبنا]],invoice[شماره پیش فاکتور],0))</f>
        <v>325208400</v>
      </c>
      <c r="K1003" s="159">
        <f>bargiri[[#This Row],[مبلغ خالص]]-bargiri[[#This Row],[میزان استهلاک پیش دریافتی]]</f>
        <v>1842847600</v>
      </c>
      <c r="L1003" s="160" t="s">
        <v>593</v>
      </c>
      <c r="M1003" s="159"/>
      <c r="N1003" s="159">
        <f>IF(bargiri[[#This Row],[مبلغ واریزی]]&lt;&gt;"",bargiri[[#This Row],[مانده مبلغ]]-bargiri[[#This Row],[مبلغ واریزی]],bargiri[[#This Row],[مانده مبلغ]])</f>
        <v>1842847600</v>
      </c>
      <c r="O1003" s="159" t="s">
        <v>593</v>
      </c>
      <c r="P1003" s="159">
        <f>VLOOKUP(bargiri[[#This Row],[شماره سند مبنا]],invoice[[شماره پیش فاکتور]:[پیش دریافت به ازای هر کیلوگرم]],14,0)</f>
        <v>23430</v>
      </c>
      <c r="Q1003" s="159">
        <f>IF(bargiri[[#This Row],[مبلغ ناخالص]]-(bargiri[[#This Row],[نرخ استهلاک]]*bargiri[[#This Row],[مقدار]])&lt;0,0,bargiri[[#This Row],[مبلغ ناخالص]]-(bargiri[[#This Row],[نرخ استهلاک]]*bargiri[[#This Row],[مقدار]]))</f>
        <v>1645751600</v>
      </c>
    </row>
    <row r="1004" spans="1:17" s="22" customFormat="1" ht="13.8" x14ac:dyDescent="0.25">
      <c r="A1004" s="22">
        <v>531</v>
      </c>
      <c r="B1004" s="22" t="s">
        <v>859</v>
      </c>
      <c r="C1004" s="22" t="s">
        <v>182</v>
      </c>
      <c r="D1004" s="22" t="s">
        <v>20</v>
      </c>
      <c r="E1004" s="158">
        <v>18940</v>
      </c>
      <c r="F1004" s="159">
        <v>86500</v>
      </c>
      <c r="G1004" s="159">
        <v>1638310000</v>
      </c>
      <c r="H1004" s="159">
        <v>163831000</v>
      </c>
      <c r="I1004" s="159">
        <v>1802141000</v>
      </c>
      <c r="J1004" s="159">
        <f>bargiri[[#This Row],[مقدار]]*INDEX(invoice[پیش دریافت به ازای هر کیلوگرم],MATCH(bargiri[[#This Row],[شماره سند مبنا]],invoice[شماره پیش فاکتور],0))</f>
        <v>245746500</v>
      </c>
      <c r="K1004" s="159">
        <f>bargiri[[#This Row],[مبلغ خالص]]-bargiri[[#This Row],[میزان استهلاک پیش دریافتی]]</f>
        <v>1556394500</v>
      </c>
      <c r="L1004" s="160" t="s">
        <v>593</v>
      </c>
      <c r="M1004" s="159"/>
      <c r="N1004" s="159">
        <f>IF(bargiri[[#This Row],[مبلغ واریزی]]&lt;&gt;"",bargiri[[#This Row],[مانده مبلغ]]-bargiri[[#This Row],[مبلغ واریزی]],bargiri[[#This Row],[مانده مبلغ]])</f>
        <v>1556394500</v>
      </c>
      <c r="O1004" s="159" t="s">
        <v>593</v>
      </c>
      <c r="P1004" s="159">
        <f>VLOOKUP(bargiri[[#This Row],[شماره سند مبنا]],invoice[[شماره پیش فاکتور]:[پیش دریافت به ازای هر کیلوگرم]],14,0)</f>
        <v>12975</v>
      </c>
      <c r="Q1004" s="159">
        <f>IF(bargiri[[#This Row],[مبلغ ناخالص]]-(bargiri[[#This Row],[نرخ استهلاک]]*bargiri[[#This Row],[مقدار]])&lt;0,0,bargiri[[#This Row],[مبلغ ناخالص]]-(bargiri[[#This Row],[نرخ استهلاک]]*bargiri[[#This Row],[مقدار]]))</f>
        <v>1392563500</v>
      </c>
    </row>
    <row r="1005" spans="1:17" s="22" customFormat="1" ht="13.8" x14ac:dyDescent="0.25">
      <c r="A1005" s="22">
        <v>530</v>
      </c>
      <c r="B1005" s="22" t="s">
        <v>675</v>
      </c>
      <c r="C1005" s="22" t="s">
        <v>644</v>
      </c>
      <c r="D1005" s="22" t="s">
        <v>67</v>
      </c>
      <c r="E1005" s="158">
        <v>17790</v>
      </c>
      <c r="F1005" s="159">
        <v>95000</v>
      </c>
      <c r="G1005" s="159">
        <v>1690050000</v>
      </c>
      <c r="H1005" s="159">
        <v>169005000</v>
      </c>
      <c r="I1005" s="159">
        <v>1859055000</v>
      </c>
      <c r="J1005" s="159">
        <f>bargiri[[#This Row],[مقدار]]*INDEX(invoice[پیش دریافت به ازای هر کیلوگرم],MATCH(bargiri[[#This Row],[شماره سند مبنا]],invoice[شماره پیش فاکتور],0))</f>
        <v>540918557.21578884</v>
      </c>
      <c r="K1005" s="159">
        <f>bargiri[[#This Row],[مبلغ خالص]]-bargiri[[#This Row],[میزان استهلاک پیش دریافتی]]</f>
        <v>1318136442.7842112</v>
      </c>
      <c r="L1005" s="160" t="s">
        <v>593</v>
      </c>
      <c r="M1005" s="159"/>
      <c r="N1005" s="159">
        <f>IF(bargiri[[#This Row],[مبلغ واریزی]]&lt;&gt;"",bargiri[[#This Row],[مانده مبلغ]]-bargiri[[#This Row],[مبلغ واریزی]],bargiri[[#This Row],[مانده مبلغ]])</f>
        <v>1318136442.7842112</v>
      </c>
      <c r="O1005" s="159" t="s">
        <v>593</v>
      </c>
      <c r="P1005" s="159">
        <f>VLOOKUP(bargiri[[#This Row],[شماره سند مبنا]],invoice[[شماره پیش فاکتور]:[پیش دریافت به ازای هر کیلوگرم]],14,0)</f>
        <v>30405.764880033101</v>
      </c>
      <c r="Q1005" s="159">
        <f>IF(bargiri[[#This Row],[مبلغ ناخالص]]-(bargiri[[#This Row],[نرخ استهلاک]]*bargiri[[#This Row],[مقدار]])&lt;0,0,bargiri[[#This Row],[مبلغ ناخالص]]-(bargiri[[#This Row],[نرخ استهلاک]]*bargiri[[#This Row],[مقدار]]))</f>
        <v>1149131442.7842112</v>
      </c>
    </row>
    <row r="1006" spans="1:17" s="22" customFormat="1" ht="13.8" x14ac:dyDescent="0.25">
      <c r="A1006" s="22">
        <v>529</v>
      </c>
      <c r="B1006" s="22" t="s">
        <v>675</v>
      </c>
      <c r="C1006" s="22" t="s">
        <v>72</v>
      </c>
      <c r="D1006" s="22" t="s">
        <v>73</v>
      </c>
      <c r="E1006" s="158">
        <v>20575</v>
      </c>
      <c r="F1006" s="159">
        <v>57273</v>
      </c>
      <c r="G1006" s="159">
        <v>1178391975</v>
      </c>
      <c r="H1006" s="159">
        <v>117839198</v>
      </c>
      <c r="I1006" s="159">
        <v>1296231173</v>
      </c>
      <c r="J1006" s="159" t="e">
        <f>bargiri[[#This Row],[مقدار]]*INDEX(invoice[پیش دریافت به ازای هر کیلوگرم],MATCH(bargiri[[#This Row],[شماره سند مبنا]],invoice[شماره پیش فاکتور],0))</f>
        <v>#N/A</v>
      </c>
      <c r="K1006" s="159" t="e">
        <f>bargiri[[#This Row],[مبلغ خالص]]-bargiri[[#This Row],[میزان استهلاک پیش دریافتی]]</f>
        <v>#N/A</v>
      </c>
      <c r="L1006" s="160" t="s">
        <v>593</v>
      </c>
      <c r="M1006" s="159"/>
      <c r="N1006" s="159" t="e">
        <f>IF(bargiri[[#This Row],[مبلغ واریزی]]&lt;&gt;"",bargiri[[#This Row],[مانده مبلغ]]-bargiri[[#This Row],[مبلغ واریزی]],bargiri[[#This Row],[مانده مبلغ]])</f>
        <v>#N/A</v>
      </c>
      <c r="O1006" s="159" t="s">
        <v>593</v>
      </c>
      <c r="P1006" s="159" t="e">
        <f>VLOOKUP(bargiri[[#This Row],[شماره سند مبنا]],invoice[[شماره پیش فاکتور]:[پیش دریافت به ازای هر کیلوگرم]],14,0)</f>
        <v>#N/A</v>
      </c>
      <c r="Q1006" s="159" t="e">
        <f>IF(bargiri[[#This Row],[مبلغ ناخالص]]-(bargiri[[#This Row],[نرخ استهلاک]]*bargiri[[#This Row],[مقدار]])&lt;0,0,bargiri[[#This Row],[مبلغ ناخالص]]-(bargiri[[#This Row],[نرخ استهلاک]]*bargiri[[#This Row],[مقدار]]))</f>
        <v>#N/A</v>
      </c>
    </row>
    <row r="1007" spans="1:17" s="22" customFormat="1" ht="13.8" x14ac:dyDescent="0.25">
      <c r="A1007" s="22">
        <v>528</v>
      </c>
      <c r="B1007" s="22" t="s">
        <v>675</v>
      </c>
      <c r="C1007" s="22" t="s">
        <v>72</v>
      </c>
      <c r="D1007" s="22" t="s">
        <v>73</v>
      </c>
      <c r="E1007" s="158">
        <v>20360</v>
      </c>
      <c r="F1007" s="159">
        <v>57273</v>
      </c>
      <c r="G1007" s="159">
        <v>1166078280</v>
      </c>
      <c r="H1007" s="159">
        <v>116607828</v>
      </c>
      <c r="I1007" s="159">
        <v>1282686108</v>
      </c>
      <c r="J1007" s="159" t="e">
        <f>bargiri[[#This Row],[مقدار]]*INDEX(invoice[پیش دریافت به ازای هر کیلوگرم],MATCH(bargiri[[#This Row],[شماره سند مبنا]],invoice[شماره پیش فاکتور],0))</f>
        <v>#N/A</v>
      </c>
      <c r="K1007" s="159" t="e">
        <f>bargiri[[#This Row],[مبلغ خالص]]-bargiri[[#This Row],[میزان استهلاک پیش دریافتی]]</f>
        <v>#N/A</v>
      </c>
      <c r="L1007" s="160" t="s">
        <v>593</v>
      </c>
      <c r="M1007" s="159"/>
      <c r="N1007" s="159" t="e">
        <f>IF(bargiri[[#This Row],[مبلغ واریزی]]&lt;&gt;"",bargiri[[#This Row],[مانده مبلغ]]-bargiri[[#This Row],[مبلغ واریزی]],bargiri[[#This Row],[مانده مبلغ]])</f>
        <v>#N/A</v>
      </c>
      <c r="O1007" s="159" t="s">
        <v>593</v>
      </c>
      <c r="P1007" s="159" t="e">
        <f>VLOOKUP(bargiri[[#This Row],[شماره سند مبنا]],invoice[[شماره پیش فاکتور]:[پیش دریافت به ازای هر کیلوگرم]],14,0)</f>
        <v>#N/A</v>
      </c>
      <c r="Q1007" s="159" t="e">
        <f>IF(bargiri[[#This Row],[مبلغ ناخالص]]-(bargiri[[#This Row],[نرخ استهلاک]]*bargiri[[#This Row],[مقدار]])&lt;0,0,bargiri[[#This Row],[مبلغ ناخالص]]-(bargiri[[#This Row],[نرخ استهلاک]]*bargiri[[#This Row],[مقدار]]))</f>
        <v>#N/A</v>
      </c>
    </row>
    <row r="1008" spans="1:17" s="22" customFormat="1" ht="13.8" x14ac:dyDescent="0.25">
      <c r="A1008" s="22">
        <v>527</v>
      </c>
      <c r="B1008" s="22" t="s">
        <v>675</v>
      </c>
      <c r="C1008" s="22" t="s">
        <v>189</v>
      </c>
      <c r="D1008" s="22" t="s">
        <v>173</v>
      </c>
      <c r="E1008" s="158">
        <v>20260</v>
      </c>
      <c r="F1008" s="159">
        <v>75000</v>
      </c>
      <c r="G1008" s="159">
        <v>1519500000</v>
      </c>
      <c r="H1008" s="159">
        <v>151950000</v>
      </c>
      <c r="I1008" s="159">
        <v>1671450000</v>
      </c>
      <c r="J1008" s="159">
        <f>bargiri[[#This Row],[مقدار]]*INDEX(invoice[پیش دریافت به ازای هر کیلوگرم],MATCH(bargiri[[#This Row],[شماره سند مبنا]],invoice[شماره پیش فاکتور],0))</f>
        <v>250717500</v>
      </c>
      <c r="K1008" s="159">
        <f>bargiri[[#This Row],[مبلغ خالص]]-bargiri[[#This Row],[میزان استهلاک پیش دریافتی]]</f>
        <v>1420732500</v>
      </c>
      <c r="L1008" s="160" t="s">
        <v>593</v>
      </c>
      <c r="M1008" s="159"/>
      <c r="N1008" s="159">
        <f>IF(bargiri[[#This Row],[مبلغ واریزی]]&lt;&gt;"",bargiri[[#This Row],[مانده مبلغ]]-bargiri[[#This Row],[مبلغ واریزی]],bargiri[[#This Row],[مانده مبلغ]])</f>
        <v>1420732500</v>
      </c>
      <c r="O1008" s="159" t="s">
        <v>593</v>
      </c>
      <c r="P1008" s="159">
        <f>VLOOKUP(bargiri[[#This Row],[شماره سند مبنا]],invoice[[شماره پیش فاکتور]:[پیش دریافت به ازای هر کیلوگرم]],14,0)</f>
        <v>12375</v>
      </c>
      <c r="Q1008" s="159">
        <f>IF(bargiri[[#This Row],[مبلغ ناخالص]]-(bargiri[[#This Row],[نرخ استهلاک]]*bargiri[[#This Row],[مقدار]])&lt;0,0,bargiri[[#This Row],[مبلغ ناخالص]]-(bargiri[[#This Row],[نرخ استهلاک]]*bargiri[[#This Row],[مقدار]]))</f>
        <v>1268782500</v>
      </c>
    </row>
    <row r="1009" spans="1:17" s="22" customFormat="1" ht="13.8" x14ac:dyDescent="0.25">
      <c r="A1009" s="22">
        <v>526</v>
      </c>
      <c r="B1009" s="22" t="s">
        <v>675</v>
      </c>
      <c r="C1009" s="22" t="s">
        <v>664</v>
      </c>
      <c r="D1009" s="22" t="s">
        <v>70</v>
      </c>
      <c r="E1009" s="158">
        <v>18940</v>
      </c>
      <c r="F1009" s="159">
        <v>167500</v>
      </c>
      <c r="G1009" s="159">
        <v>3172450000</v>
      </c>
      <c r="H1009" s="159">
        <v>317245000</v>
      </c>
      <c r="I1009" s="159">
        <v>3489695000</v>
      </c>
      <c r="J1009" s="159">
        <f>bargiri[[#This Row],[مقدار]]*INDEX(invoice[پیش دریافت به ازای هر کیلوگرم],MATCH(bargiri[[#This Row],[شماره سند مبنا]],invoice[شماره پیش فاکتور],0))</f>
        <v>3489695000</v>
      </c>
      <c r="K1009" s="159">
        <f>bargiri[[#This Row],[مبلغ خالص]]-bargiri[[#This Row],[میزان استهلاک پیش دریافتی]]</f>
        <v>0</v>
      </c>
      <c r="L1009" s="160" t="s">
        <v>593</v>
      </c>
      <c r="M1009" s="159"/>
      <c r="N1009" s="159">
        <f>IF(bargiri[[#This Row],[مبلغ واریزی]]&lt;&gt;"",bargiri[[#This Row],[مانده مبلغ]]-bargiri[[#This Row],[مبلغ واریزی]],bargiri[[#This Row],[مانده مبلغ]])</f>
        <v>0</v>
      </c>
      <c r="O1009" s="159" t="s">
        <v>593</v>
      </c>
      <c r="P1009" s="159">
        <f>VLOOKUP(bargiri[[#This Row],[شماره سند مبنا]],invoice[[شماره پیش فاکتور]:[پیش دریافت به ازای هر کیلوگرم]],14,0)</f>
        <v>184250</v>
      </c>
      <c r="Q1009" s="159">
        <f>IF(bargiri[[#This Row],[مبلغ ناخالص]]-(bargiri[[#This Row],[نرخ استهلاک]]*bargiri[[#This Row],[مقدار]])&lt;0,0,bargiri[[#This Row],[مبلغ ناخالص]]-(bargiri[[#This Row],[نرخ استهلاک]]*bargiri[[#This Row],[مقدار]]))</f>
        <v>0</v>
      </c>
    </row>
    <row r="1010" spans="1:17" s="22" customFormat="1" ht="13.8" x14ac:dyDescent="0.25">
      <c r="A1010" s="22">
        <v>525</v>
      </c>
      <c r="B1010" s="22" t="s">
        <v>675</v>
      </c>
      <c r="C1010" s="22" t="s">
        <v>107</v>
      </c>
      <c r="D1010" s="22" t="s">
        <v>30</v>
      </c>
      <c r="E1010" s="158">
        <v>8000</v>
      </c>
      <c r="F1010" s="159">
        <v>70000</v>
      </c>
      <c r="G1010" s="159">
        <v>560000000</v>
      </c>
      <c r="H1010" s="159">
        <v>56000000</v>
      </c>
      <c r="I1010" s="159">
        <v>616000000</v>
      </c>
      <c r="J1010" s="159">
        <f>bargiri[[#This Row],[مقدار]]*INDEX(invoice[پیش دریافت به ازای هر کیلوگرم],MATCH(bargiri[[#This Row],[شماره سند مبنا]],invoice[شماره پیش فاکتور],0))</f>
        <v>308000000</v>
      </c>
      <c r="K1010" s="159">
        <f>bargiri[[#This Row],[مبلغ خالص]]-bargiri[[#This Row],[میزان استهلاک پیش دریافتی]]</f>
        <v>308000000</v>
      </c>
      <c r="L1010" s="160" t="s">
        <v>593</v>
      </c>
      <c r="M1010" s="159"/>
      <c r="N1010" s="159">
        <f>IF(bargiri[[#This Row],[مبلغ واریزی]]&lt;&gt;"",bargiri[[#This Row],[مانده مبلغ]]-bargiri[[#This Row],[مبلغ واریزی]],bargiri[[#This Row],[مانده مبلغ]])</f>
        <v>308000000</v>
      </c>
      <c r="O1010" s="159" t="s">
        <v>593</v>
      </c>
      <c r="P1010" s="159">
        <f>VLOOKUP(bargiri[[#This Row],[شماره سند مبنا]],invoice[[شماره پیش فاکتور]:[پیش دریافت به ازای هر کیلوگرم]],14,0)</f>
        <v>38500</v>
      </c>
      <c r="Q1010" s="159">
        <f>IF(bargiri[[#This Row],[مبلغ ناخالص]]-(bargiri[[#This Row],[نرخ استهلاک]]*bargiri[[#This Row],[مقدار]])&lt;0,0,bargiri[[#This Row],[مبلغ ناخالص]]-(bargiri[[#This Row],[نرخ استهلاک]]*bargiri[[#This Row],[مقدار]]))</f>
        <v>252000000</v>
      </c>
    </row>
    <row r="1011" spans="1:17" s="22" customFormat="1" ht="13.8" x14ac:dyDescent="0.25">
      <c r="A1011" s="22">
        <v>524</v>
      </c>
      <c r="B1011" s="22" t="s">
        <v>675</v>
      </c>
      <c r="C1011" s="22" t="s">
        <v>72</v>
      </c>
      <c r="D1011" s="22" t="s">
        <v>73</v>
      </c>
      <c r="E1011" s="158">
        <v>19915</v>
      </c>
      <c r="F1011" s="159">
        <v>57273</v>
      </c>
      <c r="G1011" s="159">
        <v>1140591795</v>
      </c>
      <c r="H1011" s="159">
        <v>114059180</v>
      </c>
      <c r="I1011" s="159">
        <v>1254650975</v>
      </c>
      <c r="J1011" s="159" t="e">
        <f>bargiri[[#This Row],[مقدار]]*INDEX(invoice[پیش دریافت به ازای هر کیلوگرم],MATCH(bargiri[[#This Row],[شماره سند مبنا]],invoice[شماره پیش فاکتور],0))</f>
        <v>#N/A</v>
      </c>
      <c r="K1011" s="159" t="e">
        <f>bargiri[[#This Row],[مبلغ خالص]]-bargiri[[#This Row],[میزان استهلاک پیش دریافتی]]</f>
        <v>#N/A</v>
      </c>
      <c r="L1011" s="160" t="s">
        <v>593</v>
      </c>
      <c r="M1011" s="159"/>
      <c r="N1011" s="159" t="e">
        <f>IF(bargiri[[#This Row],[مبلغ واریزی]]&lt;&gt;"",bargiri[[#This Row],[مانده مبلغ]]-bargiri[[#This Row],[مبلغ واریزی]],bargiri[[#This Row],[مانده مبلغ]])</f>
        <v>#N/A</v>
      </c>
      <c r="O1011" s="159" t="s">
        <v>593</v>
      </c>
      <c r="P1011" s="159" t="e">
        <f>VLOOKUP(bargiri[[#This Row],[شماره سند مبنا]],invoice[[شماره پیش فاکتور]:[پیش دریافت به ازای هر کیلوگرم]],14,0)</f>
        <v>#N/A</v>
      </c>
      <c r="Q1011" s="159" t="e">
        <f>IF(bargiri[[#This Row],[مبلغ ناخالص]]-(bargiri[[#This Row],[نرخ استهلاک]]*bargiri[[#This Row],[مقدار]])&lt;0,0,bargiri[[#This Row],[مبلغ ناخالص]]-(bargiri[[#This Row],[نرخ استهلاک]]*bargiri[[#This Row],[مقدار]]))</f>
        <v>#N/A</v>
      </c>
    </row>
    <row r="1012" spans="1:17" s="22" customFormat="1" ht="13.8" x14ac:dyDescent="0.25">
      <c r="A1012" s="22">
        <v>523</v>
      </c>
      <c r="B1012" s="22" t="s">
        <v>675</v>
      </c>
      <c r="C1012" s="22" t="s">
        <v>72</v>
      </c>
      <c r="D1012" s="22" t="s">
        <v>73</v>
      </c>
      <c r="E1012" s="158">
        <v>20405</v>
      </c>
      <c r="F1012" s="159">
        <v>57273</v>
      </c>
      <c r="G1012" s="159">
        <v>1168655565</v>
      </c>
      <c r="H1012" s="159">
        <v>116865557</v>
      </c>
      <c r="I1012" s="159">
        <v>1285521122</v>
      </c>
      <c r="J1012" s="159" t="e">
        <f>bargiri[[#This Row],[مقدار]]*INDEX(invoice[پیش دریافت به ازای هر کیلوگرم],MATCH(bargiri[[#This Row],[شماره سند مبنا]],invoice[شماره پیش فاکتور],0))</f>
        <v>#N/A</v>
      </c>
      <c r="K1012" s="159" t="e">
        <f>bargiri[[#This Row],[مبلغ خالص]]-bargiri[[#This Row],[میزان استهلاک پیش دریافتی]]</f>
        <v>#N/A</v>
      </c>
      <c r="L1012" s="160" t="s">
        <v>593</v>
      </c>
      <c r="M1012" s="159"/>
      <c r="N1012" s="159" t="e">
        <f>IF(bargiri[[#This Row],[مبلغ واریزی]]&lt;&gt;"",bargiri[[#This Row],[مانده مبلغ]]-bargiri[[#This Row],[مبلغ واریزی]],bargiri[[#This Row],[مانده مبلغ]])</f>
        <v>#N/A</v>
      </c>
      <c r="O1012" s="159" t="s">
        <v>593</v>
      </c>
      <c r="P1012" s="159" t="e">
        <f>VLOOKUP(bargiri[[#This Row],[شماره سند مبنا]],invoice[[شماره پیش فاکتور]:[پیش دریافت به ازای هر کیلوگرم]],14,0)</f>
        <v>#N/A</v>
      </c>
      <c r="Q1012" s="159" t="e">
        <f>IF(bargiri[[#This Row],[مبلغ ناخالص]]-(bargiri[[#This Row],[نرخ استهلاک]]*bargiri[[#This Row],[مقدار]])&lt;0,0,bargiri[[#This Row],[مبلغ ناخالص]]-(bargiri[[#This Row],[نرخ استهلاک]]*bargiri[[#This Row],[مقدار]]))</f>
        <v>#N/A</v>
      </c>
    </row>
    <row r="1013" spans="1:17" s="22" customFormat="1" ht="13.8" x14ac:dyDescent="0.25">
      <c r="A1013" s="22">
        <v>522</v>
      </c>
      <c r="B1013" s="22" t="s">
        <v>860</v>
      </c>
      <c r="C1013" s="22" t="s">
        <v>119</v>
      </c>
      <c r="D1013" s="22" t="s">
        <v>25</v>
      </c>
      <c r="E1013" s="158">
        <v>22010</v>
      </c>
      <c r="F1013" s="159">
        <v>75000</v>
      </c>
      <c r="G1013" s="159">
        <v>1650750000</v>
      </c>
      <c r="H1013" s="159">
        <v>165075000</v>
      </c>
      <c r="I1013" s="159">
        <v>1815825000</v>
      </c>
      <c r="J1013" s="159">
        <f>bargiri[[#This Row],[مقدار]]*INDEX(invoice[پیش دریافت به ازای هر کیلوگرم],MATCH(bargiri[[#This Row],[شماره سند مبنا]],invoice[شماره پیش فاکتور],0))</f>
        <v>272373750</v>
      </c>
      <c r="K1013" s="159">
        <f>bargiri[[#This Row],[مبلغ خالص]]-bargiri[[#This Row],[میزان استهلاک پیش دریافتی]]</f>
        <v>1543451250</v>
      </c>
      <c r="L1013" s="160" t="s">
        <v>593</v>
      </c>
      <c r="M1013" s="159"/>
      <c r="N1013" s="159">
        <f>IF(bargiri[[#This Row],[مبلغ واریزی]]&lt;&gt;"",bargiri[[#This Row],[مانده مبلغ]]-bargiri[[#This Row],[مبلغ واریزی]],bargiri[[#This Row],[مانده مبلغ]])</f>
        <v>1543451250</v>
      </c>
      <c r="O1013" s="159" t="s">
        <v>593</v>
      </c>
      <c r="P1013" s="159">
        <f>VLOOKUP(bargiri[[#This Row],[شماره سند مبنا]],invoice[[شماره پیش فاکتور]:[پیش دریافت به ازای هر کیلوگرم]],14,0)</f>
        <v>12375</v>
      </c>
      <c r="Q1013" s="159">
        <f>IF(bargiri[[#This Row],[مبلغ ناخالص]]-(bargiri[[#This Row],[نرخ استهلاک]]*bargiri[[#This Row],[مقدار]])&lt;0,0,bargiri[[#This Row],[مبلغ ناخالص]]-(bargiri[[#This Row],[نرخ استهلاک]]*bargiri[[#This Row],[مقدار]]))</f>
        <v>1378376250</v>
      </c>
    </row>
    <row r="1014" spans="1:17" s="22" customFormat="1" ht="13.8" x14ac:dyDescent="0.25">
      <c r="A1014" s="22">
        <v>521</v>
      </c>
      <c r="B1014" s="22" t="s">
        <v>861</v>
      </c>
      <c r="C1014" s="22" t="s">
        <v>644</v>
      </c>
      <c r="D1014" s="22" t="s">
        <v>67</v>
      </c>
      <c r="E1014" s="158">
        <v>19995</v>
      </c>
      <c r="F1014" s="159">
        <v>95000</v>
      </c>
      <c r="G1014" s="159">
        <v>1899525000</v>
      </c>
      <c r="H1014" s="159">
        <v>189952500</v>
      </c>
      <c r="I1014" s="159">
        <v>2089477500</v>
      </c>
      <c r="J1014" s="159">
        <f>bargiri[[#This Row],[مقدار]]*INDEX(invoice[پیش دریافت به ازای هر کیلوگرم],MATCH(bargiri[[#This Row],[شماره سند مبنا]],invoice[شماره پیش فاکتور],0))</f>
        <v>607963268.77626181</v>
      </c>
      <c r="K1014" s="159">
        <f>bargiri[[#This Row],[مبلغ خالص]]-bargiri[[#This Row],[میزان استهلاک پیش دریافتی]]</f>
        <v>1481514231.2237382</v>
      </c>
      <c r="L1014" s="160" t="s">
        <v>593</v>
      </c>
      <c r="M1014" s="159"/>
      <c r="N1014" s="159">
        <f>IF(bargiri[[#This Row],[مبلغ واریزی]]&lt;&gt;"",bargiri[[#This Row],[مانده مبلغ]]-bargiri[[#This Row],[مبلغ واریزی]],bargiri[[#This Row],[مانده مبلغ]])</f>
        <v>1481514231.2237382</v>
      </c>
      <c r="O1014" s="159" t="s">
        <v>593</v>
      </c>
      <c r="P1014" s="159">
        <f>VLOOKUP(bargiri[[#This Row],[شماره سند مبنا]],invoice[[شماره پیش فاکتور]:[پیش دریافت به ازای هر کیلوگرم]],14,0)</f>
        <v>30405.764880033101</v>
      </c>
      <c r="Q1014" s="159">
        <f>IF(bargiri[[#This Row],[مبلغ ناخالص]]-(bargiri[[#This Row],[نرخ استهلاک]]*bargiri[[#This Row],[مقدار]])&lt;0,0,bargiri[[#This Row],[مبلغ ناخالص]]-(bargiri[[#This Row],[نرخ استهلاک]]*bargiri[[#This Row],[مقدار]]))</f>
        <v>1291561731.2237382</v>
      </c>
    </row>
    <row r="1015" spans="1:17" s="22" customFormat="1" ht="13.8" x14ac:dyDescent="0.25">
      <c r="A1015" s="22">
        <v>520</v>
      </c>
      <c r="B1015" s="22" t="s">
        <v>861</v>
      </c>
      <c r="C1015" s="22" t="s">
        <v>182</v>
      </c>
      <c r="D1015" s="22" t="s">
        <v>20</v>
      </c>
      <c r="E1015" s="158">
        <v>19660</v>
      </c>
      <c r="F1015" s="159">
        <v>86500</v>
      </c>
      <c r="G1015" s="159">
        <v>1700590000</v>
      </c>
      <c r="H1015" s="159">
        <v>170059000</v>
      </c>
      <c r="I1015" s="159">
        <v>1870649000</v>
      </c>
      <c r="J1015" s="159">
        <f>bargiri[[#This Row],[مقدار]]*INDEX(invoice[پیش دریافت به ازای هر کیلوگرم],MATCH(bargiri[[#This Row],[شماره سند مبنا]],invoice[شماره پیش فاکتور],0))</f>
        <v>255088500</v>
      </c>
      <c r="K1015" s="159">
        <f>bargiri[[#This Row],[مبلغ خالص]]-bargiri[[#This Row],[میزان استهلاک پیش دریافتی]]</f>
        <v>1615560500</v>
      </c>
      <c r="L1015" s="160" t="s">
        <v>593</v>
      </c>
      <c r="M1015" s="159"/>
      <c r="N1015" s="159">
        <f>IF(bargiri[[#This Row],[مبلغ واریزی]]&lt;&gt;"",bargiri[[#This Row],[مانده مبلغ]]-bargiri[[#This Row],[مبلغ واریزی]],bargiri[[#This Row],[مانده مبلغ]])</f>
        <v>1615560500</v>
      </c>
      <c r="O1015" s="159" t="s">
        <v>593</v>
      </c>
      <c r="P1015" s="159">
        <f>VLOOKUP(bargiri[[#This Row],[شماره سند مبنا]],invoice[[شماره پیش فاکتور]:[پیش دریافت به ازای هر کیلوگرم]],14,0)</f>
        <v>12975</v>
      </c>
      <c r="Q1015" s="159">
        <f>IF(bargiri[[#This Row],[مبلغ ناخالص]]-(bargiri[[#This Row],[نرخ استهلاک]]*bargiri[[#This Row],[مقدار]])&lt;0,0,bargiri[[#This Row],[مبلغ ناخالص]]-(bargiri[[#This Row],[نرخ استهلاک]]*bargiri[[#This Row],[مقدار]]))</f>
        <v>1445501500</v>
      </c>
    </row>
    <row r="1016" spans="1:17" s="22" customFormat="1" ht="13.8" x14ac:dyDescent="0.25">
      <c r="A1016" s="22">
        <v>519</v>
      </c>
      <c r="B1016" s="22" t="s">
        <v>862</v>
      </c>
      <c r="C1016" s="22" t="s">
        <v>644</v>
      </c>
      <c r="D1016" s="22" t="s">
        <v>67</v>
      </c>
      <c r="E1016" s="158">
        <v>20015</v>
      </c>
      <c r="F1016" s="159">
        <v>95000</v>
      </c>
      <c r="G1016" s="159">
        <v>1901425000</v>
      </c>
      <c r="H1016" s="159">
        <v>190142500</v>
      </c>
      <c r="I1016" s="159">
        <v>2091567500</v>
      </c>
      <c r="J1016" s="159">
        <f>bargiri[[#This Row],[مقدار]]*INDEX(invoice[پیش دریافت به ازای هر کیلوگرم],MATCH(bargiri[[#This Row],[شماره سند مبنا]],invoice[شماره پیش فاکتور],0))</f>
        <v>608571384.07386255</v>
      </c>
      <c r="K1016" s="159">
        <f>bargiri[[#This Row],[مبلغ خالص]]-bargiri[[#This Row],[میزان استهلاک پیش دریافتی]]</f>
        <v>1482996115.9261374</v>
      </c>
      <c r="L1016" s="160" t="s">
        <v>593</v>
      </c>
      <c r="M1016" s="159"/>
      <c r="N1016" s="159">
        <f>IF(bargiri[[#This Row],[مبلغ واریزی]]&lt;&gt;"",bargiri[[#This Row],[مانده مبلغ]]-bargiri[[#This Row],[مبلغ واریزی]],bargiri[[#This Row],[مانده مبلغ]])</f>
        <v>1482996115.9261374</v>
      </c>
      <c r="O1016" s="159" t="s">
        <v>593</v>
      </c>
      <c r="P1016" s="159">
        <f>VLOOKUP(bargiri[[#This Row],[شماره سند مبنا]],invoice[[شماره پیش فاکتور]:[پیش دریافت به ازای هر کیلوگرم]],14,0)</f>
        <v>30405.764880033101</v>
      </c>
      <c r="Q1016" s="159">
        <f>IF(bargiri[[#This Row],[مبلغ ناخالص]]-(bargiri[[#This Row],[نرخ استهلاک]]*bargiri[[#This Row],[مقدار]])&lt;0,0,bargiri[[#This Row],[مبلغ ناخالص]]-(bargiri[[#This Row],[نرخ استهلاک]]*bargiri[[#This Row],[مقدار]]))</f>
        <v>1292853615.9261374</v>
      </c>
    </row>
    <row r="1017" spans="1:17" s="22" customFormat="1" ht="13.8" x14ac:dyDescent="0.25">
      <c r="A1017" s="22">
        <v>518</v>
      </c>
      <c r="B1017" s="22" t="s">
        <v>862</v>
      </c>
      <c r="C1017" s="22" t="s">
        <v>644</v>
      </c>
      <c r="D1017" s="22" t="s">
        <v>67</v>
      </c>
      <c r="E1017" s="158">
        <v>19965</v>
      </c>
      <c r="F1017" s="159">
        <v>95000</v>
      </c>
      <c r="G1017" s="159">
        <v>1896675000</v>
      </c>
      <c r="H1017" s="159">
        <v>189667500</v>
      </c>
      <c r="I1017" s="159">
        <v>2086342500</v>
      </c>
      <c r="J1017" s="159">
        <f>bargiri[[#This Row],[مقدار]]*INDEX(invoice[پیش دریافت به ازای هر کیلوگرم],MATCH(bargiri[[#This Row],[شماره سند مبنا]],invoice[شماره پیش فاکتور],0))</f>
        <v>607051095.82986081</v>
      </c>
      <c r="K1017" s="159">
        <f>bargiri[[#This Row],[مبلغ خالص]]-bargiri[[#This Row],[میزان استهلاک پیش دریافتی]]</f>
        <v>1479291404.1701393</v>
      </c>
      <c r="L1017" s="160" t="s">
        <v>593</v>
      </c>
      <c r="M1017" s="159"/>
      <c r="N1017" s="159">
        <f>IF(bargiri[[#This Row],[مبلغ واریزی]]&lt;&gt;"",bargiri[[#This Row],[مانده مبلغ]]-bargiri[[#This Row],[مبلغ واریزی]],bargiri[[#This Row],[مانده مبلغ]])</f>
        <v>1479291404.1701393</v>
      </c>
      <c r="O1017" s="159" t="s">
        <v>593</v>
      </c>
      <c r="P1017" s="159">
        <f>VLOOKUP(bargiri[[#This Row],[شماره سند مبنا]],invoice[[شماره پیش فاکتور]:[پیش دریافت به ازای هر کیلوگرم]],14,0)</f>
        <v>30405.764880033101</v>
      </c>
      <c r="Q1017" s="159">
        <f>IF(bargiri[[#This Row],[مبلغ ناخالص]]-(bargiri[[#This Row],[نرخ استهلاک]]*bargiri[[#This Row],[مقدار]])&lt;0,0,bargiri[[#This Row],[مبلغ ناخالص]]-(bargiri[[#This Row],[نرخ استهلاک]]*bargiri[[#This Row],[مقدار]]))</f>
        <v>1289623904.1701393</v>
      </c>
    </row>
    <row r="1018" spans="1:17" s="22" customFormat="1" ht="13.8" x14ac:dyDescent="0.25">
      <c r="A1018" s="22">
        <v>517</v>
      </c>
      <c r="B1018" s="22" t="s">
        <v>862</v>
      </c>
      <c r="C1018" s="22" t="s">
        <v>607</v>
      </c>
      <c r="D1018" s="22" t="s">
        <v>180</v>
      </c>
      <c r="E1018" s="158">
        <v>7805</v>
      </c>
      <c r="F1018" s="159">
        <v>142000</v>
      </c>
      <c r="G1018" s="159">
        <v>1108310000</v>
      </c>
      <c r="H1018" s="159">
        <v>110831000</v>
      </c>
      <c r="I1018" s="159">
        <v>1219141000</v>
      </c>
      <c r="J1018" s="159">
        <f>bargiri[[#This Row],[مقدار]]*INDEX(invoice[پیش دریافت به ازای هر کیلوگرم],MATCH(bargiri[[#This Row],[شماره سند مبنا]],invoice[شماره پیش فاکتور],0))</f>
        <v>582618977.66292608</v>
      </c>
      <c r="K1018" s="159">
        <f>bargiri[[#This Row],[مبلغ خالص]]-bargiri[[#This Row],[میزان استهلاک پیش دریافتی]]</f>
        <v>636522022.33707392</v>
      </c>
      <c r="L1018" s="160" t="s">
        <v>593</v>
      </c>
      <c r="M1018" s="159"/>
      <c r="N1018" s="159">
        <f>IF(bargiri[[#This Row],[مبلغ واریزی]]&lt;&gt;"",bargiri[[#This Row],[مانده مبلغ]]-bargiri[[#This Row],[مبلغ واریزی]],bargiri[[#This Row],[مانده مبلغ]])</f>
        <v>636522022.33707392</v>
      </c>
      <c r="O1018" s="159" t="s">
        <v>593</v>
      </c>
      <c r="P1018" s="159">
        <f>VLOOKUP(bargiri[[#This Row],[شماره سند مبنا]],invoice[[شماره پیش فاکتور]:[پیش دریافت به ازای هر کیلوگرم]],14,0)</f>
        <v>74646.890155403729</v>
      </c>
      <c r="Q1018" s="159">
        <f>IF(bargiri[[#This Row],[مبلغ ناخالص]]-(bargiri[[#This Row],[نرخ استهلاک]]*bargiri[[#This Row],[مقدار]])&lt;0,0,bargiri[[#This Row],[مبلغ ناخالص]]-(bargiri[[#This Row],[نرخ استهلاک]]*bargiri[[#This Row],[مقدار]]))</f>
        <v>525691022.33707392</v>
      </c>
    </row>
    <row r="1019" spans="1:17" s="22" customFormat="1" ht="13.8" x14ac:dyDescent="0.25">
      <c r="A1019" s="22">
        <v>516</v>
      </c>
      <c r="B1019" s="22" t="s">
        <v>863</v>
      </c>
      <c r="C1019" s="22" t="s">
        <v>187</v>
      </c>
      <c r="D1019" s="22" t="s">
        <v>43</v>
      </c>
      <c r="E1019" s="158">
        <v>18305</v>
      </c>
      <c r="F1019" s="159">
        <v>80000</v>
      </c>
      <c r="G1019" s="159">
        <v>1464400000</v>
      </c>
      <c r="H1019" s="159">
        <v>146440000</v>
      </c>
      <c r="I1019" s="159">
        <v>1610840000</v>
      </c>
      <c r="J1019" s="159">
        <f>bargiri[[#This Row],[مقدار]]*INDEX(invoice[پیش دریافت به ازای هر کیلوگرم],MATCH(bargiri[[#This Row],[شماره سند مبنا]],invoice[شماره پیش فاکتور],0))</f>
        <v>322168000</v>
      </c>
      <c r="K1019" s="159">
        <f>bargiri[[#This Row],[مبلغ خالص]]-bargiri[[#This Row],[میزان استهلاک پیش دریافتی]]</f>
        <v>1288672000</v>
      </c>
      <c r="L1019" s="160" t="s">
        <v>593</v>
      </c>
      <c r="M1019" s="159"/>
      <c r="N1019" s="159">
        <f>IF(bargiri[[#This Row],[مبلغ واریزی]]&lt;&gt;"",bargiri[[#This Row],[مانده مبلغ]]-bargiri[[#This Row],[مبلغ واریزی]],bargiri[[#This Row],[مانده مبلغ]])</f>
        <v>1288672000</v>
      </c>
      <c r="O1019" s="159" t="s">
        <v>593</v>
      </c>
      <c r="P1019" s="159">
        <f>VLOOKUP(bargiri[[#This Row],[شماره سند مبنا]],invoice[[شماره پیش فاکتور]:[پیش دریافت به ازای هر کیلوگرم]],14,0)</f>
        <v>17600</v>
      </c>
      <c r="Q1019" s="159">
        <f>IF(bargiri[[#This Row],[مبلغ ناخالص]]-(bargiri[[#This Row],[نرخ استهلاک]]*bargiri[[#This Row],[مقدار]])&lt;0,0,bargiri[[#This Row],[مبلغ ناخالص]]-(bargiri[[#This Row],[نرخ استهلاک]]*bargiri[[#This Row],[مقدار]]))</f>
        <v>1142232000</v>
      </c>
    </row>
    <row r="1020" spans="1:17" s="22" customFormat="1" ht="13.8" x14ac:dyDescent="0.25">
      <c r="A1020" s="22">
        <v>515</v>
      </c>
      <c r="B1020" s="22" t="s">
        <v>863</v>
      </c>
      <c r="C1020" s="22" t="s">
        <v>461</v>
      </c>
      <c r="D1020" s="22" t="s">
        <v>35</v>
      </c>
      <c r="E1020" s="158">
        <v>7460</v>
      </c>
      <c r="F1020" s="159">
        <v>142000</v>
      </c>
      <c r="G1020" s="159">
        <v>1059320000</v>
      </c>
      <c r="H1020" s="159">
        <v>105932000</v>
      </c>
      <c r="I1020" s="159">
        <v>1165252000</v>
      </c>
      <c r="J1020" s="159">
        <f>bargiri[[#This Row],[مقدار]]*INDEX(invoice[پیش دریافت به ازای هر کیلوگرم],MATCH(bargiri[[#This Row],[شماره سند مبنا]],invoice[شماره پیش فاکتور],0))</f>
        <v>244824156.92250803</v>
      </c>
      <c r="K1020" s="159">
        <f>bargiri[[#This Row],[مبلغ خالص]]-bargiri[[#This Row],[میزان استهلاک پیش دریافتی]]</f>
        <v>920427843.077492</v>
      </c>
      <c r="L1020" s="160" t="s">
        <v>593</v>
      </c>
      <c r="M1020" s="159"/>
      <c r="N1020" s="159">
        <f>IF(bargiri[[#This Row],[مبلغ واریزی]]&lt;&gt;"",bargiri[[#This Row],[مانده مبلغ]]-bargiri[[#This Row],[مبلغ واریزی]],bargiri[[#This Row],[مانده مبلغ]])</f>
        <v>920427843.077492</v>
      </c>
      <c r="O1020" s="159" t="s">
        <v>593</v>
      </c>
      <c r="P1020" s="159">
        <f>VLOOKUP(bargiri[[#This Row],[شماره سند مبنا]],invoice[[شماره پیش فاکتور]:[پیش دریافت به ازای هر کیلوگرم]],14,0)</f>
        <v>32818.251598191426</v>
      </c>
      <c r="Q1020" s="159">
        <f>IF(bargiri[[#This Row],[مبلغ ناخالص]]-(bargiri[[#This Row],[نرخ استهلاک]]*bargiri[[#This Row],[مقدار]])&lt;0,0,bargiri[[#This Row],[مبلغ ناخالص]]-(bargiri[[#This Row],[نرخ استهلاک]]*bargiri[[#This Row],[مقدار]]))</f>
        <v>814495843.077492</v>
      </c>
    </row>
    <row r="1021" spans="1:17" s="22" customFormat="1" ht="13.8" x14ac:dyDescent="0.25">
      <c r="A1021" s="22">
        <v>514</v>
      </c>
      <c r="B1021" s="22" t="s">
        <v>863</v>
      </c>
      <c r="C1021" s="22" t="s">
        <v>72</v>
      </c>
      <c r="D1021" s="22" t="s">
        <v>73</v>
      </c>
      <c r="E1021" s="158">
        <v>20385</v>
      </c>
      <c r="F1021" s="159">
        <v>57273</v>
      </c>
      <c r="G1021" s="159">
        <v>1167510105</v>
      </c>
      <c r="H1021" s="159">
        <v>116751011</v>
      </c>
      <c r="I1021" s="159">
        <v>1284261116</v>
      </c>
      <c r="J1021" s="159" t="e">
        <f>bargiri[[#This Row],[مقدار]]*INDEX(invoice[پیش دریافت به ازای هر کیلوگرم],MATCH(bargiri[[#This Row],[شماره سند مبنا]],invoice[شماره پیش فاکتور],0))</f>
        <v>#N/A</v>
      </c>
      <c r="K1021" s="159" t="e">
        <f>bargiri[[#This Row],[مبلغ خالص]]-bargiri[[#This Row],[میزان استهلاک پیش دریافتی]]</f>
        <v>#N/A</v>
      </c>
      <c r="L1021" s="160" t="s">
        <v>593</v>
      </c>
      <c r="M1021" s="159"/>
      <c r="N1021" s="159" t="e">
        <f>IF(bargiri[[#This Row],[مبلغ واریزی]]&lt;&gt;"",bargiri[[#This Row],[مانده مبلغ]]-bargiri[[#This Row],[مبلغ واریزی]],bargiri[[#This Row],[مانده مبلغ]])</f>
        <v>#N/A</v>
      </c>
      <c r="O1021" s="159" t="s">
        <v>593</v>
      </c>
      <c r="P1021" s="159" t="e">
        <f>VLOOKUP(bargiri[[#This Row],[شماره سند مبنا]],invoice[[شماره پیش فاکتور]:[پیش دریافت به ازای هر کیلوگرم]],14,0)</f>
        <v>#N/A</v>
      </c>
      <c r="Q1021" s="159" t="e">
        <f>IF(bargiri[[#This Row],[مبلغ ناخالص]]-(bargiri[[#This Row],[نرخ استهلاک]]*bargiri[[#This Row],[مقدار]])&lt;0,0,bargiri[[#This Row],[مبلغ ناخالص]]-(bargiri[[#This Row],[نرخ استهلاک]]*bargiri[[#This Row],[مقدار]]))</f>
        <v>#N/A</v>
      </c>
    </row>
    <row r="1022" spans="1:17" s="22" customFormat="1" ht="13.8" x14ac:dyDescent="0.25">
      <c r="A1022" s="22">
        <v>513</v>
      </c>
      <c r="B1022" s="22" t="s">
        <v>863</v>
      </c>
      <c r="C1022" s="22" t="s">
        <v>72</v>
      </c>
      <c r="D1022" s="22" t="s">
        <v>73</v>
      </c>
      <c r="E1022" s="158">
        <v>20540</v>
      </c>
      <c r="F1022" s="159">
        <v>57273</v>
      </c>
      <c r="G1022" s="159">
        <v>1176387420</v>
      </c>
      <c r="H1022" s="159">
        <v>117638742</v>
      </c>
      <c r="I1022" s="159">
        <v>1294026162</v>
      </c>
      <c r="J1022" s="159" t="e">
        <f>bargiri[[#This Row],[مقدار]]*INDEX(invoice[پیش دریافت به ازای هر کیلوگرم],MATCH(bargiri[[#This Row],[شماره سند مبنا]],invoice[شماره پیش فاکتور],0))</f>
        <v>#N/A</v>
      </c>
      <c r="K1022" s="159" t="e">
        <f>bargiri[[#This Row],[مبلغ خالص]]-bargiri[[#This Row],[میزان استهلاک پیش دریافتی]]</f>
        <v>#N/A</v>
      </c>
      <c r="L1022" s="160" t="s">
        <v>593</v>
      </c>
      <c r="M1022" s="159"/>
      <c r="N1022" s="159" t="e">
        <f>IF(bargiri[[#This Row],[مبلغ واریزی]]&lt;&gt;"",bargiri[[#This Row],[مانده مبلغ]]-bargiri[[#This Row],[مبلغ واریزی]],bargiri[[#This Row],[مانده مبلغ]])</f>
        <v>#N/A</v>
      </c>
      <c r="O1022" s="159" t="s">
        <v>593</v>
      </c>
      <c r="P1022" s="159" t="e">
        <f>VLOOKUP(bargiri[[#This Row],[شماره سند مبنا]],invoice[[شماره پیش فاکتور]:[پیش دریافت به ازای هر کیلوگرم]],14,0)</f>
        <v>#N/A</v>
      </c>
      <c r="Q1022" s="159" t="e">
        <f>IF(bargiri[[#This Row],[مبلغ ناخالص]]-(bargiri[[#This Row],[نرخ استهلاک]]*bargiri[[#This Row],[مقدار]])&lt;0,0,bargiri[[#This Row],[مبلغ ناخالص]]-(bargiri[[#This Row],[نرخ استهلاک]]*bargiri[[#This Row],[مقدار]]))</f>
        <v>#N/A</v>
      </c>
    </row>
    <row r="1023" spans="1:17" s="22" customFormat="1" ht="13.8" x14ac:dyDescent="0.25">
      <c r="A1023" s="22">
        <v>512</v>
      </c>
      <c r="B1023" s="22" t="s">
        <v>863</v>
      </c>
      <c r="C1023" s="22" t="s">
        <v>456</v>
      </c>
      <c r="D1023" s="22" t="s">
        <v>213</v>
      </c>
      <c r="E1023" s="158">
        <v>7270</v>
      </c>
      <c r="F1023" s="159">
        <v>142000</v>
      </c>
      <c r="G1023" s="159">
        <v>1032340000</v>
      </c>
      <c r="H1023" s="159">
        <v>103234000</v>
      </c>
      <c r="I1023" s="159">
        <v>1135574000</v>
      </c>
      <c r="J1023" s="159">
        <f>bargiri[[#This Row],[مقدار]]*INDEX(invoice[پیش دریافت به ازای هر کیلوگرم],MATCH(bargiri[[#This Row],[شماره سند مبنا]],invoice[شماره پیش فاکتور],0))</f>
        <v>862688288.64365613</v>
      </c>
      <c r="K1023" s="159">
        <f>bargiri[[#This Row],[مبلغ خالص]]-bargiri[[#This Row],[میزان استهلاک پیش دریافتی]]</f>
        <v>272885711.35634387</v>
      </c>
      <c r="L1023" s="160" t="s">
        <v>593</v>
      </c>
      <c r="M1023" s="159"/>
      <c r="N1023" s="159">
        <f>IF(bargiri[[#This Row],[مبلغ واریزی]]&lt;&gt;"",bargiri[[#This Row],[مانده مبلغ]]-bargiri[[#This Row],[مبلغ واریزی]],bargiri[[#This Row],[مانده مبلغ]])</f>
        <v>272885711.35634387</v>
      </c>
      <c r="O1023" s="159" t="s">
        <v>593</v>
      </c>
      <c r="P1023" s="159">
        <f>VLOOKUP(bargiri[[#This Row],[شماره سند مبنا]],invoice[[شماره پیش فاکتور]:[پیش دریافت به ازای هر کیلوگرم]],14,0)</f>
        <v>118664.13874053041</v>
      </c>
      <c r="Q1023" s="159">
        <f>IF(bargiri[[#This Row],[مبلغ ناخالص]]-(bargiri[[#This Row],[نرخ استهلاک]]*bargiri[[#This Row],[مقدار]])&lt;0,0,bargiri[[#This Row],[مبلغ ناخالص]]-(bargiri[[#This Row],[نرخ استهلاک]]*bargiri[[#This Row],[مقدار]]))</f>
        <v>169651711.35634387</v>
      </c>
    </row>
    <row r="1024" spans="1:17" s="22" customFormat="1" ht="13.8" x14ac:dyDescent="0.25">
      <c r="A1024" s="22">
        <v>511</v>
      </c>
      <c r="B1024" s="22" t="s">
        <v>863</v>
      </c>
      <c r="C1024" s="22" t="s">
        <v>72</v>
      </c>
      <c r="D1024" s="22" t="s">
        <v>73</v>
      </c>
      <c r="E1024" s="158">
        <v>20410</v>
      </c>
      <c r="F1024" s="159">
        <v>57273</v>
      </c>
      <c r="G1024" s="159">
        <v>1168941930</v>
      </c>
      <c r="H1024" s="159">
        <v>116894193</v>
      </c>
      <c r="I1024" s="159">
        <v>1285836123</v>
      </c>
      <c r="J1024" s="159" t="e">
        <f>bargiri[[#This Row],[مقدار]]*INDEX(invoice[پیش دریافت به ازای هر کیلوگرم],MATCH(bargiri[[#This Row],[شماره سند مبنا]],invoice[شماره پیش فاکتور],0))</f>
        <v>#N/A</v>
      </c>
      <c r="K1024" s="159" t="e">
        <f>bargiri[[#This Row],[مبلغ خالص]]-bargiri[[#This Row],[میزان استهلاک پیش دریافتی]]</f>
        <v>#N/A</v>
      </c>
      <c r="L1024" s="160" t="s">
        <v>593</v>
      </c>
      <c r="M1024" s="159"/>
      <c r="N1024" s="159" t="e">
        <f>IF(bargiri[[#This Row],[مبلغ واریزی]]&lt;&gt;"",bargiri[[#This Row],[مانده مبلغ]]-bargiri[[#This Row],[مبلغ واریزی]],bargiri[[#This Row],[مانده مبلغ]])</f>
        <v>#N/A</v>
      </c>
      <c r="O1024" s="159" t="s">
        <v>593</v>
      </c>
      <c r="P1024" s="159" t="e">
        <f>VLOOKUP(bargiri[[#This Row],[شماره سند مبنا]],invoice[[شماره پیش فاکتور]:[پیش دریافت به ازای هر کیلوگرم]],14,0)</f>
        <v>#N/A</v>
      </c>
      <c r="Q1024" s="159" t="e">
        <f>IF(bargiri[[#This Row],[مبلغ ناخالص]]-(bargiri[[#This Row],[نرخ استهلاک]]*bargiri[[#This Row],[مقدار]])&lt;0,0,bargiri[[#This Row],[مبلغ ناخالص]]-(bargiri[[#This Row],[نرخ استهلاک]]*bargiri[[#This Row],[مقدار]]))</f>
        <v>#N/A</v>
      </c>
    </row>
    <row r="1025" spans="1:17" s="22" customFormat="1" ht="13.8" x14ac:dyDescent="0.25">
      <c r="A1025" s="22">
        <v>510</v>
      </c>
      <c r="B1025" s="22" t="s">
        <v>670</v>
      </c>
      <c r="C1025" s="22" t="s">
        <v>659</v>
      </c>
      <c r="D1025" s="22" t="s">
        <v>17</v>
      </c>
      <c r="E1025" s="158">
        <v>18405</v>
      </c>
      <c r="F1025" s="159">
        <v>167500</v>
      </c>
      <c r="G1025" s="159">
        <v>3082837500</v>
      </c>
      <c r="H1025" s="159">
        <v>308283750</v>
      </c>
      <c r="I1025" s="159">
        <v>3391121250</v>
      </c>
      <c r="J1025" s="159">
        <f>bargiri[[#This Row],[مقدار]]*INDEX(invoice[پیش دریافت به ازای هر کیلوگرم],MATCH(bargiri[[#This Row],[شماره سند مبنا]],invoice[شماره پیش فاکتور],0))</f>
        <v>3391121250</v>
      </c>
      <c r="K1025" s="159">
        <f>bargiri[[#This Row],[مبلغ خالص]]-bargiri[[#This Row],[میزان استهلاک پیش دریافتی]]</f>
        <v>0</v>
      </c>
      <c r="L1025" s="160" t="s">
        <v>593</v>
      </c>
      <c r="M1025" s="159"/>
      <c r="N1025" s="159">
        <f>IF(bargiri[[#This Row],[مبلغ واریزی]]&lt;&gt;"",bargiri[[#This Row],[مانده مبلغ]]-bargiri[[#This Row],[مبلغ واریزی]],bargiri[[#This Row],[مانده مبلغ]])</f>
        <v>0</v>
      </c>
      <c r="O1025" s="159" t="s">
        <v>593</v>
      </c>
      <c r="P1025" s="159">
        <f>VLOOKUP(bargiri[[#This Row],[شماره سند مبنا]],invoice[[شماره پیش فاکتور]:[پیش دریافت به ازای هر کیلوگرم]],14,0)</f>
        <v>184250</v>
      </c>
      <c r="Q1025" s="159">
        <f>IF(bargiri[[#This Row],[مبلغ ناخالص]]-(bargiri[[#This Row],[نرخ استهلاک]]*bargiri[[#This Row],[مقدار]])&lt;0,0,bargiri[[#This Row],[مبلغ ناخالص]]-(bargiri[[#This Row],[نرخ استهلاک]]*bargiri[[#This Row],[مقدار]]))</f>
        <v>0</v>
      </c>
    </row>
    <row r="1026" spans="1:17" s="22" customFormat="1" ht="13.8" x14ac:dyDescent="0.25">
      <c r="A1026" s="22">
        <v>509</v>
      </c>
      <c r="B1026" s="22" t="s">
        <v>670</v>
      </c>
      <c r="C1026" s="22" t="s">
        <v>644</v>
      </c>
      <c r="D1026" s="22" t="s">
        <v>67</v>
      </c>
      <c r="E1026" s="158">
        <v>18980</v>
      </c>
      <c r="F1026" s="159">
        <v>95000</v>
      </c>
      <c r="G1026" s="159">
        <v>1803100000</v>
      </c>
      <c r="H1026" s="159">
        <v>180310000</v>
      </c>
      <c r="I1026" s="159">
        <v>1983410000</v>
      </c>
      <c r="J1026" s="159">
        <f>bargiri[[#This Row],[مقدار]]*INDEX(invoice[پیش دریافت به ازای هر کیلوگرم],MATCH(bargiri[[#This Row],[شماره سند مبنا]],invoice[شماره پیش فاکتور],0))</f>
        <v>577101417.42302823</v>
      </c>
      <c r="K1026" s="159">
        <f>bargiri[[#This Row],[مبلغ خالص]]-bargiri[[#This Row],[میزان استهلاک پیش دریافتی]]</f>
        <v>1406308582.5769718</v>
      </c>
      <c r="L1026" s="160" t="s">
        <v>593</v>
      </c>
      <c r="M1026" s="159"/>
      <c r="N1026" s="159">
        <f>IF(bargiri[[#This Row],[مبلغ واریزی]]&lt;&gt;"",bargiri[[#This Row],[مانده مبلغ]]-bargiri[[#This Row],[مبلغ واریزی]],bargiri[[#This Row],[مانده مبلغ]])</f>
        <v>1406308582.5769718</v>
      </c>
      <c r="O1026" s="159" t="s">
        <v>593</v>
      </c>
      <c r="P1026" s="159">
        <f>VLOOKUP(bargiri[[#This Row],[شماره سند مبنا]],invoice[[شماره پیش فاکتور]:[پیش دریافت به ازای هر کیلوگرم]],14,0)</f>
        <v>30405.764880033101</v>
      </c>
      <c r="Q1026" s="159">
        <f>IF(bargiri[[#This Row],[مبلغ ناخالص]]-(bargiri[[#This Row],[نرخ استهلاک]]*bargiri[[#This Row],[مقدار]])&lt;0,0,bargiri[[#This Row],[مبلغ ناخالص]]-(bargiri[[#This Row],[نرخ استهلاک]]*bargiri[[#This Row],[مقدار]]))</f>
        <v>1225998582.5769718</v>
      </c>
    </row>
    <row r="1027" spans="1:17" s="22" customFormat="1" ht="13.8" x14ac:dyDescent="0.25">
      <c r="A1027" s="22">
        <v>508</v>
      </c>
      <c r="B1027" s="22" t="s">
        <v>670</v>
      </c>
      <c r="C1027" s="22" t="s">
        <v>189</v>
      </c>
      <c r="D1027" s="22" t="s">
        <v>173</v>
      </c>
      <c r="E1027" s="158">
        <v>21905</v>
      </c>
      <c r="F1027" s="159">
        <v>75000</v>
      </c>
      <c r="G1027" s="159">
        <v>1642875000</v>
      </c>
      <c r="H1027" s="159">
        <v>164287500</v>
      </c>
      <c r="I1027" s="159">
        <v>1807162500</v>
      </c>
      <c r="J1027" s="159">
        <f>bargiri[[#This Row],[مقدار]]*INDEX(invoice[پیش دریافت به ازای هر کیلوگرم],MATCH(bargiri[[#This Row],[شماره سند مبنا]],invoice[شماره پیش فاکتور],0))</f>
        <v>271074375</v>
      </c>
      <c r="K1027" s="159">
        <f>bargiri[[#This Row],[مبلغ خالص]]-bargiri[[#This Row],[میزان استهلاک پیش دریافتی]]</f>
        <v>1536088125</v>
      </c>
      <c r="L1027" s="160" t="s">
        <v>593</v>
      </c>
      <c r="M1027" s="159"/>
      <c r="N1027" s="159">
        <f>IF(bargiri[[#This Row],[مبلغ واریزی]]&lt;&gt;"",bargiri[[#This Row],[مانده مبلغ]]-bargiri[[#This Row],[مبلغ واریزی]],bargiri[[#This Row],[مانده مبلغ]])</f>
        <v>1536088125</v>
      </c>
      <c r="O1027" s="159" t="s">
        <v>593</v>
      </c>
      <c r="P1027" s="159">
        <f>VLOOKUP(bargiri[[#This Row],[شماره سند مبنا]],invoice[[شماره پیش فاکتور]:[پیش دریافت به ازای هر کیلوگرم]],14,0)</f>
        <v>12375</v>
      </c>
      <c r="Q1027" s="159">
        <f>IF(bargiri[[#This Row],[مبلغ ناخالص]]-(bargiri[[#This Row],[نرخ استهلاک]]*bargiri[[#This Row],[مقدار]])&lt;0,0,bargiri[[#This Row],[مبلغ ناخالص]]-(bargiri[[#This Row],[نرخ استهلاک]]*bargiri[[#This Row],[مقدار]]))</f>
        <v>1371800625</v>
      </c>
    </row>
    <row r="1028" spans="1:17" s="22" customFormat="1" ht="13.8" x14ac:dyDescent="0.25">
      <c r="A1028" s="22">
        <v>507</v>
      </c>
      <c r="B1028" s="22" t="s">
        <v>670</v>
      </c>
      <c r="C1028" s="22" t="s">
        <v>864</v>
      </c>
      <c r="D1028" s="22" t="s">
        <v>17</v>
      </c>
      <c r="E1028" s="158">
        <v>17570</v>
      </c>
      <c r="F1028" s="159">
        <v>151200</v>
      </c>
      <c r="G1028" s="159">
        <v>2656584000</v>
      </c>
      <c r="H1028" s="159">
        <v>265658400</v>
      </c>
      <c r="I1028" s="159">
        <v>2922242400</v>
      </c>
      <c r="J1028" s="159">
        <f>bargiri[[#This Row],[مقدار]]*INDEX(invoice[پیش دریافت به ازای هر کیلوگرم],MATCH(bargiri[[#This Row],[شماره سند مبنا]],invoice[شماره پیش فاکتور],0))</f>
        <v>438336360</v>
      </c>
      <c r="K1028" s="159">
        <f>bargiri[[#This Row],[مبلغ خالص]]-bargiri[[#This Row],[میزان استهلاک پیش دریافتی]]</f>
        <v>2483906040</v>
      </c>
      <c r="L1028" s="160" t="s">
        <v>593</v>
      </c>
      <c r="M1028" s="159"/>
      <c r="N1028" s="159">
        <f>IF(bargiri[[#This Row],[مبلغ واریزی]]&lt;&gt;"",bargiri[[#This Row],[مانده مبلغ]]-bargiri[[#This Row],[مبلغ واریزی]],bargiri[[#This Row],[مانده مبلغ]])</f>
        <v>2483906040</v>
      </c>
      <c r="O1028" s="159" t="s">
        <v>593</v>
      </c>
      <c r="P1028" s="159">
        <f>VLOOKUP(bargiri[[#This Row],[شماره سند مبنا]],invoice[[شماره پیش فاکتور]:[پیش دریافت به ازای هر کیلوگرم]],14,0)</f>
        <v>24948</v>
      </c>
      <c r="Q1028" s="159">
        <f>IF(bargiri[[#This Row],[مبلغ ناخالص]]-(bargiri[[#This Row],[نرخ استهلاک]]*bargiri[[#This Row],[مقدار]])&lt;0,0,bargiri[[#This Row],[مبلغ ناخالص]]-(bargiri[[#This Row],[نرخ استهلاک]]*bargiri[[#This Row],[مقدار]]))</f>
        <v>2218247640</v>
      </c>
    </row>
    <row r="1029" spans="1:17" s="22" customFormat="1" ht="13.8" x14ac:dyDescent="0.25">
      <c r="A1029" s="22">
        <v>507</v>
      </c>
      <c r="B1029" s="22" t="s">
        <v>670</v>
      </c>
      <c r="C1029" s="22" t="s">
        <v>659</v>
      </c>
      <c r="D1029" s="22" t="s">
        <v>17</v>
      </c>
      <c r="E1029" s="158">
        <v>3090</v>
      </c>
      <c r="F1029" s="159">
        <v>167500</v>
      </c>
      <c r="G1029" s="159">
        <v>517575000</v>
      </c>
      <c r="H1029" s="159">
        <v>51757500</v>
      </c>
      <c r="I1029" s="159">
        <v>569332500</v>
      </c>
      <c r="J1029" s="159">
        <f>bargiri[[#This Row],[مقدار]]*INDEX(invoice[پیش دریافت به ازای هر کیلوگرم],MATCH(bargiri[[#This Row],[شماره سند مبنا]],invoice[شماره پیش فاکتور],0))</f>
        <v>569332500</v>
      </c>
      <c r="K1029" s="159">
        <f>bargiri[[#This Row],[مبلغ خالص]]-bargiri[[#This Row],[میزان استهلاک پیش دریافتی]]</f>
        <v>0</v>
      </c>
      <c r="L1029" s="160" t="s">
        <v>593</v>
      </c>
      <c r="M1029" s="159"/>
      <c r="N1029" s="159">
        <f>IF(bargiri[[#This Row],[مبلغ واریزی]]&lt;&gt;"",bargiri[[#This Row],[مانده مبلغ]]-bargiri[[#This Row],[مبلغ واریزی]],bargiri[[#This Row],[مانده مبلغ]])</f>
        <v>0</v>
      </c>
      <c r="O1029" s="159" t="s">
        <v>593</v>
      </c>
      <c r="P1029" s="159">
        <f>VLOOKUP(bargiri[[#This Row],[شماره سند مبنا]],invoice[[شماره پیش فاکتور]:[پیش دریافت به ازای هر کیلوگرم]],14,0)</f>
        <v>184250</v>
      </c>
      <c r="Q1029" s="159">
        <f>IF(bargiri[[#This Row],[مبلغ ناخالص]]-(bargiri[[#This Row],[نرخ استهلاک]]*bargiri[[#This Row],[مقدار]])&lt;0,0,bargiri[[#This Row],[مبلغ ناخالص]]-(bargiri[[#This Row],[نرخ استهلاک]]*bargiri[[#This Row],[مقدار]]))</f>
        <v>0</v>
      </c>
    </row>
    <row r="1030" spans="1:17" s="22" customFormat="1" ht="13.8" x14ac:dyDescent="0.25">
      <c r="A1030" s="22">
        <v>506</v>
      </c>
      <c r="B1030" s="22" t="s">
        <v>670</v>
      </c>
      <c r="C1030" s="22" t="s">
        <v>608</v>
      </c>
      <c r="D1030" s="22" t="s">
        <v>40</v>
      </c>
      <c r="E1030" s="158">
        <v>17985</v>
      </c>
      <c r="F1030" s="159">
        <v>142000</v>
      </c>
      <c r="G1030" s="159">
        <v>2553870000</v>
      </c>
      <c r="H1030" s="159">
        <v>255387000</v>
      </c>
      <c r="I1030" s="159">
        <v>2809257000</v>
      </c>
      <c r="J1030" s="159">
        <f>bargiri[[#This Row],[مقدار]]*INDEX(invoice[پیش دریافت به ازای هر کیلوگرم],MATCH(bargiri[[#This Row],[شماره سند مبنا]],invoice[شماره پیش فاکتور],0))</f>
        <v>421388550</v>
      </c>
      <c r="K1030" s="159">
        <f>bargiri[[#This Row],[مبلغ خالص]]-bargiri[[#This Row],[میزان استهلاک پیش دریافتی]]</f>
        <v>2387868450</v>
      </c>
      <c r="L1030" s="160" t="s">
        <v>593</v>
      </c>
      <c r="M1030" s="159"/>
      <c r="N1030" s="159">
        <f>IF(bargiri[[#This Row],[مبلغ واریزی]]&lt;&gt;"",bargiri[[#This Row],[مانده مبلغ]]-bargiri[[#This Row],[مبلغ واریزی]],bargiri[[#This Row],[مانده مبلغ]])</f>
        <v>2387868450</v>
      </c>
      <c r="O1030" s="159" t="s">
        <v>593</v>
      </c>
      <c r="P1030" s="159">
        <f>VLOOKUP(bargiri[[#This Row],[شماره سند مبنا]],invoice[[شماره پیش فاکتور]:[پیش دریافت به ازای هر کیلوگرم]],14,0)</f>
        <v>23430</v>
      </c>
      <c r="Q1030" s="159">
        <f>IF(bargiri[[#This Row],[مبلغ ناخالص]]-(bargiri[[#This Row],[نرخ استهلاک]]*bargiri[[#This Row],[مقدار]])&lt;0,0,bargiri[[#This Row],[مبلغ ناخالص]]-(bargiri[[#This Row],[نرخ استهلاک]]*bargiri[[#This Row],[مقدار]]))</f>
        <v>2132481450</v>
      </c>
    </row>
    <row r="1031" spans="1:17" s="22" customFormat="1" ht="13.8" x14ac:dyDescent="0.25">
      <c r="A1031" s="22">
        <v>505</v>
      </c>
      <c r="B1031" s="22" t="s">
        <v>865</v>
      </c>
      <c r="C1031" s="22" t="s">
        <v>653</v>
      </c>
      <c r="D1031" s="22" t="s">
        <v>70</v>
      </c>
      <c r="E1031" s="158">
        <v>10030</v>
      </c>
      <c r="F1031" s="159">
        <v>201000</v>
      </c>
      <c r="G1031" s="159">
        <v>2016030000</v>
      </c>
      <c r="H1031" s="159">
        <v>201603000</v>
      </c>
      <c r="I1031" s="159">
        <v>2217633000</v>
      </c>
      <c r="J1031" s="159">
        <f>bargiri[[#This Row],[مقدار]]*INDEX(invoice[پیش دریافت به ازای هر کیلوگرم],MATCH(bargiri[[#This Row],[شماره سند مبنا]],invoice[شماره پیش فاکتور],0))</f>
        <v>2217633000</v>
      </c>
      <c r="K1031" s="159">
        <f>bargiri[[#This Row],[مبلغ خالص]]-bargiri[[#This Row],[میزان استهلاک پیش دریافتی]]</f>
        <v>0</v>
      </c>
      <c r="L1031" s="160" t="s">
        <v>593</v>
      </c>
      <c r="M1031" s="159"/>
      <c r="N1031" s="159">
        <f>IF(bargiri[[#This Row],[مبلغ واریزی]]&lt;&gt;"",bargiri[[#This Row],[مانده مبلغ]]-bargiri[[#This Row],[مبلغ واریزی]],bargiri[[#This Row],[مانده مبلغ]])</f>
        <v>0</v>
      </c>
      <c r="O1031" s="159" t="s">
        <v>593</v>
      </c>
      <c r="P1031" s="159">
        <f>VLOOKUP(bargiri[[#This Row],[شماره سند مبنا]],invoice[[شماره پیش فاکتور]:[پیش دریافت به ازای هر کیلوگرم]],14,0)</f>
        <v>221100</v>
      </c>
      <c r="Q1031" s="159">
        <f>IF(bargiri[[#This Row],[مبلغ ناخالص]]-(bargiri[[#This Row],[نرخ استهلاک]]*bargiri[[#This Row],[مقدار]])&lt;0,0,bargiri[[#This Row],[مبلغ ناخالص]]-(bargiri[[#This Row],[نرخ استهلاک]]*bargiri[[#This Row],[مقدار]]))</f>
        <v>0</v>
      </c>
    </row>
    <row r="1032" spans="1:17" s="22" customFormat="1" ht="13.8" x14ac:dyDescent="0.25">
      <c r="A1032" s="22">
        <v>505</v>
      </c>
      <c r="B1032" s="22" t="s">
        <v>865</v>
      </c>
      <c r="C1032" s="22" t="s">
        <v>605</v>
      </c>
      <c r="D1032" s="22" t="s">
        <v>70</v>
      </c>
      <c r="E1032" s="158">
        <v>9945</v>
      </c>
      <c r="F1032" s="159">
        <v>142000</v>
      </c>
      <c r="G1032" s="159">
        <v>1412190000</v>
      </c>
      <c r="H1032" s="159">
        <v>141219000</v>
      </c>
      <c r="I1032" s="159">
        <v>1553409000</v>
      </c>
      <c r="J1032" s="159">
        <f>bargiri[[#This Row],[مقدار]]*INDEX(invoice[پیش دریافت به ازای هر کیلوگرم],MATCH(bargiri[[#This Row],[شماره سند مبنا]],invoice[شماره پیش فاکتور],0))</f>
        <v>233011350</v>
      </c>
      <c r="K1032" s="159">
        <f>bargiri[[#This Row],[مبلغ خالص]]-bargiri[[#This Row],[میزان استهلاک پیش دریافتی]]</f>
        <v>1320397650</v>
      </c>
      <c r="L1032" s="160" t="s">
        <v>593</v>
      </c>
      <c r="M1032" s="159"/>
      <c r="N1032" s="159">
        <f>IF(bargiri[[#This Row],[مبلغ واریزی]]&lt;&gt;"",bargiri[[#This Row],[مانده مبلغ]]-bargiri[[#This Row],[مبلغ واریزی]],bargiri[[#This Row],[مانده مبلغ]])</f>
        <v>1320397650</v>
      </c>
      <c r="O1032" s="159" t="s">
        <v>593</v>
      </c>
      <c r="P1032" s="159">
        <f>VLOOKUP(bargiri[[#This Row],[شماره سند مبنا]],invoice[[شماره پیش فاکتور]:[پیش دریافت به ازای هر کیلوگرم]],14,0)</f>
        <v>23430</v>
      </c>
      <c r="Q1032" s="159">
        <f>IF(bargiri[[#This Row],[مبلغ ناخالص]]-(bargiri[[#This Row],[نرخ استهلاک]]*bargiri[[#This Row],[مقدار]])&lt;0,0,bargiri[[#This Row],[مبلغ ناخالص]]-(bargiri[[#This Row],[نرخ استهلاک]]*bargiri[[#This Row],[مقدار]]))</f>
        <v>1179178650</v>
      </c>
    </row>
    <row r="1033" spans="1:17" s="22" customFormat="1" ht="13.8" x14ac:dyDescent="0.25">
      <c r="A1033" s="22">
        <v>504</v>
      </c>
      <c r="B1033" s="22" t="s">
        <v>865</v>
      </c>
      <c r="C1033" s="22" t="s">
        <v>608</v>
      </c>
      <c r="D1033" s="22" t="s">
        <v>40</v>
      </c>
      <c r="E1033" s="158">
        <v>18035</v>
      </c>
      <c r="F1033" s="159">
        <v>142000</v>
      </c>
      <c r="G1033" s="159">
        <v>2560970000</v>
      </c>
      <c r="H1033" s="159">
        <v>256097000</v>
      </c>
      <c r="I1033" s="159">
        <v>2817067000</v>
      </c>
      <c r="J1033" s="159">
        <f>bargiri[[#This Row],[مقدار]]*INDEX(invoice[پیش دریافت به ازای هر کیلوگرم],MATCH(bargiri[[#This Row],[شماره سند مبنا]],invoice[شماره پیش فاکتور],0))</f>
        <v>422560050</v>
      </c>
      <c r="K1033" s="159">
        <f>bargiri[[#This Row],[مبلغ خالص]]-bargiri[[#This Row],[میزان استهلاک پیش دریافتی]]</f>
        <v>2394506950</v>
      </c>
      <c r="L1033" s="160" t="s">
        <v>593</v>
      </c>
      <c r="M1033" s="159"/>
      <c r="N1033" s="159">
        <f>IF(bargiri[[#This Row],[مبلغ واریزی]]&lt;&gt;"",bargiri[[#This Row],[مانده مبلغ]]-bargiri[[#This Row],[مبلغ واریزی]],bargiri[[#This Row],[مانده مبلغ]])</f>
        <v>2394506950</v>
      </c>
      <c r="O1033" s="159" t="s">
        <v>593</v>
      </c>
      <c r="P1033" s="159">
        <f>VLOOKUP(bargiri[[#This Row],[شماره سند مبنا]],invoice[[شماره پیش فاکتور]:[پیش دریافت به ازای هر کیلوگرم]],14,0)</f>
        <v>23430</v>
      </c>
      <c r="Q1033" s="159">
        <f>IF(bargiri[[#This Row],[مبلغ ناخالص]]-(bargiri[[#This Row],[نرخ استهلاک]]*bargiri[[#This Row],[مقدار]])&lt;0,0,bargiri[[#This Row],[مبلغ ناخالص]]-(bargiri[[#This Row],[نرخ استهلاک]]*bargiri[[#This Row],[مقدار]]))</f>
        <v>2138409950</v>
      </c>
    </row>
    <row r="1034" spans="1:17" s="22" customFormat="1" ht="13.8" x14ac:dyDescent="0.25">
      <c r="A1034" s="22">
        <v>503</v>
      </c>
      <c r="B1034" s="22" t="s">
        <v>865</v>
      </c>
      <c r="C1034" s="22" t="s">
        <v>463</v>
      </c>
      <c r="D1034" s="22" t="s">
        <v>207</v>
      </c>
      <c r="E1034" s="158">
        <v>19970</v>
      </c>
      <c r="F1034" s="159">
        <v>142000</v>
      </c>
      <c r="G1034" s="159">
        <v>2835740000</v>
      </c>
      <c r="H1034" s="159">
        <v>283574000</v>
      </c>
      <c r="I1034" s="159">
        <v>3119314000</v>
      </c>
      <c r="J1034" s="159">
        <f>bargiri[[#This Row],[مقدار]]*INDEX(invoice[پیش دریافت به ازای هر کیلوگرم],MATCH(bargiri[[#This Row],[شماره سند مبنا]],invoice[شماره پیش فاکتور],0))</f>
        <v>601229255.14511871</v>
      </c>
      <c r="K1034" s="159">
        <f>bargiri[[#This Row],[مبلغ خالص]]-bargiri[[#This Row],[میزان استهلاک پیش دریافتی]]</f>
        <v>2518084744.8548813</v>
      </c>
      <c r="L1034" s="160" t="s">
        <v>593</v>
      </c>
      <c r="M1034" s="159"/>
      <c r="N1034" s="159">
        <f>IF(bargiri[[#This Row],[مبلغ واریزی]]&lt;&gt;"",bargiri[[#This Row],[مانده مبلغ]]-bargiri[[#This Row],[مبلغ واریزی]],bargiri[[#This Row],[مانده مبلغ]])</f>
        <v>2518084744.8548813</v>
      </c>
      <c r="O1034" s="159" t="s">
        <v>593</v>
      </c>
      <c r="P1034" s="159">
        <f>VLOOKUP(bargiri[[#This Row],[شماره سند مبنا]],invoice[[شماره پیش فاکتور]:[پیش دریافت به ازای هر کیلوگرم]],14,0)</f>
        <v>30106.622691292876</v>
      </c>
      <c r="Q1034" s="159">
        <f>IF(bargiri[[#This Row],[مبلغ ناخالص]]-(bargiri[[#This Row],[نرخ استهلاک]]*bargiri[[#This Row],[مقدار]])&lt;0,0,bargiri[[#This Row],[مبلغ ناخالص]]-(bargiri[[#This Row],[نرخ استهلاک]]*bargiri[[#This Row],[مقدار]]))</f>
        <v>2234510744.8548813</v>
      </c>
    </row>
    <row r="1035" spans="1:17" s="22" customFormat="1" ht="13.8" x14ac:dyDescent="0.25">
      <c r="A1035" s="22">
        <v>502</v>
      </c>
      <c r="B1035" s="22" t="s">
        <v>667</v>
      </c>
      <c r="C1035" s="22" t="s">
        <v>644</v>
      </c>
      <c r="D1035" s="22" t="s">
        <v>67</v>
      </c>
      <c r="E1035" s="158">
        <v>19020</v>
      </c>
      <c r="F1035" s="159">
        <v>95000</v>
      </c>
      <c r="G1035" s="159">
        <v>1806900000</v>
      </c>
      <c r="H1035" s="159">
        <v>180690000</v>
      </c>
      <c r="I1035" s="159">
        <v>1987590000</v>
      </c>
      <c r="J1035" s="159">
        <f>bargiri[[#This Row],[مقدار]]*INDEX(invoice[پیش دریافت به ازای هر کیلوگرم],MATCH(bargiri[[#This Row],[شماره سند مبنا]],invoice[شماره پیش فاکتور],0))</f>
        <v>578317648.0182296</v>
      </c>
      <c r="K1035" s="159">
        <f>bargiri[[#This Row],[مبلغ خالص]]-bargiri[[#This Row],[میزان استهلاک پیش دریافتی]]</f>
        <v>1409272351.9817705</v>
      </c>
      <c r="L1035" s="160" t="s">
        <v>593</v>
      </c>
      <c r="M1035" s="159"/>
      <c r="N1035" s="159">
        <f>IF(bargiri[[#This Row],[مبلغ واریزی]]&lt;&gt;"",bargiri[[#This Row],[مانده مبلغ]]-bargiri[[#This Row],[مبلغ واریزی]],bargiri[[#This Row],[مانده مبلغ]])</f>
        <v>1409272351.9817705</v>
      </c>
      <c r="O1035" s="159" t="s">
        <v>593</v>
      </c>
      <c r="P1035" s="159">
        <f>VLOOKUP(bargiri[[#This Row],[شماره سند مبنا]],invoice[[شماره پیش فاکتور]:[پیش دریافت به ازای هر کیلوگرم]],14,0)</f>
        <v>30405.764880033101</v>
      </c>
      <c r="Q1035" s="159">
        <f>IF(bargiri[[#This Row],[مبلغ ناخالص]]-(bargiri[[#This Row],[نرخ استهلاک]]*bargiri[[#This Row],[مقدار]])&lt;0,0,bargiri[[#This Row],[مبلغ ناخالص]]-(bargiri[[#This Row],[نرخ استهلاک]]*bargiri[[#This Row],[مقدار]]))</f>
        <v>1228582351.9817705</v>
      </c>
    </row>
    <row r="1036" spans="1:17" s="22" customFormat="1" ht="13.8" x14ac:dyDescent="0.25">
      <c r="A1036" s="22">
        <v>501</v>
      </c>
      <c r="B1036" s="22" t="s">
        <v>667</v>
      </c>
      <c r="C1036" s="22" t="s">
        <v>72</v>
      </c>
      <c r="D1036" s="22" t="s">
        <v>73</v>
      </c>
      <c r="E1036" s="158">
        <v>21025</v>
      </c>
      <c r="F1036" s="159">
        <v>57273</v>
      </c>
      <c r="G1036" s="159">
        <v>1204164825</v>
      </c>
      <c r="H1036" s="159">
        <v>120416483</v>
      </c>
      <c r="I1036" s="159">
        <v>1324581308</v>
      </c>
      <c r="J1036" s="159" t="e">
        <f>bargiri[[#This Row],[مقدار]]*INDEX(invoice[پیش دریافت به ازای هر کیلوگرم],MATCH(bargiri[[#This Row],[شماره سند مبنا]],invoice[شماره پیش فاکتور],0))</f>
        <v>#N/A</v>
      </c>
      <c r="K1036" s="159" t="e">
        <f>bargiri[[#This Row],[مبلغ خالص]]-bargiri[[#This Row],[میزان استهلاک پیش دریافتی]]</f>
        <v>#N/A</v>
      </c>
      <c r="L1036" s="160" t="s">
        <v>593</v>
      </c>
      <c r="M1036" s="159"/>
      <c r="N1036" s="159" t="e">
        <f>IF(bargiri[[#This Row],[مبلغ واریزی]]&lt;&gt;"",bargiri[[#This Row],[مانده مبلغ]]-bargiri[[#This Row],[مبلغ واریزی]],bargiri[[#This Row],[مانده مبلغ]])</f>
        <v>#N/A</v>
      </c>
      <c r="O1036" s="159" t="s">
        <v>593</v>
      </c>
      <c r="P1036" s="159" t="e">
        <f>VLOOKUP(bargiri[[#This Row],[شماره سند مبنا]],invoice[[شماره پیش فاکتور]:[پیش دریافت به ازای هر کیلوگرم]],14,0)</f>
        <v>#N/A</v>
      </c>
      <c r="Q1036" s="159" t="e">
        <f>IF(bargiri[[#This Row],[مبلغ ناخالص]]-(bargiri[[#This Row],[نرخ استهلاک]]*bargiri[[#This Row],[مقدار]])&lt;0,0,bargiri[[#This Row],[مبلغ ناخالص]]-(bargiri[[#This Row],[نرخ استهلاک]]*bargiri[[#This Row],[مقدار]]))</f>
        <v>#N/A</v>
      </c>
    </row>
    <row r="1037" spans="1:17" s="22" customFormat="1" ht="13.8" x14ac:dyDescent="0.25">
      <c r="A1037" s="22">
        <v>500</v>
      </c>
      <c r="B1037" s="22" t="s">
        <v>667</v>
      </c>
      <c r="C1037" s="22" t="s">
        <v>72</v>
      </c>
      <c r="D1037" s="22" t="s">
        <v>73</v>
      </c>
      <c r="E1037" s="158">
        <v>21035</v>
      </c>
      <c r="F1037" s="159">
        <v>57273</v>
      </c>
      <c r="G1037" s="159">
        <v>1204737555</v>
      </c>
      <c r="H1037" s="159">
        <v>120473756</v>
      </c>
      <c r="I1037" s="159">
        <v>1325211311</v>
      </c>
      <c r="J1037" s="159" t="e">
        <f>bargiri[[#This Row],[مقدار]]*INDEX(invoice[پیش دریافت به ازای هر کیلوگرم],MATCH(bargiri[[#This Row],[شماره سند مبنا]],invoice[شماره پیش فاکتور],0))</f>
        <v>#N/A</v>
      </c>
      <c r="K1037" s="159" t="e">
        <f>bargiri[[#This Row],[مبلغ خالص]]-bargiri[[#This Row],[میزان استهلاک پیش دریافتی]]</f>
        <v>#N/A</v>
      </c>
      <c r="L1037" s="160" t="s">
        <v>593</v>
      </c>
      <c r="M1037" s="159"/>
      <c r="N1037" s="159" t="e">
        <f>IF(bargiri[[#This Row],[مبلغ واریزی]]&lt;&gt;"",bargiri[[#This Row],[مانده مبلغ]]-bargiri[[#This Row],[مبلغ واریزی]],bargiri[[#This Row],[مانده مبلغ]])</f>
        <v>#N/A</v>
      </c>
      <c r="O1037" s="159" t="s">
        <v>593</v>
      </c>
      <c r="P1037" s="159" t="e">
        <f>VLOOKUP(bargiri[[#This Row],[شماره سند مبنا]],invoice[[شماره پیش فاکتور]:[پیش دریافت به ازای هر کیلوگرم]],14,0)</f>
        <v>#N/A</v>
      </c>
      <c r="Q1037" s="159" t="e">
        <f>IF(bargiri[[#This Row],[مبلغ ناخالص]]-(bargiri[[#This Row],[نرخ استهلاک]]*bargiri[[#This Row],[مقدار]])&lt;0,0,bargiri[[#This Row],[مبلغ ناخالص]]-(bargiri[[#This Row],[نرخ استهلاک]]*bargiri[[#This Row],[مقدار]]))</f>
        <v>#N/A</v>
      </c>
    </row>
    <row r="1038" spans="1:17" s="22" customFormat="1" ht="13.8" x14ac:dyDescent="0.25">
      <c r="A1038" s="22">
        <v>499</v>
      </c>
      <c r="B1038" s="22" t="s">
        <v>667</v>
      </c>
      <c r="C1038" s="22" t="s">
        <v>72</v>
      </c>
      <c r="D1038" s="22" t="s">
        <v>73</v>
      </c>
      <c r="E1038" s="158">
        <v>20950</v>
      </c>
      <c r="F1038" s="159">
        <v>57273</v>
      </c>
      <c r="G1038" s="159">
        <v>1199869350</v>
      </c>
      <c r="H1038" s="159">
        <v>119986935</v>
      </c>
      <c r="I1038" s="159">
        <v>1319856285</v>
      </c>
      <c r="J1038" s="159" t="e">
        <f>bargiri[[#This Row],[مقدار]]*INDEX(invoice[پیش دریافت به ازای هر کیلوگرم],MATCH(bargiri[[#This Row],[شماره سند مبنا]],invoice[شماره پیش فاکتور],0))</f>
        <v>#N/A</v>
      </c>
      <c r="K1038" s="159" t="e">
        <f>bargiri[[#This Row],[مبلغ خالص]]-bargiri[[#This Row],[میزان استهلاک پیش دریافتی]]</f>
        <v>#N/A</v>
      </c>
      <c r="L1038" s="160" t="s">
        <v>593</v>
      </c>
      <c r="M1038" s="159"/>
      <c r="N1038" s="159" t="e">
        <f>IF(bargiri[[#This Row],[مبلغ واریزی]]&lt;&gt;"",bargiri[[#This Row],[مانده مبلغ]]-bargiri[[#This Row],[مبلغ واریزی]],bargiri[[#This Row],[مانده مبلغ]])</f>
        <v>#N/A</v>
      </c>
      <c r="O1038" s="159" t="s">
        <v>593</v>
      </c>
      <c r="P1038" s="159" t="e">
        <f>VLOOKUP(bargiri[[#This Row],[شماره سند مبنا]],invoice[[شماره پیش فاکتور]:[پیش دریافت به ازای هر کیلوگرم]],14,0)</f>
        <v>#N/A</v>
      </c>
      <c r="Q1038" s="159" t="e">
        <f>IF(bargiri[[#This Row],[مبلغ ناخالص]]-(bargiri[[#This Row],[نرخ استهلاک]]*bargiri[[#This Row],[مقدار]])&lt;0,0,bargiri[[#This Row],[مبلغ ناخالص]]-(bargiri[[#This Row],[نرخ استهلاک]]*bargiri[[#This Row],[مقدار]]))</f>
        <v>#N/A</v>
      </c>
    </row>
    <row r="1039" spans="1:17" s="22" customFormat="1" ht="13.8" x14ac:dyDescent="0.25">
      <c r="A1039" s="22">
        <v>498</v>
      </c>
      <c r="B1039" s="22" t="s">
        <v>667</v>
      </c>
      <c r="C1039" s="22" t="s">
        <v>72</v>
      </c>
      <c r="D1039" s="22" t="s">
        <v>73</v>
      </c>
      <c r="E1039" s="158">
        <v>20600</v>
      </c>
      <c r="F1039" s="159">
        <v>57273</v>
      </c>
      <c r="G1039" s="159">
        <v>1179823800</v>
      </c>
      <c r="H1039" s="159">
        <v>117982380</v>
      </c>
      <c r="I1039" s="159">
        <v>1297806180</v>
      </c>
      <c r="J1039" s="159" t="e">
        <f>bargiri[[#This Row],[مقدار]]*INDEX(invoice[پیش دریافت به ازای هر کیلوگرم],MATCH(bargiri[[#This Row],[شماره سند مبنا]],invoice[شماره پیش فاکتور],0))</f>
        <v>#N/A</v>
      </c>
      <c r="K1039" s="159" t="e">
        <f>bargiri[[#This Row],[مبلغ خالص]]-bargiri[[#This Row],[میزان استهلاک پیش دریافتی]]</f>
        <v>#N/A</v>
      </c>
      <c r="L1039" s="160" t="s">
        <v>593</v>
      </c>
      <c r="M1039" s="159"/>
      <c r="N1039" s="159" t="e">
        <f>IF(bargiri[[#This Row],[مبلغ واریزی]]&lt;&gt;"",bargiri[[#This Row],[مانده مبلغ]]-bargiri[[#This Row],[مبلغ واریزی]],bargiri[[#This Row],[مانده مبلغ]])</f>
        <v>#N/A</v>
      </c>
      <c r="O1039" s="159" t="s">
        <v>593</v>
      </c>
      <c r="P1039" s="159" t="e">
        <f>VLOOKUP(bargiri[[#This Row],[شماره سند مبنا]],invoice[[شماره پیش فاکتور]:[پیش دریافت به ازای هر کیلوگرم]],14,0)</f>
        <v>#N/A</v>
      </c>
      <c r="Q1039" s="159" t="e">
        <f>IF(bargiri[[#This Row],[مبلغ ناخالص]]-(bargiri[[#This Row],[نرخ استهلاک]]*bargiri[[#This Row],[مقدار]])&lt;0,0,bargiri[[#This Row],[مبلغ ناخالص]]-(bargiri[[#This Row],[نرخ استهلاک]]*bargiri[[#This Row],[مقدار]]))</f>
        <v>#N/A</v>
      </c>
    </row>
    <row r="1040" spans="1:17" s="22" customFormat="1" ht="13.8" x14ac:dyDescent="0.25">
      <c r="A1040" s="22">
        <v>497</v>
      </c>
      <c r="B1040" s="22" t="s">
        <v>667</v>
      </c>
      <c r="C1040" s="22" t="s">
        <v>607</v>
      </c>
      <c r="D1040" s="22" t="s">
        <v>180</v>
      </c>
      <c r="E1040" s="158">
        <v>7870</v>
      </c>
      <c r="F1040" s="159">
        <v>142000</v>
      </c>
      <c r="G1040" s="159">
        <v>1117540000</v>
      </c>
      <c r="H1040" s="159">
        <v>111754000</v>
      </c>
      <c r="I1040" s="159">
        <v>1229294000</v>
      </c>
      <c r="J1040" s="159">
        <f>bargiri[[#This Row],[مقدار]]*INDEX(invoice[پیش دریافت به ازای هر کیلوگرم],MATCH(bargiri[[#This Row],[شماره سند مبنا]],invoice[شماره پیش فاکتور],0))</f>
        <v>587471025.5230273</v>
      </c>
      <c r="K1040" s="159">
        <f>bargiri[[#This Row],[مبلغ خالص]]-bargiri[[#This Row],[میزان استهلاک پیش دریافتی]]</f>
        <v>641822974.4769727</v>
      </c>
      <c r="L1040" s="160" t="s">
        <v>593</v>
      </c>
      <c r="M1040" s="159"/>
      <c r="N1040" s="159">
        <f>IF(bargiri[[#This Row],[مبلغ واریزی]]&lt;&gt;"",bargiri[[#This Row],[مانده مبلغ]]-bargiri[[#This Row],[مبلغ واریزی]],bargiri[[#This Row],[مانده مبلغ]])</f>
        <v>641822974.4769727</v>
      </c>
      <c r="O1040" s="159" t="s">
        <v>593</v>
      </c>
      <c r="P1040" s="159">
        <f>VLOOKUP(bargiri[[#This Row],[شماره سند مبنا]],invoice[[شماره پیش فاکتور]:[پیش دریافت به ازای هر کیلوگرم]],14,0)</f>
        <v>74646.890155403729</v>
      </c>
      <c r="Q1040" s="159">
        <f>IF(bargiri[[#This Row],[مبلغ ناخالص]]-(bargiri[[#This Row],[نرخ استهلاک]]*bargiri[[#This Row],[مقدار]])&lt;0,0,bargiri[[#This Row],[مبلغ ناخالص]]-(bargiri[[#This Row],[نرخ استهلاک]]*bargiri[[#This Row],[مقدار]]))</f>
        <v>530068974.4769727</v>
      </c>
    </row>
    <row r="1041" spans="1:17" s="22" customFormat="1" ht="13.8" x14ac:dyDescent="0.25">
      <c r="A1041" s="22">
        <v>496</v>
      </c>
      <c r="B1041" s="22" t="s">
        <v>866</v>
      </c>
      <c r="C1041" s="22" t="s">
        <v>609</v>
      </c>
      <c r="D1041" s="22" t="s">
        <v>67</v>
      </c>
      <c r="E1041" s="158">
        <v>14800</v>
      </c>
      <c r="F1041" s="159">
        <v>126000</v>
      </c>
      <c r="G1041" s="159">
        <v>1864800000</v>
      </c>
      <c r="H1041" s="159">
        <v>186480000</v>
      </c>
      <c r="I1041" s="159">
        <v>2051280000</v>
      </c>
      <c r="J1041" s="159">
        <f>bargiri[[#This Row],[مقدار]]*INDEX(invoice[پیش دریافت به ازای هر کیلوگرم],MATCH(bargiri[[#This Row],[شماره سند مبنا]],invoice[شماره پیش فاکتور],0))</f>
        <v>307692000</v>
      </c>
      <c r="K1041" s="159">
        <f>bargiri[[#This Row],[مبلغ خالص]]-bargiri[[#This Row],[میزان استهلاک پیش دریافتی]]</f>
        <v>1743588000</v>
      </c>
      <c r="L1041" s="160" t="s">
        <v>593</v>
      </c>
      <c r="M1041" s="159"/>
      <c r="N1041" s="159">
        <f>IF(bargiri[[#This Row],[مبلغ واریزی]]&lt;&gt;"",bargiri[[#This Row],[مانده مبلغ]]-bargiri[[#This Row],[مبلغ واریزی]],bargiri[[#This Row],[مانده مبلغ]])</f>
        <v>1743588000</v>
      </c>
      <c r="O1041" s="159" t="s">
        <v>593</v>
      </c>
      <c r="P1041" s="159">
        <f>VLOOKUP(bargiri[[#This Row],[شماره سند مبنا]],invoice[[شماره پیش فاکتور]:[پیش دریافت به ازای هر کیلوگرم]],14,0)</f>
        <v>20790</v>
      </c>
      <c r="Q1041" s="159">
        <f>IF(bargiri[[#This Row],[مبلغ ناخالص]]-(bargiri[[#This Row],[نرخ استهلاک]]*bargiri[[#This Row],[مقدار]])&lt;0,0,bargiri[[#This Row],[مبلغ ناخالص]]-(bargiri[[#This Row],[نرخ استهلاک]]*bargiri[[#This Row],[مقدار]]))</f>
        <v>1557108000</v>
      </c>
    </row>
    <row r="1042" spans="1:17" s="22" customFormat="1" ht="13.8" x14ac:dyDescent="0.25">
      <c r="A1042" s="22">
        <v>496</v>
      </c>
      <c r="B1042" s="22" t="s">
        <v>866</v>
      </c>
      <c r="C1042" s="22" t="s">
        <v>644</v>
      </c>
      <c r="D1042" s="22" t="s">
        <v>67</v>
      </c>
      <c r="E1042" s="158">
        <v>4910</v>
      </c>
      <c r="F1042" s="159">
        <v>95000</v>
      </c>
      <c r="G1042" s="159">
        <v>466450000</v>
      </c>
      <c r="H1042" s="159">
        <v>46645000</v>
      </c>
      <c r="I1042" s="159">
        <v>513095000</v>
      </c>
      <c r="J1042" s="159">
        <f>bargiri[[#This Row],[مقدار]]*INDEX(invoice[پیش دریافت به ازای هر کیلوگرم],MATCH(bargiri[[#This Row],[شماره سند مبنا]],invoice[شماره پیش فاکتور],0))</f>
        <v>149292305.56096253</v>
      </c>
      <c r="K1042" s="159">
        <f>bargiri[[#This Row],[مبلغ خالص]]-bargiri[[#This Row],[میزان استهلاک پیش دریافتی]]</f>
        <v>363802694.43903744</v>
      </c>
      <c r="L1042" s="160" t="s">
        <v>593</v>
      </c>
      <c r="M1042" s="159"/>
      <c r="N1042" s="159">
        <f>IF(bargiri[[#This Row],[مبلغ واریزی]]&lt;&gt;"",bargiri[[#This Row],[مانده مبلغ]]-bargiri[[#This Row],[مبلغ واریزی]],bargiri[[#This Row],[مانده مبلغ]])</f>
        <v>363802694.43903744</v>
      </c>
      <c r="O1042" s="159" t="s">
        <v>593</v>
      </c>
      <c r="P1042" s="159">
        <f>VLOOKUP(bargiri[[#This Row],[شماره سند مبنا]],invoice[[شماره پیش فاکتور]:[پیش دریافت به ازای هر کیلوگرم]],14,0)</f>
        <v>30405.764880033101</v>
      </c>
      <c r="Q1042" s="159">
        <f>IF(bargiri[[#This Row],[مبلغ ناخالص]]-(bargiri[[#This Row],[نرخ استهلاک]]*bargiri[[#This Row],[مقدار]])&lt;0,0,bargiri[[#This Row],[مبلغ ناخالص]]-(bargiri[[#This Row],[نرخ استهلاک]]*bargiri[[#This Row],[مقدار]]))</f>
        <v>317157694.43903744</v>
      </c>
    </row>
    <row r="1043" spans="1:17" s="22" customFormat="1" ht="13.8" x14ac:dyDescent="0.25">
      <c r="A1043" s="22">
        <v>495</v>
      </c>
      <c r="B1043" s="22" t="s">
        <v>867</v>
      </c>
      <c r="C1043" s="22" t="s">
        <v>119</v>
      </c>
      <c r="D1043" s="22" t="s">
        <v>25</v>
      </c>
      <c r="E1043" s="158">
        <v>21970</v>
      </c>
      <c r="F1043" s="159">
        <v>75000</v>
      </c>
      <c r="G1043" s="159">
        <v>1647750000</v>
      </c>
      <c r="H1043" s="159">
        <v>164775000</v>
      </c>
      <c r="I1043" s="159">
        <v>1812525000</v>
      </c>
      <c r="J1043" s="159">
        <f>bargiri[[#This Row],[مقدار]]*INDEX(invoice[پیش دریافت به ازای هر کیلوگرم],MATCH(bargiri[[#This Row],[شماره سند مبنا]],invoice[شماره پیش فاکتور],0))</f>
        <v>271878750</v>
      </c>
      <c r="K1043" s="159">
        <f>bargiri[[#This Row],[مبلغ خالص]]-bargiri[[#This Row],[میزان استهلاک پیش دریافتی]]</f>
        <v>1540646250</v>
      </c>
      <c r="L1043" s="160" t="s">
        <v>593</v>
      </c>
      <c r="M1043" s="159"/>
      <c r="N1043" s="159">
        <f>IF(bargiri[[#This Row],[مبلغ واریزی]]&lt;&gt;"",bargiri[[#This Row],[مانده مبلغ]]-bargiri[[#This Row],[مبلغ واریزی]],bargiri[[#This Row],[مانده مبلغ]])</f>
        <v>1540646250</v>
      </c>
      <c r="O1043" s="159" t="s">
        <v>593</v>
      </c>
      <c r="P1043" s="159">
        <f>VLOOKUP(bargiri[[#This Row],[شماره سند مبنا]],invoice[[شماره پیش فاکتور]:[پیش دریافت به ازای هر کیلوگرم]],14,0)</f>
        <v>12375</v>
      </c>
      <c r="Q1043" s="159">
        <f>IF(bargiri[[#This Row],[مبلغ ناخالص]]-(bargiri[[#This Row],[نرخ استهلاک]]*bargiri[[#This Row],[مقدار]])&lt;0,0,bargiri[[#This Row],[مبلغ ناخالص]]-(bargiri[[#This Row],[نرخ استهلاک]]*bargiri[[#This Row],[مقدار]]))</f>
        <v>1375871250</v>
      </c>
    </row>
    <row r="1044" spans="1:17" s="22" customFormat="1" ht="13.8" x14ac:dyDescent="0.25">
      <c r="A1044" s="22">
        <v>494</v>
      </c>
      <c r="B1044" s="22" t="s">
        <v>867</v>
      </c>
      <c r="C1044" s="22" t="s">
        <v>107</v>
      </c>
      <c r="D1044" s="22" t="s">
        <v>30</v>
      </c>
      <c r="E1044" s="158">
        <v>11435</v>
      </c>
      <c r="F1044" s="159">
        <v>70000</v>
      </c>
      <c r="G1044" s="159">
        <v>800450000</v>
      </c>
      <c r="H1044" s="159">
        <v>80045000</v>
      </c>
      <c r="I1044" s="159">
        <v>880495000</v>
      </c>
      <c r="J1044" s="159">
        <f>bargiri[[#This Row],[مقدار]]*INDEX(invoice[پیش دریافت به ازای هر کیلوگرم],MATCH(bargiri[[#This Row],[شماره سند مبنا]],invoice[شماره پیش فاکتور],0))</f>
        <v>440247500</v>
      </c>
      <c r="K1044" s="159">
        <f>bargiri[[#This Row],[مبلغ خالص]]-bargiri[[#This Row],[میزان استهلاک پیش دریافتی]]</f>
        <v>440247500</v>
      </c>
      <c r="L1044" s="160" t="s">
        <v>593</v>
      </c>
      <c r="M1044" s="159"/>
      <c r="N1044" s="159">
        <f>IF(bargiri[[#This Row],[مبلغ واریزی]]&lt;&gt;"",bargiri[[#This Row],[مانده مبلغ]]-bargiri[[#This Row],[مبلغ واریزی]],bargiri[[#This Row],[مانده مبلغ]])</f>
        <v>440247500</v>
      </c>
      <c r="O1044" s="159" t="s">
        <v>593</v>
      </c>
      <c r="P1044" s="159">
        <f>VLOOKUP(bargiri[[#This Row],[شماره سند مبنا]],invoice[[شماره پیش فاکتور]:[پیش دریافت به ازای هر کیلوگرم]],14,0)</f>
        <v>38500</v>
      </c>
      <c r="Q1044" s="159">
        <f>IF(bargiri[[#This Row],[مبلغ ناخالص]]-(bargiri[[#This Row],[نرخ استهلاک]]*bargiri[[#This Row],[مقدار]])&lt;0,0,bargiri[[#This Row],[مبلغ ناخالص]]-(bargiri[[#This Row],[نرخ استهلاک]]*bargiri[[#This Row],[مقدار]]))</f>
        <v>360202500</v>
      </c>
    </row>
    <row r="1045" spans="1:17" s="22" customFormat="1" ht="13.8" x14ac:dyDescent="0.25">
      <c r="A1045" s="22">
        <v>493</v>
      </c>
      <c r="B1045" s="22" t="s">
        <v>867</v>
      </c>
      <c r="C1045" s="22" t="s">
        <v>456</v>
      </c>
      <c r="D1045" s="22" t="s">
        <v>213</v>
      </c>
      <c r="E1045" s="158">
        <v>7390</v>
      </c>
      <c r="F1045" s="159">
        <v>142000</v>
      </c>
      <c r="G1045" s="159">
        <v>1049380000</v>
      </c>
      <c r="H1045" s="159">
        <v>104938000</v>
      </c>
      <c r="I1045" s="159">
        <v>1154318000</v>
      </c>
      <c r="J1045" s="159">
        <f>bargiri[[#This Row],[مقدار]]*INDEX(invoice[پیش دریافت به ازای هر کیلوگرم],MATCH(bargiri[[#This Row],[شماره سند مبنا]],invoice[شماره پیش فاکتور],0))</f>
        <v>876927985.29251969</v>
      </c>
      <c r="K1045" s="159">
        <f>bargiri[[#This Row],[مبلغ خالص]]-bargiri[[#This Row],[میزان استهلاک پیش دریافتی]]</f>
        <v>277390014.70748031</v>
      </c>
      <c r="L1045" s="160" t="s">
        <v>593</v>
      </c>
      <c r="M1045" s="159"/>
      <c r="N1045" s="159">
        <f>IF(bargiri[[#This Row],[مبلغ واریزی]]&lt;&gt;"",bargiri[[#This Row],[مانده مبلغ]]-bargiri[[#This Row],[مبلغ واریزی]],bargiri[[#This Row],[مانده مبلغ]])</f>
        <v>277390014.70748031</v>
      </c>
      <c r="O1045" s="159" t="s">
        <v>593</v>
      </c>
      <c r="P1045" s="159">
        <f>VLOOKUP(bargiri[[#This Row],[شماره سند مبنا]],invoice[[شماره پیش فاکتور]:[پیش دریافت به ازای هر کیلوگرم]],14,0)</f>
        <v>118664.13874053041</v>
      </c>
      <c r="Q1045" s="159">
        <f>IF(bargiri[[#This Row],[مبلغ ناخالص]]-(bargiri[[#This Row],[نرخ استهلاک]]*bargiri[[#This Row],[مقدار]])&lt;0,0,bargiri[[#This Row],[مبلغ ناخالص]]-(bargiri[[#This Row],[نرخ استهلاک]]*bargiri[[#This Row],[مقدار]]))</f>
        <v>172452014.70748031</v>
      </c>
    </row>
    <row r="1046" spans="1:17" s="22" customFormat="1" ht="13.8" x14ac:dyDescent="0.25">
      <c r="A1046" s="22">
        <v>492</v>
      </c>
      <c r="B1046" s="22" t="s">
        <v>867</v>
      </c>
      <c r="C1046" s="22" t="s">
        <v>456</v>
      </c>
      <c r="D1046" s="22" t="s">
        <v>213</v>
      </c>
      <c r="E1046" s="158">
        <v>7320</v>
      </c>
      <c r="F1046" s="159">
        <v>142000</v>
      </c>
      <c r="G1046" s="159">
        <v>1039440000</v>
      </c>
      <c r="H1046" s="159">
        <v>103944000</v>
      </c>
      <c r="I1046" s="159">
        <v>1143384000</v>
      </c>
      <c r="J1046" s="159">
        <f>bargiri[[#This Row],[مقدار]]*INDEX(invoice[پیش دریافت به ازای هر کیلوگرم],MATCH(bargiri[[#This Row],[شماره سند مبنا]],invoice[شماره پیش فاکتور],0))</f>
        <v>868621495.58068264</v>
      </c>
      <c r="K1046" s="159">
        <f>bargiri[[#This Row],[مبلغ خالص]]-bargiri[[#This Row],[میزان استهلاک پیش دریافتی]]</f>
        <v>274762504.41931736</v>
      </c>
      <c r="L1046" s="160" t="s">
        <v>593</v>
      </c>
      <c r="M1046" s="159"/>
      <c r="N1046" s="159">
        <f>IF(bargiri[[#This Row],[مبلغ واریزی]]&lt;&gt;"",bargiri[[#This Row],[مانده مبلغ]]-bargiri[[#This Row],[مبلغ واریزی]],bargiri[[#This Row],[مانده مبلغ]])</f>
        <v>274762504.41931736</v>
      </c>
      <c r="O1046" s="159" t="s">
        <v>593</v>
      </c>
      <c r="P1046" s="159">
        <f>VLOOKUP(bargiri[[#This Row],[شماره سند مبنا]],invoice[[شماره پیش فاکتور]:[پیش دریافت به ازای هر کیلوگرم]],14,0)</f>
        <v>118664.13874053041</v>
      </c>
      <c r="Q1046" s="159">
        <f>IF(bargiri[[#This Row],[مبلغ ناخالص]]-(bargiri[[#This Row],[نرخ استهلاک]]*bargiri[[#This Row],[مقدار]])&lt;0,0,bargiri[[#This Row],[مبلغ ناخالص]]-(bargiri[[#This Row],[نرخ استهلاک]]*bargiri[[#This Row],[مقدار]]))</f>
        <v>170818504.41931736</v>
      </c>
    </row>
    <row r="1047" spans="1:17" s="22" customFormat="1" ht="13.8" x14ac:dyDescent="0.25">
      <c r="A1047" s="22">
        <v>491</v>
      </c>
      <c r="B1047" s="22" t="s">
        <v>867</v>
      </c>
      <c r="C1047" s="22" t="s">
        <v>461</v>
      </c>
      <c r="D1047" s="22" t="s">
        <v>35</v>
      </c>
      <c r="E1047" s="158">
        <v>7265</v>
      </c>
      <c r="F1047" s="159">
        <v>142000</v>
      </c>
      <c r="G1047" s="159">
        <v>1031630000</v>
      </c>
      <c r="H1047" s="159">
        <v>103163000</v>
      </c>
      <c r="I1047" s="159">
        <v>1134793000</v>
      </c>
      <c r="J1047" s="159">
        <f>bargiri[[#This Row],[مقدار]]*INDEX(invoice[پیش دریافت به ازای هر کیلوگرم],MATCH(bargiri[[#This Row],[شماره سند مبنا]],invoice[شماره پیش فاکتور],0))</f>
        <v>238424597.86086071</v>
      </c>
      <c r="K1047" s="159">
        <f>bargiri[[#This Row],[مبلغ خالص]]-bargiri[[#This Row],[میزان استهلاک پیش دریافتی]]</f>
        <v>896368402.13913929</v>
      </c>
      <c r="L1047" s="160" t="s">
        <v>593</v>
      </c>
      <c r="M1047" s="159"/>
      <c r="N1047" s="159">
        <f>IF(bargiri[[#This Row],[مبلغ واریزی]]&lt;&gt;"",bargiri[[#This Row],[مانده مبلغ]]-bargiri[[#This Row],[مبلغ واریزی]],bargiri[[#This Row],[مانده مبلغ]])</f>
        <v>896368402.13913929</v>
      </c>
      <c r="O1047" s="159" t="s">
        <v>593</v>
      </c>
      <c r="P1047" s="159">
        <f>VLOOKUP(bargiri[[#This Row],[شماره سند مبنا]],invoice[[شماره پیش فاکتور]:[پیش دریافت به ازای هر کیلوگرم]],14,0)</f>
        <v>32818.251598191426</v>
      </c>
      <c r="Q1047" s="159">
        <f>IF(bargiri[[#This Row],[مبلغ ناخالص]]-(bargiri[[#This Row],[نرخ استهلاک]]*bargiri[[#This Row],[مقدار]])&lt;0,0,bargiri[[#This Row],[مبلغ ناخالص]]-(bargiri[[#This Row],[نرخ استهلاک]]*bargiri[[#This Row],[مقدار]]))</f>
        <v>793205402.13913929</v>
      </c>
    </row>
    <row r="1048" spans="1:17" s="22" customFormat="1" ht="13.8" x14ac:dyDescent="0.25">
      <c r="A1048" s="22">
        <v>490</v>
      </c>
      <c r="B1048" s="22" t="s">
        <v>868</v>
      </c>
      <c r="C1048" s="22" t="s">
        <v>461</v>
      </c>
      <c r="D1048" s="22" t="s">
        <v>35</v>
      </c>
      <c r="E1048" s="158">
        <v>7485</v>
      </c>
      <c r="F1048" s="159">
        <v>142000</v>
      </c>
      <c r="G1048" s="159">
        <v>1062870000</v>
      </c>
      <c r="H1048" s="159">
        <v>106287000</v>
      </c>
      <c r="I1048" s="159">
        <v>1169157000</v>
      </c>
      <c r="J1048" s="159">
        <f>bargiri[[#This Row],[مقدار]]*INDEX(invoice[پیش دریافت به ازای هر کیلوگرم],MATCH(bargiri[[#This Row],[شماره سند مبنا]],invoice[شماره پیش فاکتور],0))</f>
        <v>245644613.21246281</v>
      </c>
      <c r="K1048" s="159">
        <f>bargiri[[#This Row],[مبلغ خالص]]-bargiri[[#This Row],[میزان استهلاک پیش دریافتی]]</f>
        <v>923512386.78753722</v>
      </c>
      <c r="L1048" s="160" t="s">
        <v>593</v>
      </c>
      <c r="M1048" s="159"/>
      <c r="N1048" s="159">
        <f>IF(bargiri[[#This Row],[مبلغ واریزی]]&lt;&gt;"",bargiri[[#This Row],[مانده مبلغ]]-bargiri[[#This Row],[مبلغ واریزی]],bargiri[[#This Row],[مانده مبلغ]])</f>
        <v>923512386.78753722</v>
      </c>
      <c r="O1048" s="159" t="s">
        <v>593</v>
      </c>
      <c r="P1048" s="159">
        <f>VLOOKUP(bargiri[[#This Row],[شماره سند مبنا]],invoice[[شماره پیش فاکتور]:[پیش دریافت به ازای هر کیلوگرم]],14,0)</f>
        <v>32818.251598191426</v>
      </c>
      <c r="Q1048" s="159">
        <f>IF(bargiri[[#This Row],[مبلغ ناخالص]]-(bargiri[[#This Row],[نرخ استهلاک]]*bargiri[[#This Row],[مقدار]])&lt;0,0,bargiri[[#This Row],[مبلغ ناخالص]]-(bargiri[[#This Row],[نرخ استهلاک]]*bargiri[[#This Row],[مقدار]]))</f>
        <v>817225386.78753722</v>
      </c>
    </row>
    <row r="1049" spans="1:17" s="22" customFormat="1" ht="13.8" x14ac:dyDescent="0.25">
      <c r="A1049" s="22">
        <v>489</v>
      </c>
      <c r="B1049" s="22" t="s">
        <v>868</v>
      </c>
      <c r="C1049" s="22" t="s">
        <v>72</v>
      </c>
      <c r="D1049" s="22" t="s">
        <v>73</v>
      </c>
      <c r="E1049" s="158">
        <v>20975</v>
      </c>
      <c r="F1049" s="159">
        <v>57273</v>
      </c>
      <c r="G1049" s="159">
        <v>1201301175</v>
      </c>
      <c r="H1049" s="159">
        <v>120130118</v>
      </c>
      <c r="I1049" s="159">
        <v>1321431293</v>
      </c>
      <c r="J1049" s="159" t="e">
        <f>bargiri[[#This Row],[مقدار]]*INDEX(invoice[پیش دریافت به ازای هر کیلوگرم],MATCH(bargiri[[#This Row],[شماره سند مبنا]],invoice[شماره پیش فاکتور],0))</f>
        <v>#N/A</v>
      </c>
      <c r="K1049" s="159" t="e">
        <f>bargiri[[#This Row],[مبلغ خالص]]-bargiri[[#This Row],[میزان استهلاک پیش دریافتی]]</f>
        <v>#N/A</v>
      </c>
      <c r="L1049" s="160" t="s">
        <v>593</v>
      </c>
      <c r="M1049" s="159"/>
      <c r="N1049" s="159" t="e">
        <f>IF(bargiri[[#This Row],[مبلغ واریزی]]&lt;&gt;"",bargiri[[#This Row],[مانده مبلغ]]-bargiri[[#This Row],[مبلغ واریزی]],bargiri[[#This Row],[مانده مبلغ]])</f>
        <v>#N/A</v>
      </c>
      <c r="O1049" s="159" t="s">
        <v>593</v>
      </c>
      <c r="P1049" s="159" t="e">
        <f>VLOOKUP(bargiri[[#This Row],[شماره سند مبنا]],invoice[[شماره پیش فاکتور]:[پیش دریافت به ازای هر کیلوگرم]],14,0)</f>
        <v>#N/A</v>
      </c>
      <c r="Q1049" s="159" t="e">
        <f>IF(bargiri[[#This Row],[مبلغ ناخالص]]-(bargiri[[#This Row],[نرخ استهلاک]]*bargiri[[#This Row],[مقدار]])&lt;0,0,bargiri[[#This Row],[مبلغ ناخالص]]-(bargiri[[#This Row],[نرخ استهلاک]]*bargiri[[#This Row],[مقدار]]))</f>
        <v>#N/A</v>
      </c>
    </row>
    <row r="1050" spans="1:17" s="22" customFormat="1" ht="13.8" x14ac:dyDescent="0.25">
      <c r="A1050" s="22">
        <v>488</v>
      </c>
      <c r="B1050" s="22" t="s">
        <v>868</v>
      </c>
      <c r="C1050" s="22" t="s">
        <v>72</v>
      </c>
      <c r="D1050" s="22" t="s">
        <v>73</v>
      </c>
      <c r="E1050" s="158">
        <v>21080</v>
      </c>
      <c r="F1050" s="159">
        <v>57273</v>
      </c>
      <c r="G1050" s="159">
        <v>1207314840</v>
      </c>
      <c r="H1050" s="159">
        <v>120731484</v>
      </c>
      <c r="I1050" s="159">
        <v>1328046324</v>
      </c>
      <c r="J1050" s="159" t="e">
        <f>bargiri[[#This Row],[مقدار]]*INDEX(invoice[پیش دریافت به ازای هر کیلوگرم],MATCH(bargiri[[#This Row],[شماره سند مبنا]],invoice[شماره پیش فاکتور],0))</f>
        <v>#N/A</v>
      </c>
      <c r="K1050" s="159" t="e">
        <f>bargiri[[#This Row],[مبلغ خالص]]-bargiri[[#This Row],[میزان استهلاک پیش دریافتی]]</f>
        <v>#N/A</v>
      </c>
      <c r="L1050" s="160" t="s">
        <v>593</v>
      </c>
      <c r="M1050" s="159"/>
      <c r="N1050" s="159" t="e">
        <f>IF(bargiri[[#This Row],[مبلغ واریزی]]&lt;&gt;"",bargiri[[#This Row],[مانده مبلغ]]-bargiri[[#This Row],[مبلغ واریزی]],bargiri[[#This Row],[مانده مبلغ]])</f>
        <v>#N/A</v>
      </c>
      <c r="O1050" s="159" t="s">
        <v>593</v>
      </c>
      <c r="P1050" s="159" t="e">
        <f>VLOOKUP(bargiri[[#This Row],[شماره سند مبنا]],invoice[[شماره پیش فاکتور]:[پیش دریافت به ازای هر کیلوگرم]],14,0)</f>
        <v>#N/A</v>
      </c>
      <c r="Q1050" s="159" t="e">
        <f>IF(bargiri[[#This Row],[مبلغ ناخالص]]-(bargiri[[#This Row],[نرخ استهلاک]]*bargiri[[#This Row],[مقدار]])&lt;0,0,bargiri[[#This Row],[مبلغ ناخالص]]-(bargiri[[#This Row],[نرخ استهلاک]]*bargiri[[#This Row],[مقدار]]))</f>
        <v>#N/A</v>
      </c>
    </row>
    <row r="1051" spans="1:17" s="22" customFormat="1" ht="13.8" x14ac:dyDescent="0.25">
      <c r="A1051" s="22">
        <v>487</v>
      </c>
      <c r="B1051" s="22" t="s">
        <v>868</v>
      </c>
      <c r="C1051" s="22" t="s">
        <v>456</v>
      </c>
      <c r="D1051" s="22" t="s">
        <v>213</v>
      </c>
      <c r="E1051" s="158">
        <v>7455</v>
      </c>
      <c r="F1051" s="159">
        <v>142000</v>
      </c>
      <c r="G1051" s="159">
        <v>1058610000</v>
      </c>
      <c r="H1051" s="159">
        <v>105861000</v>
      </c>
      <c r="I1051" s="159">
        <v>1164471000</v>
      </c>
      <c r="J1051" s="159">
        <f>bargiri[[#This Row],[مقدار]]*INDEX(invoice[پیش دریافت به ازای هر کیلوگرم],MATCH(bargiri[[#This Row],[شماره سند مبنا]],invoice[شماره پیش فاکتور],0))</f>
        <v>884641154.31065416</v>
      </c>
      <c r="K1051" s="159">
        <f>bargiri[[#This Row],[مبلغ خالص]]-bargiri[[#This Row],[میزان استهلاک پیش دریافتی]]</f>
        <v>279829845.68934584</v>
      </c>
      <c r="L1051" s="160" t="s">
        <v>593</v>
      </c>
      <c r="M1051" s="159"/>
      <c r="N1051" s="159">
        <f>IF(bargiri[[#This Row],[مبلغ واریزی]]&lt;&gt;"",bargiri[[#This Row],[مانده مبلغ]]-bargiri[[#This Row],[مبلغ واریزی]],bargiri[[#This Row],[مانده مبلغ]])</f>
        <v>279829845.68934584</v>
      </c>
      <c r="O1051" s="159" t="s">
        <v>593</v>
      </c>
      <c r="P1051" s="159">
        <f>VLOOKUP(bargiri[[#This Row],[شماره سند مبنا]],invoice[[شماره پیش فاکتور]:[پیش دریافت به ازای هر کیلوگرم]],14,0)</f>
        <v>118664.13874053041</v>
      </c>
      <c r="Q1051" s="159">
        <f>IF(bargiri[[#This Row],[مبلغ ناخالص]]-(bargiri[[#This Row],[نرخ استهلاک]]*bargiri[[#This Row],[مقدار]])&lt;0,0,bargiri[[#This Row],[مبلغ ناخالص]]-(bargiri[[#This Row],[نرخ استهلاک]]*bargiri[[#This Row],[مقدار]]))</f>
        <v>173968845.68934584</v>
      </c>
    </row>
    <row r="1052" spans="1:17" s="22" customFormat="1" ht="13.8" x14ac:dyDescent="0.25">
      <c r="A1052" s="22">
        <v>486</v>
      </c>
      <c r="B1052" s="22" t="s">
        <v>868</v>
      </c>
      <c r="C1052" s="22" t="s">
        <v>182</v>
      </c>
      <c r="D1052" s="22" t="s">
        <v>20</v>
      </c>
      <c r="E1052" s="158">
        <v>18970</v>
      </c>
      <c r="F1052" s="159">
        <v>86500</v>
      </c>
      <c r="G1052" s="159">
        <v>1640905000</v>
      </c>
      <c r="H1052" s="159">
        <v>164090500</v>
      </c>
      <c r="I1052" s="159">
        <v>1804995500</v>
      </c>
      <c r="J1052" s="159">
        <f>bargiri[[#This Row],[مقدار]]*INDEX(invoice[پیش دریافت به ازای هر کیلوگرم],MATCH(bargiri[[#This Row],[شماره سند مبنا]],invoice[شماره پیش فاکتور],0))</f>
        <v>246135750</v>
      </c>
      <c r="K1052" s="159">
        <f>bargiri[[#This Row],[مبلغ خالص]]-bargiri[[#This Row],[میزان استهلاک پیش دریافتی]]</f>
        <v>1558859750</v>
      </c>
      <c r="L1052" s="160" t="s">
        <v>593</v>
      </c>
      <c r="M1052" s="159"/>
      <c r="N1052" s="159">
        <f>IF(bargiri[[#This Row],[مبلغ واریزی]]&lt;&gt;"",bargiri[[#This Row],[مانده مبلغ]]-bargiri[[#This Row],[مبلغ واریزی]],bargiri[[#This Row],[مانده مبلغ]])</f>
        <v>1558859750</v>
      </c>
      <c r="O1052" s="159" t="s">
        <v>593</v>
      </c>
      <c r="P1052" s="159">
        <f>VLOOKUP(bargiri[[#This Row],[شماره سند مبنا]],invoice[[شماره پیش فاکتور]:[پیش دریافت به ازای هر کیلوگرم]],14,0)</f>
        <v>12975</v>
      </c>
      <c r="Q1052" s="159">
        <f>IF(bargiri[[#This Row],[مبلغ ناخالص]]-(bargiri[[#This Row],[نرخ استهلاک]]*bargiri[[#This Row],[مقدار]])&lt;0,0,bargiri[[#This Row],[مبلغ ناخالص]]-(bargiri[[#This Row],[نرخ استهلاک]]*bargiri[[#This Row],[مقدار]]))</f>
        <v>1394769250</v>
      </c>
    </row>
    <row r="1053" spans="1:17" s="22" customFormat="1" ht="13.8" x14ac:dyDescent="0.25">
      <c r="A1053" s="22">
        <v>485</v>
      </c>
      <c r="B1053" s="22" t="s">
        <v>869</v>
      </c>
      <c r="C1053" s="22" t="s">
        <v>613</v>
      </c>
      <c r="D1053" s="22" t="s">
        <v>219</v>
      </c>
      <c r="E1053" s="158">
        <v>19935</v>
      </c>
      <c r="F1053" s="159">
        <v>151200</v>
      </c>
      <c r="G1053" s="159">
        <v>3014172000</v>
      </c>
      <c r="H1053" s="159">
        <v>301417200</v>
      </c>
      <c r="I1053" s="159">
        <v>3315589200</v>
      </c>
      <c r="J1053" s="159">
        <f>bargiri[[#This Row],[مقدار]]*INDEX(invoice[پیش دریافت به ازای هر کیلوگرم],MATCH(bargiri[[#This Row],[شماره سند مبنا]],invoice[شماره پیش فاکتور],0))</f>
        <v>497338380</v>
      </c>
      <c r="K1053" s="159">
        <f>bargiri[[#This Row],[مبلغ خالص]]-bargiri[[#This Row],[میزان استهلاک پیش دریافتی]]</f>
        <v>2818250820</v>
      </c>
      <c r="L1053" s="160" t="s">
        <v>593</v>
      </c>
      <c r="M1053" s="159"/>
      <c r="N1053" s="159">
        <f>IF(bargiri[[#This Row],[مبلغ واریزی]]&lt;&gt;"",bargiri[[#This Row],[مانده مبلغ]]-bargiri[[#This Row],[مبلغ واریزی]],bargiri[[#This Row],[مانده مبلغ]])</f>
        <v>2818250820</v>
      </c>
      <c r="O1053" s="159" t="s">
        <v>593</v>
      </c>
      <c r="P1053" s="159">
        <f>VLOOKUP(bargiri[[#This Row],[شماره سند مبنا]],invoice[[شماره پیش فاکتور]:[پیش دریافت به ازای هر کیلوگرم]],14,0)</f>
        <v>24948</v>
      </c>
      <c r="Q1053" s="159">
        <f>IF(bargiri[[#This Row],[مبلغ ناخالص]]-(bargiri[[#This Row],[نرخ استهلاک]]*bargiri[[#This Row],[مقدار]])&lt;0,0,bargiri[[#This Row],[مبلغ ناخالص]]-(bargiri[[#This Row],[نرخ استهلاک]]*bargiri[[#This Row],[مقدار]]))</f>
        <v>2516833620</v>
      </c>
    </row>
    <row r="1054" spans="1:17" s="22" customFormat="1" ht="13.8" x14ac:dyDescent="0.25">
      <c r="A1054" s="22">
        <v>484</v>
      </c>
      <c r="B1054" s="22" t="s">
        <v>869</v>
      </c>
      <c r="C1054" s="22" t="s">
        <v>182</v>
      </c>
      <c r="D1054" s="22" t="s">
        <v>20</v>
      </c>
      <c r="E1054" s="158">
        <v>18130</v>
      </c>
      <c r="F1054" s="159">
        <v>86500</v>
      </c>
      <c r="G1054" s="159">
        <v>1568245000</v>
      </c>
      <c r="H1054" s="159">
        <v>156824500</v>
      </c>
      <c r="I1054" s="159">
        <v>1725069500</v>
      </c>
      <c r="J1054" s="159">
        <f>bargiri[[#This Row],[مقدار]]*INDEX(invoice[پیش دریافت به ازای هر کیلوگرم],MATCH(bargiri[[#This Row],[شماره سند مبنا]],invoice[شماره پیش فاکتور],0))</f>
        <v>235236750</v>
      </c>
      <c r="K1054" s="159">
        <f>bargiri[[#This Row],[مبلغ خالص]]-bargiri[[#This Row],[میزان استهلاک پیش دریافتی]]</f>
        <v>1489832750</v>
      </c>
      <c r="L1054" s="160" t="s">
        <v>593</v>
      </c>
      <c r="M1054" s="159"/>
      <c r="N1054" s="159">
        <f>IF(bargiri[[#This Row],[مبلغ واریزی]]&lt;&gt;"",bargiri[[#This Row],[مانده مبلغ]]-bargiri[[#This Row],[مبلغ واریزی]],bargiri[[#This Row],[مانده مبلغ]])</f>
        <v>1489832750</v>
      </c>
      <c r="O1054" s="159" t="s">
        <v>593</v>
      </c>
      <c r="P1054" s="159">
        <f>VLOOKUP(bargiri[[#This Row],[شماره سند مبنا]],invoice[[شماره پیش فاکتور]:[پیش دریافت به ازای هر کیلوگرم]],14,0)</f>
        <v>12975</v>
      </c>
      <c r="Q1054" s="159">
        <f>IF(bargiri[[#This Row],[مبلغ ناخالص]]-(bargiri[[#This Row],[نرخ استهلاک]]*bargiri[[#This Row],[مقدار]])&lt;0,0,bargiri[[#This Row],[مبلغ ناخالص]]-(bargiri[[#This Row],[نرخ استهلاک]]*bargiri[[#This Row],[مقدار]]))</f>
        <v>1333008250</v>
      </c>
    </row>
    <row r="1055" spans="1:17" s="22" customFormat="1" ht="13.8" x14ac:dyDescent="0.25">
      <c r="A1055" s="22">
        <v>483</v>
      </c>
      <c r="B1055" s="22" t="s">
        <v>869</v>
      </c>
      <c r="C1055" s="22" t="s">
        <v>182</v>
      </c>
      <c r="D1055" s="22" t="s">
        <v>20</v>
      </c>
      <c r="E1055" s="158">
        <v>19065</v>
      </c>
      <c r="F1055" s="159">
        <v>86500</v>
      </c>
      <c r="G1055" s="159">
        <v>1649122500</v>
      </c>
      <c r="H1055" s="159">
        <v>164912250</v>
      </c>
      <c r="I1055" s="159">
        <v>1814034750</v>
      </c>
      <c r="J1055" s="159">
        <f>bargiri[[#This Row],[مقدار]]*INDEX(invoice[پیش دریافت به ازای هر کیلوگرم],MATCH(bargiri[[#This Row],[شماره سند مبنا]],invoice[شماره پیش فاکتور],0))</f>
        <v>247368375</v>
      </c>
      <c r="K1055" s="159">
        <f>bargiri[[#This Row],[مبلغ خالص]]-bargiri[[#This Row],[میزان استهلاک پیش دریافتی]]</f>
        <v>1566666375</v>
      </c>
      <c r="L1055" s="160" t="s">
        <v>593</v>
      </c>
      <c r="M1055" s="159"/>
      <c r="N1055" s="159">
        <f>IF(bargiri[[#This Row],[مبلغ واریزی]]&lt;&gt;"",bargiri[[#This Row],[مانده مبلغ]]-bargiri[[#This Row],[مبلغ واریزی]],bargiri[[#This Row],[مانده مبلغ]])</f>
        <v>1566666375</v>
      </c>
      <c r="O1055" s="159" t="s">
        <v>593</v>
      </c>
      <c r="P1055" s="159">
        <f>VLOOKUP(bargiri[[#This Row],[شماره سند مبنا]],invoice[[شماره پیش فاکتور]:[پیش دریافت به ازای هر کیلوگرم]],14,0)</f>
        <v>12975</v>
      </c>
      <c r="Q1055" s="159">
        <f>IF(bargiri[[#This Row],[مبلغ ناخالص]]-(bargiri[[#This Row],[نرخ استهلاک]]*bargiri[[#This Row],[مقدار]])&lt;0,0,bargiri[[#This Row],[مبلغ ناخالص]]-(bargiri[[#This Row],[نرخ استهلاک]]*bargiri[[#This Row],[مقدار]]))</f>
        <v>1401754125</v>
      </c>
    </row>
    <row r="1056" spans="1:17" s="22" customFormat="1" ht="13.8" x14ac:dyDescent="0.25">
      <c r="A1056" s="22">
        <v>482</v>
      </c>
      <c r="B1056" s="22" t="s">
        <v>866</v>
      </c>
      <c r="C1056" s="22" t="s">
        <v>187</v>
      </c>
      <c r="D1056" s="22" t="s">
        <v>43</v>
      </c>
      <c r="E1056" s="158">
        <v>22020</v>
      </c>
      <c r="F1056" s="159">
        <v>80000</v>
      </c>
      <c r="G1056" s="159">
        <v>1761600000</v>
      </c>
      <c r="H1056" s="159">
        <v>176160000</v>
      </c>
      <c r="I1056" s="159">
        <v>1937760000</v>
      </c>
      <c r="J1056" s="159">
        <f>bargiri[[#This Row],[مقدار]]*INDEX(invoice[پیش دریافت به ازای هر کیلوگرم],MATCH(bargiri[[#This Row],[شماره سند مبنا]],invoice[شماره پیش فاکتور],0))</f>
        <v>387552000</v>
      </c>
      <c r="K1056" s="159">
        <f>bargiri[[#This Row],[مبلغ خالص]]-bargiri[[#This Row],[میزان استهلاک پیش دریافتی]]</f>
        <v>1550208000</v>
      </c>
      <c r="L1056" s="160" t="s">
        <v>593</v>
      </c>
      <c r="M1056" s="159"/>
      <c r="N1056" s="159">
        <f>IF(bargiri[[#This Row],[مبلغ واریزی]]&lt;&gt;"",bargiri[[#This Row],[مانده مبلغ]]-bargiri[[#This Row],[مبلغ واریزی]],bargiri[[#This Row],[مانده مبلغ]])</f>
        <v>1550208000</v>
      </c>
      <c r="O1056" s="159" t="s">
        <v>593</v>
      </c>
      <c r="P1056" s="159">
        <f>VLOOKUP(bargiri[[#This Row],[شماره سند مبنا]],invoice[[شماره پیش فاکتور]:[پیش دریافت به ازای هر کیلوگرم]],14,0)</f>
        <v>17600</v>
      </c>
      <c r="Q1056" s="159">
        <f>IF(bargiri[[#This Row],[مبلغ ناخالص]]-(bargiri[[#This Row],[نرخ استهلاک]]*bargiri[[#This Row],[مقدار]])&lt;0,0,bargiri[[#This Row],[مبلغ ناخالص]]-(bargiri[[#This Row],[نرخ استهلاک]]*bargiri[[#This Row],[مقدار]]))</f>
        <v>1374048000</v>
      </c>
    </row>
    <row r="1057" spans="1:17" s="22" customFormat="1" ht="13.8" x14ac:dyDescent="0.25">
      <c r="A1057" s="22">
        <v>481</v>
      </c>
      <c r="B1057" s="22" t="s">
        <v>866</v>
      </c>
      <c r="C1057" s="22" t="s">
        <v>182</v>
      </c>
      <c r="D1057" s="22" t="s">
        <v>20</v>
      </c>
      <c r="E1057" s="158">
        <v>18900</v>
      </c>
      <c r="F1057" s="159">
        <v>86500</v>
      </c>
      <c r="G1057" s="159">
        <v>1634850000</v>
      </c>
      <c r="H1057" s="159">
        <v>163485000</v>
      </c>
      <c r="I1057" s="159">
        <v>1798335000</v>
      </c>
      <c r="J1057" s="159">
        <f>bargiri[[#This Row],[مقدار]]*INDEX(invoice[پیش دریافت به ازای هر کیلوگرم],MATCH(bargiri[[#This Row],[شماره سند مبنا]],invoice[شماره پیش فاکتور],0))</f>
        <v>245227500</v>
      </c>
      <c r="K1057" s="159">
        <f>bargiri[[#This Row],[مبلغ خالص]]-bargiri[[#This Row],[میزان استهلاک پیش دریافتی]]</f>
        <v>1553107500</v>
      </c>
      <c r="L1057" s="160" t="s">
        <v>593</v>
      </c>
      <c r="M1057" s="159"/>
      <c r="N1057" s="159">
        <f>IF(bargiri[[#This Row],[مبلغ واریزی]]&lt;&gt;"",bargiri[[#This Row],[مانده مبلغ]]-bargiri[[#This Row],[مبلغ واریزی]],bargiri[[#This Row],[مانده مبلغ]])</f>
        <v>1553107500</v>
      </c>
      <c r="O1057" s="159" t="s">
        <v>593</v>
      </c>
      <c r="P1057" s="159">
        <f>VLOOKUP(bargiri[[#This Row],[شماره سند مبنا]],invoice[[شماره پیش فاکتور]:[پیش دریافت به ازای هر کیلوگرم]],14,0)</f>
        <v>12975</v>
      </c>
      <c r="Q1057" s="159">
        <f>IF(bargiri[[#This Row],[مبلغ ناخالص]]-(bargiri[[#This Row],[نرخ استهلاک]]*bargiri[[#This Row],[مقدار]])&lt;0,0,bargiri[[#This Row],[مبلغ ناخالص]]-(bargiri[[#This Row],[نرخ استهلاک]]*bargiri[[#This Row],[مقدار]]))</f>
        <v>1389622500</v>
      </c>
    </row>
    <row r="1058" spans="1:17" s="22" customFormat="1" ht="13.8" x14ac:dyDescent="0.25">
      <c r="A1058" s="22">
        <v>480</v>
      </c>
      <c r="B1058" s="22" t="s">
        <v>866</v>
      </c>
      <c r="C1058" s="22" t="s">
        <v>72</v>
      </c>
      <c r="D1058" s="22" t="s">
        <v>73</v>
      </c>
      <c r="E1058" s="158">
        <v>20980</v>
      </c>
      <c r="F1058" s="159">
        <v>57273</v>
      </c>
      <c r="G1058" s="159">
        <v>1201587540</v>
      </c>
      <c r="H1058" s="159">
        <v>120158754</v>
      </c>
      <c r="I1058" s="159">
        <v>1321746294</v>
      </c>
      <c r="J1058" s="159" t="e">
        <f>bargiri[[#This Row],[مقدار]]*INDEX(invoice[پیش دریافت به ازای هر کیلوگرم],MATCH(bargiri[[#This Row],[شماره سند مبنا]],invoice[شماره پیش فاکتور],0))</f>
        <v>#N/A</v>
      </c>
      <c r="K1058" s="159" t="e">
        <f>bargiri[[#This Row],[مبلغ خالص]]-bargiri[[#This Row],[میزان استهلاک پیش دریافتی]]</f>
        <v>#N/A</v>
      </c>
      <c r="L1058" s="160" t="s">
        <v>593</v>
      </c>
      <c r="M1058" s="159"/>
      <c r="N1058" s="159" t="e">
        <f>IF(bargiri[[#This Row],[مبلغ واریزی]]&lt;&gt;"",bargiri[[#This Row],[مانده مبلغ]]-bargiri[[#This Row],[مبلغ واریزی]],bargiri[[#This Row],[مانده مبلغ]])</f>
        <v>#N/A</v>
      </c>
      <c r="O1058" s="159" t="s">
        <v>593</v>
      </c>
      <c r="P1058" s="159" t="e">
        <f>VLOOKUP(bargiri[[#This Row],[شماره سند مبنا]],invoice[[شماره پیش فاکتور]:[پیش دریافت به ازای هر کیلوگرم]],14,0)</f>
        <v>#N/A</v>
      </c>
      <c r="Q1058" s="159" t="e">
        <f>IF(bargiri[[#This Row],[مبلغ ناخالص]]-(bargiri[[#This Row],[نرخ استهلاک]]*bargiri[[#This Row],[مقدار]])&lt;0,0,bargiri[[#This Row],[مبلغ ناخالص]]-(bargiri[[#This Row],[نرخ استهلاک]]*bargiri[[#This Row],[مقدار]]))</f>
        <v>#N/A</v>
      </c>
    </row>
    <row r="1059" spans="1:17" s="22" customFormat="1" ht="13.8" x14ac:dyDescent="0.25">
      <c r="A1059" s="22">
        <v>479</v>
      </c>
      <c r="B1059" s="22" t="s">
        <v>866</v>
      </c>
      <c r="C1059" s="22" t="s">
        <v>72</v>
      </c>
      <c r="D1059" s="22" t="s">
        <v>73</v>
      </c>
      <c r="E1059" s="158">
        <v>20460</v>
      </c>
      <c r="F1059" s="159">
        <v>57273</v>
      </c>
      <c r="G1059" s="159">
        <v>1171805580</v>
      </c>
      <c r="H1059" s="159">
        <v>117180558</v>
      </c>
      <c r="I1059" s="159">
        <v>1288986138</v>
      </c>
      <c r="J1059" s="159" t="e">
        <f>bargiri[[#This Row],[مقدار]]*INDEX(invoice[پیش دریافت به ازای هر کیلوگرم],MATCH(bargiri[[#This Row],[شماره سند مبنا]],invoice[شماره پیش فاکتور],0))</f>
        <v>#N/A</v>
      </c>
      <c r="K1059" s="159" t="e">
        <f>bargiri[[#This Row],[مبلغ خالص]]-bargiri[[#This Row],[میزان استهلاک پیش دریافتی]]</f>
        <v>#N/A</v>
      </c>
      <c r="L1059" s="160" t="s">
        <v>593</v>
      </c>
      <c r="M1059" s="159"/>
      <c r="N1059" s="159" t="e">
        <f>IF(bargiri[[#This Row],[مبلغ واریزی]]&lt;&gt;"",bargiri[[#This Row],[مانده مبلغ]]-bargiri[[#This Row],[مبلغ واریزی]],bargiri[[#This Row],[مانده مبلغ]])</f>
        <v>#N/A</v>
      </c>
      <c r="O1059" s="159" t="s">
        <v>593</v>
      </c>
      <c r="P1059" s="159" t="e">
        <f>VLOOKUP(bargiri[[#This Row],[شماره سند مبنا]],invoice[[شماره پیش فاکتور]:[پیش دریافت به ازای هر کیلوگرم]],14,0)</f>
        <v>#N/A</v>
      </c>
      <c r="Q1059" s="159" t="e">
        <f>IF(bargiri[[#This Row],[مبلغ ناخالص]]-(bargiri[[#This Row],[نرخ استهلاک]]*bargiri[[#This Row],[مقدار]])&lt;0,0,bargiri[[#This Row],[مبلغ ناخالص]]-(bargiri[[#This Row],[نرخ استهلاک]]*bargiri[[#This Row],[مقدار]]))</f>
        <v>#N/A</v>
      </c>
    </row>
    <row r="1060" spans="1:17" s="22" customFormat="1" ht="13.8" x14ac:dyDescent="0.25">
      <c r="A1060" s="22">
        <v>478</v>
      </c>
      <c r="B1060" s="22" t="s">
        <v>866</v>
      </c>
      <c r="C1060" s="22" t="s">
        <v>72</v>
      </c>
      <c r="D1060" s="22" t="s">
        <v>73</v>
      </c>
      <c r="E1060" s="158">
        <v>20990</v>
      </c>
      <c r="F1060" s="159">
        <v>57273</v>
      </c>
      <c r="G1060" s="159">
        <v>1202160270</v>
      </c>
      <c r="H1060" s="159">
        <v>120216027</v>
      </c>
      <c r="I1060" s="159">
        <v>1322376297</v>
      </c>
      <c r="J1060" s="159" t="e">
        <f>bargiri[[#This Row],[مقدار]]*INDEX(invoice[پیش دریافت به ازای هر کیلوگرم],MATCH(bargiri[[#This Row],[شماره سند مبنا]],invoice[شماره پیش فاکتور],0))</f>
        <v>#N/A</v>
      </c>
      <c r="K1060" s="159" t="e">
        <f>bargiri[[#This Row],[مبلغ خالص]]-bargiri[[#This Row],[میزان استهلاک پیش دریافتی]]</f>
        <v>#N/A</v>
      </c>
      <c r="L1060" s="160" t="s">
        <v>593</v>
      </c>
      <c r="M1060" s="159"/>
      <c r="N1060" s="159" t="e">
        <f>IF(bargiri[[#This Row],[مبلغ واریزی]]&lt;&gt;"",bargiri[[#This Row],[مانده مبلغ]]-bargiri[[#This Row],[مبلغ واریزی]],bargiri[[#This Row],[مانده مبلغ]])</f>
        <v>#N/A</v>
      </c>
      <c r="O1060" s="159" t="s">
        <v>593</v>
      </c>
      <c r="P1060" s="159" t="e">
        <f>VLOOKUP(bargiri[[#This Row],[شماره سند مبنا]],invoice[[شماره پیش فاکتور]:[پیش دریافت به ازای هر کیلوگرم]],14,0)</f>
        <v>#N/A</v>
      </c>
      <c r="Q1060" s="159" t="e">
        <f>IF(bargiri[[#This Row],[مبلغ ناخالص]]-(bargiri[[#This Row],[نرخ استهلاک]]*bargiri[[#This Row],[مقدار]])&lt;0,0,bargiri[[#This Row],[مبلغ ناخالص]]-(bargiri[[#This Row],[نرخ استهلاک]]*bargiri[[#This Row],[مقدار]]))</f>
        <v>#N/A</v>
      </c>
    </row>
    <row r="1061" spans="1:17" s="22" customFormat="1" ht="13.8" x14ac:dyDescent="0.25">
      <c r="A1061" s="22">
        <v>477</v>
      </c>
      <c r="B1061" s="22" t="s">
        <v>666</v>
      </c>
      <c r="C1061" s="22" t="s">
        <v>613</v>
      </c>
      <c r="D1061" s="22" t="s">
        <v>219</v>
      </c>
      <c r="E1061" s="158">
        <v>16155</v>
      </c>
      <c r="F1061" s="159">
        <v>151200</v>
      </c>
      <c r="G1061" s="159">
        <v>2442636000</v>
      </c>
      <c r="H1061" s="159">
        <v>244263600</v>
      </c>
      <c r="I1061" s="159">
        <v>2686899600</v>
      </c>
      <c r="J1061" s="159">
        <f>bargiri[[#This Row],[مقدار]]*INDEX(invoice[پیش دریافت به ازای هر کیلوگرم],MATCH(bargiri[[#This Row],[شماره سند مبنا]],invoice[شماره پیش فاکتور],0))</f>
        <v>403034940</v>
      </c>
      <c r="K1061" s="159">
        <f>bargiri[[#This Row],[مبلغ خالص]]-bargiri[[#This Row],[میزان استهلاک پیش دریافتی]]</f>
        <v>2283864660</v>
      </c>
      <c r="L1061" s="160" t="s">
        <v>593</v>
      </c>
      <c r="M1061" s="159"/>
      <c r="N1061" s="159">
        <f>IF(bargiri[[#This Row],[مبلغ واریزی]]&lt;&gt;"",bargiri[[#This Row],[مانده مبلغ]]-bargiri[[#This Row],[مبلغ واریزی]],bargiri[[#This Row],[مانده مبلغ]])</f>
        <v>2283864660</v>
      </c>
      <c r="O1061" s="159" t="s">
        <v>593</v>
      </c>
      <c r="P1061" s="159">
        <f>VLOOKUP(bargiri[[#This Row],[شماره سند مبنا]],invoice[[شماره پیش فاکتور]:[پیش دریافت به ازای هر کیلوگرم]],14,0)</f>
        <v>24948</v>
      </c>
      <c r="Q1061" s="159">
        <f>IF(bargiri[[#This Row],[مبلغ ناخالص]]-(bargiri[[#This Row],[نرخ استهلاک]]*bargiri[[#This Row],[مقدار]])&lt;0,0,bargiri[[#This Row],[مبلغ ناخالص]]-(bargiri[[#This Row],[نرخ استهلاک]]*bargiri[[#This Row],[مقدار]]))</f>
        <v>2039601060</v>
      </c>
    </row>
    <row r="1062" spans="1:17" s="22" customFormat="1" ht="13.8" x14ac:dyDescent="0.25">
      <c r="A1062" s="22">
        <v>476</v>
      </c>
      <c r="B1062" s="22" t="s">
        <v>666</v>
      </c>
      <c r="C1062" s="22" t="s">
        <v>609</v>
      </c>
      <c r="D1062" s="22" t="s">
        <v>67</v>
      </c>
      <c r="E1062" s="158">
        <v>8125</v>
      </c>
      <c r="F1062" s="159">
        <v>126000</v>
      </c>
      <c r="G1062" s="159">
        <v>1023750000</v>
      </c>
      <c r="H1062" s="159">
        <v>102375000</v>
      </c>
      <c r="I1062" s="159">
        <v>1126125000</v>
      </c>
      <c r="J1062" s="159">
        <f>bargiri[[#This Row],[مقدار]]*INDEX(invoice[پیش دریافت به ازای هر کیلوگرم],MATCH(bargiri[[#This Row],[شماره سند مبنا]],invoice[شماره پیش فاکتور],0))</f>
        <v>168918750</v>
      </c>
      <c r="K1062" s="159">
        <f>bargiri[[#This Row],[مبلغ خالص]]-bargiri[[#This Row],[میزان استهلاک پیش دریافتی]]</f>
        <v>957206250</v>
      </c>
      <c r="L1062" s="160" t="s">
        <v>593</v>
      </c>
      <c r="M1062" s="159"/>
      <c r="N1062" s="159">
        <f>IF(bargiri[[#This Row],[مبلغ واریزی]]&lt;&gt;"",bargiri[[#This Row],[مانده مبلغ]]-bargiri[[#This Row],[مبلغ واریزی]],bargiri[[#This Row],[مانده مبلغ]])</f>
        <v>957206250</v>
      </c>
      <c r="O1062" s="159" t="s">
        <v>593</v>
      </c>
      <c r="P1062" s="159">
        <f>VLOOKUP(bargiri[[#This Row],[شماره سند مبنا]],invoice[[شماره پیش فاکتور]:[پیش دریافت به ازای هر کیلوگرم]],14,0)</f>
        <v>20790</v>
      </c>
      <c r="Q1062" s="159">
        <f>IF(bargiri[[#This Row],[مبلغ ناخالص]]-(bargiri[[#This Row],[نرخ استهلاک]]*bargiri[[#This Row],[مقدار]])&lt;0,0,bargiri[[#This Row],[مبلغ ناخالص]]-(bargiri[[#This Row],[نرخ استهلاک]]*bargiri[[#This Row],[مقدار]]))</f>
        <v>854831250</v>
      </c>
    </row>
    <row r="1063" spans="1:17" s="22" customFormat="1" ht="13.8" x14ac:dyDescent="0.25">
      <c r="A1063" s="22">
        <v>475</v>
      </c>
      <c r="B1063" s="22" t="s">
        <v>666</v>
      </c>
      <c r="C1063" s="22" t="s">
        <v>461</v>
      </c>
      <c r="D1063" s="22" t="s">
        <v>35</v>
      </c>
      <c r="E1063" s="158">
        <v>7365</v>
      </c>
      <c r="F1063" s="159">
        <v>142000</v>
      </c>
      <c r="G1063" s="159">
        <v>1045830000</v>
      </c>
      <c r="H1063" s="159">
        <v>104583000</v>
      </c>
      <c r="I1063" s="159">
        <v>1150413000</v>
      </c>
      <c r="J1063" s="159">
        <f>bargiri[[#This Row],[مقدار]]*INDEX(invoice[پیش دریافت به ازای هر کیلوگرم],MATCH(bargiri[[#This Row],[شماره سند مبنا]],invoice[شماره پیش فاکتور],0))</f>
        <v>241706423.02067986</v>
      </c>
      <c r="K1063" s="159">
        <f>bargiri[[#This Row],[مبلغ خالص]]-bargiri[[#This Row],[میزان استهلاک پیش دریافتی]]</f>
        <v>908706576.97932017</v>
      </c>
      <c r="L1063" s="160" t="s">
        <v>593</v>
      </c>
      <c r="M1063" s="159"/>
      <c r="N1063" s="159">
        <f>IF(bargiri[[#This Row],[مبلغ واریزی]]&lt;&gt;"",bargiri[[#This Row],[مانده مبلغ]]-bargiri[[#This Row],[مبلغ واریزی]],bargiri[[#This Row],[مانده مبلغ]])</f>
        <v>908706576.97932017</v>
      </c>
      <c r="O1063" s="159" t="s">
        <v>593</v>
      </c>
      <c r="P1063" s="159">
        <f>VLOOKUP(bargiri[[#This Row],[شماره سند مبنا]],invoice[[شماره پیش فاکتور]:[پیش دریافت به ازای هر کیلوگرم]],14,0)</f>
        <v>32818.251598191426</v>
      </c>
      <c r="Q1063" s="159">
        <f>IF(bargiri[[#This Row],[مبلغ ناخالص]]-(bargiri[[#This Row],[نرخ استهلاک]]*bargiri[[#This Row],[مقدار]])&lt;0,0,bargiri[[#This Row],[مبلغ ناخالص]]-(bargiri[[#This Row],[نرخ استهلاک]]*bargiri[[#This Row],[مقدار]]))</f>
        <v>804123576.97932017</v>
      </c>
    </row>
    <row r="1064" spans="1:17" s="22" customFormat="1" ht="13.8" x14ac:dyDescent="0.25">
      <c r="A1064" s="22">
        <v>474</v>
      </c>
      <c r="B1064" s="22" t="s">
        <v>666</v>
      </c>
      <c r="C1064" s="22" t="s">
        <v>609</v>
      </c>
      <c r="D1064" s="22" t="s">
        <v>67</v>
      </c>
      <c r="E1064" s="158">
        <v>19960</v>
      </c>
      <c r="F1064" s="159">
        <v>126000</v>
      </c>
      <c r="G1064" s="159">
        <v>2514960000</v>
      </c>
      <c r="H1064" s="159">
        <v>251496000</v>
      </c>
      <c r="I1064" s="159">
        <v>2766456000</v>
      </c>
      <c r="J1064" s="159">
        <f>bargiri[[#This Row],[مقدار]]*INDEX(invoice[پیش دریافت به ازای هر کیلوگرم],MATCH(bargiri[[#This Row],[شماره سند مبنا]],invoice[شماره پیش فاکتور],0))</f>
        <v>414968400</v>
      </c>
      <c r="K1064" s="159">
        <f>bargiri[[#This Row],[مبلغ خالص]]-bargiri[[#This Row],[میزان استهلاک پیش دریافتی]]</f>
        <v>2351487600</v>
      </c>
      <c r="L1064" s="160" t="s">
        <v>593</v>
      </c>
      <c r="M1064" s="159"/>
      <c r="N1064" s="159">
        <f>IF(bargiri[[#This Row],[مبلغ واریزی]]&lt;&gt;"",bargiri[[#This Row],[مانده مبلغ]]-bargiri[[#This Row],[مبلغ واریزی]],bargiri[[#This Row],[مانده مبلغ]])</f>
        <v>2351487600</v>
      </c>
      <c r="O1064" s="159" t="s">
        <v>593</v>
      </c>
      <c r="P1064" s="159">
        <f>VLOOKUP(bargiri[[#This Row],[شماره سند مبنا]],invoice[[شماره پیش فاکتور]:[پیش دریافت به ازای هر کیلوگرم]],14,0)</f>
        <v>20790</v>
      </c>
      <c r="Q1064" s="159">
        <f>IF(bargiri[[#This Row],[مبلغ ناخالص]]-(bargiri[[#This Row],[نرخ استهلاک]]*bargiri[[#This Row],[مقدار]])&lt;0,0,bargiri[[#This Row],[مبلغ ناخالص]]-(bargiri[[#This Row],[نرخ استهلاک]]*bargiri[[#This Row],[مقدار]]))</f>
        <v>2099991600</v>
      </c>
    </row>
    <row r="1065" spans="1:17" s="22" customFormat="1" ht="13.8" x14ac:dyDescent="0.25">
      <c r="A1065" s="22">
        <v>473</v>
      </c>
      <c r="B1065" s="22" t="s">
        <v>666</v>
      </c>
      <c r="C1065" s="22" t="s">
        <v>653</v>
      </c>
      <c r="D1065" s="22" t="s">
        <v>70</v>
      </c>
      <c r="E1065" s="158">
        <v>19970</v>
      </c>
      <c r="F1065" s="159">
        <v>201000</v>
      </c>
      <c r="G1065" s="159">
        <v>4013970000</v>
      </c>
      <c r="H1065" s="159">
        <v>401397000</v>
      </c>
      <c r="I1065" s="159">
        <v>4415367000</v>
      </c>
      <c r="J1065" s="159">
        <f>bargiri[[#This Row],[مقدار]]*INDEX(invoice[پیش دریافت به ازای هر کیلوگرم],MATCH(bargiri[[#This Row],[شماره سند مبنا]],invoice[شماره پیش فاکتور],0))</f>
        <v>4415367000</v>
      </c>
      <c r="K1065" s="159">
        <f>bargiri[[#This Row],[مبلغ خالص]]-bargiri[[#This Row],[میزان استهلاک پیش دریافتی]]</f>
        <v>0</v>
      </c>
      <c r="L1065" s="160" t="s">
        <v>593</v>
      </c>
      <c r="M1065" s="159"/>
      <c r="N1065" s="159">
        <f>IF(bargiri[[#This Row],[مبلغ واریزی]]&lt;&gt;"",bargiri[[#This Row],[مانده مبلغ]]-bargiri[[#This Row],[مبلغ واریزی]],bargiri[[#This Row],[مانده مبلغ]])</f>
        <v>0</v>
      </c>
      <c r="O1065" s="159" t="s">
        <v>593</v>
      </c>
      <c r="P1065" s="159">
        <f>VLOOKUP(bargiri[[#This Row],[شماره سند مبنا]],invoice[[شماره پیش فاکتور]:[پیش دریافت به ازای هر کیلوگرم]],14,0)</f>
        <v>221100</v>
      </c>
      <c r="Q1065" s="159">
        <f>IF(bargiri[[#This Row],[مبلغ ناخالص]]-(bargiri[[#This Row],[نرخ استهلاک]]*bargiri[[#This Row],[مقدار]])&lt;0,0,bargiri[[#This Row],[مبلغ ناخالص]]-(bargiri[[#This Row],[نرخ استهلاک]]*bargiri[[#This Row],[مقدار]]))</f>
        <v>0</v>
      </c>
    </row>
    <row r="1066" spans="1:17" s="22" customFormat="1" ht="13.8" x14ac:dyDescent="0.25">
      <c r="A1066" s="22">
        <v>472</v>
      </c>
      <c r="B1066" s="22" t="s">
        <v>666</v>
      </c>
      <c r="C1066" s="22" t="s">
        <v>654</v>
      </c>
      <c r="D1066" s="22" t="s">
        <v>51</v>
      </c>
      <c r="E1066" s="158">
        <v>20000</v>
      </c>
      <c r="F1066" s="159">
        <v>201000</v>
      </c>
      <c r="G1066" s="159">
        <v>4020000000</v>
      </c>
      <c r="H1066" s="159">
        <v>402000000</v>
      </c>
      <c r="I1066" s="159">
        <v>4422000000</v>
      </c>
      <c r="J1066" s="159">
        <f>bargiri[[#This Row],[مقدار]]*INDEX(invoice[پیش دریافت به ازای هر کیلوگرم],MATCH(bargiri[[#This Row],[شماره سند مبنا]],invoice[شماره پیش فاکتور],0))</f>
        <v>4422000000</v>
      </c>
      <c r="K1066" s="159">
        <f>bargiri[[#This Row],[مبلغ خالص]]-bargiri[[#This Row],[میزان استهلاک پیش دریافتی]]</f>
        <v>0</v>
      </c>
      <c r="L1066" s="160" t="s">
        <v>593</v>
      </c>
      <c r="M1066" s="159"/>
      <c r="N1066" s="159">
        <f>IF(bargiri[[#This Row],[مبلغ واریزی]]&lt;&gt;"",bargiri[[#This Row],[مانده مبلغ]]-bargiri[[#This Row],[مبلغ واریزی]],bargiri[[#This Row],[مانده مبلغ]])</f>
        <v>0</v>
      </c>
      <c r="O1066" s="159" t="s">
        <v>593</v>
      </c>
      <c r="P1066" s="159">
        <f>VLOOKUP(bargiri[[#This Row],[شماره سند مبنا]],invoice[[شماره پیش فاکتور]:[پیش دریافت به ازای هر کیلوگرم]],14,0)</f>
        <v>221100</v>
      </c>
      <c r="Q1066" s="159">
        <f>IF(bargiri[[#This Row],[مبلغ ناخالص]]-(bargiri[[#This Row],[نرخ استهلاک]]*bargiri[[#This Row],[مقدار]])&lt;0,0,bargiri[[#This Row],[مبلغ ناخالص]]-(bargiri[[#This Row],[نرخ استهلاک]]*bargiri[[#This Row],[مقدار]]))</f>
        <v>0</v>
      </c>
    </row>
    <row r="1067" spans="1:17" s="22" customFormat="1" ht="13.8" x14ac:dyDescent="0.25">
      <c r="A1067" s="22">
        <v>471</v>
      </c>
      <c r="B1067" s="22" t="s">
        <v>870</v>
      </c>
      <c r="C1067" s="22" t="s">
        <v>215</v>
      </c>
      <c r="D1067" s="22" t="s">
        <v>67</v>
      </c>
      <c r="E1067" s="158">
        <v>12885</v>
      </c>
      <c r="F1067" s="159">
        <v>92179</v>
      </c>
      <c r="G1067" s="159">
        <v>1187726415</v>
      </c>
      <c r="H1067" s="159">
        <v>118772642</v>
      </c>
      <c r="I1067" s="159">
        <v>1306499057</v>
      </c>
      <c r="J1067" s="159">
        <f>bargiri[[#This Row],[مقدار]]*INDEX(invoice[پیش دریافت به ازای هر کیلوگرم],MATCH(bargiri[[#This Row],[شماره سند مبنا]],invoice[شماره پیش فاکتور],0))</f>
        <v>195974858.47499999</v>
      </c>
      <c r="K1067" s="159">
        <f>bargiri[[#This Row],[مبلغ خالص]]-bargiri[[#This Row],[میزان استهلاک پیش دریافتی]]</f>
        <v>1110524198.5250001</v>
      </c>
      <c r="L1067" s="160" t="s">
        <v>593</v>
      </c>
      <c r="M1067" s="159"/>
      <c r="N1067" s="159">
        <f>IF(bargiri[[#This Row],[مبلغ واریزی]]&lt;&gt;"",bargiri[[#This Row],[مانده مبلغ]]-bargiri[[#This Row],[مبلغ واریزی]],bargiri[[#This Row],[مانده مبلغ]])</f>
        <v>1110524198.5250001</v>
      </c>
      <c r="O1067" s="159" t="s">
        <v>593</v>
      </c>
      <c r="P1067" s="159">
        <f>VLOOKUP(bargiri[[#This Row],[شماره سند مبنا]],invoice[[شماره پیش فاکتور]:[پیش دریافت به ازای هر کیلوگرم]],14,0)</f>
        <v>15209.535</v>
      </c>
      <c r="Q1067" s="159">
        <f>IF(bargiri[[#This Row],[مبلغ ناخالص]]-(bargiri[[#This Row],[نرخ استهلاک]]*bargiri[[#This Row],[مقدار]])&lt;0,0,bargiri[[#This Row],[مبلغ ناخالص]]-(bargiri[[#This Row],[نرخ استهلاک]]*bargiri[[#This Row],[مقدار]]))</f>
        <v>991751556.52499998</v>
      </c>
    </row>
    <row r="1068" spans="1:17" s="22" customFormat="1" ht="13.8" x14ac:dyDescent="0.25">
      <c r="A1068" s="22">
        <v>471</v>
      </c>
      <c r="B1068" s="22" t="s">
        <v>870</v>
      </c>
      <c r="C1068" s="22" t="s">
        <v>609</v>
      </c>
      <c r="D1068" s="22" t="s">
        <v>67</v>
      </c>
      <c r="E1068" s="158">
        <v>7115</v>
      </c>
      <c r="F1068" s="159">
        <v>126000</v>
      </c>
      <c r="G1068" s="159">
        <v>896490000</v>
      </c>
      <c r="H1068" s="159">
        <v>89649000</v>
      </c>
      <c r="I1068" s="159">
        <v>986139000</v>
      </c>
      <c r="J1068" s="159">
        <f>bargiri[[#This Row],[مقدار]]*INDEX(invoice[پیش دریافت به ازای هر کیلوگرم],MATCH(bargiri[[#This Row],[شماره سند مبنا]],invoice[شماره پیش فاکتور],0))</f>
        <v>147920850</v>
      </c>
      <c r="K1068" s="159">
        <f>bargiri[[#This Row],[مبلغ خالص]]-bargiri[[#This Row],[میزان استهلاک پیش دریافتی]]</f>
        <v>838218150</v>
      </c>
      <c r="L1068" s="160" t="s">
        <v>593</v>
      </c>
      <c r="M1068" s="159"/>
      <c r="N1068" s="159">
        <f>IF(bargiri[[#This Row],[مبلغ واریزی]]&lt;&gt;"",bargiri[[#This Row],[مانده مبلغ]]-bargiri[[#This Row],[مبلغ واریزی]],bargiri[[#This Row],[مانده مبلغ]])</f>
        <v>838218150</v>
      </c>
      <c r="O1068" s="159" t="s">
        <v>593</v>
      </c>
      <c r="P1068" s="159">
        <f>VLOOKUP(bargiri[[#This Row],[شماره سند مبنا]],invoice[[شماره پیش فاکتور]:[پیش دریافت به ازای هر کیلوگرم]],14,0)</f>
        <v>20790</v>
      </c>
      <c r="Q1068" s="159">
        <f>IF(bargiri[[#This Row],[مبلغ ناخالص]]-(bargiri[[#This Row],[نرخ استهلاک]]*bargiri[[#This Row],[مقدار]])&lt;0,0,bargiri[[#This Row],[مبلغ ناخالص]]-(bargiri[[#This Row],[نرخ استهلاک]]*bargiri[[#This Row],[مقدار]]))</f>
        <v>748569150</v>
      </c>
    </row>
    <row r="1069" spans="1:17" s="22" customFormat="1" ht="13.8" x14ac:dyDescent="0.25">
      <c r="A1069" s="22">
        <v>470</v>
      </c>
      <c r="B1069" s="22" t="s">
        <v>870</v>
      </c>
      <c r="C1069" s="22" t="s">
        <v>608</v>
      </c>
      <c r="D1069" s="22" t="s">
        <v>40</v>
      </c>
      <c r="E1069" s="158">
        <v>18170</v>
      </c>
      <c r="F1069" s="159">
        <v>142000</v>
      </c>
      <c r="G1069" s="159">
        <v>2580140000</v>
      </c>
      <c r="H1069" s="159">
        <v>258014000</v>
      </c>
      <c r="I1069" s="159">
        <v>2838154000</v>
      </c>
      <c r="J1069" s="159">
        <f>bargiri[[#This Row],[مقدار]]*INDEX(invoice[پیش دریافت به ازای هر کیلوگرم],MATCH(bargiri[[#This Row],[شماره سند مبنا]],invoice[شماره پیش فاکتور],0))</f>
        <v>425723100</v>
      </c>
      <c r="K1069" s="159">
        <f>bargiri[[#This Row],[مبلغ خالص]]-bargiri[[#This Row],[میزان استهلاک پیش دریافتی]]</f>
        <v>2412430900</v>
      </c>
      <c r="L1069" s="160" t="s">
        <v>593</v>
      </c>
      <c r="M1069" s="159"/>
      <c r="N1069" s="159">
        <f>IF(bargiri[[#This Row],[مبلغ واریزی]]&lt;&gt;"",bargiri[[#This Row],[مانده مبلغ]]-bargiri[[#This Row],[مبلغ واریزی]],bargiri[[#This Row],[مانده مبلغ]])</f>
        <v>2412430900</v>
      </c>
      <c r="O1069" s="159" t="s">
        <v>593</v>
      </c>
      <c r="P1069" s="159">
        <f>VLOOKUP(bargiri[[#This Row],[شماره سند مبنا]],invoice[[شماره پیش فاکتور]:[پیش دریافت به ازای هر کیلوگرم]],14,0)</f>
        <v>23430</v>
      </c>
      <c r="Q1069" s="159">
        <f>IF(bargiri[[#This Row],[مبلغ ناخالص]]-(bargiri[[#This Row],[نرخ استهلاک]]*bargiri[[#This Row],[مقدار]])&lt;0,0,bargiri[[#This Row],[مبلغ ناخالص]]-(bargiri[[#This Row],[نرخ استهلاک]]*bargiri[[#This Row],[مقدار]]))</f>
        <v>2154416900</v>
      </c>
    </row>
    <row r="1070" spans="1:17" s="22" customFormat="1" ht="13.8" x14ac:dyDescent="0.25">
      <c r="A1070" s="22">
        <v>469</v>
      </c>
      <c r="B1070" s="22" t="s">
        <v>870</v>
      </c>
      <c r="C1070" s="22" t="s">
        <v>72</v>
      </c>
      <c r="D1070" s="22" t="s">
        <v>73</v>
      </c>
      <c r="E1070" s="158">
        <v>21015</v>
      </c>
      <c r="F1070" s="159">
        <v>57273</v>
      </c>
      <c r="G1070" s="159">
        <v>1203592095</v>
      </c>
      <c r="H1070" s="159">
        <v>120359210</v>
      </c>
      <c r="I1070" s="159">
        <v>1323951305</v>
      </c>
      <c r="J1070" s="159" t="e">
        <f>bargiri[[#This Row],[مقدار]]*INDEX(invoice[پیش دریافت به ازای هر کیلوگرم],MATCH(bargiri[[#This Row],[شماره سند مبنا]],invoice[شماره پیش فاکتور],0))</f>
        <v>#N/A</v>
      </c>
      <c r="K1070" s="159" t="e">
        <f>bargiri[[#This Row],[مبلغ خالص]]-bargiri[[#This Row],[میزان استهلاک پیش دریافتی]]</f>
        <v>#N/A</v>
      </c>
      <c r="L1070" s="160" t="s">
        <v>593</v>
      </c>
      <c r="M1070" s="159"/>
      <c r="N1070" s="159" t="e">
        <f>IF(bargiri[[#This Row],[مبلغ واریزی]]&lt;&gt;"",bargiri[[#This Row],[مانده مبلغ]]-bargiri[[#This Row],[مبلغ واریزی]],bargiri[[#This Row],[مانده مبلغ]])</f>
        <v>#N/A</v>
      </c>
      <c r="O1070" s="159" t="s">
        <v>593</v>
      </c>
      <c r="P1070" s="159" t="e">
        <f>VLOOKUP(bargiri[[#This Row],[شماره سند مبنا]],invoice[[شماره پیش فاکتور]:[پیش دریافت به ازای هر کیلوگرم]],14,0)</f>
        <v>#N/A</v>
      </c>
      <c r="Q1070" s="159" t="e">
        <f>IF(bargiri[[#This Row],[مبلغ ناخالص]]-(bargiri[[#This Row],[نرخ استهلاک]]*bargiri[[#This Row],[مقدار]])&lt;0,0,bargiri[[#This Row],[مبلغ ناخالص]]-(bargiri[[#This Row],[نرخ استهلاک]]*bargiri[[#This Row],[مقدار]]))</f>
        <v>#N/A</v>
      </c>
    </row>
    <row r="1071" spans="1:17" s="22" customFormat="1" ht="13.8" x14ac:dyDescent="0.25">
      <c r="A1071" s="22">
        <v>468</v>
      </c>
      <c r="B1071" s="22" t="s">
        <v>870</v>
      </c>
      <c r="C1071" s="22" t="s">
        <v>72</v>
      </c>
      <c r="D1071" s="22" t="s">
        <v>73</v>
      </c>
      <c r="E1071" s="158">
        <v>20545</v>
      </c>
      <c r="F1071" s="159">
        <v>57273</v>
      </c>
      <c r="G1071" s="159">
        <v>1176673785</v>
      </c>
      <c r="H1071" s="159">
        <v>117667379</v>
      </c>
      <c r="I1071" s="159">
        <v>1294341164</v>
      </c>
      <c r="J1071" s="159" t="e">
        <f>bargiri[[#This Row],[مقدار]]*INDEX(invoice[پیش دریافت به ازای هر کیلوگرم],MATCH(bargiri[[#This Row],[شماره سند مبنا]],invoice[شماره پیش فاکتور],0))</f>
        <v>#N/A</v>
      </c>
      <c r="K1071" s="159" t="e">
        <f>bargiri[[#This Row],[مبلغ خالص]]-bargiri[[#This Row],[میزان استهلاک پیش دریافتی]]</f>
        <v>#N/A</v>
      </c>
      <c r="L1071" s="160" t="s">
        <v>593</v>
      </c>
      <c r="M1071" s="159"/>
      <c r="N1071" s="159" t="e">
        <f>IF(bargiri[[#This Row],[مبلغ واریزی]]&lt;&gt;"",bargiri[[#This Row],[مانده مبلغ]]-bargiri[[#This Row],[مبلغ واریزی]],bargiri[[#This Row],[مانده مبلغ]])</f>
        <v>#N/A</v>
      </c>
      <c r="O1071" s="159" t="s">
        <v>593</v>
      </c>
      <c r="P1071" s="159" t="e">
        <f>VLOOKUP(bargiri[[#This Row],[شماره سند مبنا]],invoice[[شماره پیش فاکتور]:[پیش دریافت به ازای هر کیلوگرم]],14,0)</f>
        <v>#N/A</v>
      </c>
      <c r="Q1071" s="159" t="e">
        <f>IF(bargiri[[#This Row],[مبلغ ناخالص]]-(bargiri[[#This Row],[نرخ استهلاک]]*bargiri[[#This Row],[مقدار]])&lt;0,0,bargiri[[#This Row],[مبلغ ناخالص]]-(bargiri[[#This Row],[نرخ استهلاک]]*bargiri[[#This Row],[مقدار]]))</f>
        <v>#N/A</v>
      </c>
    </row>
    <row r="1072" spans="1:17" s="22" customFormat="1" ht="13.8" x14ac:dyDescent="0.25">
      <c r="A1072" s="22">
        <v>467</v>
      </c>
      <c r="B1072" s="22" t="s">
        <v>870</v>
      </c>
      <c r="C1072" s="22" t="s">
        <v>466</v>
      </c>
      <c r="D1072" s="22" t="s">
        <v>180</v>
      </c>
      <c r="E1072" s="158">
        <v>5390</v>
      </c>
      <c r="F1072" s="159">
        <v>100000</v>
      </c>
      <c r="G1072" s="159">
        <v>539000000</v>
      </c>
      <c r="H1072" s="159">
        <v>53900000</v>
      </c>
      <c r="I1072" s="159">
        <v>592900000</v>
      </c>
      <c r="J1072" s="159">
        <f>bargiri[[#This Row],[مقدار]]*INDEX(invoice[پیش دریافت به ازای هر کیلوگرم],MATCH(bargiri[[#This Row],[شماره سند مبنا]],invoice[شماره پیش فاکتور],0))</f>
        <v>94076742.146849111</v>
      </c>
      <c r="K1072" s="159">
        <f>bargiri[[#This Row],[مبلغ خالص]]-bargiri[[#This Row],[میزان استهلاک پیش دریافتی]]</f>
        <v>498823257.8531509</v>
      </c>
      <c r="L1072" s="160" t="s">
        <v>593</v>
      </c>
      <c r="M1072" s="159"/>
      <c r="N1072" s="159">
        <f>IF(bargiri[[#This Row],[مبلغ واریزی]]&lt;&gt;"",bargiri[[#This Row],[مانده مبلغ]]-bargiri[[#This Row],[مبلغ واریزی]],bargiri[[#This Row],[مانده مبلغ]])</f>
        <v>498823257.8531509</v>
      </c>
      <c r="O1072" s="159" t="s">
        <v>593</v>
      </c>
      <c r="P1072" s="159">
        <f>VLOOKUP(bargiri[[#This Row],[شماره سند مبنا]],invoice[[شماره پیش فاکتور]:[پیش دریافت به ازای هر کیلوگرم]],14,0)</f>
        <v>17453.94102910002</v>
      </c>
      <c r="Q1072" s="159">
        <f>IF(bargiri[[#This Row],[مبلغ ناخالص]]-(bargiri[[#This Row],[نرخ استهلاک]]*bargiri[[#This Row],[مقدار]])&lt;0,0,bargiri[[#This Row],[مبلغ ناخالص]]-(bargiri[[#This Row],[نرخ استهلاک]]*bargiri[[#This Row],[مقدار]]))</f>
        <v>444923257.8531509</v>
      </c>
    </row>
    <row r="1073" spans="1:17" s="22" customFormat="1" ht="13.8" x14ac:dyDescent="0.25">
      <c r="A1073" s="22">
        <v>467</v>
      </c>
      <c r="B1073" s="22" t="s">
        <v>870</v>
      </c>
      <c r="C1073" s="22" t="s">
        <v>607</v>
      </c>
      <c r="D1073" s="22" t="s">
        <v>180</v>
      </c>
      <c r="E1073" s="158">
        <v>2290</v>
      </c>
      <c r="F1073" s="159">
        <v>142000</v>
      </c>
      <c r="G1073" s="159">
        <v>325180000</v>
      </c>
      <c r="H1073" s="159">
        <v>32518000</v>
      </c>
      <c r="I1073" s="159">
        <v>357698000</v>
      </c>
      <c r="J1073" s="159">
        <f>bargiri[[#This Row],[مقدار]]*INDEX(invoice[پیش دریافت به ازای هر کیلوگرم],MATCH(bargiri[[#This Row],[شماره سند مبنا]],invoice[شماره پیش فاکتور],0))</f>
        <v>170941378.45587453</v>
      </c>
      <c r="K1073" s="159">
        <f>bargiri[[#This Row],[مبلغ خالص]]-bargiri[[#This Row],[میزان استهلاک پیش دریافتی]]</f>
        <v>186756621.54412547</v>
      </c>
      <c r="L1073" s="160" t="s">
        <v>593</v>
      </c>
      <c r="M1073" s="159"/>
      <c r="N1073" s="159">
        <f>IF(bargiri[[#This Row],[مبلغ واریزی]]&lt;&gt;"",bargiri[[#This Row],[مانده مبلغ]]-bargiri[[#This Row],[مبلغ واریزی]],bargiri[[#This Row],[مانده مبلغ]])</f>
        <v>186756621.54412547</v>
      </c>
      <c r="O1073" s="159" t="s">
        <v>593</v>
      </c>
      <c r="P1073" s="159">
        <f>VLOOKUP(bargiri[[#This Row],[شماره سند مبنا]],invoice[[شماره پیش فاکتور]:[پیش دریافت به ازای هر کیلوگرم]],14,0)</f>
        <v>74646.890155403729</v>
      </c>
      <c r="Q1073" s="159">
        <f>IF(bargiri[[#This Row],[مبلغ ناخالص]]-(bargiri[[#This Row],[نرخ استهلاک]]*bargiri[[#This Row],[مقدار]])&lt;0,0,bargiri[[#This Row],[مبلغ ناخالص]]-(bargiri[[#This Row],[نرخ استهلاک]]*bargiri[[#This Row],[مقدار]]))</f>
        <v>154238621.54412547</v>
      </c>
    </row>
    <row r="1074" spans="1:17" s="22" customFormat="1" ht="13.8" x14ac:dyDescent="0.25">
      <c r="A1074" s="22">
        <v>466</v>
      </c>
      <c r="B1074" s="22" t="s">
        <v>871</v>
      </c>
      <c r="C1074" s="22" t="s">
        <v>456</v>
      </c>
      <c r="D1074" s="22" t="s">
        <v>213</v>
      </c>
      <c r="E1074" s="158">
        <v>7380</v>
      </c>
      <c r="F1074" s="159">
        <v>142000</v>
      </c>
      <c r="G1074" s="159">
        <v>1047960000</v>
      </c>
      <c r="H1074" s="159">
        <v>104796000</v>
      </c>
      <c r="I1074" s="159">
        <v>1152756000</v>
      </c>
      <c r="J1074" s="159">
        <f>bargiri[[#This Row],[مقدار]]*INDEX(invoice[پیش دریافت به ازای هر کیلوگرم],MATCH(bargiri[[#This Row],[شماره سند مبنا]],invoice[شماره پیش فاکتور],0))</f>
        <v>875741343.90511441</v>
      </c>
      <c r="K1074" s="159">
        <f>bargiri[[#This Row],[مبلغ خالص]]-bargiri[[#This Row],[میزان استهلاک پیش دریافتی]]</f>
        <v>277014656.09488559</v>
      </c>
      <c r="L1074" s="160" t="s">
        <v>593</v>
      </c>
      <c r="M1074" s="159"/>
      <c r="N1074" s="159">
        <f>IF(bargiri[[#This Row],[مبلغ واریزی]]&lt;&gt;"",bargiri[[#This Row],[مانده مبلغ]]-bargiri[[#This Row],[مبلغ واریزی]],bargiri[[#This Row],[مانده مبلغ]])</f>
        <v>277014656.09488559</v>
      </c>
      <c r="O1074" s="159" t="s">
        <v>593</v>
      </c>
      <c r="P1074" s="159">
        <f>VLOOKUP(bargiri[[#This Row],[شماره سند مبنا]],invoice[[شماره پیش فاکتور]:[پیش دریافت به ازای هر کیلوگرم]],14,0)</f>
        <v>118664.13874053041</v>
      </c>
      <c r="Q1074" s="159">
        <f>IF(bargiri[[#This Row],[مبلغ ناخالص]]-(bargiri[[#This Row],[نرخ استهلاک]]*bargiri[[#This Row],[مقدار]])&lt;0,0,bargiri[[#This Row],[مبلغ ناخالص]]-(bargiri[[#This Row],[نرخ استهلاک]]*bargiri[[#This Row],[مقدار]]))</f>
        <v>172218656.09488559</v>
      </c>
    </row>
    <row r="1075" spans="1:17" s="22" customFormat="1" ht="13.8" x14ac:dyDescent="0.25">
      <c r="A1075" s="22">
        <v>465</v>
      </c>
      <c r="B1075" s="22" t="s">
        <v>871</v>
      </c>
      <c r="C1075" s="22" t="s">
        <v>215</v>
      </c>
      <c r="D1075" s="22" t="s">
        <v>67</v>
      </c>
      <c r="E1075" s="158">
        <v>7075</v>
      </c>
      <c r="F1075" s="159">
        <v>92179</v>
      </c>
      <c r="G1075" s="159">
        <v>652166425</v>
      </c>
      <c r="H1075" s="159">
        <v>65216643</v>
      </c>
      <c r="I1075" s="159">
        <v>717383068</v>
      </c>
      <c r="J1075" s="159">
        <f>bargiri[[#This Row],[مقدار]]*INDEX(invoice[پیش دریافت به ازای هر کیلوگرم],MATCH(bargiri[[#This Row],[شماره سند مبنا]],invoice[شماره پیش فاکتور],0))</f>
        <v>107607460.125</v>
      </c>
      <c r="K1075" s="159">
        <f>bargiri[[#This Row],[مبلغ خالص]]-bargiri[[#This Row],[میزان استهلاک پیش دریافتی]]</f>
        <v>609775607.875</v>
      </c>
      <c r="L1075" s="160" t="s">
        <v>593</v>
      </c>
      <c r="M1075" s="159"/>
      <c r="N1075" s="159">
        <f>IF(bargiri[[#This Row],[مبلغ واریزی]]&lt;&gt;"",bargiri[[#This Row],[مانده مبلغ]]-bargiri[[#This Row],[مبلغ واریزی]],bargiri[[#This Row],[مانده مبلغ]])</f>
        <v>609775607.875</v>
      </c>
      <c r="O1075" s="159" t="s">
        <v>593</v>
      </c>
      <c r="P1075" s="159">
        <f>VLOOKUP(bargiri[[#This Row],[شماره سند مبنا]],invoice[[شماره پیش فاکتور]:[پیش دریافت به ازای هر کیلوگرم]],14,0)</f>
        <v>15209.535</v>
      </c>
      <c r="Q1075" s="159">
        <f>IF(bargiri[[#This Row],[مبلغ ناخالص]]-(bargiri[[#This Row],[نرخ استهلاک]]*bargiri[[#This Row],[مقدار]])&lt;0,0,bargiri[[#This Row],[مبلغ ناخالص]]-(bargiri[[#This Row],[نرخ استهلاک]]*bargiri[[#This Row],[مقدار]]))</f>
        <v>544558964.875</v>
      </c>
    </row>
    <row r="1076" spans="1:17" s="22" customFormat="1" ht="13.8" x14ac:dyDescent="0.25">
      <c r="A1076" s="22">
        <v>464</v>
      </c>
      <c r="B1076" s="22" t="s">
        <v>871</v>
      </c>
      <c r="C1076" s="22" t="s">
        <v>456</v>
      </c>
      <c r="D1076" s="22" t="s">
        <v>213</v>
      </c>
      <c r="E1076" s="158">
        <v>7290</v>
      </c>
      <c r="F1076" s="159">
        <v>142000</v>
      </c>
      <c r="G1076" s="159">
        <v>1035180000</v>
      </c>
      <c r="H1076" s="159">
        <v>103518000</v>
      </c>
      <c r="I1076" s="159">
        <v>1138698000</v>
      </c>
      <c r="J1076" s="159">
        <f>bargiri[[#This Row],[مقدار]]*INDEX(invoice[پیش دریافت به ازای هر کیلوگرم],MATCH(bargiri[[#This Row],[شماره سند مبنا]],invoice[شماره پیش فاکتور],0))</f>
        <v>865061571.41846669</v>
      </c>
      <c r="K1076" s="159">
        <f>bargiri[[#This Row],[مبلغ خالص]]-bargiri[[#This Row],[میزان استهلاک پیش دریافتی]]</f>
        <v>273636428.58153331</v>
      </c>
      <c r="L1076" s="160" t="s">
        <v>593</v>
      </c>
      <c r="M1076" s="159"/>
      <c r="N1076" s="159">
        <f>IF(bargiri[[#This Row],[مبلغ واریزی]]&lt;&gt;"",bargiri[[#This Row],[مانده مبلغ]]-bargiri[[#This Row],[مبلغ واریزی]],bargiri[[#This Row],[مانده مبلغ]])</f>
        <v>273636428.58153331</v>
      </c>
      <c r="O1076" s="159" t="s">
        <v>593</v>
      </c>
      <c r="P1076" s="159">
        <f>VLOOKUP(bargiri[[#This Row],[شماره سند مبنا]],invoice[[شماره پیش فاکتور]:[پیش دریافت به ازای هر کیلوگرم]],14,0)</f>
        <v>118664.13874053041</v>
      </c>
      <c r="Q1076" s="159">
        <f>IF(bargiri[[#This Row],[مبلغ ناخالص]]-(bargiri[[#This Row],[نرخ استهلاک]]*bargiri[[#This Row],[مقدار]])&lt;0,0,bargiri[[#This Row],[مبلغ ناخالص]]-(bargiri[[#This Row],[نرخ استهلاک]]*bargiri[[#This Row],[مقدار]]))</f>
        <v>170118428.58153331</v>
      </c>
    </row>
    <row r="1077" spans="1:17" s="22" customFormat="1" ht="13.8" x14ac:dyDescent="0.25">
      <c r="A1077" s="22">
        <v>463</v>
      </c>
      <c r="B1077" s="22" t="s">
        <v>871</v>
      </c>
      <c r="C1077" s="22" t="s">
        <v>72</v>
      </c>
      <c r="D1077" s="22" t="s">
        <v>73</v>
      </c>
      <c r="E1077" s="158">
        <v>20535</v>
      </c>
      <c r="F1077" s="159">
        <v>57273</v>
      </c>
      <c r="G1077" s="159">
        <v>1176101055</v>
      </c>
      <c r="H1077" s="159">
        <v>117610106</v>
      </c>
      <c r="I1077" s="159">
        <v>1293711161</v>
      </c>
      <c r="J1077" s="159" t="e">
        <f>bargiri[[#This Row],[مقدار]]*INDEX(invoice[پیش دریافت به ازای هر کیلوگرم],MATCH(bargiri[[#This Row],[شماره سند مبنا]],invoice[شماره پیش فاکتور],0))</f>
        <v>#N/A</v>
      </c>
      <c r="K1077" s="159" t="e">
        <f>bargiri[[#This Row],[مبلغ خالص]]-bargiri[[#This Row],[میزان استهلاک پیش دریافتی]]</f>
        <v>#N/A</v>
      </c>
      <c r="L1077" s="160" t="s">
        <v>593</v>
      </c>
      <c r="M1077" s="159"/>
      <c r="N1077" s="159" t="e">
        <f>IF(bargiri[[#This Row],[مبلغ واریزی]]&lt;&gt;"",bargiri[[#This Row],[مانده مبلغ]]-bargiri[[#This Row],[مبلغ واریزی]],bargiri[[#This Row],[مانده مبلغ]])</f>
        <v>#N/A</v>
      </c>
      <c r="O1077" s="159" t="s">
        <v>593</v>
      </c>
      <c r="P1077" s="159" t="e">
        <f>VLOOKUP(bargiri[[#This Row],[شماره سند مبنا]],invoice[[شماره پیش فاکتور]:[پیش دریافت به ازای هر کیلوگرم]],14,0)</f>
        <v>#N/A</v>
      </c>
      <c r="Q1077" s="159" t="e">
        <f>IF(bargiri[[#This Row],[مبلغ ناخالص]]-(bargiri[[#This Row],[نرخ استهلاک]]*bargiri[[#This Row],[مقدار]])&lt;0,0,bargiri[[#This Row],[مبلغ ناخالص]]-(bargiri[[#This Row],[نرخ استهلاک]]*bargiri[[#This Row],[مقدار]]))</f>
        <v>#N/A</v>
      </c>
    </row>
    <row r="1078" spans="1:17" s="22" customFormat="1" ht="13.8" x14ac:dyDescent="0.25">
      <c r="A1078" s="22">
        <v>462</v>
      </c>
      <c r="B1078" s="22" t="s">
        <v>871</v>
      </c>
      <c r="C1078" s="22" t="s">
        <v>72</v>
      </c>
      <c r="D1078" s="22" t="s">
        <v>73</v>
      </c>
      <c r="E1078" s="158">
        <v>20555</v>
      </c>
      <c r="F1078" s="159">
        <v>57273</v>
      </c>
      <c r="G1078" s="159">
        <v>1177246515</v>
      </c>
      <c r="H1078" s="159">
        <v>117724652</v>
      </c>
      <c r="I1078" s="159">
        <v>1294971167</v>
      </c>
      <c r="J1078" s="159" t="e">
        <f>bargiri[[#This Row],[مقدار]]*INDEX(invoice[پیش دریافت به ازای هر کیلوگرم],MATCH(bargiri[[#This Row],[شماره سند مبنا]],invoice[شماره پیش فاکتور],0))</f>
        <v>#N/A</v>
      </c>
      <c r="K1078" s="159" t="e">
        <f>bargiri[[#This Row],[مبلغ خالص]]-bargiri[[#This Row],[میزان استهلاک پیش دریافتی]]</f>
        <v>#N/A</v>
      </c>
      <c r="L1078" s="160" t="s">
        <v>593</v>
      </c>
      <c r="M1078" s="159"/>
      <c r="N1078" s="159" t="e">
        <f>IF(bargiri[[#This Row],[مبلغ واریزی]]&lt;&gt;"",bargiri[[#This Row],[مانده مبلغ]]-bargiri[[#This Row],[مبلغ واریزی]],bargiri[[#This Row],[مانده مبلغ]])</f>
        <v>#N/A</v>
      </c>
      <c r="O1078" s="159" t="s">
        <v>593</v>
      </c>
      <c r="P1078" s="159" t="e">
        <f>VLOOKUP(bargiri[[#This Row],[شماره سند مبنا]],invoice[[شماره پیش فاکتور]:[پیش دریافت به ازای هر کیلوگرم]],14,0)</f>
        <v>#N/A</v>
      </c>
      <c r="Q1078" s="159" t="e">
        <f>IF(bargiri[[#This Row],[مبلغ ناخالص]]-(bargiri[[#This Row],[نرخ استهلاک]]*bargiri[[#This Row],[مقدار]])&lt;0,0,bargiri[[#This Row],[مبلغ ناخالص]]-(bargiri[[#This Row],[نرخ استهلاک]]*bargiri[[#This Row],[مقدار]]))</f>
        <v>#N/A</v>
      </c>
    </row>
    <row r="1079" spans="1:17" s="22" customFormat="1" ht="13.8" x14ac:dyDescent="0.25">
      <c r="A1079" s="22">
        <v>461</v>
      </c>
      <c r="B1079" s="22" t="s">
        <v>871</v>
      </c>
      <c r="C1079" s="22" t="s">
        <v>187</v>
      </c>
      <c r="D1079" s="22" t="s">
        <v>43</v>
      </c>
      <c r="E1079" s="158">
        <v>22160</v>
      </c>
      <c r="F1079" s="159">
        <v>80000</v>
      </c>
      <c r="G1079" s="159">
        <v>1772800000</v>
      </c>
      <c r="H1079" s="159">
        <v>177280000</v>
      </c>
      <c r="I1079" s="159">
        <v>1950080000</v>
      </c>
      <c r="J1079" s="159">
        <f>bargiri[[#This Row],[مقدار]]*INDEX(invoice[پیش دریافت به ازای هر کیلوگرم],MATCH(bargiri[[#This Row],[شماره سند مبنا]],invoice[شماره پیش فاکتور],0))</f>
        <v>390016000</v>
      </c>
      <c r="K1079" s="159">
        <f>bargiri[[#This Row],[مبلغ خالص]]-bargiri[[#This Row],[میزان استهلاک پیش دریافتی]]</f>
        <v>1560064000</v>
      </c>
      <c r="L1079" s="160" t="s">
        <v>593</v>
      </c>
      <c r="M1079" s="159"/>
      <c r="N1079" s="159">
        <f>IF(bargiri[[#This Row],[مبلغ واریزی]]&lt;&gt;"",bargiri[[#This Row],[مانده مبلغ]]-bargiri[[#This Row],[مبلغ واریزی]],bargiri[[#This Row],[مانده مبلغ]])</f>
        <v>1560064000</v>
      </c>
      <c r="O1079" s="159" t="s">
        <v>593</v>
      </c>
      <c r="P1079" s="159">
        <f>VLOOKUP(bargiri[[#This Row],[شماره سند مبنا]],invoice[[شماره پیش فاکتور]:[پیش دریافت به ازای هر کیلوگرم]],14,0)</f>
        <v>17600</v>
      </c>
      <c r="Q1079" s="159">
        <f>IF(bargiri[[#This Row],[مبلغ ناخالص]]-(bargiri[[#This Row],[نرخ استهلاک]]*bargiri[[#This Row],[مقدار]])&lt;0,0,bargiri[[#This Row],[مبلغ ناخالص]]-(bargiri[[#This Row],[نرخ استهلاک]]*bargiri[[#This Row],[مقدار]]))</f>
        <v>1382784000</v>
      </c>
    </row>
    <row r="1080" spans="1:17" s="22" customFormat="1" ht="13.8" x14ac:dyDescent="0.25">
      <c r="A1080" s="22">
        <v>460</v>
      </c>
      <c r="B1080" s="22" t="s">
        <v>871</v>
      </c>
      <c r="C1080" s="22" t="s">
        <v>458</v>
      </c>
      <c r="D1080" s="22" t="s">
        <v>156</v>
      </c>
      <c r="E1080" s="158">
        <v>20135</v>
      </c>
      <c r="F1080" s="159">
        <v>142000</v>
      </c>
      <c r="G1080" s="159">
        <v>2859170000</v>
      </c>
      <c r="H1080" s="159">
        <v>285917000</v>
      </c>
      <c r="I1080" s="159">
        <v>3145087000</v>
      </c>
      <c r="J1080" s="159">
        <f>bargiri[[#This Row],[مقدار]]*INDEX(invoice[پیش دریافت به ازای هر کیلوگرم],MATCH(bargiri[[#This Row],[شماره سند مبنا]],invoice[شماره پیش فاکتور],0))</f>
        <v>568743253.83270705</v>
      </c>
      <c r="K1080" s="159">
        <f>bargiri[[#This Row],[مبلغ خالص]]-bargiri[[#This Row],[میزان استهلاک پیش دریافتی]]</f>
        <v>2576343746.1672931</v>
      </c>
      <c r="L1080" s="160" t="s">
        <v>593</v>
      </c>
      <c r="M1080" s="159"/>
      <c r="N1080" s="159">
        <f>IF(bargiri[[#This Row],[مبلغ واریزی]]&lt;&gt;"",bargiri[[#This Row],[مانده مبلغ]]-bargiri[[#This Row],[مبلغ واریزی]],bargiri[[#This Row],[مانده مبلغ]])</f>
        <v>2576343746.1672931</v>
      </c>
      <c r="O1080" s="159" t="s">
        <v>593</v>
      </c>
      <c r="P1080" s="159">
        <f>VLOOKUP(bargiri[[#This Row],[شماره سند مبنا]],invoice[[شماره پیش فاکتور]:[پیش دریافت به ازای هر کیلوگرم]],14,0)</f>
        <v>28246.498824569509</v>
      </c>
      <c r="Q1080" s="159">
        <f>IF(bargiri[[#This Row],[مبلغ ناخالص]]-(bargiri[[#This Row],[نرخ استهلاک]]*bargiri[[#This Row],[مقدار]])&lt;0,0,bargiri[[#This Row],[مبلغ ناخالص]]-(bargiri[[#This Row],[نرخ استهلاک]]*bargiri[[#This Row],[مقدار]]))</f>
        <v>2290426746.1672931</v>
      </c>
    </row>
    <row r="1081" spans="1:17" s="22" customFormat="1" ht="13.8" x14ac:dyDescent="0.25">
      <c r="A1081" s="22">
        <v>459</v>
      </c>
      <c r="B1081" s="22" t="s">
        <v>871</v>
      </c>
      <c r="C1081" s="22" t="s">
        <v>182</v>
      </c>
      <c r="D1081" s="22" t="s">
        <v>20</v>
      </c>
      <c r="E1081" s="158">
        <v>19005</v>
      </c>
      <c r="F1081" s="159">
        <v>86500</v>
      </c>
      <c r="G1081" s="159">
        <v>1643932500</v>
      </c>
      <c r="H1081" s="159">
        <v>164393250</v>
      </c>
      <c r="I1081" s="159">
        <v>1808325750</v>
      </c>
      <c r="J1081" s="159">
        <f>bargiri[[#This Row],[مقدار]]*INDEX(invoice[پیش دریافت به ازای هر کیلوگرم],MATCH(bargiri[[#This Row],[شماره سند مبنا]],invoice[شماره پیش فاکتور],0))</f>
        <v>246589875</v>
      </c>
      <c r="K1081" s="159">
        <f>bargiri[[#This Row],[مبلغ خالص]]-bargiri[[#This Row],[میزان استهلاک پیش دریافتی]]</f>
        <v>1561735875</v>
      </c>
      <c r="L1081" s="160" t="s">
        <v>593</v>
      </c>
      <c r="M1081" s="159"/>
      <c r="N1081" s="159">
        <f>IF(bargiri[[#This Row],[مبلغ واریزی]]&lt;&gt;"",bargiri[[#This Row],[مانده مبلغ]]-bargiri[[#This Row],[مبلغ واریزی]],bargiri[[#This Row],[مانده مبلغ]])</f>
        <v>1561735875</v>
      </c>
      <c r="O1081" s="159" t="s">
        <v>593</v>
      </c>
      <c r="P1081" s="159">
        <f>VLOOKUP(bargiri[[#This Row],[شماره سند مبنا]],invoice[[شماره پیش فاکتور]:[پیش دریافت به ازای هر کیلوگرم]],14,0)</f>
        <v>12975</v>
      </c>
      <c r="Q1081" s="159">
        <f>IF(bargiri[[#This Row],[مبلغ ناخالص]]-(bargiri[[#This Row],[نرخ استهلاک]]*bargiri[[#This Row],[مقدار]])&lt;0,0,bargiri[[#This Row],[مبلغ ناخالص]]-(bargiri[[#This Row],[نرخ استهلاک]]*bargiri[[#This Row],[مقدار]]))</f>
        <v>1397342625</v>
      </c>
    </row>
    <row r="1082" spans="1:17" s="22" customFormat="1" ht="13.8" x14ac:dyDescent="0.25">
      <c r="A1082" s="22">
        <v>458</v>
      </c>
      <c r="B1082" s="22" t="s">
        <v>872</v>
      </c>
      <c r="C1082" s="22" t="s">
        <v>216</v>
      </c>
      <c r="D1082" s="22" t="s">
        <v>67</v>
      </c>
      <c r="E1082" s="158">
        <v>10005</v>
      </c>
      <c r="F1082" s="159">
        <v>83800</v>
      </c>
      <c r="G1082" s="159">
        <v>838419000</v>
      </c>
      <c r="H1082" s="159">
        <v>83841900</v>
      </c>
      <c r="I1082" s="159">
        <v>922260900</v>
      </c>
      <c r="J1082" s="159">
        <f>bargiri[[#This Row],[مقدار]]*INDEX(invoice[پیش دریافت به ازای هر کیلوگرم],MATCH(bargiri[[#This Row],[شماره سند مبنا]],invoice[شماره پیش فاکتور],0))</f>
        <v>138339135</v>
      </c>
      <c r="K1082" s="159">
        <f>bargiri[[#This Row],[مبلغ خالص]]-bargiri[[#This Row],[میزان استهلاک پیش دریافتی]]</f>
        <v>783921765</v>
      </c>
      <c r="L1082" s="160" t="s">
        <v>593</v>
      </c>
      <c r="M1082" s="159"/>
      <c r="N1082" s="159">
        <f>IF(bargiri[[#This Row],[مبلغ واریزی]]&lt;&gt;"",bargiri[[#This Row],[مانده مبلغ]]-bargiri[[#This Row],[مبلغ واریزی]],bargiri[[#This Row],[مانده مبلغ]])</f>
        <v>783921765</v>
      </c>
      <c r="O1082" s="159" t="s">
        <v>593</v>
      </c>
      <c r="P1082" s="159">
        <f>VLOOKUP(bargiri[[#This Row],[شماره سند مبنا]],invoice[[شماره پیش فاکتور]:[پیش دریافت به ازای هر کیلوگرم]],14,0)</f>
        <v>13827</v>
      </c>
      <c r="Q1082" s="159">
        <f>IF(bargiri[[#This Row],[مبلغ ناخالص]]-(bargiri[[#This Row],[نرخ استهلاک]]*bargiri[[#This Row],[مقدار]])&lt;0,0,bargiri[[#This Row],[مبلغ ناخالص]]-(bargiri[[#This Row],[نرخ استهلاک]]*bargiri[[#This Row],[مقدار]]))</f>
        <v>700079865</v>
      </c>
    </row>
    <row r="1083" spans="1:17" s="22" customFormat="1" ht="13.8" x14ac:dyDescent="0.25">
      <c r="A1083" s="22">
        <v>458</v>
      </c>
      <c r="B1083" s="22" t="s">
        <v>872</v>
      </c>
      <c r="C1083" s="22" t="s">
        <v>215</v>
      </c>
      <c r="D1083" s="22" t="s">
        <v>67</v>
      </c>
      <c r="E1083" s="158">
        <v>10040</v>
      </c>
      <c r="F1083" s="159">
        <v>92179</v>
      </c>
      <c r="G1083" s="159">
        <v>925477160</v>
      </c>
      <c r="H1083" s="159">
        <v>92547716</v>
      </c>
      <c r="I1083" s="159">
        <v>1018024876</v>
      </c>
      <c r="J1083" s="159">
        <f>bargiri[[#This Row],[مقدار]]*INDEX(invoice[پیش دریافت به ازای هر کیلوگرم],MATCH(bargiri[[#This Row],[شماره سند مبنا]],invoice[شماره پیش فاکتور],0))</f>
        <v>152703731.40000001</v>
      </c>
      <c r="K1083" s="159">
        <f>bargiri[[#This Row],[مبلغ خالص]]-bargiri[[#This Row],[میزان استهلاک پیش دریافتی]]</f>
        <v>865321144.60000002</v>
      </c>
      <c r="L1083" s="160" t="s">
        <v>593</v>
      </c>
      <c r="M1083" s="159"/>
      <c r="N1083" s="159">
        <f>IF(bargiri[[#This Row],[مبلغ واریزی]]&lt;&gt;"",bargiri[[#This Row],[مانده مبلغ]]-bargiri[[#This Row],[مبلغ واریزی]],bargiri[[#This Row],[مانده مبلغ]])</f>
        <v>865321144.60000002</v>
      </c>
      <c r="O1083" s="159" t="s">
        <v>593</v>
      </c>
      <c r="P1083" s="159">
        <f>VLOOKUP(bargiri[[#This Row],[شماره سند مبنا]],invoice[[شماره پیش فاکتور]:[پیش دریافت به ازای هر کیلوگرم]],14,0)</f>
        <v>15209.535</v>
      </c>
      <c r="Q1083" s="159">
        <f>IF(bargiri[[#This Row],[مبلغ ناخالص]]-(bargiri[[#This Row],[نرخ استهلاک]]*bargiri[[#This Row],[مقدار]])&lt;0,0,bargiri[[#This Row],[مبلغ ناخالص]]-(bargiri[[#This Row],[نرخ استهلاک]]*bargiri[[#This Row],[مقدار]]))</f>
        <v>772773428.60000002</v>
      </c>
    </row>
    <row r="1084" spans="1:17" s="22" customFormat="1" ht="13.8" x14ac:dyDescent="0.25">
      <c r="A1084" s="22">
        <v>457</v>
      </c>
      <c r="B1084" s="22" t="s">
        <v>872</v>
      </c>
      <c r="C1084" s="22" t="s">
        <v>464</v>
      </c>
      <c r="D1084" s="22" t="s">
        <v>221</v>
      </c>
      <c r="E1084" s="158">
        <v>14210</v>
      </c>
      <c r="F1084" s="159">
        <v>142000</v>
      </c>
      <c r="G1084" s="159">
        <v>2017820000</v>
      </c>
      <c r="H1084" s="159">
        <v>201782000</v>
      </c>
      <c r="I1084" s="159">
        <v>2219602000</v>
      </c>
      <c r="J1084" s="159">
        <f>bargiri[[#This Row],[مقدار]]*INDEX(invoice[پیش دریافت به ازای هر کیلوگرم],MATCH(bargiri[[#This Row],[شماره سند مبنا]],invoice[شماره پیش فاکتور],0))</f>
        <v>332940300</v>
      </c>
      <c r="K1084" s="159">
        <f>bargiri[[#This Row],[مبلغ خالص]]-bargiri[[#This Row],[میزان استهلاک پیش دریافتی]]</f>
        <v>1886661700</v>
      </c>
      <c r="L1084" s="160" t="s">
        <v>593</v>
      </c>
      <c r="M1084" s="159"/>
      <c r="N1084" s="159">
        <f>IF(bargiri[[#This Row],[مبلغ واریزی]]&lt;&gt;"",bargiri[[#This Row],[مانده مبلغ]]-bargiri[[#This Row],[مبلغ واریزی]],bargiri[[#This Row],[مانده مبلغ]])</f>
        <v>1886661700</v>
      </c>
      <c r="O1084" s="159" t="s">
        <v>593</v>
      </c>
      <c r="P1084" s="159">
        <f>VLOOKUP(bargiri[[#This Row],[شماره سند مبنا]],invoice[[شماره پیش فاکتور]:[پیش دریافت به ازای هر کیلوگرم]],14,0)</f>
        <v>23430</v>
      </c>
      <c r="Q1084" s="159">
        <f>IF(bargiri[[#This Row],[مبلغ ناخالص]]-(bargiri[[#This Row],[نرخ استهلاک]]*bargiri[[#This Row],[مقدار]])&lt;0,0,bargiri[[#This Row],[مبلغ ناخالص]]-(bargiri[[#This Row],[نرخ استهلاک]]*bargiri[[#This Row],[مقدار]]))</f>
        <v>1684879700</v>
      </c>
    </row>
    <row r="1085" spans="1:17" s="22" customFormat="1" ht="13.8" x14ac:dyDescent="0.25">
      <c r="A1085" s="22">
        <v>456</v>
      </c>
      <c r="B1085" s="22" t="s">
        <v>872</v>
      </c>
      <c r="C1085" s="22" t="s">
        <v>614</v>
      </c>
      <c r="D1085" s="22" t="s">
        <v>17</v>
      </c>
      <c r="E1085" s="158">
        <v>19805</v>
      </c>
      <c r="F1085" s="159">
        <v>151200</v>
      </c>
      <c r="G1085" s="159">
        <v>2994516000</v>
      </c>
      <c r="H1085" s="159">
        <v>299451600</v>
      </c>
      <c r="I1085" s="159">
        <v>3293967600</v>
      </c>
      <c r="J1085" s="159">
        <f>bargiri[[#This Row],[مقدار]]*INDEX(invoice[پیش دریافت به ازای هر کیلوگرم],MATCH(bargiri[[#This Row],[شماره سند مبنا]],invoice[شماره پیش فاکتور],0))</f>
        <v>494095140</v>
      </c>
      <c r="K1085" s="159">
        <f>bargiri[[#This Row],[مبلغ خالص]]-bargiri[[#This Row],[میزان استهلاک پیش دریافتی]]</f>
        <v>2799872460</v>
      </c>
      <c r="L1085" s="160" t="s">
        <v>593</v>
      </c>
      <c r="M1085" s="159"/>
      <c r="N1085" s="159">
        <f>IF(bargiri[[#This Row],[مبلغ واریزی]]&lt;&gt;"",bargiri[[#This Row],[مانده مبلغ]]-bargiri[[#This Row],[مبلغ واریزی]],bargiri[[#This Row],[مانده مبلغ]])</f>
        <v>2799872460</v>
      </c>
      <c r="O1085" s="159" t="s">
        <v>593</v>
      </c>
      <c r="P1085" s="159">
        <f>VLOOKUP(bargiri[[#This Row],[شماره سند مبنا]],invoice[[شماره پیش فاکتور]:[پیش دریافت به ازای هر کیلوگرم]],14,0)</f>
        <v>24948</v>
      </c>
      <c r="Q1085" s="159">
        <f>IF(bargiri[[#This Row],[مبلغ ناخالص]]-(bargiri[[#This Row],[نرخ استهلاک]]*bargiri[[#This Row],[مقدار]])&lt;0,0,bargiri[[#This Row],[مبلغ ناخالص]]-(bargiri[[#This Row],[نرخ استهلاک]]*bargiri[[#This Row],[مقدار]]))</f>
        <v>2500420860</v>
      </c>
    </row>
    <row r="1086" spans="1:17" s="22" customFormat="1" ht="13.8" x14ac:dyDescent="0.25">
      <c r="A1086" s="22">
        <v>456</v>
      </c>
      <c r="B1086" s="22" t="s">
        <v>872</v>
      </c>
      <c r="C1086" s="22" t="s">
        <v>864</v>
      </c>
      <c r="D1086" s="22" t="s">
        <v>17</v>
      </c>
      <c r="E1086" s="158">
        <v>2430</v>
      </c>
      <c r="F1086" s="159">
        <v>151200</v>
      </c>
      <c r="G1086" s="159">
        <v>367416000</v>
      </c>
      <c r="H1086" s="159">
        <v>36741600</v>
      </c>
      <c r="I1086" s="159">
        <v>404157600</v>
      </c>
      <c r="J1086" s="159">
        <f>bargiri[[#This Row],[مقدار]]*INDEX(invoice[پیش دریافت به ازای هر کیلوگرم],MATCH(bargiri[[#This Row],[شماره سند مبنا]],invoice[شماره پیش فاکتور],0))</f>
        <v>60623640</v>
      </c>
      <c r="K1086" s="159">
        <f>bargiri[[#This Row],[مبلغ خالص]]-bargiri[[#This Row],[میزان استهلاک پیش دریافتی]]</f>
        <v>343533960</v>
      </c>
      <c r="L1086" s="160" t="s">
        <v>593</v>
      </c>
      <c r="M1086" s="159"/>
      <c r="N1086" s="159">
        <f>IF(bargiri[[#This Row],[مبلغ واریزی]]&lt;&gt;"",bargiri[[#This Row],[مانده مبلغ]]-bargiri[[#This Row],[مبلغ واریزی]],bargiri[[#This Row],[مانده مبلغ]])</f>
        <v>343533960</v>
      </c>
      <c r="O1086" s="159" t="s">
        <v>593</v>
      </c>
      <c r="P1086" s="159">
        <f>VLOOKUP(bargiri[[#This Row],[شماره سند مبنا]],invoice[[شماره پیش فاکتور]:[پیش دریافت به ازای هر کیلوگرم]],14,0)</f>
        <v>24948</v>
      </c>
      <c r="Q1086" s="159">
        <f>IF(bargiri[[#This Row],[مبلغ ناخالص]]-(bargiri[[#This Row],[نرخ استهلاک]]*bargiri[[#This Row],[مقدار]])&lt;0,0,bargiri[[#This Row],[مبلغ ناخالص]]-(bargiri[[#This Row],[نرخ استهلاک]]*bargiri[[#This Row],[مقدار]]))</f>
        <v>306792360</v>
      </c>
    </row>
    <row r="1087" spans="1:17" s="22" customFormat="1" ht="13.8" x14ac:dyDescent="0.25">
      <c r="A1087" s="22">
        <v>455</v>
      </c>
      <c r="B1087" s="22" t="s">
        <v>873</v>
      </c>
      <c r="C1087" s="22" t="s">
        <v>182</v>
      </c>
      <c r="D1087" s="22" t="s">
        <v>20</v>
      </c>
      <c r="E1087" s="158">
        <v>19125</v>
      </c>
      <c r="F1087" s="159">
        <v>86500</v>
      </c>
      <c r="G1087" s="159">
        <v>1654312500</v>
      </c>
      <c r="H1087" s="159">
        <v>165431250</v>
      </c>
      <c r="I1087" s="159">
        <v>1819743750</v>
      </c>
      <c r="J1087" s="159">
        <f>bargiri[[#This Row],[مقدار]]*INDEX(invoice[پیش دریافت به ازای هر کیلوگرم],MATCH(bargiri[[#This Row],[شماره سند مبنا]],invoice[شماره پیش فاکتور],0))</f>
        <v>248146875</v>
      </c>
      <c r="K1087" s="159">
        <f>bargiri[[#This Row],[مبلغ خالص]]-bargiri[[#This Row],[میزان استهلاک پیش دریافتی]]</f>
        <v>1571596875</v>
      </c>
      <c r="L1087" s="160" t="s">
        <v>593</v>
      </c>
      <c r="M1087" s="159"/>
      <c r="N1087" s="159">
        <f>IF(bargiri[[#This Row],[مبلغ واریزی]]&lt;&gt;"",bargiri[[#This Row],[مانده مبلغ]]-bargiri[[#This Row],[مبلغ واریزی]],bargiri[[#This Row],[مانده مبلغ]])</f>
        <v>1571596875</v>
      </c>
      <c r="O1087" s="159" t="s">
        <v>593</v>
      </c>
      <c r="P1087" s="159">
        <f>VLOOKUP(bargiri[[#This Row],[شماره سند مبنا]],invoice[[شماره پیش فاکتور]:[پیش دریافت به ازای هر کیلوگرم]],14,0)</f>
        <v>12975</v>
      </c>
      <c r="Q1087" s="159">
        <f>IF(bargiri[[#This Row],[مبلغ ناخالص]]-(bargiri[[#This Row],[نرخ استهلاک]]*bargiri[[#This Row],[مقدار]])&lt;0,0,bargiri[[#This Row],[مبلغ ناخالص]]-(bargiri[[#This Row],[نرخ استهلاک]]*bargiri[[#This Row],[مقدار]]))</f>
        <v>1406165625</v>
      </c>
    </row>
    <row r="1088" spans="1:17" s="22" customFormat="1" ht="13.8" x14ac:dyDescent="0.25">
      <c r="A1088" s="22">
        <v>454</v>
      </c>
      <c r="B1088" s="22" t="s">
        <v>873</v>
      </c>
      <c r="C1088" s="22" t="s">
        <v>608</v>
      </c>
      <c r="D1088" s="22" t="s">
        <v>40</v>
      </c>
      <c r="E1088" s="158">
        <v>16910</v>
      </c>
      <c r="F1088" s="159">
        <v>142000</v>
      </c>
      <c r="G1088" s="159">
        <v>2401220000</v>
      </c>
      <c r="H1088" s="159">
        <v>240122000</v>
      </c>
      <c r="I1088" s="159">
        <v>2641342000</v>
      </c>
      <c r="J1088" s="159">
        <f>bargiri[[#This Row],[مقدار]]*INDEX(invoice[پیش دریافت به ازای هر کیلوگرم],MATCH(bargiri[[#This Row],[شماره سند مبنا]],invoice[شماره پیش فاکتور],0))</f>
        <v>396201300</v>
      </c>
      <c r="K1088" s="159">
        <f>bargiri[[#This Row],[مبلغ خالص]]-bargiri[[#This Row],[میزان استهلاک پیش دریافتی]]</f>
        <v>2245140700</v>
      </c>
      <c r="L1088" s="160" t="s">
        <v>593</v>
      </c>
      <c r="M1088" s="159"/>
      <c r="N1088" s="159">
        <f>IF(bargiri[[#This Row],[مبلغ واریزی]]&lt;&gt;"",bargiri[[#This Row],[مانده مبلغ]]-bargiri[[#This Row],[مبلغ واریزی]],bargiri[[#This Row],[مانده مبلغ]])</f>
        <v>2245140700</v>
      </c>
      <c r="O1088" s="159" t="s">
        <v>593</v>
      </c>
      <c r="P1088" s="159">
        <f>VLOOKUP(bargiri[[#This Row],[شماره سند مبنا]],invoice[[شماره پیش فاکتور]:[پیش دریافت به ازای هر کیلوگرم]],14,0)</f>
        <v>23430</v>
      </c>
      <c r="Q1088" s="159">
        <f>IF(bargiri[[#This Row],[مبلغ ناخالص]]-(bargiri[[#This Row],[نرخ استهلاک]]*bargiri[[#This Row],[مقدار]])&lt;0,0,bargiri[[#This Row],[مبلغ ناخالص]]-(bargiri[[#This Row],[نرخ استهلاک]]*bargiri[[#This Row],[مقدار]]))</f>
        <v>2005018700</v>
      </c>
    </row>
    <row r="1089" spans="1:17" s="22" customFormat="1" ht="13.8" x14ac:dyDescent="0.25">
      <c r="A1089" s="22">
        <v>453</v>
      </c>
      <c r="B1089" s="22" t="s">
        <v>873</v>
      </c>
      <c r="C1089" s="22" t="s">
        <v>182</v>
      </c>
      <c r="D1089" s="22" t="s">
        <v>20</v>
      </c>
      <c r="E1089" s="158">
        <v>7045</v>
      </c>
      <c r="F1089" s="159">
        <v>86500</v>
      </c>
      <c r="G1089" s="159">
        <v>609392500</v>
      </c>
      <c r="H1089" s="159">
        <v>60939250</v>
      </c>
      <c r="I1089" s="159">
        <v>670331750</v>
      </c>
      <c r="J1089" s="159">
        <f>bargiri[[#This Row],[مقدار]]*INDEX(invoice[پیش دریافت به ازای هر کیلوگرم],MATCH(bargiri[[#This Row],[شماره سند مبنا]],invoice[شماره پیش فاکتور],0))</f>
        <v>91408875</v>
      </c>
      <c r="K1089" s="159">
        <f>bargiri[[#This Row],[مبلغ خالص]]-bargiri[[#This Row],[میزان استهلاک پیش دریافتی]]</f>
        <v>578922875</v>
      </c>
      <c r="L1089" s="160" t="s">
        <v>593</v>
      </c>
      <c r="M1089" s="159"/>
      <c r="N1089" s="159">
        <f>IF(bargiri[[#This Row],[مبلغ واریزی]]&lt;&gt;"",bargiri[[#This Row],[مانده مبلغ]]-bargiri[[#This Row],[مبلغ واریزی]],bargiri[[#This Row],[مانده مبلغ]])</f>
        <v>578922875</v>
      </c>
      <c r="O1089" s="159" t="s">
        <v>593</v>
      </c>
      <c r="P1089" s="159">
        <f>VLOOKUP(bargiri[[#This Row],[شماره سند مبنا]],invoice[[شماره پیش فاکتور]:[پیش دریافت به ازای هر کیلوگرم]],14,0)</f>
        <v>12975</v>
      </c>
      <c r="Q1089" s="159">
        <f>IF(bargiri[[#This Row],[مبلغ ناخالص]]-(bargiri[[#This Row],[نرخ استهلاک]]*bargiri[[#This Row],[مقدار]])&lt;0,0,bargiri[[#This Row],[مبلغ ناخالص]]-(bargiri[[#This Row],[نرخ استهلاک]]*bargiri[[#This Row],[مقدار]]))</f>
        <v>517983625</v>
      </c>
    </row>
    <row r="1090" spans="1:17" s="22" customFormat="1" ht="13.8" x14ac:dyDescent="0.25">
      <c r="A1090" s="22">
        <v>452</v>
      </c>
      <c r="B1090" s="22" t="s">
        <v>873</v>
      </c>
      <c r="C1090" s="22" t="s">
        <v>456</v>
      </c>
      <c r="D1090" s="22" t="s">
        <v>213</v>
      </c>
      <c r="E1090" s="158">
        <v>20005</v>
      </c>
      <c r="F1090" s="159">
        <v>142000</v>
      </c>
      <c r="G1090" s="159">
        <v>2840710000</v>
      </c>
      <c r="H1090" s="159">
        <v>284071000</v>
      </c>
      <c r="I1090" s="159">
        <v>3124781000</v>
      </c>
      <c r="J1090" s="159">
        <f>bargiri[[#This Row],[مقدار]]*INDEX(invoice[پیش دریافت به ازای هر کیلوگرم],MATCH(bargiri[[#This Row],[شماره سند مبنا]],invoice[شماره پیش فاکتور],0))</f>
        <v>2373876095.5043111</v>
      </c>
      <c r="K1090" s="159">
        <f>bargiri[[#This Row],[مبلغ خالص]]-bargiri[[#This Row],[میزان استهلاک پیش دریافتی]]</f>
        <v>750904904.49568892</v>
      </c>
      <c r="L1090" s="160" t="s">
        <v>593</v>
      </c>
      <c r="M1090" s="159"/>
      <c r="N1090" s="159">
        <f>IF(bargiri[[#This Row],[مبلغ واریزی]]&lt;&gt;"",bargiri[[#This Row],[مانده مبلغ]]-bargiri[[#This Row],[مبلغ واریزی]],bargiri[[#This Row],[مانده مبلغ]])</f>
        <v>750904904.49568892</v>
      </c>
      <c r="O1090" s="159" t="s">
        <v>593</v>
      </c>
      <c r="P1090" s="159">
        <f>VLOOKUP(bargiri[[#This Row],[شماره سند مبنا]],invoice[[شماره پیش فاکتور]:[پیش دریافت به ازای هر کیلوگرم]],14,0)</f>
        <v>118664.13874053041</v>
      </c>
      <c r="Q1090" s="159">
        <f>IF(bargiri[[#This Row],[مبلغ ناخالص]]-(bargiri[[#This Row],[نرخ استهلاک]]*bargiri[[#This Row],[مقدار]])&lt;0,0,bargiri[[#This Row],[مبلغ ناخالص]]-(bargiri[[#This Row],[نرخ استهلاک]]*bargiri[[#This Row],[مقدار]]))</f>
        <v>466833904.49568892</v>
      </c>
    </row>
    <row r="1091" spans="1:17" s="22" customFormat="1" ht="13.8" x14ac:dyDescent="0.25">
      <c r="A1091" s="22">
        <v>451</v>
      </c>
      <c r="B1091" s="22" t="s">
        <v>873</v>
      </c>
      <c r="C1091" s="22" t="s">
        <v>461</v>
      </c>
      <c r="D1091" s="22" t="s">
        <v>35</v>
      </c>
      <c r="E1091" s="158">
        <v>7535</v>
      </c>
      <c r="F1091" s="159">
        <v>142000</v>
      </c>
      <c r="G1091" s="159">
        <v>1069970000</v>
      </c>
      <c r="H1091" s="159">
        <v>106997000</v>
      </c>
      <c r="I1091" s="159">
        <v>1176967000</v>
      </c>
      <c r="J1091" s="159">
        <f>bargiri[[#This Row],[مقدار]]*INDEX(invoice[پیش دریافت به ازای هر کیلوگرم],MATCH(bargiri[[#This Row],[شماره سند مبنا]],invoice[شماره پیش فاکتور],0))</f>
        <v>247285525.79237241</v>
      </c>
      <c r="K1091" s="159">
        <f>bargiri[[#This Row],[مبلغ خالص]]-bargiri[[#This Row],[میزان استهلاک پیش دریافتی]]</f>
        <v>929681474.20762753</v>
      </c>
      <c r="L1091" s="160" t="s">
        <v>593</v>
      </c>
      <c r="M1091" s="159"/>
      <c r="N1091" s="159">
        <f>IF(bargiri[[#This Row],[مبلغ واریزی]]&lt;&gt;"",bargiri[[#This Row],[مانده مبلغ]]-bargiri[[#This Row],[مبلغ واریزی]],bargiri[[#This Row],[مانده مبلغ]])</f>
        <v>929681474.20762753</v>
      </c>
      <c r="O1091" s="159" t="s">
        <v>593</v>
      </c>
      <c r="P1091" s="159">
        <f>VLOOKUP(bargiri[[#This Row],[شماره سند مبنا]],invoice[[شماره پیش فاکتور]:[پیش دریافت به ازای هر کیلوگرم]],14,0)</f>
        <v>32818.251598191426</v>
      </c>
      <c r="Q1091" s="159">
        <f>IF(bargiri[[#This Row],[مبلغ ناخالص]]-(bargiri[[#This Row],[نرخ استهلاک]]*bargiri[[#This Row],[مقدار]])&lt;0,0,bargiri[[#This Row],[مبلغ ناخالص]]-(bargiri[[#This Row],[نرخ استهلاک]]*bargiri[[#This Row],[مقدار]]))</f>
        <v>822684474.20762753</v>
      </c>
    </row>
    <row r="1092" spans="1:17" s="22" customFormat="1" ht="13.8" x14ac:dyDescent="0.25">
      <c r="A1092" s="22">
        <v>450</v>
      </c>
      <c r="B1092" s="22" t="s">
        <v>873</v>
      </c>
      <c r="C1092" s="22" t="s">
        <v>461</v>
      </c>
      <c r="D1092" s="22" t="s">
        <v>35</v>
      </c>
      <c r="E1092" s="158">
        <v>7250</v>
      </c>
      <c r="F1092" s="159">
        <v>142000</v>
      </c>
      <c r="G1092" s="159">
        <v>1029500000</v>
      </c>
      <c r="H1092" s="159">
        <v>102950000</v>
      </c>
      <c r="I1092" s="159">
        <v>1132450000</v>
      </c>
      <c r="J1092" s="159">
        <f>bargiri[[#This Row],[مقدار]]*INDEX(invoice[پیش دریافت به ازای هر کیلوگرم],MATCH(bargiri[[#This Row],[شماره سند مبنا]],invoice[شماره پیش فاکتور],0))</f>
        <v>237932324.08688784</v>
      </c>
      <c r="K1092" s="159">
        <f>bargiri[[#This Row],[مبلغ خالص]]-bargiri[[#This Row],[میزان استهلاک پیش دریافتی]]</f>
        <v>894517675.91311216</v>
      </c>
      <c r="L1092" s="160" t="s">
        <v>593</v>
      </c>
      <c r="M1092" s="159"/>
      <c r="N1092" s="159">
        <f>IF(bargiri[[#This Row],[مبلغ واریزی]]&lt;&gt;"",bargiri[[#This Row],[مانده مبلغ]]-bargiri[[#This Row],[مبلغ واریزی]],bargiri[[#This Row],[مانده مبلغ]])</f>
        <v>894517675.91311216</v>
      </c>
      <c r="O1092" s="159" t="s">
        <v>593</v>
      </c>
      <c r="P1092" s="159">
        <f>VLOOKUP(bargiri[[#This Row],[شماره سند مبنا]],invoice[[شماره پیش فاکتور]:[پیش دریافت به ازای هر کیلوگرم]],14,0)</f>
        <v>32818.251598191426</v>
      </c>
      <c r="Q1092" s="159">
        <f>IF(bargiri[[#This Row],[مبلغ ناخالص]]-(bargiri[[#This Row],[نرخ استهلاک]]*bargiri[[#This Row],[مقدار]])&lt;0,0,bargiri[[#This Row],[مبلغ ناخالص]]-(bargiri[[#This Row],[نرخ استهلاک]]*bargiri[[#This Row],[مقدار]]))</f>
        <v>791567675.91311216</v>
      </c>
    </row>
    <row r="1093" spans="1:17" s="22" customFormat="1" ht="13.8" x14ac:dyDescent="0.25">
      <c r="A1093" s="22">
        <v>449</v>
      </c>
      <c r="B1093" s="22" t="s">
        <v>874</v>
      </c>
      <c r="C1093" s="22" t="s">
        <v>216</v>
      </c>
      <c r="D1093" s="22" t="s">
        <v>67</v>
      </c>
      <c r="E1093" s="158">
        <v>19990</v>
      </c>
      <c r="F1093" s="159">
        <v>83800</v>
      </c>
      <c r="G1093" s="159">
        <v>1675162000</v>
      </c>
      <c r="H1093" s="159">
        <v>167516200</v>
      </c>
      <c r="I1093" s="159">
        <v>1842678200</v>
      </c>
      <c r="J1093" s="159">
        <f>bargiri[[#This Row],[مقدار]]*INDEX(invoice[پیش دریافت به ازای هر کیلوگرم],MATCH(bargiri[[#This Row],[شماره سند مبنا]],invoice[شماره پیش فاکتور],0))</f>
        <v>276401730</v>
      </c>
      <c r="K1093" s="159">
        <f>bargiri[[#This Row],[مبلغ خالص]]-bargiri[[#This Row],[میزان استهلاک پیش دریافتی]]</f>
        <v>1566276470</v>
      </c>
      <c r="L1093" s="160" t="s">
        <v>593</v>
      </c>
      <c r="M1093" s="159"/>
      <c r="N1093" s="159">
        <f>IF(bargiri[[#This Row],[مبلغ واریزی]]&lt;&gt;"",bargiri[[#This Row],[مانده مبلغ]]-bargiri[[#This Row],[مبلغ واریزی]],bargiri[[#This Row],[مانده مبلغ]])</f>
        <v>1566276470</v>
      </c>
      <c r="O1093" s="159" t="s">
        <v>593</v>
      </c>
      <c r="P1093" s="159">
        <f>VLOOKUP(bargiri[[#This Row],[شماره سند مبنا]],invoice[[شماره پیش فاکتور]:[پیش دریافت به ازای هر کیلوگرم]],14,0)</f>
        <v>13827</v>
      </c>
      <c r="Q1093" s="159">
        <f>IF(bargiri[[#This Row],[مبلغ ناخالص]]-(bargiri[[#This Row],[نرخ استهلاک]]*bargiri[[#This Row],[مقدار]])&lt;0,0,bargiri[[#This Row],[مبلغ ناخالص]]-(bargiri[[#This Row],[نرخ استهلاک]]*bargiri[[#This Row],[مقدار]]))</f>
        <v>1398760270</v>
      </c>
    </row>
    <row r="1094" spans="1:17" s="22" customFormat="1" ht="13.8" x14ac:dyDescent="0.25">
      <c r="A1094" s="22">
        <v>448</v>
      </c>
      <c r="B1094" s="22" t="s">
        <v>874</v>
      </c>
      <c r="C1094" s="22" t="s">
        <v>216</v>
      </c>
      <c r="D1094" s="22" t="s">
        <v>67</v>
      </c>
      <c r="E1094" s="158">
        <v>20005</v>
      </c>
      <c r="F1094" s="159">
        <v>83800</v>
      </c>
      <c r="G1094" s="159">
        <v>1676419000</v>
      </c>
      <c r="H1094" s="159">
        <v>167641900</v>
      </c>
      <c r="I1094" s="159">
        <v>1844060900</v>
      </c>
      <c r="J1094" s="159">
        <f>bargiri[[#This Row],[مقدار]]*INDEX(invoice[پیش دریافت به ازای هر کیلوگرم],MATCH(bargiri[[#This Row],[شماره سند مبنا]],invoice[شماره پیش فاکتور],0))</f>
        <v>276609135</v>
      </c>
      <c r="K1094" s="159">
        <f>bargiri[[#This Row],[مبلغ خالص]]-bargiri[[#This Row],[میزان استهلاک پیش دریافتی]]</f>
        <v>1567451765</v>
      </c>
      <c r="L1094" s="160" t="s">
        <v>593</v>
      </c>
      <c r="M1094" s="159"/>
      <c r="N1094" s="159">
        <f>IF(bargiri[[#This Row],[مبلغ واریزی]]&lt;&gt;"",bargiri[[#This Row],[مانده مبلغ]]-bargiri[[#This Row],[مبلغ واریزی]],bargiri[[#This Row],[مانده مبلغ]])</f>
        <v>1567451765</v>
      </c>
      <c r="O1094" s="159" t="s">
        <v>593</v>
      </c>
      <c r="P1094" s="159">
        <f>VLOOKUP(bargiri[[#This Row],[شماره سند مبنا]],invoice[[شماره پیش فاکتور]:[پیش دریافت به ازای هر کیلوگرم]],14,0)</f>
        <v>13827</v>
      </c>
      <c r="Q1094" s="159">
        <f>IF(bargiri[[#This Row],[مبلغ ناخالص]]-(bargiri[[#This Row],[نرخ استهلاک]]*bargiri[[#This Row],[مقدار]])&lt;0,0,bargiri[[#This Row],[مبلغ ناخالص]]-(bargiri[[#This Row],[نرخ استهلاک]]*bargiri[[#This Row],[مقدار]]))</f>
        <v>1399809865</v>
      </c>
    </row>
    <row r="1095" spans="1:17" s="22" customFormat="1" ht="13.8" x14ac:dyDescent="0.25">
      <c r="A1095" s="22">
        <v>447</v>
      </c>
      <c r="B1095" s="22" t="s">
        <v>874</v>
      </c>
      <c r="C1095" s="22" t="s">
        <v>72</v>
      </c>
      <c r="D1095" s="22" t="s">
        <v>73</v>
      </c>
      <c r="E1095" s="158">
        <v>20940</v>
      </c>
      <c r="F1095" s="159">
        <v>57273</v>
      </c>
      <c r="G1095" s="159">
        <v>1199296620</v>
      </c>
      <c r="H1095" s="159">
        <v>119929662</v>
      </c>
      <c r="I1095" s="159">
        <v>1319226282</v>
      </c>
      <c r="J1095" s="159" t="e">
        <f>bargiri[[#This Row],[مقدار]]*INDEX(invoice[پیش دریافت به ازای هر کیلوگرم],MATCH(bargiri[[#This Row],[شماره سند مبنا]],invoice[شماره پیش فاکتور],0))</f>
        <v>#N/A</v>
      </c>
      <c r="K1095" s="159" t="e">
        <f>bargiri[[#This Row],[مبلغ خالص]]-bargiri[[#This Row],[میزان استهلاک پیش دریافتی]]</f>
        <v>#N/A</v>
      </c>
      <c r="L1095" s="160" t="s">
        <v>593</v>
      </c>
      <c r="M1095" s="159"/>
      <c r="N1095" s="159" t="e">
        <f>IF(bargiri[[#This Row],[مبلغ واریزی]]&lt;&gt;"",bargiri[[#This Row],[مانده مبلغ]]-bargiri[[#This Row],[مبلغ واریزی]],bargiri[[#This Row],[مانده مبلغ]])</f>
        <v>#N/A</v>
      </c>
      <c r="O1095" s="159" t="s">
        <v>593</v>
      </c>
      <c r="P1095" s="159" t="e">
        <f>VLOOKUP(bargiri[[#This Row],[شماره سند مبنا]],invoice[[شماره پیش فاکتور]:[پیش دریافت به ازای هر کیلوگرم]],14,0)</f>
        <v>#N/A</v>
      </c>
      <c r="Q1095" s="159" t="e">
        <f>IF(bargiri[[#This Row],[مبلغ ناخالص]]-(bargiri[[#This Row],[نرخ استهلاک]]*bargiri[[#This Row],[مقدار]])&lt;0,0,bargiri[[#This Row],[مبلغ ناخالص]]-(bargiri[[#This Row],[نرخ استهلاک]]*bargiri[[#This Row],[مقدار]]))</f>
        <v>#N/A</v>
      </c>
    </row>
    <row r="1096" spans="1:17" s="22" customFormat="1" ht="13.8" x14ac:dyDescent="0.25">
      <c r="A1096" s="22">
        <v>446</v>
      </c>
      <c r="B1096" s="22" t="s">
        <v>874</v>
      </c>
      <c r="C1096" s="22" t="s">
        <v>72</v>
      </c>
      <c r="D1096" s="22" t="s">
        <v>73</v>
      </c>
      <c r="E1096" s="158">
        <v>20510</v>
      </c>
      <c r="F1096" s="159">
        <v>57273</v>
      </c>
      <c r="G1096" s="159">
        <v>1174669230</v>
      </c>
      <c r="H1096" s="159">
        <v>117466923</v>
      </c>
      <c r="I1096" s="159">
        <v>1292136153</v>
      </c>
      <c r="J1096" s="159" t="e">
        <f>bargiri[[#This Row],[مقدار]]*INDEX(invoice[پیش دریافت به ازای هر کیلوگرم],MATCH(bargiri[[#This Row],[شماره سند مبنا]],invoice[شماره پیش فاکتور],0))</f>
        <v>#N/A</v>
      </c>
      <c r="K1096" s="159" t="e">
        <f>bargiri[[#This Row],[مبلغ خالص]]-bargiri[[#This Row],[میزان استهلاک پیش دریافتی]]</f>
        <v>#N/A</v>
      </c>
      <c r="L1096" s="160" t="s">
        <v>593</v>
      </c>
      <c r="M1096" s="159"/>
      <c r="N1096" s="159" t="e">
        <f>IF(bargiri[[#This Row],[مبلغ واریزی]]&lt;&gt;"",bargiri[[#This Row],[مانده مبلغ]]-bargiri[[#This Row],[مبلغ واریزی]],bargiri[[#This Row],[مانده مبلغ]])</f>
        <v>#N/A</v>
      </c>
      <c r="O1096" s="159" t="s">
        <v>593</v>
      </c>
      <c r="P1096" s="159" t="e">
        <f>VLOOKUP(bargiri[[#This Row],[شماره سند مبنا]],invoice[[شماره پیش فاکتور]:[پیش دریافت به ازای هر کیلوگرم]],14,0)</f>
        <v>#N/A</v>
      </c>
      <c r="Q1096" s="159" t="e">
        <f>IF(bargiri[[#This Row],[مبلغ ناخالص]]-(bargiri[[#This Row],[نرخ استهلاک]]*bargiri[[#This Row],[مقدار]])&lt;0,0,bargiri[[#This Row],[مبلغ ناخالص]]-(bargiri[[#This Row],[نرخ استهلاک]]*bargiri[[#This Row],[مقدار]]))</f>
        <v>#N/A</v>
      </c>
    </row>
    <row r="1097" spans="1:17" s="22" customFormat="1" ht="13.8" x14ac:dyDescent="0.25">
      <c r="A1097" s="22">
        <v>445</v>
      </c>
      <c r="B1097" s="22" t="s">
        <v>874</v>
      </c>
      <c r="C1097" s="22" t="s">
        <v>72</v>
      </c>
      <c r="D1097" s="22" t="s">
        <v>73</v>
      </c>
      <c r="E1097" s="158">
        <v>20695</v>
      </c>
      <c r="F1097" s="159">
        <v>57273</v>
      </c>
      <c r="G1097" s="159">
        <v>1185264735</v>
      </c>
      <c r="H1097" s="159">
        <v>118526474</v>
      </c>
      <c r="I1097" s="159">
        <v>1303791209</v>
      </c>
      <c r="J1097" s="159" t="e">
        <f>bargiri[[#This Row],[مقدار]]*INDEX(invoice[پیش دریافت به ازای هر کیلوگرم],MATCH(bargiri[[#This Row],[شماره سند مبنا]],invoice[شماره پیش فاکتور],0))</f>
        <v>#N/A</v>
      </c>
      <c r="K1097" s="159" t="e">
        <f>bargiri[[#This Row],[مبلغ خالص]]-bargiri[[#This Row],[میزان استهلاک پیش دریافتی]]</f>
        <v>#N/A</v>
      </c>
      <c r="L1097" s="160" t="s">
        <v>593</v>
      </c>
      <c r="M1097" s="159"/>
      <c r="N1097" s="159" t="e">
        <f>IF(bargiri[[#This Row],[مبلغ واریزی]]&lt;&gt;"",bargiri[[#This Row],[مانده مبلغ]]-bargiri[[#This Row],[مبلغ واریزی]],bargiri[[#This Row],[مانده مبلغ]])</f>
        <v>#N/A</v>
      </c>
      <c r="O1097" s="159" t="s">
        <v>593</v>
      </c>
      <c r="P1097" s="159" t="e">
        <f>VLOOKUP(bargiri[[#This Row],[شماره سند مبنا]],invoice[[شماره پیش فاکتور]:[پیش دریافت به ازای هر کیلوگرم]],14,0)</f>
        <v>#N/A</v>
      </c>
      <c r="Q1097" s="159" t="e">
        <f>IF(bargiri[[#This Row],[مبلغ ناخالص]]-(bargiri[[#This Row],[نرخ استهلاک]]*bargiri[[#This Row],[مقدار]])&lt;0,0,bargiri[[#This Row],[مبلغ ناخالص]]-(bargiri[[#This Row],[نرخ استهلاک]]*bargiri[[#This Row],[مقدار]]))</f>
        <v>#N/A</v>
      </c>
    </row>
    <row r="1098" spans="1:17" s="22" customFormat="1" ht="13.8" x14ac:dyDescent="0.25">
      <c r="A1098" s="22">
        <v>444</v>
      </c>
      <c r="B1098" s="22" t="s">
        <v>874</v>
      </c>
      <c r="C1098" s="22" t="s">
        <v>72</v>
      </c>
      <c r="D1098" s="22" t="s">
        <v>73</v>
      </c>
      <c r="E1098" s="158">
        <v>21075</v>
      </c>
      <c r="F1098" s="159">
        <v>57273</v>
      </c>
      <c r="G1098" s="159">
        <v>1207028475</v>
      </c>
      <c r="H1098" s="159">
        <v>120702848</v>
      </c>
      <c r="I1098" s="159">
        <v>1327731323</v>
      </c>
      <c r="J1098" s="159" t="e">
        <f>bargiri[[#This Row],[مقدار]]*INDEX(invoice[پیش دریافت به ازای هر کیلوگرم],MATCH(bargiri[[#This Row],[شماره سند مبنا]],invoice[شماره پیش فاکتور],0))</f>
        <v>#N/A</v>
      </c>
      <c r="K1098" s="159" t="e">
        <f>bargiri[[#This Row],[مبلغ خالص]]-bargiri[[#This Row],[میزان استهلاک پیش دریافتی]]</f>
        <v>#N/A</v>
      </c>
      <c r="L1098" s="160" t="s">
        <v>593</v>
      </c>
      <c r="M1098" s="159"/>
      <c r="N1098" s="159" t="e">
        <f>IF(bargiri[[#This Row],[مبلغ واریزی]]&lt;&gt;"",bargiri[[#This Row],[مانده مبلغ]]-bargiri[[#This Row],[مبلغ واریزی]],bargiri[[#This Row],[مانده مبلغ]])</f>
        <v>#N/A</v>
      </c>
      <c r="O1098" s="159" t="s">
        <v>593</v>
      </c>
      <c r="P1098" s="159" t="e">
        <f>VLOOKUP(bargiri[[#This Row],[شماره سند مبنا]],invoice[[شماره پیش فاکتور]:[پیش دریافت به ازای هر کیلوگرم]],14,0)</f>
        <v>#N/A</v>
      </c>
      <c r="Q1098" s="159" t="e">
        <f>IF(bargiri[[#This Row],[مبلغ ناخالص]]-(bargiri[[#This Row],[نرخ استهلاک]]*bargiri[[#This Row],[مقدار]])&lt;0,0,bargiri[[#This Row],[مبلغ ناخالص]]-(bargiri[[#This Row],[نرخ استهلاک]]*bargiri[[#This Row],[مقدار]]))</f>
        <v>#N/A</v>
      </c>
    </row>
    <row r="1099" spans="1:17" s="22" customFormat="1" ht="13.8" x14ac:dyDescent="0.25">
      <c r="A1099" s="22">
        <v>443</v>
      </c>
      <c r="B1099" s="22" t="s">
        <v>663</v>
      </c>
      <c r="C1099" s="22" t="s">
        <v>107</v>
      </c>
      <c r="D1099" s="22" t="s">
        <v>30</v>
      </c>
      <c r="E1099" s="158">
        <v>10360</v>
      </c>
      <c r="F1099" s="159">
        <v>70000</v>
      </c>
      <c r="G1099" s="159">
        <v>725200000</v>
      </c>
      <c r="H1099" s="159">
        <v>72520000</v>
      </c>
      <c r="I1099" s="159">
        <v>797720000</v>
      </c>
      <c r="J1099" s="159">
        <f>bargiri[[#This Row],[مقدار]]*INDEX(invoice[پیش دریافت به ازای هر کیلوگرم],MATCH(bargiri[[#This Row],[شماره سند مبنا]],invoice[شماره پیش فاکتور],0))</f>
        <v>398860000</v>
      </c>
      <c r="K1099" s="159">
        <f>bargiri[[#This Row],[مبلغ خالص]]-bargiri[[#This Row],[میزان استهلاک پیش دریافتی]]</f>
        <v>398860000</v>
      </c>
      <c r="L1099" s="160" t="s">
        <v>593</v>
      </c>
      <c r="M1099" s="159"/>
      <c r="N1099" s="159">
        <f>IF(bargiri[[#This Row],[مبلغ واریزی]]&lt;&gt;"",bargiri[[#This Row],[مانده مبلغ]]-bargiri[[#This Row],[مبلغ واریزی]],bargiri[[#This Row],[مانده مبلغ]])</f>
        <v>398860000</v>
      </c>
      <c r="O1099" s="159" t="s">
        <v>593</v>
      </c>
      <c r="P1099" s="159">
        <f>VLOOKUP(bargiri[[#This Row],[شماره سند مبنا]],invoice[[شماره پیش فاکتور]:[پیش دریافت به ازای هر کیلوگرم]],14,0)</f>
        <v>38500</v>
      </c>
      <c r="Q1099" s="159">
        <f>IF(bargiri[[#This Row],[مبلغ ناخالص]]-(bargiri[[#This Row],[نرخ استهلاک]]*bargiri[[#This Row],[مقدار]])&lt;0,0,bargiri[[#This Row],[مبلغ ناخالص]]-(bargiri[[#This Row],[نرخ استهلاک]]*bargiri[[#This Row],[مقدار]]))</f>
        <v>326340000</v>
      </c>
    </row>
    <row r="1100" spans="1:17" s="22" customFormat="1" ht="13.8" x14ac:dyDescent="0.25">
      <c r="A1100" s="22">
        <v>442</v>
      </c>
      <c r="B1100" s="22" t="s">
        <v>663</v>
      </c>
      <c r="C1100" s="22" t="s">
        <v>608</v>
      </c>
      <c r="D1100" s="22" t="s">
        <v>40</v>
      </c>
      <c r="E1100" s="158">
        <v>17985</v>
      </c>
      <c r="F1100" s="159">
        <v>142000</v>
      </c>
      <c r="G1100" s="159">
        <v>2553870000</v>
      </c>
      <c r="H1100" s="159">
        <v>255387000</v>
      </c>
      <c r="I1100" s="159">
        <v>2809257000</v>
      </c>
      <c r="J1100" s="159">
        <f>bargiri[[#This Row],[مقدار]]*INDEX(invoice[پیش دریافت به ازای هر کیلوگرم],MATCH(bargiri[[#This Row],[شماره سند مبنا]],invoice[شماره پیش فاکتور],0))</f>
        <v>421388550</v>
      </c>
      <c r="K1100" s="159">
        <f>bargiri[[#This Row],[مبلغ خالص]]-bargiri[[#This Row],[میزان استهلاک پیش دریافتی]]</f>
        <v>2387868450</v>
      </c>
      <c r="L1100" s="160" t="s">
        <v>593</v>
      </c>
      <c r="M1100" s="159"/>
      <c r="N1100" s="159">
        <f>IF(bargiri[[#This Row],[مبلغ واریزی]]&lt;&gt;"",bargiri[[#This Row],[مانده مبلغ]]-bargiri[[#This Row],[مبلغ واریزی]],bargiri[[#This Row],[مانده مبلغ]])</f>
        <v>2387868450</v>
      </c>
      <c r="O1100" s="159" t="s">
        <v>593</v>
      </c>
      <c r="P1100" s="159">
        <f>VLOOKUP(bargiri[[#This Row],[شماره سند مبنا]],invoice[[شماره پیش فاکتور]:[پیش دریافت به ازای هر کیلوگرم]],14,0)</f>
        <v>23430</v>
      </c>
      <c r="Q1100" s="159">
        <f>IF(bargiri[[#This Row],[مبلغ ناخالص]]-(bargiri[[#This Row],[نرخ استهلاک]]*bargiri[[#This Row],[مقدار]])&lt;0,0,bargiri[[#This Row],[مبلغ ناخالص]]-(bargiri[[#This Row],[نرخ استهلاک]]*bargiri[[#This Row],[مقدار]]))</f>
        <v>2132481450</v>
      </c>
    </row>
    <row r="1101" spans="1:17" s="22" customFormat="1" ht="13.8" x14ac:dyDescent="0.25">
      <c r="A1101" s="22">
        <v>441</v>
      </c>
      <c r="B1101" s="22" t="s">
        <v>663</v>
      </c>
      <c r="C1101" s="22" t="s">
        <v>187</v>
      </c>
      <c r="D1101" s="22" t="s">
        <v>43</v>
      </c>
      <c r="E1101" s="158">
        <v>20070</v>
      </c>
      <c r="F1101" s="159">
        <v>80000</v>
      </c>
      <c r="G1101" s="159">
        <v>1605600000</v>
      </c>
      <c r="H1101" s="159">
        <v>160560000</v>
      </c>
      <c r="I1101" s="159">
        <v>1766160000</v>
      </c>
      <c r="J1101" s="159">
        <f>bargiri[[#This Row],[مقدار]]*INDEX(invoice[پیش دریافت به ازای هر کیلوگرم],MATCH(bargiri[[#This Row],[شماره سند مبنا]],invoice[شماره پیش فاکتور],0))</f>
        <v>353232000</v>
      </c>
      <c r="K1101" s="159">
        <f>bargiri[[#This Row],[مبلغ خالص]]-bargiri[[#This Row],[میزان استهلاک پیش دریافتی]]</f>
        <v>1412928000</v>
      </c>
      <c r="L1101" s="160" t="s">
        <v>593</v>
      </c>
      <c r="M1101" s="159"/>
      <c r="N1101" s="159">
        <f>IF(bargiri[[#This Row],[مبلغ واریزی]]&lt;&gt;"",bargiri[[#This Row],[مانده مبلغ]]-bargiri[[#This Row],[مبلغ واریزی]],bargiri[[#This Row],[مانده مبلغ]])</f>
        <v>1412928000</v>
      </c>
      <c r="O1101" s="159" t="s">
        <v>593</v>
      </c>
      <c r="P1101" s="159">
        <f>VLOOKUP(bargiri[[#This Row],[شماره سند مبنا]],invoice[[شماره پیش فاکتور]:[پیش دریافت به ازای هر کیلوگرم]],14,0)</f>
        <v>17600</v>
      </c>
      <c r="Q1101" s="159">
        <f>IF(bargiri[[#This Row],[مبلغ ناخالص]]-(bargiri[[#This Row],[نرخ استهلاک]]*bargiri[[#This Row],[مقدار]])&lt;0,0,bargiri[[#This Row],[مبلغ ناخالص]]-(bargiri[[#This Row],[نرخ استهلاک]]*bargiri[[#This Row],[مقدار]]))</f>
        <v>1252368000</v>
      </c>
    </row>
    <row r="1102" spans="1:17" s="22" customFormat="1" ht="13.8" x14ac:dyDescent="0.25">
      <c r="A1102" s="22">
        <v>440</v>
      </c>
      <c r="B1102" s="22" t="s">
        <v>663</v>
      </c>
      <c r="C1102" s="22" t="s">
        <v>182</v>
      </c>
      <c r="D1102" s="22" t="s">
        <v>20</v>
      </c>
      <c r="E1102" s="158">
        <v>18600</v>
      </c>
      <c r="F1102" s="159">
        <v>86500</v>
      </c>
      <c r="G1102" s="159">
        <v>1608900000</v>
      </c>
      <c r="H1102" s="159">
        <v>160890000</v>
      </c>
      <c r="I1102" s="159">
        <v>1769790000</v>
      </c>
      <c r="J1102" s="159">
        <f>bargiri[[#This Row],[مقدار]]*INDEX(invoice[پیش دریافت به ازای هر کیلوگرم],MATCH(bargiri[[#This Row],[شماره سند مبنا]],invoice[شماره پیش فاکتور],0))</f>
        <v>241335000</v>
      </c>
      <c r="K1102" s="159">
        <f>bargiri[[#This Row],[مبلغ خالص]]-bargiri[[#This Row],[میزان استهلاک پیش دریافتی]]</f>
        <v>1528455000</v>
      </c>
      <c r="L1102" s="160" t="s">
        <v>593</v>
      </c>
      <c r="M1102" s="159"/>
      <c r="N1102" s="159">
        <f>IF(bargiri[[#This Row],[مبلغ واریزی]]&lt;&gt;"",bargiri[[#This Row],[مانده مبلغ]]-bargiri[[#This Row],[مبلغ واریزی]],bargiri[[#This Row],[مانده مبلغ]])</f>
        <v>1528455000</v>
      </c>
      <c r="O1102" s="159" t="s">
        <v>593</v>
      </c>
      <c r="P1102" s="159">
        <f>VLOOKUP(bargiri[[#This Row],[شماره سند مبنا]],invoice[[شماره پیش فاکتور]:[پیش دریافت به ازای هر کیلوگرم]],14,0)</f>
        <v>12975</v>
      </c>
      <c r="Q1102" s="159">
        <f>IF(bargiri[[#This Row],[مبلغ ناخالص]]-(bargiri[[#This Row],[نرخ استهلاک]]*bargiri[[#This Row],[مقدار]])&lt;0,0,bargiri[[#This Row],[مبلغ ناخالص]]-(bargiri[[#This Row],[نرخ استهلاک]]*bargiri[[#This Row],[مقدار]]))</f>
        <v>1367565000</v>
      </c>
    </row>
    <row r="1103" spans="1:17" s="22" customFormat="1" ht="13.8" x14ac:dyDescent="0.25">
      <c r="A1103" s="22">
        <v>439</v>
      </c>
      <c r="B1103" s="22" t="s">
        <v>875</v>
      </c>
      <c r="C1103" s="22" t="s">
        <v>182</v>
      </c>
      <c r="D1103" s="22" t="s">
        <v>20</v>
      </c>
      <c r="E1103" s="158">
        <v>18985</v>
      </c>
      <c r="F1103" s="159">
        <v>86500</v>
      </c>
      <c r="G1103" s="159">
        <v>1642202500</v>
      </c>
      <c r="H1103" s="159">
        <v>164220250</v>
      </c>
      <c r="I1103" s="159">
        <v>1806422750</v>
      </c>
      <c r="J1103" s="159">
        <f>bargiri[[#This Row],[مقدار]]*INDEX(invoice[پیش دریافت به ازای هر کیلوگرم],MATCH(bargiri[[#This Row],[شماره سند مبنا]],invoice[شماره پیش فاکتور],0))</f>
        <v>246330375</v>
      </c>
      <c r="K1103" s="159">
        <f>bargiri[[#This Row],[مبلغ خالص]]-bargiri[[#This Row],[میزان استهلاک پیش دریافتی]]</f>
        <v>1560092375</v>
      </c>
      <c r="L1103" s="160" t="s">
        <v>593</v>
      </c>
      <c r="M1103" s="159"/>
      <c r="N1103" s="159">
        <f>IF(bargiri[[#This Row],[مبلغ واریزی]]&lt;&gt;"",bargiri[[#This Row],[مانده مبلغ]]-bargiri[[#This Row],[مبلغ واریزی]],bargiri[[#This Row],[مانده مبلغ]])</f>
        <v>1560092375</v>
      </c>
      <c r="O1103" s="159" t="s">
        <v>593</v>
      </c>
      <c r="P1103" s="159">
        <f>VLOOKUP(bargiri[[#This Row],[شماره سند مبنا]],invoice[[شماره پیش فاکتور]:[پیش دریافت به ازای هر کیلوگرم]],14,0)</f>
        <v>12975</v>
      </c>
      <c r="Q1103" s="159">
        <f>IF(bargiri[[#This Row],[مبلغ ناخالص]]-(bargiri[[#This Row],[نرخ استهلاک]]*bargiri[[#This Row],[مقدار]])&lt;0,0,bargiri[[#This Row],[مبلغ ناخالص]]-(bargiri[[#This Row],[نرخ استهلاک]]*bargiri[[#This Row],[مقدار]]))</f>
        <v>1395872125</v>
      </c>
    </row>
    <row r="1104" spans="1:17" s="22" customFormat="1" ht="13.8" x14ac:dyDescent="0.25">
      <c r="A1104" s="22">
        <v>438</v>
      </c>
      <c r="B1104" s="22" t="s">
        <v>875</v>
      </c>
      <c r="C1104" s="22" t="s">
        <v>605</v>
      </c>
      <c r="D1104" s="22" t="s">
        <v>70</v>
      </c>
      <c r="E1104" s="158">
        <v>19950</v>
      </c>
      <c r="F1104" s="159">
        <v>142000</v>
      </c>
      <c r="G1104" s="159">
        <v>2832900000</v>
      </c>
      <c r="H1104" s="159">
        <v>283290000</v>
      </c>
      <c r="I1104" s="159">
        <v>3116190000</v>
      </c>
      <c r="J1104" s="159">
        <f>bargiri[[#This Row],[مقدار]]*INDEX(invoice[پیش دریافت به ازای هر کیلوگرم],MATCH(bargiri[[#This Row],[شماره سند مبنا]],invoice[شماره پیش فاکتور],0))</f>
        <v>467428500</v>
      </c>
      <c r="K1104" s="159">
        <f>bargiri[[#This Row],[مبلغ خالص]]-bargiri[[#This Row],[میزان استهلاک پیش دریافتی]]</f>
        <v>2648761500</v>
      </c>
      <c r="L1104" s="160" t="s">
        <v>593</v>
      </c>
      <c r="M1104" s="159"/>
      <c r="N1104" s="159">
        <f>IF(bargiri[[#This Row],[مبلغ واریزی]]&lt;&gt;"",bargiri[[#This Row],[مانده مبلغ]]-bargiri[[#This Row],[مبلغ واریزی]],bargiri[[#This Row],[مانده مبلغ]])</f>
        <v>2648761500</v>
      </c>
      <c r="O1104" s="159" t="s">
        <v>593</v>
      </c>
      <c r="P1104" s="159">
        <f>VLOOKUP(bargiri[[#This Row],[شماره سند مبنا]],invoice[[شماره پیش فاکتور]:[پیش دریافت به ازای هر کیلوگرم]],14,0)</f>
        <v>23430</v>
      </c>
      <c r="Q1104" s="159">
        <f>IF(bargiri[[#This Row],[مبلغ ناخالص]]-(bargiri[[#This Row],[نرخ استهلاک]]*bargiri[[#This Row],[مقدار]])&lt;0,0,bargiri[[#This Row],[مبلغ ناخالص]]-(bargiri[[#This Row],[نرخ استهلاک]]*bargiri[[#This Row],[مقدار]]))</f>
        <v>2365471500</v>
      </c>
    </row>
    <row r="1105" spans="1:17" s="22" customFormat="1" ht="13.8" x14ac:dyDescent="0.25">
      <c r="A1105" s="22">
        <v>437</v>
      </c>
      <c r="B1105" s="22" t="s">
        <v>876</v>
      </c>
      <c r="C1105" s="22" t="s">
        <v>466</v>
      </c>
      <c r="D1105" s="22" t="s">
        <v>180</v>
      </c>
      <c r="E1105" s="158">
        <v>7715</v>
      </c>
      <c r="F1105" s="159">
        <v>100000</v>
      </c>
      <c r="G1105" s="159">
        <v>771500000</v>
      </c>
      <c r="H1105" s="159">
        <v>77150000</v>
      </c>
      <c r="I1105" s="159">
        <v>848650000</v>
      </c>
      <c r="J1105" s="159">
        <f>bargiri[[#This Row],[مقدار]]*INDEX(invoice[پیش دریافت به ازای هر کیلوگرم],MATCH(bargiri[[#This Row],[شماره سند مبنا]],invoice[شماره پیش فاکتور],0))</f>
        <v>134657155.03950664</v>
      </c>
      <c r="K1105" s="159">
        <f>bargiri[[#This Row],[مبلغ خالص]]-bargiri[[#This Row],[میزان استهلاک پیش دریافتی]]</f>
        <v>713992844.96049333</v>
      </c>
      <c r="L1105" s="160" t="s">
        <v>593</v>
      </c>
      <c r="M1105" s="159"/>
      <c r="N1105" s="159">
        <f>IF(bargiri[[#This Row],[مبلغ واریزی]]&lt;&gt;"",bargiri[[#This Row],[مانده مبلغ]]-bargiri[[#This Row],[مبلغ واریزی]],bargiri[[#This Row],[مانده مبلغ]])</f>
        <v>713992844.96049333</v>
      </c>
      <c r="O1105" s="159" t="s">
        <v>593</v>
      </c>
      <c r="P1105" s="159">
        <f>VLOOKUP(bargiri[[#This Row],[شماره سند مبنا]],invoice[[شماره پیش فاکتور]:[پیش دریافت به ازای هر کیلوگرم]],14,0)</f>
        <v>17453.94102910002</v>
      </c>
      <c r="Q1105" s="159">
        <f>IF(bargiri[[#This Row],[مبلغ ناخالص]]-(bargiri[[#This Row],[نرخ استهلاک]]*bargiri[[#This Row],[مقدار]])&lt;0,0,bargiri[[#This Row],[مبلغ ناخالص]]-(bargiri[[#This Row],[نرخ استهلاک]]*bargiri[[#This Row],[مقدار]]))</f>
        <v>636842844.96049333</v>
      </c>
    </row>
    <row r="1106" spans="1:17" s="22" customFormat="1" ht="13.8" x14ac:dyDescent="0.25">
      <c r="A1106" s="22">
        <v>436</v>
      </c>
      <c r="B1106" s="22" t="s">
        <v>877</v>
      </c>
      <c r="C1106" s="22" t="s">
        <v>182</v>
      </c>
      <c r="D1106" s="22" t="s">
        <v>20</v>
      </c>
      <c r="E1106" s="158">
        <v>19995</v>
      </c>
      <c r="F1106" s="159">
        <v>86500</v>
      </c>
      <c r="G1106" s="159">
        <v>1729567500</v>
      </c>
      <c r="H1106" s="159">
        <v>172956750</v>
      </c>
      <c r="I1106" s="159">
        <v>1902524250</v>
      </c>
      <c r="J1106" s="159">
        <f>bargiri[[#This Row],[مقدار]]*INDEX(invoice[پیش دریافت به ازای هر کیلوگرم],MATCH(bargiri[[#This Row],[شماره سند مبنا]],invoice[شماره پیش فاکتور],0))</f>
        <v>259435125</v>
      </c>
      <c r="K1106" s="159">
        <f>bargiri[[#This Row],[مبلغ خالص]]-bargiri[[#This Row],[میزان استهلاک پیش دریافتی]]</f>
        <v>1643089125</v>
      </c>
      <c r="L1106" s="160" t="s">
        <v>593</v>
      </c>
      <c r="M1106" s="159"/>
      <c r="N1106" s="159">
        <f>IF(bargiri[[#This Row],[مبلغ واریزی]]&lt;&gt;"",bargiri[[#This Row],[مانده مبلغ]]-bargiri[[#This Row],[مبلغ واریزی]],bargiri[[#This Row],[مانده مبلغ]])</f>
        <v>1643089125</v>
      </c>
      <c r="O1106" s="159" t="s">
        <v>593</v>
      </c>
      <c r="P1106" s="159">
        <f>VLOOKUP(bargiri[[#This Row],[شماره سند مبنا]],invoice[[شماره پیش فاکتور]:[پیش دریافت به ازای هر کیلوگرم]],14,0)</f>
        <v>12975</v>
      </c>
      <c r="Q1106" s="159">
        <f>IF(bargiri[[#This Row],[مبلغ ناخالص]]-(bargiri[[#This Row],[نرخ استهلاک]]*bargiri[[#This Row],[مقدار]])&lt;0,0,bargiri[[#This Row],[مبلغ ناخالص]]-(bargiri[[#This Row],[نرخ استهلاک]]*bargiri[[#This Row],[مقدار]]))</f>
        <v>1470132375</v>
      </c>
    </row>
    <row r="1107" spans="1:17" s="22" customFormat="1" ht="13.8" x14ac:dyDescent="0.25">
      <c r="A1107" s="22">
        <v>435</v>
      </c>
      <c r="B1107" s="22" t="s">
        <v>657</v>
      </c>
      <c r="C1107" s="22" t="s">
        <v>182</v>
      </c>
      <c r="D1107" s="22" t="s">
        <v>20</v>
      </c>
      <c r="E1107" s="158">
        <v>19155</v>
      </c>
      <c r="F1107" s="159">
        <v>86500</v>
      </c>
      <c r="G1107" s="159">
        <v>1656907500</v>
      </c>
      <c r="H1107" s="159">
        <v>165690750</v>
      </c>
      <c r="I1107" s="159">
        <v>1822598250</v>
      </c>
      <c r="J1107" s="159">
        <f>bargiri[[#This Row],[مقدار]]*INDEX(invoice[پیش دریافت به ازای هر کیلوگرم],MATCH(bargiri[[#This Row],[شماره سند مبنا]],invoice[شماره پیش فاکتور],0))</f>
        <v>248536125</v>
      </c>
      <c r="K1107" s="159">
        <f>bargiri[[#This Row],[مبلغ خالص]]-bargiri[[#This Row],[میزان استهلاک پیش دریافتی]]</f>
        <v>1574062125</v>
      </c>
      <c r="L1107" s="160" t="s">
        <v>593</v>
      </c>
      <c r="M1107" s="159"/>
      <c r="N1107" s="159">
        <f>IF(bargiri[[#This Row],[مبلغ واریزی]]&lt;&gt;"",bargiri[[#This Row],[مانده مبلغ]]-bargiri[[#This Row],[مبلغ واریزی]],bargiri[[#This Row],[مانده مبلغ]])</f>
        <v>1574062125</v>
      </c>
      <c r="O1107" s="159" t="s">
        <v>593</v>
      </c>
      <c r="P1107" s="159">
        <f>VLOOKUP(bargiri[[#This Row],[شماره سند مبنا]],invoice[[شماره پیش فاکتور]:[پیش دریافت به ازای هر کیلوگرم]],14,0)</f>
        <v>12975</v>
      </c>
      <c r="Q1107" s="159">
        <f>IF(bargiri[[#This Row],[مبلغ ناخالص]]-(bargiri[[#This Row],[نرخ استهلاک]]*bargiri[[#This Row],[مقدار]])&lt;0,0,bargiri[[#This Row],[مبلغ ناخالص]]-(bargiri[[#This Row],[نرخ استهلاک]]*bargiri[[#This Row],[مقدار]]))</f>
        <v>1408371375</v>
      </c>
    </row>
    <row r="1108" spans="1:17" s="22" customFormat="1" ht="13.8" x14ac:dyDescent="0.25">
      <c r="A1108" s="22">
        <v>434</v>
      </c>
      <c r="B1108" s="22" t="s">
        <v>656</v>
      </c>
      <c r="C1108" s="22" t="s">
        <v>187</v>
      </c>
      <c r="D1108" s="22" t="s">
        <v>43</v>
      </c>
      <c r="E1108" s="158">
        <v>20570</v>
      </c>
      <c r="F1108" s="159">
        <v>80000</v>
      </c>
      <c r="G1108" s="159">
        <v>1645600000</v>
      </c>
      <c r="H1108" s="159">
        <v>164560000</v>
      </c>
      <c r="I1108" s="159">
        <v>1810160000</v>
      </c>
      <c r="J1108" s="159">
        <f>bargiri[[#This Row],[مقدار]]*INDEX(invoice[پیش دریافت به ازای هر کیلوگرم],MATCH(bargiri[[#This Row],[شماره سند مبنا]],invoice[شماره پیش فاکتور],0))</f>
        <v>362032000</v>
      </c>
      <c r="K1108" s="159">
        <f>bargiri[[#This Row],[مبلغ خالص]]-bargiri[[#This Row],[میزان استهلاک پیش دریافتی]]</f>
        <v>1448128000</v>
      </c>
      <c r="L1108" s="160" t="s">
        <v>593</v>
      </c>
      <c r="M1108" s="159"/>
      <c r="N1108" s="159">
        <f>IF(bargiri[[#This Row],[مبلغ واریزی]]&lt;&gt;"",bargiri[[#This Row],[مانده مبلغ]]-bargiri[[#This Row],[مبلغ واریزی]],bargiri[[#This Row],[مانده مبلغ]])</f>
        <v>1448128000</v>
      </c>
      <c r="O1108" s="159" t="s">
        <v>593</v>
      </c>
      <c r="P1108" s="159">
        <f>VLOOKUP(bargiri[[#This Row],[شماره سند مبنا]],invoice[[شماره پیش فاکتور]:[پیش دریافت به ازای هر کیلوگرم]],14,0)</f>
        <v>17600</v>
      </c>
      <c r="Q1108" s="159">
        <f>IF(bargiri[[#This Row],[مبلغ ناخالص]]-(bargiri[[#This Row],[نرخ استهلاک]]*bargiri[[#This Row],[مقدار]])&lt;0,0,bargiri[[#This Row],[مبلغ ناخالص]]-(bargiri[[#This Row],[نرخ استهلاک]]*bargiri[[#This Row],[مقدار]]))</f>
        <v>1283568000</v>
      </c>
    </row>
    <row r="1109" spans="1:17" s="22" customFormat="1" ht="13.8" x14ac:dyDescent="0.25">
      <c r="A1109" s="22">
        <v>433</v>
      </c>
      <c r="B1109" s="22" t="s">
        <v>656</v>
      </c>
      <c r="C1109" s="22" t="s">
        <v>467</v>
      </c>
      <c r="D1109" s="22" t="s">
        <v>17</v>
      </c>
      <c r="E1109" s="158">
        <v>19910</v>
      </c>
      <c r="F1109" s="159">
        <v>151200</v>
      </c>
      <c r="G1109" s="159">
        <v>3010392000</v>
      </c>
      <c r="H1109" s="159">
        <v>301039200</v>
      </c>
      <c r="I1109" s="159">
        <v>3311431200</v>
      </c>
      <c r="J1109" s="159">
        <f>bargiri[[#This Row],[مقدار]]*INDEX(invoice[پیش دریافت به ازای هر کیلوگرم],MATCH(bargiri[[#This Row],[شماره سند مبنا]],invoice[شماره پیش فاکتور],0))</f>
        <v>496714680</v>
      </c>
      <c r="K1109" s="159">
        <f>bargiri[[#This Row],[مبلغ خالص]]-bargiri[[#This Row],[میزان استهلاک پیش دریافتی]]</f>
        <v>2814716520</v>
      </c>
      <c r="L1109" s="160" t="s">
        <v>593</v>
      </c>
      <c r="M1109" s="159"/>
      <c r="N1109" s="159">
        <f>IF(bargiri[[#This Row],[مبلغ واریزی]]&lt;&gt;"",bargiri[[#This Row],[مانده مبلغ]]-bargiri[[#This Row],[مبلغ واریزی]],bargiri[[#This Row],[مانده مبلغ]])</f>
        <v>2814716520</v>
      </c>
      <c r="O1109" s="159" t="s">
        <v>593</v>
      </c>
      <c r="P1109" s="159">
        <f>VLOOKUP(bargiri[[#This Row],[شماره سند مبنا]],invoice[[شماره پیش فاکتور]:[پیش دریافت به ازای هر کیلوگرم]],14,0)</f>
        <v>24948</v>
      </c>
      <c r="Q1109" s="159">
        <f>IF(bargiri[[#This Row],[مبلغ ناخالص]]-(bargiri[[#This Row],[نرخ استهلاک]]*bargiri[[#This Row],[مقدار]])&lt;0,0,bargiri[[#This Row],[مبلغ ناخالص]]-(bargiri[[#This Row],[نرخ استهلاک]]*bargiri[[#This Row],[مقدار]]))</f>
        <v>2513677320</v>
      </c>
    </row>
    <row r="1110" spans="1:17" s="22" customFormat="1" ht="13.8" x14ac:dyDescent="0.25">
      <c r="A1110" s="22">
        <v>433</v>
      </c>
      <c r="B1110" s="22" t="s">
        <v>656</v>
      </c>
      <c r="C1110" s="22" t="s">
        <v>614</v>
      </c>
      <c r="D1110" s="22" t="s">
        <v>17</v>
      </c>
      <c r="E1110" s="158">
        <v>195</v>
      </c>
      <c r="F1110" s="159">
        <v>151200</v>
      </c>
      <c r="G1110" s="159">
        <v>29484000</v>
      </c>
      <c r="H1110" s="159">
        <v>2948400</v>
      </c>
      <c r="I1110" s="159">
        <v>32432400</v>
      </c>
      <c r="J1110" s="159">
        <f>bargiri[[#This Row],[مقدار]]*INDEX(invoice[پیش دریافت به ازای هر کیلوگرم],MATCH(bargiri[[#This Row],[شماره سند مبنا]],invoice[شماره پیش فاکتور],0))</f>
        <v>4864860</v>
      </c>
      <c r="K1110" s="159">
        <f>bargiri[[#This Row],[مبلغ خالص]]-bargiri[[#This Row],[میزان استهلاک پیش دریافتی]]</f>
        <v>27567540</v>
      </c>
      <c r="L1110" s="160" t="s">
        <v>593</v>
      </c>
      <c r="M1110" s="159"/>
      <c r="N1110" s="159">
        <f>IF(bargiri[[#This Row],[مبلغ واریزی]]&lt;&gt;"",bargiri[[#This Row],[مانده مبلغ]]-bargiri[[#This Row],[مبلغ واریزی]],bargiri[[#This Row],[مانده مبلغ]])</f>
        <v>27567540</v>
      </c>
      <c r="O1110" s="159" t="s">
        <v>593</v>
      </c>
      <c r="P1110" s="159">
        <f>VLOOKUP(bargiri[[#This Row],[شماره سند مبنا]],invoice[[شماره پیش فاکتور]:[پیش دریافت به ازای هر کیلوگرم]],14,0)</f>
        <v>24948</v>
      </c>
      <c r="Q1110" s="159">
        <f>IF(bargiri[[#This Row],[مبلغ ناخالص]]-(bargiri[[#This Row],[نرخ استهلاک]]*bargiri[[#This Row],[مقدار]])&lt;0,0,bargiri[[#This Row],[مبلغ ناخالص]]-(bargiri[[#This Row],[نرخ استهلاک]]*bargiri[[#This Row],[مقدار]]))</f>
        <v>24619140</v>
      </c>
    </row>
    <row r="1111" spans="1:17" s="22" customFormat="1" ht="13.8" x14ac:dyDescent="0.25">
      <c r="A1111" s="22">
        <v>432</v>
      </c>
      <c r="B1111" s="22" t="s">
        <v>656</v>
      </c>
      <c r="C1111" s="22" t="s">
        <v>182</v>
      </c>
      <c r="D1111" s="22" t="s">
        <v>20</v>
      </c>
      <c r="E1111" s="158">
        <v>18955</v>
      </c>
      <c r="F1111" s="159">
        <v>86500</v>
      </c>
      <c r="G1111" s="159">
        <v>1639607500</v>
      </c>
      <c r="H1111" s="159">
        <v>163960750</v>
      </c>
      <c r="I1111" s="159">
        <v>1803568250</v>
      </c>
      <c r="J1111" s="159">
        <f>bargiri[[#This Row],[مقدار]]*INDEX(invoice[پیش دریافت به ازای هر کیلوگرم],MATCH(bargiri[[#This Row],[شماره سند مبنا]],invoice[شماره پیش فاکتور],0))</f>
        <v>245941125</v>
      </c>
      <c r="K1111" s="159">
        <f>bargiri[[#This Row],[مبلغ خالص]]-bargiri[[#This Row],[میزان استهلاک پیش دریافتی]]</f>
        <v>1557627125</v>
      </c>
      <c r="L1111" s="160" t="s">
        <v>593</v>
      </c>
      <c r="M1111" s="159"/>
      <c r="N1111" s="159">
        <f>IF(bargiri[[#This Row],[مبلغ واریزی]]&lt;&gt;"",bargiri[[#This Row],[مانده مبلغ]]-bargiri[[#This Row],[مبلغ واریزی]],bargiri[[#This Row],[مانده مبلغ]])</f>
        <v>1557627125</v>
      </c>
      <c r="O1111" s="159" t="s">
        <v>593</v>
      </c>
      <c r="P1111" s="159">
        <f>VLOOKUP(bargiri[[#This Row],[شماره سند مبنا]],invoice[[شماره پیش فاکتور]:[پیش دریافت به ازای هر کیلوگرم]],14,0)</f>
        <v>12975</v>
      </c>
      <c r="Q1111" s="159">
        <f>IF(bargiri[[#This Row],[مبلغ ناخالص]]-(bargiri[[#This Row],[نرخ استهلاک]]*bargiri[[#This Row],[مقدار]])&lt;0,0,bargiri[[#This Row],[مبلغ ناخالص]]-(bargiri[[#This Row],[نرخ استهلاک]]*bargiri[[#This Row],[مقدار]]))</f>
        <v>1393666375</v>
      </c>
    </row>
    <row r="1112" spans="1:17" s="22" customFormat="1" ht="13.8" x14ac:dyDescent="0.25">
      <c r="A1112" s="22">
        <v>431</v>
      </c>
      <c r="B1112" s="22" t="s">
        <v>656</v>
      </c>
      <c r="C1112" s="22" t="s">
        <v>72</v>
      </c>
      <c r="D1112" s="22" t="s">
        <v>73</v>
      </c>
      <c r="E1112" s="158">
        <v>20430</v>
      </c>
      <c r="F1112" s="159">
        <v>57273</v>
      </c>
      <c r="G1112" s="159">
        <v>1170087390</v>
      </c>
      <c r="H1112" s="159">
        <v>117008739</v>
      </c>
      <c r="I1112" s="159">
        <v>1287096129</v>
      </c>
      <c r="J1112" s="159" t="e">
        <f>bargiri[[#This Row],[مقدار]]*INDEX(invoice[پیش دریافت به ازای هر کیلوگرم],MATCH(bargiri[[#This Row],[شماره سند مبنا]],invoice[شماره پیش فاکتور],0))</f>
        <v>#N/A</v>
      </c>
      <c r="K1112" s="159" t="e">
        <f>bargiri[[#This Row],[مبلغ خالص]]-bargiri[[#This Row],[میزان استهلاک پیش دریافتی]]</f>
        <v>#N/A</v>
      </c>
      <c r="L1112" s="160" t="s">
        <v>593</v>
      </c>
      <c r="M1112" s="159"/>
      <c r="N1112" s="159" t="e">
        <f>IF(bargiri[[#This Row],[مبلغ واریزی]]&lt;&gt;"",bargiri[[#This Row],[مانده مبلغ]]-bargiri[[#This Row],[مبلغ واریزی]],bargiri[[#This Row],[مانده مبلغ]])</f>
        <v>#N/A</v>
      </c>
      <c r="O1112" s="159" t="s">
        <v>593</v>
      </c>
      <c r="P1112" s="159" t="e">
        <f>VLOOKUP(bargiri[[#This Row],[شماره سند مبنا]],invoice[[شماره پیش فاکتور]:[پیش دریافت به ازای هر کیلوگرم]],14,0)</f>
        <v>#N/A</v>
      </c>
      <c r="Q1112" s="159" t="e">
        <f>IF(bargiri[[#This Row],[مبلغ ناخالص]]-(bargiri[[#This Row],[نرخ استهلاک]]*bargiri[[#This Row],[مقدار]])&lt;0,0,bargiri[[#This Row],[مبلغ ناخالص]]-(bargiri[[#This Row],[نرخ استهلاک]]*bargiri[[#This Row],[مقدار]]))</f>
        <v>#N/A</v>
      </c>
    </row>
    <row r="1113" spans="1:17" s="22" customFormat="1" ht="13.8" x14ac:dyDescent="0.25">
      <c r="A1113" s="22">
        <v>430</v>
      </c>
      <c r="B1113" s="22" t="s">
        <v>656</v>
      </c>
      <c r="C1113" s="22" t="s">
        <v>72</v>
      </c>
      <c r="D1113" s="22" t="s">
        <v>73</v>
      </c>
      <c r="E1113" s="158">
        <v>20505</v>
      </c>
      <c r="F1113" s="159">
        <v>57273</v>
      </c>
      <c r="G1113" s="159">
        <v>1174382865</v>
      </c>
      <c r="H1113" s="159">
        <v>117438287</v>
      </c>
      <c r="I1113" s="159">
        <v>1291821152</v>
      </c>
      <c r="J1113" s="159" t="e">
        <f>bargiri[[#This Row],[مقدار]]*INDEX(invoice[پیش دریافت به ازای هر کیلوگرم],MATCH(bargiri[[#This Row],[شماره سند مبنا]],invoice[شماره پیش فاکتور],0))</f>
        <v>#N/A</v>
      </c>
      <c r="K1113" s="159" t="e">
        <f>bargiri[[#This Row],[مبلغ خالص]]-bargiri[[#This Row],[میزان استهلاک پیش دریافتی]]</f>
        <v>#N/A</v>
      </c>
      <c r="L1113" s="160" t="s">
        <v>593</v>
      </c>
      <c r="M1113" s="159"/>
      <c r="N1113" s="159" t="e">
        <f>IF(bargiri[[#This Row],[مبلغ واریزی]]&lt;&gt;"",bargiri[[#This Row],[مانده مبلغ]]-bargiri[[#This Row],[مبلغ واریزی]],bargiri[[#This Row],[مانده مبلغ]])</f>
        <v>#N/A</v>
      </c>
      <c r="O1113" s="159" t="s">
        <v>593</v>
      </c>
      <c r="P1113" s="159" t="e">
        <f>VLOOKUP(bargiri[[#This Row],[شماره سند مبنا]],invoice[[شماره پیش فاکتور]:[پیش دریافت به ازای هر کیلوگرم]],14,0)</f>
        <v>#N/A</v>
      </c>
      <c r="Q1113" s="159" t="e">
        <f>IF(bargiri[[#This Row],[مبلغ ناخالص]]-(bargiri[[#This Row],[نرخ استهلاک]]*bargiri[[#This Row],[مقدار]])&lt;0,0,bargiri[[#This Row],[مبلغ ناخالص]]-(bargiri[[#This Row],[نرخ استهلاک]]*bargiri[[#This Row],[مقدار]]))</f>
        <v>#N/A</v>
      </c>
    </row>
    <row r="1114" spans="1:17" s="22" customFormat="1" ht="13.8" x14ac:dyDescent="0.25">
      <c r="A1114" s="22">
        <v>429</v>
      </c>
      <c r="B1114" s="22" t="s">
        <v>656</v>
      </c>
      <c r="C1114" s="22" t="s">
        <v>189</v>
      </c>
      <c r="D1114" s="22" t="s">
        <v>173</v>
      </c>
      <c r="E1114" s="158">
        <v>22105</v>
      </c>
      <c r="F1114" s="159">
        <v>75000</v>
      </c>
      <c r="G1114" s="159">
        <v>1657875000</v>
      </c>
      <c r="H1114" s="159">
        <v>165787500</v>
      </c>
      <c r="I1114" s="159">
        <v>1823662500</v>
      </c>
      <c r="J1114" s="159">
        <f>bargiri[[#This Row],[مقدار]]*INDEX(invoice[پیش دریافت به ازای هر کیلوگرم],MATCH(bargiri[[#This Row],[شماره سند مبنا]],invoice[شماره پیش فاکتور],0))</f>
        <v>273549375</v>
      </c>
      <c r="K1114" s="159">
        <f>bargiri[[#This Row],[مبلغ خالص]]-bargiri[[#This Row],[میزان استهلاک پیش دریافتی]]</f>
        <v>1550113125</v>
      </c>
      <c r="L1114" s="160" t="s">
        <v>593</v>
      </c>
      <c r="M1114" s="159"/>
      <c r="N1114" s="159">
        <f>IF(bargiri[[#This Row],[مبلغ واریزی]]&lt;&gt;"",bargiri[[#This Row],[مانده مبلغ]]-bargiri[[#This Row],[مبلغ واریزی]],bargiri[[#This Row],[مانده مبلغ]])</f>
        <v>1550113125</v>
      </c>
      <c r="O1114" s="159" t="s">
        <v>593</v>
      </c>
      <c r="P1114" s="159">
        <f>VLOOKUP(bargiri[[#This Row],[شماره سند مبنا]],invoice[[شماره پیش فاکتور]:[پیش دریافت به ازای هر کیلوگرم]],14,0)</f>
        <v>12375</v>
      </c>
      <c r="Q1114" s="159">
        <f>IF(bargiri[[#This Row],[مبلغ ناخالص]]-(bargiri[[#This Row],[نرخ استهلاک]]*bargiri[[#This Row],[مقدار]])&lt;0,0,bargiri[[#This Row],[مبلغ ناخالص]]-(bargiri[[#This Row],[نرخ استهلاک]]*bargiri[[#This Row],[مقدار]]))</f>
        <v>1384325625</v>
      </c>
    </row>
    <row r="1115" spans="1:17" s="22" customFormat="1" ht="13.8" x14ac:dyDescent="0.25">
      <c r="A1115" s="22">
        <v>428</v>
      </c>
      <c r="B1115" s="22" t="s">
        <v>656</v>
      </c>
      <c r="C1115" s="22" t="s">
        <v>182</v>
      </c>
      <c r="D1115" s="22" t="s">
        <v>20</v>
      </c>
      <c r="E1115" s="158">
        <v>18870</v>
      </c>
      <c r="F1115" s="159">
        <v>86500</v>
      </c>
      <c r="G1115" s="159">
        <v>1632255000</v>
      </c>
      <c r="H1115" s="159">
        <v>163225500</v>
      </c>
      <c r="I1115" s="159">
        <v>1795480500</v>
      </c>
      <c r="J1115" s="159">
        <f>bargiri[[#This Row],[مقدار]]*INDEX(invoice[پیش دریافت به ازای هر کیلوگرم],MATCH(bargiri[[#This Row],[شماره سند مبنا]],invoice[شماره پیش فاکتور],0))</f>
        <v>244838250</v>
      </c>
      <c r="K1115" s="159">
        <f>bargiri[[#This Row],[مبلغ خالص]]-bargiri[[#This Row],[میزان استهلاک پیش دریافتی]]</f>
        <v>1550642250</v>
      </c>
      <c r="L1115" s="160" t="s">
        <v>593</v>
      </c>
      <c r="M1115" s="159"/>
      <c r="N1115" s="159">
        <f>IF(bargiri[[#This Row],[مبلغ واریزی]]&lt;&gt;"",bargiri[[#This Row],[مانده مبلغ]]-bargiri[[#This Row],[مبلغ واریزی]],bargiri[[#This Row],[مانده مبلغ]])</f>
        <v>1550642250</v>
      </c>
      <c r="O1115" s="159" t="s">
        <v>593</v>
      </c>
      <c r="P1115" s="159">
        <f>VLOOKUP(bargiri[[#This Row],[شماره سند مبنا]],invoice[[شماره پیش فاکتور]:[پیش دریافت به ازای هر کیلوگرم]],14,0)</f>
        <v>12975</v>
      </c>
      <c r="Q1115" s="159">
        <f>IF(bargiri[[#This Row],[مبلغ ناخالص]]-(bargiri[[#This Row],[نرخ استهلاک]]*bargiri[[#This Row],[مقدار]])&lt;0,0,bargiri[[#This Row],[مبلغ ناخالص]]-(bargiri[[#This Row],[نرخ استهلاک]]*bargiri[[#This Row],[مقدار]]))</f>
        <v>1387416750</v>
      </c>
    </row>
    <row r="1116" spans="1:17" s="22" customFormat="1" ht="13.8" x14ac:dyDescent="0.25">
      <c r="A1116" s="22">
        <v>427</v>
      </c>
      <c r="B1116" s="22" t="s">
        <v>878</v>
      </c>
      <c r="C1116" s="22" t="s">
        <v>189</v>
      </c>
      <c r="D1116" s="22" t="s">
        <v>173</v>
      </c>
      <c r="E1116" s="158">
        <v>22060</v>
      </c>
      <c r="F1116" s="159">
        <v>75000</v>
      </c>
      <c r="G1116" s="159">
        <v>1654500000</v>
      </c>
      <c r="H1116" s="159">
        <v>165450000</v>
      </c>
      <c r="I1116" s="159">
        <v>1819950000</v>
      </c>
      <c r="J1116" s="159">
        <f>bargiri[[#This Row],[مقدار]]*INDEX(invoice[پیش دریافت به ازای هر کیلوگرم],MATCH(bargiri[[#This Row],[شماره سند مبنا]],invoice[شماره پیش فاکتور],0))</f>
        <v>272992500</v>
      </c>
      <c r="K1116" s="159">
        <f>bargiri[[#This Row],[مبلغ خالص]]-bargiri[[#This Row],[میزان استهلاک پیش دریافتی]]</f>
        <v>1546957500</v>
      </c>
      <c r="L1116" s="160" t="s">
        <v>593</v>
      </c>
      <c r="M1116" s="159"/>
      <c r="N1116" s="159">
        <f>IF(bargiri[[#This Row],[مبلغ واریزی]]&lt;&gt;"",bargiri[[#This Row],[مانده مبلغ]]-bargiri[[#This Row],[مبلغ واریزی]],bargiri[[#This Row],[مانده مبلغ]])</f>
        <v>1546957500</v>
      </c>
      <c r="O1116" s="159" t="s">
        <v>593</v>
      </c>
      <c r="P1116" s="159">
        <f>VLOOKUP(bargiri[[#This Row],[شماره سند مبنا]],invoice[[شماره پیش فاکتور]:[پیش دریافت به ازای هر کیلوگرم]],14,0)</f>
        <v>12375</v>
      </c>
      <c r="Q1116" s="159">
        <f>IF(bargiri[[#This Row],[مبلغ ناخالص]]-(bargiri[[#This Row],[نرخ استهلاک]]*bargiri[[#This Row],[مقدار]])&lt;0,0,bargiri[[#This Row],[مبلغ ناخالص]]-(bargiri[[#This Row],[نرخ استهلاک]]*bargiri[[#This Row],[مقدار]]))</f>
        <v>1381507500</v>
      </c>
    </row>
    <row r="1117" spans="1:17" s="22" customFormat="1" ht="13.8" x14ac:dyDescent="0.25">
      <c r="A1117" s="22">
        <v>426</v>
      </c>
      <c r="B1117" s="22" t="s">
        <v>879</v>
      </c>
      <c r="C1117" s="22" t="s">
        <v>107</v>
      </c>
      <c r="D1117" s="22" t="s">
        <v>30</v>
      </c>
      <c r="E1117" s="158">
        <v>11445</v>
      </c>
      <c r="F1117" s="159">
        <v>70000</v>
      </c>
      <c r="G1117" s="159">
        <v>801150000</v>
      </c>
      <c r="H1117" s="159">
        <v>80115000</v>
      </c>
      <c r="I1117" s="159">
        <v>881265000</v>
      </c>
      <c r="J1117" s="159">
        <f>bargiri[[#This Row],[مقدار]]*INDEX(invoice[پیش دریافت به ازای هر کیلوگرم],MATCH(bargiri[[#This Row],[شماره سند مبنا]],invoice[شماره پیش فاکتور],0))</f>
        <v>440632500</v>
      </c>
      <c r="K1117" s="159">
        <f>bargiri[[#This Row],[مبلغ خالص]]-bargiri[[#This Row],[میزان استهلاک پیش دریافتی]]</f>
        <v>440632500</v>
      </c>
      <c r="L1117" s="160" t="s">
        <v>593</v>
      </c>
      <c r="M1117" s="159"/>
      <c r="N1117" s="159">
        <f>IF(bargiri[[#This Row],[مبلغ واریزی]]&lt;&gt;"",bargiri[[#This Row],[مانده مبلغ]]-bargiri[[#This Row],[مبلغ واریزی]],bargiri[[#This Row],[مانده مبلغ]])</f>
        <v>440632500</v>
      </c>
      <c r="O1117" s="159" t="s">
        <v>593</v>
      </c>
      <c r="P1117" s="159">
        <f>VLOOKUP(bargiri[[#This Row],[شماره سند مبنا]],invoice[[شماره پیش فاکتور]:[پیش دریافت به ازای هر کیلوگرم]],14,0)</f>
        <v>38500</v>
      </c>
      <c r="Q1117" s="159">
        <f>IF(bargiri[[#This Row],[مبلغ ناخالص]]-(bargiri[[#This Row],[نرخ استهلاک]]*bargiri[[#This Row],[مقدار]])&lt;0,0,bargiri[[#This Row],[مبلغ ناخالص]]-(bargiri[[#This Row],[نرخ استهلاک]]*bargiri[[#This Row],[مقدار]]))</f>
        <v>360517500</v>
      </c>
    </row>
    <row r="1118" spans="1:17" s="22" customFormat="1" ht="13.8" x14ac:dyDescent="0.25">
      <c r="A1118" s="22">
        <v>425</v>
      </c>
      <c r="B1118" s="22" t="s">
        <v>880</v>
      </c>
      <c r="C1118" s="22" t="s">
        <v>616</v>
      </c>
      <c r="D1118" s="22" t="s">
        <v>67</v>
      </c>
      <c r="E1118" s="158">
        <v>20025</v>
      </c>
      <c r="F1118" s="159">
        <v>142000</v>
      </c>
      <c r="G1118" s="159">
        <v>2843550000</v>
      </c>
      <c r="H1118" s="159">
        <v>284355000</v>
      </c>
      <c r="I1118" s="159">
        <v>3127905000</v>
      </c>
      <c r="J1118" s="159">
        <f>bargiri[[#This Row],[مقدار]]*INDEX(invoice[پیش دریافت به ازای هر کیلوگرم],MATCH(bargiri[[#This Row],[شماره سند مبنا]],invoice[شماره پیش فاکتور],0))</f>
        <v>469185750</v>
      </c>
      <c r="K1118" s="159">
        <f>bargiri[[#This Row],[مبلغ خالص]]-bargiri[[#This Row],[میزان استهلاک پیش دریافتی]]</f>
        <v>2658719250</v>
      </c>
      <c r="L1118" s="160" t="s">
        <v>593</v>
      </c>
      <c r="M1118" s="159"/>
      <c r="N1118" s="159">
        <f>IF(bargiri[[#This Row],[مبلغ واریزی]]&lt;&gt;"",bargiri[[#This Row],[مانده مبلغ]]-bargiri[[#This Row],[مبلغ واریزی]],bargiri[[#This Row],[مانده مبلغ]])</f>
        <v>2658719250</v>
      </c>
      <c r="O1118" s="159" t="s">
        <v>593</v>
      </c>
      <c r="P1118" s="159">
        <f>VLOOKUP(bargiri[[#This Row],[شماره سند مبنا]],invoice[[شماره پیش فاکتور]:[پیش دریافت به ازای هر کیلوگرم]],14,0)</f>
        <v>23430</v>
      </c>
      <c r="Q1118" s="159">
        <f>IF(bargiri[[#This Row],[مبلغ ناخالص]]-(bargiri[[#This Row],[نرخ استهلاک]]*bargiri[[#This Row],[مقدار]])&lt;0,0,bargiri[[#This Row],[مبلغ ناخالص]]-(bargiri[[#This Row],[نرخ استهلاک]]*bargiri[[#This Row],[مقدار]]))</f>
        <v>2374364250</v>
      </c>
    </row>
    <row r="1119" spans="1:17" s="22" customFormat="1" ht="13.8" x14ac:dyDescent="0.25">
      <c r="A1119" s="22">
        <v>424</v>
      </c>
      <c r="B1119" s="22" t="s">
        <v>881</v>
      </c>
      <c r="C1119" s="22" t="s">
        <v>605</v>
      </c>
      <c r="D1119" s="22" t="s">
        <v>70</v>
      </c>
      <c r="E1119" s="158">
        <v>20055</v>
      </c>
      <c r="F1119" s="159">
        <v>142000</v>
      </c>
      <c r="G1119" s="159">
        <v>2847810000</v>
      </c>
      <c r="H1119" s="159">
        <v>284781000</v>
      </c>
      <c r="I1119" s="159">
        <v>3132591000</v>
      </c>
      <c r="J1119" s="159">
        <f>bargiri[[#This Row],[مقدار]]*INDEX(invoice[پیش دریافت به ازای هر کیلوگرم],MATCH(bargiri[[#This Row],[شماره سند مبنا]],invoice[شماره پیش فاکتور],0))</f>
        <v>469888650</v>
      </c>
      <c r="K1119" s="159">
        <f>bargiri[[#This Row],[مبلغ خالص]]-bargiri[[#This Row],[میزان استهلاک پیش دریافتی]]</f>
        <v>2662702350</v>
      </c>
      <c r="L1119" s="160" t="s">
        <v>593</v>
      </c>
      <c r="M1119" s="159"/>
      <c r="N1119" s="159">
        <f>IF(bargiri[[#This Row],[مبلغ واریزی]]&lt;&gt;"",bargiri[[#This Row],[مانده مبلغ]]-bargiri[[#This Row],[مبلغ واریزی]],bargiri[[#This Row],[مانده مبلغ]])</f>
        <v>2662702350</v>
      </c>
      <c r="O1119" s="159" t="s">
        <v>593</v>
      </c>
      <c r="P1119" s="159">
        <f>VLOOKUP(bargiri[[#This Row],[شماره سند مبنا]],invoice[[شماره پیش فاکتور]:[پیش دریافت به ازای هر کیلوگرم]],14,0)</f>
        <v>23430</v>
      </c>
      <c r="Q1119" s="159">
        <f>IF(bargiri[[#This Row],[مبلغ ناخالص]]-(bargiri[[#This Row],[نرخ استهلاک]]*bargiri[[#This Row],[مقدار]])&lt;0,0,bargiri[[#This Row],[مبلغ ناخالص]]-(bargiri[[#This Row],[نرخ استهلاک]]*bargiri[[#This Row],[مقدار]]))</f>
        <v>2377921350</v>
      </c>
    </row>
    <row r="1120" spans="1:17" s="22" customFormat="1" ht="13.8" x14ac:dyDescent="0.25">
      <c r="A1120" s="22">
        <v>423</v>
      </c>
      <c r="B1120" s="22" t="s">
        <v>646</v>
      </c>
      <c r="C1120" s="22" t="s">
        <v>616</v>
      </c>
      <c r="D1120" s="22" t="s">
        <v>67</v>
      </c>
      <c r="E1120" s="158">
        <v>8125</v>
      </c>
      <c r="F1120" s="159">
        <v>142000</v>
      </c>
      <c r="G1120" s="159">
        <v>1153750000</v>
      </c>
      <c r="H1120" s="159">
        <v>115375000</v>
      </c>
      <c r="I1120" s="159">
        <v>1269125000</v>
      </c>
      <c r="J1120" s="159">
        <f>bargiri[[#This Row],[مقدار]]*INDEX(invoice[پیش دریافت به ازای هر کیلوگرم],MATCH(bargiri[[#This Row],[شماره سند مبنا]],invoice[شماره پیش فاکتور],0))</f>
        <v>190368750</v>
      </c>
      <c r="K1120" s="159">
        <f>bargiri[[#This Row],[مبلغ خالص]]-bargiri[[#This Row],[میزان استهلاک پیش دریافتی]]</f>
        <v>1078756250</v>
      </c>
      <c r="L1120" s="160" t="s">
        <v>593</v>
      </c>
      <c r="M1120" s="159"/>
      <c r="N1120" s="159">
        <f>IF(bargiri[[#This Row],[مبلغ واریزی]]&lt;&gt;"",bargiri[[#This Row],[مانده مبلغ]]-bargiri[[#This Row],[مبلغ واریزی]],bargiri[[#This Row],[مانده مبلغ]])</f>
        <v>1078756250</v>
      </c>
      <c r="O1120" s="159" t="s">
        <v>593</v>
      </c>
      <c r="P1120" s="159">
        <f>VLOOKUP(bargiri[[#This Row],[شماره سند مبنا]],invoice[[شماره پیش فاکتور]:[پیش دریافت به ازای هر کیلوگرم]],14,0)</f>
        <v>23430</v>
      </c>
      <c r="Q1120" s="159">
        <f>IF(bargiri[[#This Row],[مبلغ ناخالص]]-(bargiri[[#This Row],[نرخ استهلاک]]*bargiri[[#This Row],[مقدار]])&lt;0,0,bargiri[[#This Row],[مبلغ ناخالص]]-(bargiri[[#This Row],[نرخ استهلاک]]*bargiri[[#This Row],[مقدار]]))</f>
        <v>963381250</v>
      </c>
    </row>
    <row r="1121" spans="1:17" s="22" customFormat="1" ht="13.8" x14ac:dyDescent="0.25">
      <c r="A1121" s="22">
        <v>422</v>
      </c>
      <c r="B1121" s="22" t="s">
        <v>646</v>
      </c>
      <c r="C1121" s="22" t="s">
        <v>616</v>
      </c>
      <c r="D1121" s="22" t="s">
        <v>67</v>
      </c>
      <c r="E1121" s="158">
        <v>18835</v>
      </c>
      <c r="F1121" s="159">
        <v>142000</v>
      </c>
      <c r="G1121" s="159">
        <v>2674570000</v>
      </c>
      <c r="H1121" s="159">
        <v>267457000</v>
      </c>
      <c r="I1121" s="159">
        <v>2942027000</v>
      </c>
      <c r="J1121" s="159">
        <f>bargiri[[#This Row],[مقدار]]*INDEX(invoice[پیش دریافت به ازای هر کیلوگرم],MATCH(bargiri[[#This Row],[شماره سند مبنا]],invoice[شماره پیش فاکتور],0))</f>
        <v>441304050</v>
      </c>
      <c r="K1121" s="159">
        <f>bargiri[[#This Row],[مبلغ خالص]]-bargiri[[#This Row],[میزان استهلاک پیش دریافتی]]</f>
        <v>2500722950</v>
      </c>
      <c r="L1121" s="160" t="s">
        <v>593</v>
      </c>
      <c r="M1121" s="159"/>
      <c r="N1121" s="159">
        <f>IF(bargiri[[#This Row],[مبلغ واریزی]]&lt;&gt;"",bargiri[[#This Row],[مانده مبلغ]]-bargiri[[#This Row],[مبلغ واریزی]],bargiri[[#This Row],[مانده مبلغ]])</f>
        <v>2500722950</v>
      </c>
      <c r="O1121" s="159" t="s">
        <v>593</v>
      </c>
      <c r="P1121" s="159">
        <f>VLOOKUP(bargiri[[#This Row],[شماره سند مبنا]],invoice[[شماره پیش فاکتور]:[پیش دریافت به ازای هر کیلوگرم]],14,0)</f>
        <v>23430</v>
      </c>
      <c r="Q1121" s="159">
        <f>IF(bargiri[[#This Row],[مبلغ ناخالص]]-(bargiri[[#This Row],[نرخ استهلاک]]*bargiri[[#This Row],[مقدار]])&lt;0,0,bargiri[[#This Row],[مبلغ ناخالص]]-(bargiri[[#This Row],[نرخ استهلاک]]*bargiri[[#This Row],[مقدار]]))</f>
        <v>2233265950</v>
      </c>
    </row>
    <row r="1122" spans="1:17" s="22" customFormat="1" ht="13.8" x14ac:dyDescent="0.25">
      <c r="A1122" s="22">
        <v>421</v>
      </c>
      <c r="B1122" s="22" t="s">
        <v>882</v>
      </c>
      <c r="C1122" s="22" t="s">
        <v>616</v>
      </c>
      <c r="D1122" s="22" t="s">
        <v>67</v>
      </c>
      <c r="E1122" s="158">
        <v>15085</v>
      </c>
      <c r="F1122" s="159">
        <v>142000</v>
      </c>
      <c r="G1122" s="159">
        <v>2142070000</v>
      </c>
      <c r="H1122" s="159">
        <v>214207000</v>
      </c>
      <c r="I1122" s="159">
        <v>2356277000</v>
      </c>
      <c r="J1122" s="159">
        <f>bargiri[[#This Row],[مقدار]]*INDEX(invoice[پیش دریافت به ازای هر کیلوگرم],MATCH(bargiri[[#This Row],[شماره سند مبنا]],invoice[شماره پیش فاکتور],0))</f>
        <v>353441550</v>
      </c>
      <c r="K1122" s="159">
        <f>bargiri[[#This Row],[مبلغ خالص]]-bargiri[[#This Row],[میزان استهلاک پیش دریافتی]]</f>
        <v>2002835450</v>
      </c>
      <c r="L1122" s="160" t="s">
        <v>593</v>
      </c>
      <c r="M1122" s="159"/>
      <c r="N1122" s="159">
        <f>IF(bargiri[[#This Row],[مبلغ واریزی]]&lt;&gt;"",bargiri[[#This Row],[مانده مبلغ]]-bargiri[[#This Row],[مبلغ واریزی]],bargiri[[#This Row],[مانده مبلغ]])</f>
        <v>2002835450</v>
      </c>
      <c r="O1122" s="159" t="s">
        <v>593</v>
      </c>
      <c r="P1122" s="159">
        <f>VLOOKUP(bargiri[[#This Row],[شماره سند مبنا]],invoice[[شماره پیش فاکتور]:[پیش دریافت به ازای هر کیلوگرم]],14,0)</f>
        <v>23430</v>
      </c>
      <c r="Q1122" s="159">
        <f>IF(bargiri[[#This Row],[مبلغ ناخالص]]-(bargiri[[#This Row],[نرخ استهلاک]]*bargiri[[#This Row],[مقدار]])&lt;0,0,bargiri[[#This Row],[مبلغ ناخالص]]-(bargiri[[#This Row],[نرخ استهلاک]]*bargiri[[#This Row],[مقدار]]))</f>
        <v>1788628450</v>
      </c>
    </row>
    <row r="1123" spans="1:17" s="22" customFormat="1" ht="13.8" x14ac:dyDescent="0.25">
      <c r="A1123" s="22">
        <v>420</v>
      </c>
      <c r="B1123" s="22" t="s">
        <v>882</v>
      </c>
      <c r="C1123" s="22" t="s">
        <v>455</v>
      </c>
      <c r="D1123" s="22" t="s">
        <v>67</v>
      </c>
      <c r="E1123" s="158">
        <v>3535</v>
      </c>
      <c r="F1123" s="159">
        <v>142000</v>
      </c>
      <c r="G1123" s="159">
        <v>501970000</v>
      </c>
      <c r="H1123" s="159">
        <v>50197000</v>
      </c>
      <c r="I1123" s="159">
        <v>552167000</v>
      </c>
      <c r="J1123" s="159">
        <f>bargiri[[#This Row],[مقدار]]*INDEX(invoice[پیش دریافت به ازای هر کیلوگرم],MATCH(bargiri[[#This Row],[شماره سند مبنا]],invoice[شماره پیش فاکتور],0))</f>
        <v>82825050</v>
      </c>
      <c r="K1123" s="159">
        <f>bargiri[[#This Row],[مبلغ خالص]]-bargiri[[#This Row],[میزان استهلاک پیش دریافتی]]</f>
        <v>469341950</v>
      </c>
      <c r="L1123" s="160" t="s">
        <v>593</v>
      </c>
      <c r="M1123" s="159"/>
      <c r="N1123" s="159">
        <f>IF(bargiri[[#This Row],[مبلغ واریزی]]&lt;&gt;"",bargiri[[#This Row],[مانده مبلغ]]-bargiri[[#This Row],[مبلغ واریزی]],bargiri[[#This Row],[مانده مبلغ]])</f>
        <v>469341950</v>
      </c>
      <c r="O1123" s="159" t="s">
        <v>593</v>
      </c>
      <c r="P1123" s="159">
        <f>VLOOKUP(bargiri[[#This Row],[شماره سند مبنا]],invoice[[شماره پیش فاکتور]:[پیش دریافت به ازای هر کیلوگرم]],14,0)</f>
        <v>23430</v>
      </c>
      <c r="Q1123" s="159">
        <f>IF(bargiri[[#This Row],[مبلغ ناخالص]]-(bargiri[[#This Row],[نرخ استهلاک]]*bargiri[[#This Row],[مقدار]])&lt;0,0,bargiri[[#This Row],[مبلغ ناخالص]]-(bargiri[[#This Row],[نرخ استهلاک]]*bargiri[[#This Row],[مقدار]]))</f>
        <v>419144950</v>
      </c>
    </row>
    <row r="1124" spans="1:17" s="22" customFormat="1" ht="13.8" x14ac:dyDescent="0.25">
      <c r="A1124" s="22">
        <v>420</v>
      </c>
      <c r="B1124" s="22" t="s">
        <v>882</v>
      </c>
      <c r="C1124" s="22" t="s">
        <v>616</v>
      </c>
      <c r="D1124" s="22" t="s">
        <v>67</v>
      </c>
      <c r="E1124" s="158">
        <v>16465</v>
      </c>
      <c r="F1124" s="159">
        <v>142000</v>
      </c>
      <c r="G1124" s="159">
        <v>2338030000</v>
      </c>
      <c r="H1124" s="159">
        <v>233803000</v>
      </c>
      <c r="I1124" s="159">
        <v>2571833000</v>
      </c>
      <c r="J1124" s="159">
        <f>bargiri[[#This Row],[مقدار]]*INDEX(invoice[پیش دریافت به ازای هر کیلوگرم],MATCH(bargiri[[#This Row],[شماره سند مبنا]],invoice[شماره پیش فاکتور],0))</f>
        <v>385774950</v>
      </c>
      <c r="K1124" s="159">
        <f>bargiri[[#This Row],[مبلغ خالص]]-bargiri[[#This Row],[میزان استهلاک پیش دریافتی]]</f>
        <v>2186058050</v>
      </c>
      <c r="L1124" s="160" t="s">
        <v>593</v>
      </c>
      <c r="M1124" s="159"/>
      <c r="N1124" s="159">
        <f>IF(bargiri[[#This Row],[مبلغ واریزی]]&lt;&gt;"",bargiri[[#This Row],[مانده مبلغ]]-bargiri[[#This Row],[مبلغ واریزی]],bargiri[[#This Row],[مانده مبلغ]])</f>
        <v>2186058050</v>
      </c>
      <c r="O1124" s="159" t="s">
        <v>593</v>
      </c>
      <c r="P1124" s="159">
        <f>VLOOKUP(bargiri[[#This Row],[شماره سند مبنا]],invoice[[شماره پیش فاکتور]:[پیش دریافت به ازای هر کیلوگرم]],14,0)</f>
        <v>23430</v>
      </c>
      <c r="Q1124" s="159">
        <f>IF(bargiri[[#This Row],[مبلغ ناخالص]]-(bargiri[[#This Row],[نرخ استهلاک]]*bargiri[[#This Row],[مقدار]])&lt;0,0,bargiri[[#This Row],[مبلغ ناخالص]]-(bargiri[[#This Row],[نرخ استهلاک]]*bargiri[[#This Row],[مقدار]]))</f>
        <v>1952255050</v>
      </c>
    </row>
    <row r="1125" spans="1:17" s="22" customFormat="1" ht="13.8" x14ac:dyDescent="0.25">
      <c r="A1125" s="22">
        <v>419</v>
      </c>
      <c r="B1125" s="22" t="s">
        <v>882</v>
      </c>
      <c r="C1125" s="22" t="s">
        <v>456</v>
      </c>
      <c r="D1125" s="22" t="s">
        <v>213</v>
      </c>
      <c r="E1125" s="158">
        <v>7305</v>
      </c>
      <c r="F1125" s="159">
        <v>142000</v>
      </c>
      <c r="G1125" s="159">
        <v>1037310000</v>
      </c>
      <c r="H1125" s="159">
        <v>103731000</v>
      </c>
      <c r="I1125" s="159">
        <v>1141041000</v>
      </c>
      <c r="J1125" s="159">
        <f>bargiri[[#This Row],[مقدار]]*INDEX(invoice[پیش دریافت به ازای هر کیلوگرم],MATCH(bargiri[[#This Row],[شماره سند مبنا]],invoice[شماره پیش فاکتور],0))</f>
        <v>866841533.49957466</v>
      </c>
      <c r="K1125" s="159">
        <f>bargiri[[#This Row],[مبلغ خالص]]-bargiri[[#This Row],[میزان استهلاک پیش دریافتی]]</f>
        <v>274199466.50042534</v>
      </c>
      <c r="L1125" s="160" t="s">
        <v>593</v>
      </c>
      <c r="M1125" s="159"/>
      <c r="N1125" s="159">
        <f>IF(bargiri[[#This Row],[مبلغ واریزی]]&lt;&gt;"",bargiri[[#This Row],[مانده مبلغ]]-bargiri[[#This Row],[مبلغ واریزی]],bargiri[[#This Row],[مانده مبلغ]])</f>
        <v>274199466.50042534</v>
      </c>
      <c r="O1125" s="159" t="s">
        <v>593</v>
      </c>
      <c r="P1125" s="159">
        <f>VLOOKUP(bargiri[[#This Row],[شماره سند مبنا]],invoice[[شماره پیش فاکتور]:[پیش دریافت به ازای هر کیلوگرم]],14,0)</f>
        <v>118664.13874053041</v>
      </c>
      <c r="Q1125" s="159">
        <f>IF(bargiri[[#This Row],[مبلغ ناخالص]]-(bargiri[[#This Row],[نرخ استهلاک]]*bargiri[[#This Row],[مقدار]])&lt;0,0,bargiri[[#This Row],[مبلغ ناخالص]]-(bargiri[[#This Row],[نرخ استهلاک]]*bargiri[[#This Row],[مقدار]]))</f>
        <v>170468466.50042534</v>
      </c>
    </row>
    <row r="1126" spans="1:17" s="22" customFormat="1" ht="13.8" x14ac:dyDescent="0.25">
      <c r="A1126" s="22">
        <v>418</v>
      </c>
      <c r="B1126" s="22" t="s">
        <v>883</v>
      </c>
      <c r="C1126" s="22" t="s">
        <v>455</v>
      </c>
      <c r="D1126" s="22" t="s">
        <v>67</v>
      </c>
      <c r="E1126" s="158">
        <v>20115</v>
      </c>
      <c r="F1126" s="159">
        <v>142000</v>
      </c>
      <c r="G1126" s="159">
        <v>2856330000</v>
      </c>
      <c r="H1126" s="159">
        <v>285633000</v>
      </c>
      <c r="I1126" s="159">
        <v>3141963000</v>
      </c>
      <c r="J1126" s="159">
        <f>bargiri[[#This Row],[مقدار]]*INDEX(invoice[پیش دریافت به ازای هر کیلوگرم],MATCH(bargiri[[#This Row],[شماره سند مبنا]],invoice[شماره پیش فاکتور],0))</f>
        <v>471294450</v>
      </c>
      <c r="K1126" s="159">
        <f>bargiri[[#This Row],[مبلغ خالص]]-bargiri[[#This Row],[میزان استهلاک پیش دریافتی]]</f>
        <v>2670668550</v>
      </c>
      <c r="L1126" s="160" t="s">
        <v>593</v>
      </c>
      <c r="M1126" s="159"/>
      <c r="N1126" s="159">
        <f>IF(bargiri[[#This Row],[مبلغ واریزی]]&lt;&gt;"",bargiri[[#This Row],[مانده مبلغ]]-bargiri[[#This Row],[مبلغ واریزی]],bargiri[[#This Row],[مانده مبلغ]])</f>
        <v>2670668550</v>
      </c>
      <c r="O1126" s="159" t="s">
        <v>593</v>
      </c>
      <c r="P1126" s="159">
        <f>VLOOKUP(bargiri[[#This Row],[شماره سند مبنا]],invoice[[شماره پیش فاکتور]:[پیش دریافت به ازای هر کیلوگرم]],14,0)</f>
        <v>23430</v>
      </c>
      <c r="Q1126" s="159">
        <f>IF(bargiri[[#This Row],[مبلغ ناخالص]]-(bargiri[[#This Row],[نرخ استهلاک]]*bargiri[[#This Row],[مقدار]])&lt;0,0,bargiri[[#This Row],[مبلغ ناخالص]]-(bargiri[[#This Row],[نرخ استهلاک]]*bargiri[[#This Row],[مقدار]]))</f>
        <v>2385035550</v>
      </c>
    </row>
    <row r="1127" spans="1:17" s="22" customFormat="1" ht="13.8" x14ac:dyDescent="0.25">
      <c r="A1127" s="22">
        <v>415</v>
      </c>
      <c r="B1127" s="22" t="s">
        <v>884</v>
      </c>
      <c r="C1127" s="22" t="s">
        <v>456</v>
      </c>
      <c r="D1127" s="22" t="s">
        <v>213</v>
      </c>
      <c r="E1127" s="158">
        <v>7500</v>
      </c>
      <c r="F1127" s="159">
        <v>142000</v>
      </c>
      <c r="G1127" s="159">
        <v>1065000000</v>
      </c>
      <c r="H1127" s="159">
        <v>106500000</v>
      </c>
      <c r="I1127" s="159">
        <v>1171500000</v>
      </c>
      <c r="J1127" s="159">
        <f>bargiri[[#This Row],[مقدار]]*INDEX(invoice[پیش دریافت به ازای هر کیلوگرم],MATCH(bargiri[[#This Row],[شماره سند مبنا]],invoice[شماره پیش فاکتور],0))</f>
        <v>889981040.55397809</v>
      </c>
      <c r="K1127" s="159">
        <f>bargiri[[#This Row],[مبلغ خالص]]-bargiri[[#This Row],[میزان استهلاک پیش دریافتی]]</f>
        <v>281518959.44602191</v>
      </c>
      <c r="L1127" s="160" t="s">
        <v>593</v>
      </c>
      <c r="M1127" s="159"/>
      <c r="N1127" s="159">
        <f>IF(bargiri[[#This Row],[مبلغ واریزی]]&lt;&gt;"",bargiri[[#This Row],[مانده مبلغ]]-bargiri[[#This Row],[مبلغ واریزی]],bargiri[[#This Row],[مانده مبلغ]])</f>
        <v>281518959.44602191</v>
      </c>
      <c r="O1127" s="159" t="s">
        <v>593</v>
      </c>
      <c r="P1127" s="159">
        <f>VLOOKUP(bargiri[[#This Row],[شماره سند مبنا]],invoice[[شماره پیش فاکتور]:[پیش دریافت به ازای هر کیلوگرم]],14,0)</f>
        <v>118664.13874053041</v>
      </c>
      <c r="Q1127" s="159">
        <f>IF(bargiri[[#This Row],[مبلغ ناخالص]]-(bargiri[[#This Row],[نرخ استهلاک]]*bargiri[[#This Row],[مقدار]])&lt;0,0,bargiri[[#This Row],[مبلغ ناخالص]]-(bargiri[[#This Row],[نرخ استهلاک]]*bargiri[[#This Row],[مقدار]]))</f>
        <v>175018959.44602191</v>
      </c>
    </row>
    <row r="1128" spans="1:17" s="22" customFormat="1" ht="13.8" x14ac:dyDescent="0.25">
      <c r="A1128" s="22">
        <v>414</v>
      </c>
      <c r="B1128" s="22" t="s">
        <v>884</v>
      </c>
      <c r="C1128" s="22" t="s">
        <v>456</v>
      </c>
      <c r="D1128" s="22" t="s">
        <v>213</v>
      </c>
      <c r="E1128" s="158">
        <v>6670</v>
      </c>
      <c r="F1128" s="159">
        <v>142000</v>
      </c>
      <c r="G1128" s="159">
        <v>947140000</v>
      </c>
      <c r="H1128" s="159">
        <v>94714000</v>
      </c>
      <c r="I1128" s="159">
        <v>1041854000</v>
      </c>
      <c r="J1128" s="159">
        <f>bargiri[[#This Row],[مقدار]]*INDEX(invoice[پیش دریافت به ازای هر کیلوگرم],MATCH(bargiri[[#This Row],[شماره سند مبنا]],invoice[شماره پیش فاکتور],0))</f>
        <v>791489805.39933789</v>
      </c>
      <c r="K1128" s="159">
        <f>bargiri[[#This Row],[مبلغ خالص]]-bargiri[[#This Row],[میزان استهلاک پیش دریافتی]]</f>
        <v>250364194.60066211</v>
      </c>
      <c r="L1128" s="160" t="s">
        <v>593</v>
      </c>
      <c r="M1128" s="159"/>
      <c r="N1128" s="159">
        <f>IF(bargiri[[#This Row],[مبلغ واریزی]]&lt;&gt;"",bargiri[[#This Row],[مانده مبلغ]]-bargiri[[#This Row],[مبلغ واریزی]],bargiri[[#This Row],[مانده مبلغ]])</f>
        <v>250364194.60066211</v>
      </c>
      <c r="O1128" s="159" t="s">
        <v>593</v>
      </c>
      <c r="P1128" s="159">
        <f>VLOOKUP(bargiri[[#This Row],[شماره سند مبنا]],invoice[[شماره پیش فاکتور]:[پیش دریافت به ازای هر کیلوگرم]],14,0)</f>
        <v>118664.13874053041</v>
      </c>
      <c r="Q1128" s="159">
        <f>IF(bargiri[[#This Row],[مبلغ ناخالص]]-(bargiri[[#This Row],[نرخ استهلاک]]*bargiri[[#This Row],[مقدار]])&lt;0,0,bargiri[[#This Row],[مبلغ ناخالص]]-(bargiri[[#This Row],[نرخ استهلاک]]*bargiri[[#This Row],[مقدار]]))</f>
        <v>155650194.60066211</v>
      </c>
    </row>
    <row r="1129" spans="1:17" s="22" customFormat="1" ht="13.8" x14ac:dyDescent="0.25">
      <c r="A1129" s="22">
        <v>413</v>
      </c>
      <c r="B1129" s="22" t="s">
        <v>884</v>
      </c>
      <c r="C1129" s="22" t="s">
        <v>107</v>
      </c>
      <c r="D1129" s="22" t="s">
        <v>30</v>
      </c>
      <c r="E1129" s="158">
        <v>11520</v>
      </c>
      <c r="F1129" s="159">
        <v>70000</v>
      </c>
      <c r="G1129" s="159">
        <v>806400000</v>
      </c>
      <c r="H1129" s="159">
        <v>80640000</v>
      </c>
      <c r="I1129" s="159">
        <v>887040000</v>
      </c>
      <c r="J1129" s="159">
        <f>bargiri[[#This Row],[مقدار]]*INDEX(invoice[پیش دریافت به ازای هر کیلوگرم],MATCH(bargiri[[#This Row],[شماره سند مبنا]],invoice[شماره پیش فاکتور],0))</f>
        <v>443520000</v>
      </c>
      <c r="K1129" s="159">
        <f>bargiri[[#This Row],[مبلغ خالص]]-bargiri[[#This Row],[میزان استهلاک پیش دریافتی]]</f>
        <v>443520000</v>
      </c>
      <c r="L1129" s="160" t="s">
        <v>593</v>
      </c>
      <c r="M1129" s="159"/>
      <c r="N1129" s="159">
        <f>IF(bargiri[[#This Row],[مبلغ واریزی]]&lt;&gt;"",bargiri[[#This Row],[مانده مبلغ]]-bargiri[[#This Row],[مبلغ واریزی]],bargiri[[#This Row],[مانده مبلغ]])</f>
        <v>443520000</v>
      </c>
      <c r="O1129" s="159" t="s">
        <v>593</v>
      </c>
      <c r="P1129" s="159">
        <f>VLOOKUP(bargiri[[#This Row],[شماره سند مبنا]],invoice[[شماره پیش فاکتور]:[پیش دریافت به ازای هر کیلوگرم]],14,0)</f>
        <v>38500</v>
      </c>
      <c r="Q1129" s="159">
        <f>IF(bargiri[[#This Row],[مبلغ ناخالص]]-(bargiri[[#This Row],[نرخ استهلاک]]*bargiri[[#This Row],[مقدار]])&lt;0,0,bargiri[[#This Row],[مبلغ ناخالص]]-(bargiri[[#This Row],[نرخ استهلاک]]*bargiri[[#This Row],[مقدار]]))</f>
        <v>362880000</v>
      </c>
    </row>
    <row r="1130" spans="1:17" s="22" customFormat="1" ht="13.8" x14ac:dyDescent="0.25">
      <c r="A1130" s="22">
        <v>412</v>
      </c>
      <c r="B1130" s="22" t="s">
        <v>885</v>
      </c>
      <c r="C1130" s="22" t="s">
        <v>187</v>
      </c>
      <c r="D1130" s="22" t="s">
        <v>43</v>
      </c>
      <c r="E1130" s="158">
        <v>18690</v>
      </c>
      <c r="F1130" s="159">
        <v>80000</v>
      </c>
      <c r="G1130" s="159">
        <v>1495200000</v>
      </c>
      <c r="H1130" s="159">
        <v>149520000</v>
      </c>
      <c r="I1130" s="159">
        <v>1644720000</v>
      </c>
      <c r="J1130" s="159">
        <f>bargiri[[#This Row],[مقدار]]*INDEX(invoice[پیش دریافت به ازای هر کیلوگرم],MATCH(bargiri[[#This Row],[شماره سند مبنا]],invoice[شماره پیش فاکتور],0))</f>
        <v>328944000</v>
      </c>
      <c r="K1130" s="159">
        <f>bargiri[[#This Row],[مبلغ خالص]]-bargiri[[#This Row],[میزان استهلاک پیش دریافتی]]</f>
        <v>1315776000</v>
      </c>
      <c r="L1130" s="160" t="s">
        <v>593</v>
      </c>
      <c r="M1130" s="159"/>
      <c r="N1130" s="159">
        <f>IF(bargiri[[#This Row],[مبلغ واریزی]]&lt;&gt;"",bargiri[[#This Row],[مانده مبلغ]]-bargiri[[#This Row],[مبلغ واریزی]],bargiri[[#This Row],[مانده مبلغ]])</f>
        <v>1315776000</v>
      </c>
      <c r="O1130" s="159" t="s">
        <v>593</v>
      </c>
      <c r="P1130" s="159">
        <f>VLOOKUP(bargiri[[#This Row],[شماره سند مبنا]],invoice[[شماره پیش فاکتور]:[پیش دریافت به ازای هر کیلوگرم]],14,0)</f>
        <v>17600</v>
      </c>
      <c r="Q1130" s="159">
        <f>IF(bargiri[[#This Row],[مبلغ ناخالص]]-(bargiri[[#This Row],[نرخ استهلاک]]*bargiri[[#This Row],[مقدار]])&lt;0,0,bargiri[[#This Row],[مبلغ ناخالص]]-(bargiri[[#This Row],[نرخ استهلاک]]*bargiri[[#This Row],[مقدار]]))</f>
        <v>1166256000</v>
      </c>
    </row>
    <row r="1131" spans="1:17" s="22" customFormat="1" ht="13.8" x14ac:dyDescent="0.25">
      <c r="A1131" s="22">
        <v>411</v>
      </c>
      <c r="B1131" s="22" t="s">
        <v>885</v>
      </c>
      <c r="C1131" s="22" t="s">
        <v>458</v>
      </c>
      <c r="D1131" s="22" t="s">
        <v>156</v>
      </c>
      <c r="E1131" s="158">
        <v>22840</v>
      </c>
      <c r="F1131" s="159">
        <v>142000</v>
      </c>
      <c r="G1131" s="159">
        <v>3243280000</v>
      </c>
      <c r="H1131" s="159">
        <v>324328000</v>
      </c>
      <c r="I1131" s="159">
        <v>3567608000</v>
      </c>
      <c r="J1131" s="159">
        <f>bargiri[[#This Row],[مقدار]]*INDEX(invoice[پیش دریافت به ازای هر کیلوگرم],MATCH(bargiri[[#This Row],[شماره سند مبنا]],invoice[شماره پیش فاکتور],0))</f>
        <v>645150033.15316761</v>
      </c>
      <c r="K1131" s="159">
        <f>bargiri[[#This Row],[مبلغ خالص]]-bargiri[[#This Row],[میزان استهلاک پیش دریافتی]]</f>
        <v>2922457966.8468323</v>
      </c>
      <c r="L1131" s="160" t="s">
        <v>593</v>
      </c>
      <c r="M1131" s="159"/>
      <c r="N1131" s="159">
        <f>IF(bargiri[[#This Row],[مبلغ واریزی]]&lt;&gt;"",bargiri[[#This Row],[مانده مبلغ]]-bargiri[[#This Row],[مبلغ واریزی]],bargiri[[#This Row],[مانده مبلغ]])</f>
        <v>2922457966.8468323</v>
      </c>
      <c r="O1131" s="159" t="s">
        <v>593</v>
      </c>
      <c r="P1131" s="159">
        <f>VLOOKUP(bargiri[[#This Row],[شماره سند مبنا]],invoice[[شماره پیش فاکتور]:[پیش دریافت به ازای هر کیلوگرم]],14,0)</f>
        <v>28246.498824569509</v>
      </c>
      <c r="Q1131" s="159">
        <f>IF(bargiri[[#This Row],[مبلغ ناخالص]]-(bargiri[[#This Row],[نرخ استهلاک]]*bargiri[[#This Row],[مقدار]])&lt;0,0,bargiri[[#This Row],[مبلغ ناخالص]]-(bargiri[[#This Row],[نرخ استهلاک]]*bargiri[[#This Row],[مقدار]]))</f>
        <v>2598129966.8468323</v>
      </c>
    </row>
    <row r="1132" spans="1:17" s="22" customFormat="1" ht="13.8" x14ac:dyDescent="0.25">
      <c r="A1132" s="22">
        <v>410</v>
      </c>
      <c r="B1132" s="22" t="s">
        <v>885</v>
      </c>
      <c r="C1132" s="22" t="s">
        <v>456</v>
      </c>
      <c r="D1132" s="22" t="s">
        <v>213</v>
      </c>
      <c r="E1132" s="158">
        <v>19770</v>
      </c>
      <c r="F1132" s="159">
        <v>142000</v>
      </c>
      <c r="G1132" s="159">
        <v>2807340000</v>
      </c>
      <c r="H1132" s="159">
        <v>280734000</v>
      </c>
      <c r="I1132" s="159">
        <v>3088074000</v>
      </c>
      <c r="J1132" s="159">
        <f>bargiri[[#This Row],[مقدار]]*INDEX(invoice[پیش دریافت به ازای هر کیلوگرم],MATCH(bargiri[[#This Row],[شماره سند مبنا]],invoice[شماره پیش فاکتور],0))</f>
        <v>2345990022.9002862</v>
      </c>
      <c r="K1132" s="159">
        <f>bargiri[[#This Row],[مبلغ خالص]]-bargiri[[#This Row],[میزان استهلاک پیش دریافتی]]</f>
        <v>742083977.0997138</v>
      </c>
      <c r="L1132" s="160" t="s">
        <v>593</v>
      </c>
      <c r="M1132" s="159"/>
      <c r="N1132" s="159">
        <f>IF(bargiri[[#This Row],[مبلغ واریزی]]&lt;&gt;"",bargiri[[#This Row],[مانده مبلغ]]-bargiri[[#This Row],[مبلغ واریزی]],bargiri[[#This Row],[مانده مبلغ]])</f>
        <v>742083977.0997138</v>
      </c>
      <c r="O1132" s="159" t="s">
        <v>593</v>
      </c>
      <c r="P1132" s="159">
        <f>VLOOKUP(bargiri[[#This Row],[شماره سند مبنا]],invoice[[شماره پیش فاکتور]:[پیش دریافت به ازای هر کیلوگرم]],14,0)</f>
        <v>118664.13874053041</v>
      </c>
      <c r="Q1132" s="159">
        <f>IF(bargiri[[#This Row],[مبلغ ناخالص]]-(bargiri[[#This Row],[نرخ استهلاک]]*bargiri[[#This Row],[مقدار]])&lt;0,0,bargiri[[#This Row],[مبلغ ناخالص]]-(bargiri[[#This Row],[نرخ استهلاک]]*bargiri[[#This Row],[مقدار]]))</f>
        <v>461349977.0997138</v>
      </c>
    </row>
    <row r="1133" spans="1:17" s="22" customFormat="1" ht="13.8" x14ac:dyDescent="0.25">
      <c r="A1133" s="22">
        <v>409</v>
      </c>
      <c r="B1133" s="22" t="s">
        <v>885</v>
      </c>
      <c r="C1133" s="22" t="s">
        <v>455</v>
      </c>
      <c r="D1133" s="22" t="s">
        <v>67</v>
      </c>
      <c r="E1133" s="158">
        <v>19945</v>
      </c>
      <c r="F1133" s="159">
        <v>142000</v>
      </c>
      <c r="G1133" s="159">
        <v>2832190000</v>
      </c>
      <c r="H1133" s="159">
        <v>283219000</v>
      </c>
      <c r="I1133" s="159">
        <v>3115409000</v>
      </c>
      <c r="J1133" s="159">
        <f>bargiri[[#This Row],[مقدار]]*INDEX(invoice[پیش دریافت به ازای هر کیلوگرم],MATCH(bargiri[[#This Row],[شماره سند مبنا]],invoice[شماره پیش فاکتور],0))</f>
        <v>467311350</v>
      </c>
      <c r="K1133" s="159">
        <f>bargiri[[#This Row],[مبلغ خالص]]-bargiri[[#This Row],[میزان استهلاک پیش دریافتی]]</f>
        <v>2648097650</v>
      </c>
      <c r="L1133" s="160" t="s">
        <v>593</v>
      </c>
      <c r="M1133" s="159"/>
      <c r="N1133" s="159">
        <f>IF(bargiri[[#This Row],[مبلغ واریزی]]&lt;&gt;"",bargiri[[#This Row],[مانده مبلغ]]-bargiri[[#This Row],[مبلغ واریزی]],bargiri[[#This Row],[مانده مبلغ]])</f>
        <v>2648097650</v>
      </c>
      <c r="O1133" s="159" t="s">
        <v>593</v>
      </c>
      <c r="P1133" s="159">
        <f>VLOOKUP(bargiri[[#This Row],[شماره سند مبنا]],invoice[[شماره پیش فاکتور]:[پیش دریافت به ازای هر کیلوگرم]],14,0)</f>
        <v>23430</v>
      </c>
      <c r="Q1133" s="159">
        <f>IF(bargiri[[#This Row],[مبلغ ناخالص]]-(bargiri[[#This Row],[نرخ استهلاک]]*bargiri[[#This Row],[مقدار]])&lt;0,0,bargiri[[#This Row],[مبلغ ناخالص]]-(bargiri[[#This Row],[نرخ استهلاک]]*bargiri[[#This Row],[مقدار]]))</f>
        <v>2364878650</v>
      </c>
    </row>
    <row r="1134" spans="1:17" s="22" customFormat="1" ht="13.8" x14ac:dyDescent="0.25">
      <c r="A1134" s="22">
        <v>408</v>
      </c>
      <c r="B1134" s="22" t="s">
        <v>645</v>
      </c>
      <c r="C1134" s="22" t="s">
        <v>455</v>
      </c>
      <c r="D1134" s="22" t="s">
        <v>67</v>
      </c>
      <c r="E1134" s="158">
        <v>19990</v>
      </c>
      <c r="F1134" s="159">
        <v>142000</v>
      </c>
      <c r="G1134" s="159">
        <v>2838580000</v>
      </c>
      <c r="H1134" s="159">
        <v>283858000</v>
      </c>
      <c r="I1134" s="159">
        <v>3122438000</v>
      </c>
      <c r="J1134" s="159">
        <f>bargiri[[#This Row],[مقدار]]*INDEX(invoice[پیش دریافت به ازای هر کیلوگرم],MATCH(bargiri[[#This Row],[شماره سند مبنا]],invoice[شماره پیش فاکتور],0))</f>
        <v>468365700</v>
      </c>
      <c r="K1134" s="159">
        <f>bargiri[[#This Row],[مبلغ خالص]]-bargiri[[#This Row],[میزان استهلاک پیش دریافتی]]</f>
        <v>2654072300</v>
      </c>
      <c r="L1134" s="160" t="s">
        <v>593</v>
      </c>
      <c r="M1134" s="159"/>
      <c r="N1134" s="159">
        <f>IF(bargiri[[#This Row],[مبلغ واریزی]]&lt;&gt;"",bargiri[[#This Row],[مانده مبلغ]]-bargiri[[#This Row],[مبلغ واریزی]],bargiri[[#This Row],[مانده مبلغ]])</f>
        <v>2654072300</v>
      </c>
      <c r="O1134" s="159" t="s">
        <v>593</v>
      </c>
      <c r="P1134" s="159">
        <f>VLOOKUP(bargiri[[#This Row],[شماره سند مبنا]],invoice[[شماره پیش فاکتور]:[پیش دریافت به ازای هر کیلوگرم]],14,0)</f>
        <v>23430</v>
      </c>
      <c r="Q1134" s="159">
        <f>IF(bargiri[[#This Row],[مبلغ ناخالص]]-(bargiri[[#This Row],[نرخ استهلاک]]*bargiri[[#This Row],[مقدار]])&lt;0,0,bargiri[[#This Row],[مبلغ ناخالص]]-(bargiri[[#This Row],[نرخ استهلاک]]*bargiri[[#This Row],[مقدار]]))</f>
        <v>2370214300</v>
      </c>
    </row>
    <row r="1135" spans="1:17" s="22" customFormat="1" ht="13.8" x14ac:dyDescent="0.25">
      <c r="A1135" s="22">
        <v>407</v>
      </c>
      <c r="B1135" s="22" t="s">
        <v>885</v>
      </c>
      <c r="C1135" s="22" t="s">
        <v>187</v>
      </c>
      <c r="D1135" s="22" t="s">
        <v>43</v>
      </c>
      <c r="E1135" s="158">
        <v>22385</v>
      </c>
      <c r="F1135" s="159">
        <v>80000</v>
      </c>
      <c r="G1135" s="159">
        <v>1790800000</v>
      </c>
      <c r="H1135" s="159">
        <v>179080000</v>
      </c>
      <c r="I1135" s="159">
        <v>1969880000</v>
      </c>
      <c r="J1135" s="159">
        <f>bargiri[[#This Row],[مقدار]]*INDEX(invoice[پیش دریافت به ازای هر کیلوگرم],MATCH(bargiri[[#This Row],[شماره سند مبنا]],invoice[شماره پیش فاکتور],0))</f>
        <v>393976000</v>
      </c>
      <c r="K1135" s="159">
        <f>bargiri[[#This Row],[مبلغ خالص]]-bargiri[[#This Row],[میزان استهلاک پیش دریافتی]]</f>
        <v>1575904000</v>
      </c>
      <c r="L1135" s="160" t="s">
        <v>593</v>
      </c>
      <c r="M1135" s="159"/>
      <c r="N1135" s="159">
        <f>IF(bargiri[[#This Row],[مبلغ واریزی]]&lt;&gt;"",bargiri[[#This Row],[مانده مبلغ]]-bargiri[[#This Row],[مبلغ واریزی]],bargiri[[#This Row],[مانده مبلغ]])</f>
        <v>1575904000</v>
      </c>
      <c r="O1135" s="159" t="s">
        <v>593</v>
      </c>
      <c r="P1135" s="159">
        <f>VLOOKUP(bargiri[[#This Row],[شماره سند مبنا]],invoice[[شماره پیش فاکتور]:[پیش دریافت به ازای هر کیلوگرم]],14,0)</f>
        <v>17600</v>
      </c>
      <c r="Q1135" s="159">
        <f>IF(bargiri[[#This Row],[مبلغ ناخالص]]-(bargiri[[#This Row],[نرخ استهلاک]]*bargiri[[#This Row],[مقدار]])&lt;0,0,bargiri[[#This Row],[مبلغ ناخالص]]-(bargiri[[#This Row],[نرخ استهلاک]]*bargiri[[#This Row],[مقدار]]))</f>
        <v>1396824000</v>
      </c>
    </row>
    <row r="1136" spans="1:17" s="22" customFormat="1" ht="13.8" x14ac:dyDescent="0.25">
      <c r="A1136" s="22">
        <v>406</v>
      </c>
      <c r="B1136" s="22" t="s">
        <v>885</v>
      </c>
      <c r="C1136" s="22" t="s">
        <v>608</v>
      </c>
      <c r="D1136" s="22" t="s">
        <v>40</v>
      </c>
      <c r="E1136" s="158">
        <v>18020</v>
      </c>
      <c r="F1136" s="159">
        <v>142000</v>
      </c>
      <c r="G1136" s="159">
        <v>2558840000</v>
      </c>
      <c r="H1136" s="159">
        <v>255884000</v>
      </c>
      <c r="I1136" s="159">
        <v>2814724000</v>
      </c>
      <c r="J1136" s="159">
        <f>bargiri[[#This Row],[مقدار]]*INDEX(invoice[پیش دریافت به ازای هر کیلوگرم],MATCH(bargiri[[#This Row],[شماره سند مبنا]],invoice[شماره پیش فاکتور],0))</f>
        <v>422208600</v>
      </c>
      <c r="K1136" s="159">
        <f>bargiri[[#This Row],[مبلغ خالص]]-bargiri[[#This Row],[میزان استهلاک پیش دریافتی]]</f>
        <v>2392515400</v>
      </c>
      <c r="L1136" s="160" t="s">
        <v>593</v>
      </c>
      <c r="M1136" s="159"/>
      <c r="N1136" s="159">
        <f>IF(bargiri[[#This Row],[مبلغ واریزی]]&lt;&gt;"",bargiri[[#This Row],[مانده مبلغ]]-bargiri[[#This Row],[مبلغ واریزی]],bargiri[[#This Row],[مانده مبلغ]])</f>
        <v>2392515400</v>
      </c>
      <c r="O1136" s="159" t="s">
        <v>593</v>
      </c>
      <c r="P1136" s="159">
        <f>VLOOKUP(bargiri[[#This Row],[شماره سند مبنا]],invoice[[شماره پیش فاکتور]:[پیش دریافت به ازای هر کیلوگرم]],14,0)</f>
        <v>23430</v>
      </c>
      <c r="Q1136" s="159">
        <f>IF(bargiri[[#This Row],[مبلغ ناخالص]]-(bargiri[[#This Row],[نرخ استهلاک]]*bargiri[[#This Row],[مقدار]])&lt;0,0,bargiri[[#This Row],[مبلغ ناخالص]]-(bargiri[[#This Row],[نرخ استهلاک]]*bargiri[[#This Row],[مقدار]]))</f>
        <v>2136631400</v>
      </c>
    </row>
    <row r="1137" spans="1:17" s="22" customFormat="1" ht="13.8" x14ac:dyDescent="0.25">
      <c r="A1137" s="22">
        <v>405</v>
      </c>
      <c r="B1137" s="22" t="s">
        <v>645</v>
      </c>
      <c r="C1137" s="22" t="s">
        <v>107</v>
      </c>
      <c r="D1137" s="22" t="s">
        <v>30</v>
      </c>
      <c r="E1137" s="158">
        <v>10625</v>
      </c>
      <c r="F1137" s="159">
        <v>70000</v>
      </c>
      <c r="G1137" s="159">
        <v>743750000</v>
      </c>
      <c r="H1137" s="159">
        <v>74375000</v>
      </c>
      <c r="I1137" s="159">
        <v>818125000</v>
      </c>
      <c r="J1137" s="159">
        <f>bargiri[[#This Row],[مقدار]]*INDEX(invoice[پیش دریافت به ازای هر کیلوگرم],MATCH(bargiri[[#This Row],[شماره سند مبنا]],invoice[شماره پیش فاکتور],0))</f>
        <v>409062500</v>
      </c>
      <c r="K1137" s="159">
        <f>bargiri[[#This Row],[مبلغ خالص]]-bargiri[[#This Row],[میزان استهلاک پیش دریافتی]]</f>
        <v>409062500</v>
      </c>
      <c r="L1137" s="160" t="s">
        <v>593</v>
      </c>
      <c r="M1137" s="159"/>
      <c r="N1137" s="159">
        <f>IF(bargiri[[#This Row],[مبلغ واریزی]]&lt;&gt;"",bargiri[[#This Row],[مانده مبلغ]]-bargiri[[#This Row],[مبلغ واریزی]],bargiri[[#This Row],[مانده مبلغ]])</f>
        <v>409062500</v>
      </c>
      <c r="O1137" s="159" t="s">
        <v>593</v>
      </c>
      <c r="P1137" s="159">
        <f>VLOOKUP(bargiri[[#This Row],[شماره سند مبنا]],invoice[[شماره پیش فاکتور]:[پیش دریافت به ازای هر کیلوگرم]],14,0)</f>
        <v>38500</v>
      </c>
      <c r="Q1137" s="159">
        <f>IF(bargiri[[#This Row],[مبلغ ناخالص]]-(bargiri[[#This Row],[نرخ استهلاک]]*bargiri[[#This Row],[مقدار]])&lt;0,0,bargiri[[#This Row],[مبلغ ناخالص]]-(bargiri[[#This Row],[نرخ استهلاک]]*bargiri[[#This Row],[مقدار]]))</f>
        <v>334687500</v>
      </c>
    </row>
    <row r="1138" spans="1:17" s="22" customFormat="1" ht="13.8" x14ac:dyDescent="0.25">
      <c r="A1138" s="22">
        <v>404</v>
      </c>
      <c r="B1138" s="22" t="s">
        <v>645</v>
      </c>
      <c r="C1138" s="22" t="s">
        <v>119</v>
      </c>
      <c r="D1138" s="22" t="s">
        <v>25</v>
      </c>
      <c r="E1138" s="158">
        <v>18050</v>
      </c>
      <c r="F1138" s="159">
        <v>75000</v>
      </c>
      <c r="G1138" s="159">
        <v>1353750000</v>
      </c>
      <c r="H1138" s="159">
        <v>135375000</v>
      </c>
      <c r="I1138" s="159">
        <v>1489125000</v>
      </c>
      <c r="J1138" s="159">
        <f>bargiri[[#This Row],[مقدار]]*INDEX(invoice[پیش دریافت به ازای هر کیلوگرم],MATCH(bargiri[[#This Row],[شماره سند مبنا]],invoice[شماره پیش فاکتور],0))</f>
        <v>223368750</v>
      </c>
      <c r="K1138" s="159">
        <f>bargiri[[#This Row],[مبلغ خالص]]-bargiri[[#This Row],[میزان استهلاک پیش دریافتی]]</f>
        <v>1265756250</v>
      </c>
      <c r="L1138" s="160" t="s">
        <v>593</v>
      </c>
      <c r="M1138" s="159"/>
      <c r="N1138" s="159">
        <f>IF(bargiri[[#This Row],[مبلغ واریزی]]&lt;&gt;"",bargiri[[#This Row],[مانده مبلغ]]-bargiri[[#This Row],[مبلغ واریزی]],bargiri[[#This Row],[مانده مبلغ]])</f>
        <v>1265756250</v>
      </c>
      <c r="O1138" s="159" t="s">
        <v>593</v>
      </c>
      <c r="P1138" s="159">
        <f>VLOOKUP(bargiri[[#This Row],[شماره سند مبنا]],invoice[[شماره پیش فاکتور]:[پیش دریافت به ازای هر کیلوگرم]],14,0)</f>
        <v>12375</v>
      </c>
      <c r="Q1138" s="159">
        <f>IF(bargiri[[#This Row],[مبلغ ناخالص]]-(bargiri[[#This Row],[نرخ استهلاک]]*bargiri[[#This Row],[مقدار]])&lt;0,0,bargiri[[#This Row],[مبلغ ناخالص]]-(bargiri[[#This Row],[نرخ استهلاک]]*bargiri[[#This Row],[مقدار]]))</f>
        <v>1130381250</v>
      </c>
    </row>
    <row r="1139" spans="1:17" s="22" customFormat="1" ht="13.8" x14ac:dyDescent="0.25">
      <c r="A1139" s="22">
        <v>403</v>
      </c>
      <c r="B1139" s="22" t="s">
        <v>645</v>
      </c>
      <c r="C1139" s="22" t="s">
        <v>456</v>
      </c>
      <c r="D1139" s="22" t="s">
        <v>213</v>
      </c>
      <c r="E1139" s="158">
        <v>7355</v>
      </c>
      <c r="F1139" s="159">
        <v>142000</v>
      </c>
      <c r="G1139" s="159">
        <v>1044410000</v>
      </c>
      <c r="H1139" s="159">
        <v>104441000</v>
      </c>
      <c r="I1139" s="159">
        <v>1148851000</v>
      </c>
      <c r="J1139" s="159">
        <f>bargiri[[#This Row],[مقدار]]*INDEX(invoice[پیش دریافت به ازای هر کیلوگرم],MATCH(bargiri[[#This Row],[شماره سند مبنا]],invoice[شماره پیش فاکتور],0))</f>
        <v>872774740.43660116</v>
      </c>
      <c r="K1139" s="159">
        <f>bargiri[[#This Row],[مبلغ خالص]]-bargiri[[#This Row],[میزان استهلاک پیش دریافتی]]</f>
        <v>276076259.56339884</v>
      </c>
      <c r="L1139" s="160" t="s">
        <v>593</v>
      </c>
      <c r="M1139" s="159"/>
      <c r="N1139" s="159">
        <f>IF(bargiri[[#This Row],[مبلغ واریزی]]&lt;&gt;"",bargiri[[#This Row],[مانده مبلغ]]-bargiri[[#This Row],[مبلغ واریزی]],bargiri[[#This Row],[مانده مبلغ]])</f>
        <v>276076259.56339884</v>
      </c>
      <c r="O1139" s="159" t="s">
        <v>593</v>
      </c>
      <c r="P1139" s="159">
        <f>VLOOKUP(bargiri[[#This Row],[شماره سند مبنا]],invoice[[شماره پیش فاکتور]:[پیش دریافت به ازای هر کیلوگرم]],14,0)</f>
        <v>118664.13874053041</v>
      </c>
      <c r="Q1139" s="159">
        <f>IF(bargiri[[#This Row],[مبلغ ناخالص]]-(bargiri[[#This Row],[نرخ استهلاک]]*bargiri[[#This Row],[مقدار]])&lt;0,0,bargiri[[#This Row],[مبلغ ناخالص]]-(bargiri[[#This Row],[نرخ استهلاک]]*bargiri[[#This Row],[مقدار]]))</f>
        <v>171635259.56339884</v>
      </c>
    </row>
    <row r="1140" spans="1:17" s="22" customFormat="1" ht="13.8" x14ac:dyDescent="0.25">
      <c r="A1140" s="22">
        <v>402</v>
      </c>
      <c r="B1140" s="22" t="s">
        <v>645</v>
      </c>
      <c r="C1140" s="22" t="s">
        <v>72</v>
      </c>
      <c r="D1140" s="22" t="s">
        <v>73</v>
      </c>
      <c r="E1140" s="158">
        <v>20950</v>
      </c>
      <c r="F1140" s="159">
        <v>57273</v>
      </c>
      <c r="G1140" s="159">
        <v>1199869350</v>
      </c>
      <c r="H1140" s="159">
        <v>119986935</v>
      </c>
      <c r="I1140" s="159">
        <v>1319856285</v>
      </c>
      <c r="J1140" s="159" t="e">
        <f>bargiri[[#This Row],[مقدار]]*INDEX(invoice[پیش دریافت به ازای هر کیلوگرم],MATCH(bargiri[[#This Row],[شماره سند مبنا]],invoice[شماره پیش فاکتور],0))</f>
        <v>#N/A</v>
      </c>
      <c r="K1140" s="159" t="e">
        <f>bargiri[[#This Row],[مبلغ خالص]]-bargiri[[#This Row],[میزان استهلاک پیش دریافتی]]</f>
        <v>#N/A</v>
      </c>
      <c r="L1140" s="160" t="s">
        <v>593</v>
      </c>
      <c r="M1140" s="159"/>
      <c r="N1140" s="159" t="e">
        <f>IF(bargiri[[#This Row],[مبلغ واریزی]]&lt;&gt;"",bargiri[[#This Row],[مانده مبلغ]]-bargiri[[#This Row],[مبلغ واریزی]],bargiri[[#This Row],[مانده مبلغ]])</f>
        <v>#N/A</v>
      </c>
      <c r="O1140" s="159" t="s">
        <v>593</v>
      </c>
      <c r="P1140" s="159" t="e">
        <f>VLOOKUP(bargiri[[#This Row],[شماره سند مبنا]],invoice[[شماره پیش فاکتور]:[پیش دریافت به ازای هر کیلوگرم]],14,0)</f>
        <v>#N/A</v>
      </c>
      <c r="Q1140" s="159" t="e">
        <f>IF(bargiri[[#This Row],[مبلغ ناخالص]]-(bargiri[[#This Row],[نرخ استهلاک]]*bargiri[[#This Row],[مقدار]])&lt;0,0,bargiri[[#This Row],[مبلغ ناخالص]]-(bargiri[[#This Row],[نرخ استهلاک]]*bargiri[[#This Row],[مقدار]]))</f>
        <v>#N/A</v>
      </c>
    </row>
    <row r="1141" spans="1:17" s="22" customFormat="1" ht="13.8" x14ac:dyDescent="0.25">
      <c r="A1141" s="22">
        <v>401</v>
      </c>
      <c r="B1141" s="22" t="s">
        <v>645</v>
      </c>
      <c r="C1141" s="22" t="s">
        <v>72</v>
      </c>
      <c r="D1141" s="22" t="s">
        <v>73</v>
      </c>
      <c r="E1141" s="158">
        <v>20970</v>
      </c>
      <c r="F1141" s="159">
        <v>57273</v>
      </c>
      <c r="G1141" s="159">
        <v>1201014810</v>
      </c>
      <c r="H1141" s="159">
        <v>120101481</v>
      </c>
      <c r="I1141" s="159">
        <v>1321116291</v>
      </c>
      <c r="J1141" s="159" t="e">
        <f>bargiri[[#This Row],[مقدار]]*INDEX(invoice[پیش دریافت به ازای هر کیلوگرم],MATCH(bargiri[[#This Row],[شماره سند مبنا]],invoice[شماره پیش فاکتور],0))</f>
        <v>#N/A</v>
      </c>
      <c r="K1141" s="159" t="e">
        <f>bargiri[[#This Row],[مبلغ خالص]]-bargiri[[#This Row],[میزان استهلاک پیش دریافتی]]</f>
        <v>#N/A</v>
      </c>
      <c r="L1141" s="160" t="s">
        <v>593</v>
      </c>
      <c r="M1141" s="159"/>
      <c r="N1141" s="159" t="e">
        <f>IF(bargiri[[#This Row],[مبلغ واریزی]]&lt;&gt;"",bargiri[[#This Row],[مانده مبلغ]]-bargiri[[#This Row],[مبلغ واریزی]],bargiri[[#This Row],[مانده مبلغ]])</f>
        <v>#N/A</v>
      </c>
      <c r="O1141" s="159" t="s">
        <v>593</v>
      </c>
      <c r="P1141" s="159" t="e">
        <f>VLOOKUP(bargiri[[#This Row],[شماره سند مبنا]],invoice[[شماره پیش فاکتور]:[پیش دریافت به ازای هر کیلوگرم]],14,0)</f>
        <v>#N/A</v>
      </c>
      <c r="Q1141" s="159" t="e">
        <f>IF(bargiri[[#This Row],[مبلغ ناخالص]]-(bargiri[[#This Row],[نرخ استهلاک]]*bargiri[[#This Row],[مقدار]])&lt;0,0,bargiri[[#This Row],[مبلغ ناخالص]]-(bargiri[[#This Row],[نرخ استهلاک]]*bargiri[[#This Row],[مقدار]]))</f>
        <v>#N/A</v>
      </c>
    </row>
    <row r="1142" spans="1:17" s="22" customFormat="1" ht="13.8" x14ac:dyDescent="0.25">
      <c r="A1142" s="22">
        <v>400</v>
      </c>
      <c r="B1142" s="22" t="s">
        <v>645</v>
      </c>
      <c r="C1142" s="22" t="s">
        <v>466</v>
      </c>
      <c r="D1142" s="22" t="s">
        <v>180</v>
      </c>
      <c r="E1142" s="158">
        <v>7805</v>
      </c>
      <c r="F1142" s="159">
        <v>100000</v>
      </c>
      <c r="G1142" s="159">
        <v>780500000</v>
      </c>
      <c r="H1142" s="159">
        <v>78050000</v>
      </c>
      <c r="I1142" s="159">
        <v>858550000</v>
      </c>
      <c r="J1142" s="159">
        <f>bargiri[[#This Row],[مقدار]]*INDEX(invoice[پیش دریافت به ازای هر کیلوگرم],MATCH(bargiri[[#This Row],[شماره سند مبنا]],invoice[شماره پیش فاکتور],0))</f>
        <v>136228009.73212567</v>
      </c>
      <c r="K1142" s="159">
        <f>bargiri[[#This Row],[مبلغ خالص]]-bargiri[[#This Row],[میزان استهلاک پیش دریافتی]]</f>
        <v>722321990.26787436</v>
      </c>
      <c r="L1142" s="160" t="s">
        <v>593</v>
      </c>
      <c r="M1142" s="159"/>
      <c r="N1142" s="159">
        <f>IF(bargiri[[#This Row],[مبلغ واریزی]]&lt;&gt;"",bargiri[[#This Row],[مانده مبلغ]]-bargiri[[#This Row],[مبلغ واریزی]],bargiri[[#This Row],[مانده مبلغ]])</f>
        <v>722321990.26787436</v>
      </c>
      <c r="O1142" s="159" t="s">
        <v>593</v>
      </c>
      <c r="P1142" s="159">
        <f>VLOOKUP(bargiri[[#This Row],[شماره سند مبنا]],invoice[[شماره پیش فاکتور]:[پیش دریافت به ازای هر کیلوگرم]],14,0)</f>
        <v>17453.94102910002</v>
      </c>
      <c r="Q1142" s="159">
        <f>IF(bargiri[[#This Row],[مبلغ ناخالص]]-(bargiri[[#This Row],[نرخ استهلاک]]*bargiri[[#This Row],[مقدار]])&lt;0,0,bargiri[[#This Row],[مبلغ ناخالص]]-(bargiri[[#This Row],[نرخ استهلاک]]*bargiri[[#This Row],[مقدار]]))</f>
        <v>644271990.26787436</v>
      </c>
    </row>
    <row r="1143" spans="1:17" s="22" customFormat="1" ht="13.8" x14ac:dyDescent="0.25">
      <c r="A1143" s="22">
        <v>399</v>
      </c>
      <c r="B1143" s="22" t="s">
        <v>645</v>
      </c>
      <c r="C1143" s="22" t="s">
        <v>115</v>
      </c>
      <c r="D1143" s="22" t="s">
        <v>116</v>
      </c>
      <c r="E1143" s="158">
        <v>19955</v>
      </c>
      <c r="F1143" s="159">
        <v>75000</v>
      </c>
      <c r="G1143" s="159">
        <v>1496625000</v>
      </c>
      <c r="H1143" s="159">
        <v>149662500</v>
      </c>
      <c r="I1143" s="159">
        <v>1646287500</v>
      </c>
      <c r="J1143" s="159">
        <f>bargiri[[#This Row],[مقدار]]*INDEX(invoice[پیش دریافت به ازای هر کیلوگرم],MATCH(bargiri[[#This Row],[شماره سند مبنا]],invoice[شماره پیش فاکتور],0))</f>
        <v>299528679.50206137</v>
      </c>
      <c r="K1143" s="159">
        <f>bargiri[[#This Row],[مبلغ خالص]]-bargiri[[#This Row],[میزان استهلاک پیش دریافتی]]</f>
        <v>1346758820.4979386</v>
      </c>
      <c r="L1143" s="160" t="s">
        <v>593</v>
      </c>
      <c r="M1143" s="159"/>
      <c r="N1143" s="159">
        <f>IF(bargiri[[#This Row],[مبلغ واریزی]]&lt;&gt;"",bargiri[[#This Row],[مانده مبلغ]]-bargiri[[#This Row],[مبلغ واریزی]],bargiri[[#This Row],[مانده مبلغ]])</f>
        <v>1346758820.4979386</v>
      </c>
      <c r="O1143" s="159" t="s">
        <v>593</v>
      </c>
      <c r="P1143" s="159">
        <f>VLOOKUP(bargiri[[#This Row],[شماره سند مبنا]],invoice[[شماره پیش فاکتور]:[پیش دریافت به ازای هر کیلوگرم]],14,0)</f>
        <v>15010.206940719689</v>
      </c>
      <c r="Q1143" s="159">
        <f>IF(bargiri[[#This Row],[مبلغ ناخالص]]-(bargiri[[#This Row],[نرخ استهلاک]]*bargiri[[#This Row],[مقدار]])&lt;0,0,bargiri[[#This Row],[مبلغ ناخالص]]-(bargiri[[#This Row],[نرخ استهلاک]]*bargiri[[#This Row],[مقدار]]))</f>
        <v>1197096320.4979386</v>
      </c>
    </row>
    <row r="1144" spans="1:17" s="22" customFormat="1" ht="13.8" x14ac:dyDescent="0.25">
      <c r="A1144" s="22">
        <v>398</v>
      </c>
      <c r="B1144" s="22" t="s">
        <v>645</v>
      </c>
      <c r="C1144" s="22" t="s">
        <v>456</v>
      </c>
      <c r="D1144" s="22" t="s">
        <v>213</v>
      </c>
      <c r="E1144" s="158">
        <v>7345</v>
      </c>
      <c r="F1144" s="159">
        <v>142000</v>
      </c>
      <c r="G1144" s="159">
        <v>1042990000</v>
      </c>
      <c r="H1144" s="159">
        <v>104299000</v>
      </c>
      <c r="I1144" s="159">
        <v>1147289000</v>
      </c>
      <c r="J1144" s="159">
        <f>bargiri[[#This Row],[مقدار]]*INDEX(invoice[پیش دریافت به ازای هر کیلوگرم],MATCH(bargiri[[#This Row],[شماره سند مبنا]],invoice[شماره پیش فاکتور],0))</f>
        <v>871588099.04919589</v>
      </c>
      <c r="K1144" s="159">
        <f>bargiri[[#This Row],[مبلغ خالص]]-bargiri[[#This Row],[میزان استهلاک پیش دریافتی]]</f>
        <v>275700900.95080411</v>
      </c>
      <c r="L1144" s="160" t="s">
        <v>593</v>
      </c>
      <c r="M1144" s="159"/>
      <c r="N1144" s="159">
        <f>IF(bargiri[[#This Row],[مبلغ واریزی]]&lt;&gt;"",bargiri[[#This Row],[مانده مبلغ]]-bargiri[[#This Row],[مبلغ واریزی]],bargiri[[#This Row],[مانده مبلغ]])</f>
        <v>275700900.95080411</v>
      </c>
      <c r="O1144" s="159" t="s">
        <v>593</v>
      </c>
      <c r="P1144" s="159">
        <f>VLOOKUP(bargiri[[#This Row],[شماره سند مبنا]],invoice[[شماره پیش فاکتور]:[پیش دریافت به ازای هر کیلوگرم]],14,0)</f>
        <v>118664.13874053041</v>
      </c>
      <c r="Q1144" s="159">
        <f>IF(bargiri[[#This Row],[مبلغ ناخالص]]-(bargiri[[#This Row],[نرخ استهلاک]]*bargiri[[#This Row],[مقدار]])&lt;0,0,bargiri[[#This Row],[مبلغ ناخالص]]-(bargiri[[#This Row],[نرخ استهلاک]]*bargiri[[#This Row],[مقدار]]))</f>
        <v>171401900.95080411</v>
      </c>
    </row>
    <row r="1145" spans="1:17" s="22" customFormat="1" ht="13.8" x14ac:dyDescent="0.25">
      <c r="A1145" s="22">
        <v>397</v>
      </c>
      <c r="B1145" s="22" t="s">
        <v>645</v>
      </c>
      <c r="C1145" s="22" t="s">
        <v>115</v>
      </c>
      <c r="D1145" s="22" t="s">
        <v>116</v>
      </c>
      <c r="E1145" s="158">
        <v>9060</v>
      </c>
      <c r="F1145" s="159">
        <v>75000</v>
      </c>
      <c r="G1145" s="159">
        <v>679500000</v>
      </c>
      <c r="H1145" s="159">
        <v>67950000</v>
      </c>
      <c r="I1145" s="159">
        <v>747450000</v>
      </c>
      <c r="J1145" s="159">
        <f>bargiri[[#This Row],[مقدار]]*INDEX(invoice[پیش دریافت به ازای هر کیلوگرم],MATCH(bargiri[[#This Row],[شماره سند مبنا]],invoice[شماره پیش فاکتور],0))</f>
        <v>135992474.88292038</v>
      </c>
      <c r="K1145" s="159">
        <f>bargiri[[#This Row],[مبلغ خالص]]-bargiri[[#This Row],[میزان استهلاک پیش دریافتی]]</f>
        <v>611457525.11707962</v>
      </c>
      <c r="L1145" s="160" t="s">
        <v>593</v>
      </c>
      <c r="M1145" s="159"/>
      <c r="N1145" s="159">
        <f>IF(bargiri[[#This Row],[مبلغ واریزی]]&lt;&gt;"",bargiri[[#This Row],[مانده مبلغ]]-bargiri[[#This Row],[مبلغ واریزی]],bargiri[[#This Row],[مانده مبلغ]])</f>
        <v>611457525.11707962</v>
      </c>
      <c r="O1145" s="159" t="s">
        <v>593</v>
      </c>
      <c r="P1145" s="159">
        <f>VLOOKUP(bargiri[[#This Row],[شماره سند مبنا]],invoice[[شماره پیش فاکتور]:[پیش دریافت به ازای هر کیلوگرم]],14,0)</f>
        <v>15010.206940719689</v>
      </c>
      <c r="Q1145" s="159">
        <f>IF(bargiri[[#This Row],[مبلغ ناخالص]]-(bargiri[[#This Row],[نرخ استهلاک]]*bargiri[[#This Row],[مقدار]])&lt;0,0,bargiri[[#This Row],[مبلغ ناخالص]]-(bargiri[[#This Row],[نرخ استهلاک]]*bargiri[[#This Row],[مقدار]]))</f>
        <v>543507525.11707962</v>
      </c>
    </row>
    <row r="1146" spans="1:17" s="22" customFormat="1" ht="13.8" x14ac:dyDescent="0.25">
      <c r="A1146" s="22">
        <v>396</v>
      </c>
      <c r="B1146" s="22" t="s">
        <v>648</v>
      </c>
      <c r="C1146" s="22" t="s">
        <v>72</v>
      </c>
      <c r="D1146" s="22" t="s">
        <v>73</v>
      </c>
      <c r="E1146" s="158">
        <v>19875</v>
      </c>
      <c r="F1146" s="159">
        <v>57273</v>
      </c>
      <c r="G1146" s="159">
        <v>1138300875</v>
      </c>
      <c r="H1146" s="159">
        <v>113830088</v>
      </c>
      <c r="I1146" s="159">
        <v>1252130963</v>
      </c>
      <c r="J1146" s="159" t="e">
        <f>bargiri[[#This Row],[مقدار]]*INDEX(invoice[پیش دریافت به ازای هر کیلوگرم],MATCH(bargiri[[#This Row],[شماره سند مبنا]],invoice[شماره پیش فاکتور],0))</f>
        <v>#N/A</v>
      </c>
      <c r="K1146" s="159" t="e">
        <f>bargiri[[#This Row],[مبلغ خالص]]-bargiri[[#This Row],[میزان استهلاک پیش دریافتی]]</f>
        <v>#N/A</v>
      </c>
      <c r="L1146" s="160" t="s">
        <v>593</v>
      </c>
      <c r="M1146" s="159"/>
      <c r="N1146" s="159" t="e">
        <f>IF(bargiri[[#This Row],[مبلغ واریزی]]&lt;&gt;"",bargiri[[#This Row],[مانده مبلغ]]-bargiri[[#This Row],[مبلغ واریزی]],bargiri[[#This Row],[مانده مبلغ]])</f>
        <v>#N/A</v>
      </c>
      <c r="O1146" s="159" t="s">
        <v>593</v>
      </c>
      <c r="P1146" s="159" t="e">
        <f>VLOOKUP(bargiri[[#This Row],[شماره سند مبنا]],invoice[[شماره پیش فاکتور]:[پیش دریافت به ازای هر کیلوگرم]],14,0)</f>
        <v>#N/A</v>
      </c>
      <c r="Q1146" s="159" t="e">
        <f>IF(bargiri[[#This Row],[مبلغ ناخالص]]-(bargiri[[#This Row],[نرخ استهلاک]]*bargiri[[#This Row],[مقدار]])&lt;0,0,bargiri[[#This Row],[مبلغ ناخالص]]-(bargiri[[#This Row],[نرخ استهلاک]]*bargiri[[#This Row],[مقدار]]))</f>
        <v>#N/A</v>
      </c>
    </row>
    <row r="1147" spans="1:17" s="22" customFormat="1" ht="13.8" x14ac:dyDescent="0.25">
      <c r="A1147" s="22">
        <v>395</v>
      </c>
      <c r="B1147" s="22" t="s">
        <v>648</v>
      </c>
      <c r="C1147" s="22" t="s">
        <v>115</v>
      </c>
      <c r="D1147" s="22" t="s">
        <v>116</v>
      </c>
      <c r="E1147" s="158">
        <v>18645</v>
      </c>
      <c r="F1147" s="159">
        <v>75000</v>
      </c>
      <c r="G1147" s="159">
        <v>1398375000</v>
      </c>
      <c r="H1147" s="159">
        <v>139837500</v>
      </c>
      <c r="I1147" s="159">
        <v>1538212500</v>
      </c>
      <c r="J1147" s="159">
        <f>bargiri[[#This Row],[مقدار]]*INDEX(invoice[پیش دریافت به ازای هر کیلوگرم],MATCH(bargiri[[#This Row],[شماره سند مبنا]],invoice[شماره پیش فاکتور],0))</f>
        <v>279865308.40971857</v>
      </c>
      <c r="K1147" s="159">
        <f>bargiri[[#This Row],[مبلغ خالص]]-bargiri[[#This Row],[میزان استهلاک پیش دریافتی]]</f>
        <v>1258347191.5902815</v>
      </c>
      <c r="L1147" s="160" t="s">
        <v>593</v>
      </c>
      <c r="M1147" s="159"/>
      <c r="N1147" s="159">
        <f>IF(bargiri[[#This Row],[مبلغ واریزی]]&lt;&gt;"",bargiri[[#This Row],[مانده مبلغ]]-bargiri[[#This Row],[مبلغ واریزی]],bargiri[[#This Row],[مانده مبلغ]])</f>
        <v>1258347191.5902815</v>
      </c>
      <c r="O1147" s="159" t="s">
        <v>593</v>
      </c>
      <c r="P1147" s="159">
        <f>VLOOKUP(bargiri[[#This Row],[شماره سند مبنا]],invoice[[شماره پیش فاکتور]:[پیش دریافت به ازای هر کیلوگرم]],14,0)</f>
        <v>15010.206940719689</v>
      </c>
      <c r="Q1147" s="159">
        <f>IF(bargiri[[#This Row],[مبلغ ناخالص]]-(bargiri[[#This Row],[نرخ استهلاک]]*bargiri[[#This Row],[مقدار]])&lt;0,0,bargiri[[#This Row],[مبلغ ناخالص]]-(bargiri[[#This Row],[نرخ استهلاک]]*bargiri[[#This Row],[مقدار]]))</f>
        <v>1118509691.5902815</v>
      </c>
    </row>
    <row r="1148" spans="1:17" s="22" customFormat="1" ht="13.8" x14ac:dyDescent="0.25">
      <c r="A1148" s="22">
        <v>394</v>
      </c>
      <c r="B1148" s="22" t="s">
        <v>648</v>
      </c>
      <c r="C1148" s="22" t="s">
        <v>456</v>
      </c>
      <c r="D1148" s="22" t="s">
        <v>213</v>
      </c>
      <c r="E1148" s="158">
        <v>7570</v>
      </c>
      <c r="F1148" s="159">
        <v>142000</v>
      </c>
      <c r="G1148" s="159">
        <v>1074940000</v>
      </c>
      <c r="H1148" s="159">
        <v>107494000</v>
      </c>
      <c r="I1148" s="159">
        <v>1182434000</v>
      </c>
      <c r="J1148" s="159">
        <f>bargiri[[#This Row],[مقدار]]*INDEX(invoice[پیش دریافت به ازای هر کیلوگرم],MATCH(bargiri[[#This Row],[شماره سند مبنا]],invoice[شماره پیش فاکتور],0))</f>
        <v>898287530.26581526</v>
      </c>
      <c r="K1148" s="159">
        <f>bargiri[[#This Row],[مبلغ خالص]]-bargiri[[#This Row],[میزان استهلاک پیش دریافتی]]</f>
        <v>284146469.73418474</v>
      </c>
      <c r="L1148" s="160" t="s">
        <v>593</v>
      </c>
      <c r="M1148" s="159"/>
      <c r="N1148" s="159">
        <f>IF(bargiri[[#This Row],[مبلغ واریزی]]&lt;&gt;"",bargiri[[#This Row],[مانده مبلغ]]-bargiri[[#This Row],[مبلغ واریزی]],bargiri[[#This Row],[مانده مبلغ]])</f>
        <v>284146469.73418474</v>
      </c>
      <c r="O1148" s="159" t="s">
        <v>593</v>
      </c>
      <c r="P1148" s="159">
        <f>VLOOKUP(bargiri[[#This Row],[شماره سند مبنا]],invoice[[شماره پیش فاکتور]:[پیش دریافت به ازای هر کیلوگرم]],14,0)</f>
        <v>118664.13874053041</v>
      </c>
      <c r="Q1148" s="159">
        <f>IF(bargiri[[#This Row],[مبلغ ناخالص]]-(bargiri[[#This Row],[نرخ استهلاک]]*bargiri[[#This Row],[مقدار]])&lt;0,0,bargiri[[#This Row],[مبلغ ناخالص]]-(bargiri[[#This Row],[نرخ استهلاک]]*bargiri[[#This Row],[مقدار]]))</f>
        <v>176652469.73418474</v>
      </c>
    </row>
    <row r="1149" spans="1:17" s="22" customFormat="1" ht="13.8" x14ac:dyDescent="0.25">
      <c r="A1149" s="22">
        <v>393</v>
      </c>
      <c r="B1149" s="22" t="s">
        <v>648</v>
      </c>
      <c r="C1149" s="22" t="s">
        <v>72</v>
      </c>
      <c r="D1149" s="22" t="s">
        <v>73</v>
      </c>
      <c r="E1149" s="158">
        <v>20610</v>
      </c>
      <c r="F1149" s="159">
        <v>57273</v>
      </c>
      <c r="G1149" s="159">
        <v>1180396530</v>
      </c>
      <c r="H1149" s="159">
        <v>118039653</v>
      </c>
      <c r="I1149" s="159">
        <v>1298436183</v>
      </c>
      <c r="J1149" s="159" t="e">
        <f>bargiri[[#This Row],[مقدار]]*INDEX(invoice[پیش دریافت به ازای هر کیلوگرم],MATCH(bargiri[[#This Row],[شماره سند مبنا]],invoice[شماره پیش فاکتور],0))</f>
        <v>#N/A</v>
      </c>
      <c r="K1149" s="159" t="e">
        <f>bargiri[[#This Row],[مبلغ خالص]]-bargiri[[#This Row],[میزان استهلاک پیش دریافتی]]</f>
        <v>#N/A</v>
      </c>
      <c r="L1149" s="160" t="s">
        <v>593</v>
      </c>
      <c r="M1149" s="159"/>
      <c r="N1149" s="159" t="e">
        <f>IF(bargiri[[#This Row],[مبلغ واریزی]]&lt;&gt;"",bargiri[[#This Row],[مانده مبلغ]]-bargiri[[#This Row],[مبلغ واریزی]],bargiri[[#This Row],[مانده مبلغ]])</f>
        <v>#N/A</v>
      </c>
      <c r="O1149" s="159" t="s">
        <v>593</v>
      </c>
      <c r="P1149" s="159" t="e">
        <f>VLOOKUP(bargiri[[#This Row],[شماره سند مبنا]],invoice[[شماره پیش فاکتور]:[پیش دریافت به ازای هر کیلوگرم]],14,0)</f>
        <v>#N/A</v>
      </c>
      <c r="Q1149" s="159" t="e">
        <f>IF(bargiri[[#This Row],[مبلغ ناخالص]]-(bargiri[[#This Row],[نرخ استهلاک]]*bargiri[[#This Row],[مقدار]])&lt;0,0,bargiri[[#This Row],[مبلغ ناخالص]]-(bargiri[[#This Row],[نرخ استهلاک]]*bargiri[[#This Row],[مقدار]]))</f>
        <v>#N/A</v>
      </c>
    </row>
    <row r="1150" spans="1:17" s="22" customFormat="1" ht="13.8" x14ac:dyDescent="0.25">
      <c r="A1150" s="22">
        <v>392</v>
      </c>
      <c r="B1150" s="22" t="s">
        <v>886</v>
      </c>
      <c r="C1150" s="22" t="s">
        <v>458</v>
      </c>
      <c r="D1150" s="22" t="s">
        <v>156</v>
      </c>
      <c r="E1150" s="158">
        <v>22050</v>
      </c>
      <c r="F1150" s="159">
        <v>142000</v>
      </c>
      <c r="G1150" s="159">
        <v>3131100000</v>
      </c>
      <c r="H1150" s="159">
        <v>313110000</v>
      </c>
      <c r="I1150" s="159">
        <v>3444210000</v>
      </c>
      <c r="J1150" s="159">
        <f>bargiri[[#This Row],[مقدار]]*INDEX(invoice[پیش دریافت به ازای هر کیلوگرم],MATCH(bargiri[[#This Row],[شماره سند مبنا]],invoice[شماره پیش فاکتور],0))</f>
        <v>622835299.08175766</v>
      </c>
      <c r="K1150" s="159">
        <f>bargiri[[#This Row],[مبلغ خالص]]-bargiri[[#This Row],[میزان استهلاک پیش دریافتی]]</f>
        <v>2821374700.9182425</v>
      </c>
      <c r="L1150" s="160" t="s">
        <v>593</v>
      </c>
      <c r="M1150" s="159"/>
      <c r="N1150" s="159">
        <f>IF(bargiri[[#This Row],[مبلغ واریزی]]&lt;&gt;"",bargiri[[#This Row],[مانده مبلغ]]-bargiri[[#This Row],[مبلغ واریزی]],bargiri[[#This Row],[مانده مبلغ]])</f>
        <v>2821374700.9182425</v>
      </c>
      <c r="O1150" s="159" t="s">
        <v>593</v>
      </c>
      <c r="P1150" s="159">
        <f>VLOOKUP(bargiri[[#This Row],[شماره سند مبنا]],invoice[[شماره پیش فاکتور]:[پیش دریافت به ازای هر کیلوگرم]],14,0)</f>
        <v>28246.498824569509</v>
      </c>
      <c r="Q1150" s="159">
        <f>IF(bargiri[[#This Row],[مبلغ ناخالص]]-(bargiri[[#This Row],[نرخ استهلاک]]*bargiri[[#This Row],[مقدار]])&lt;0,0,bargiri[[#This Row],[مبلغ ناخالص]]-(bargiri[[#This Row],[نرخ استهلاک]]*bargiri[[#This Row],[مقدار]]))</f>
        <v>2508264700.9182425</v>
      </c>
    </row>
    <row r="1151" spans="1:17" s="22" customFormat="1" ht="13.8" x14ac:dyDescent="0.25">
      <c r="A1151" s="22">
        <v>391</v>
      </c>
      <c r="B1151" s="22" t="s">
        <v>886</v>
      </c>
      <c r="C1151" s="22" t="s">
        <v>467</v>
      </c>
      <c r="D1151" s="22" t="s">
        <v>17</v>
      </c>
      <c r="E1151" s="158">
        <v>14250</v>
      </c>
      <c r="F1151" s="159">
        <v>151200</v>
      </c>
      <c r="G1151" s="159">
        <v>2154600000</v>
      </c>
      <c r="H1151" s="159">
        <v>215460000</v>
      </c>
      <c r="I1151" s="159">
        <v>2370060000</v>
      </c>
      <c r="J1151" s="159">
        <f>bargiri[[#This Row],[مقدار]]*INDEX(invoice[پیش دریافت به ازای هر کیلوگرم],MATCH(bargiri[[#This Row],[شماره سند مبنا]],invoice[شماره پیش فاکتور],0))</f>
        <v>355509000</v>
      </c>
      <c r="K1151" s="159">
        <f>bargiri[[#This Row],[مبلغ خالص]]-bargiri[[#This Row],[میزان استهلاک پیش دریافتی]]</f>
        <v>2014551000</v>
      </c>
      <c r="L1151" s="160" t="s">
        <v>593</v>
      </c>
      <c r="M1151" s="159"/>
      <c r="N1151" s="159">
        <f>IF(bargiri[[#This Row],[مبلغ واریزی]]&lt;&gt;"",bargiri[[#This Row],[مانده مبلغ]]-bargiri[[#This Row],[مبلغ واریزی]],bargiri[[#This Row],[مانده مبلغ]])</f>
        <v>2014551000</v>
      </c>
      <c r="O1151" s="159" t="s">
        <v>593</v>
      </c>
      <c r="P1151" s="159">
        <f>VLOOKUP(bargiri[[#This Row],[شماره سند مبنا]],invoice[[شماره پیش فاکتور]:[پیش دریافت به ازای هر کیلوگرم]],14,0)</f>
        <v>24948</v>
      </c>
      <c r="Q1151" s="159">
        <f>IF(bargiri[[#This Row],[مبلغ ناخالص]]-(bargiri[[#This Row],[نرخ استهلاک]]*bargiri[[#This Row],[مقدار]])&lt;0,0,bargiri[[#This Row],[مبلغ ناخالص]]-(bargiri[[#This Row],[نرخ استهلاک]]*bargiri[[#This Row],[مقدار]]))</f>
        <v>1799091000</v>
      </c>
    </row>
    <row r="1152" spans="1:17" s="22" customFormat="1" ht="13.8" x14ac:dyDescent="0.25">
      <c r="A1152" s="22">
        <v>391</v>
      </c>
      <c r="B1152" s="22" t="s">
        <v>886</v>
      </c>
      <c r="C1152" s="22" t="s">
        <v>442</v>
      </c>
      <c r="D1152" s="22" t="s">
        <v>17</v>
      </c>
      <c r="E1152" s="158">
        <v>5985</v>
      </c>
      <c r="F1152" s="159">
        <v>80000</v>
      </c>
      <c r="G1152" s="159">
        <v>478800000</v>
      </c>
      <c r="H1152" s="159">
        <v>47880000</v>
      </c>
      <c r="I1152" s="159">
        <v>526680000</v>
      </c>
      <c r="J1152" s="159">
        <f>bargiri[[#This Row],[مقدار]]*INDEX(invoice[پیش دریافت به ازای هر کیلوگرم],MATCH(bargiri[[#This Row],[شماره سند مبنا]],invoice[شماره پیش فاکتور],0))</f>
        <v>79002000</v>
      </c>
      <c r="K1152" s="159">
        <f>bargiri[[#This Row],[مبلغ خالص]]-bargiri[[#This Row],[میزان استهلاک پیش دریافتی]]</f>
        <v>447678000</v>
      </c>
      <c r="L1152" s="160" t="s">
        <v>593</v>
      </c>
      <c r="M1152" s="159"/>
      <c r="N1152" s="159">
        <f>IF(bargiri[[#This Row],[مبلغ واریزی]]&lt;&gt;"",bargiri[[#This Row],[مانده مبلغ]]-bargiri[[#This Row],[مبلغ واریزی]],bargiri[[#This Row],[مانده مبلغ]])</f>
        <v>447678000</v>
      </c>
      <c r="O1152" s="159" t="s">
        <v>593</v>
      </c>
      <c r="P1152" s="159">
        <f>VLOOKUP(bargiri[[#This Row],[شماره سند مبنا]],invoice[[شماره پیش فاکتور]:[پیش دریافت به ازای هر کیلوگرم]],14,0)</f>
        <v>13200</v>
      </c>
      <c r="Q1152" s="159">
        <f>IF(bargiri[[#This Row],[مبلغ ناخالص]]-(bargiri[[#This Row],[نرخ استهلاک]]*bargiri[[#This Row],[مقدار]])&lt;0,0,bargiri[[#This Row],[مبلغ ناخالص]]-(bargiri[[#This Row],[نرخ استهلاک]]*bargiri[[#This Row],[مقدار]]))</f>
        <v>399798000</v>
      </c>
    </row>
    <row r="1153" spans="1:17" s="22" customFormat="1" ht="13.8" x14ac:dyDescent="0.25">
      <c r="A1153" s="22">
        <v>390</v>
      </c>
      <c r="B1153" s="22" t="s">
        <v>886</v>
      </c>
      <c r="C1153" s="22" t="s">
        <v>72</v>
      </c>
      <c r="D1153" s="22" t="s">
        <v>73</v>
      </c>
      <c r="E1153" s="158">
        <v>20575</v>
      </c>
      <c r="F1153" s="159">
        <v>57273</v>
      </c>
      <c r="G1153" s="159">
        <v>1178391975</v>
      </c>
      <c r="H1153" s="159">
        <v>117839198</v>
      </c>
      <c r="I1153" s="159">
        <v>1296231173</v>
      </c>
      <c r="J1153" s="159" t="e">
        <f>bargiri[[#This Row],[مقدار]]*INDEX(invoice[پیش دریافت به ازای هر کیلوگرم],MATCH(bargiri[[#This Row],[شماره سند مبنا]],invoice[شماره پیش فاکتور],0))</f>
        <v>#N/A</v>
      </c>
      <c r="K1153" s="159" t="e">
        <f>bargiri[[#This Row],[مبلغ خالص]]-bargiri[[#This Row],[میزان استهلاک پیش دریافتی]]</f>
        <v>#N/A</v>
      </c>
      <c r="L1153" s="160" t="s">
        <v>593</v>
      </c>
      <c r="M1153" s="159"/>
      <c r="N1153" s="159" t="e">
        <f>IF(bargiri[[#This Row],[مبلغ واریزی]]&lt;&gt;"",bargiri[[#This Row],[مانده مبلغ]]-bargiri[[#This Row],[مبلغ واریزی]],bargiri[[#This Row],[مانده مبلغ]])</f>
        <v>#N/A</v>
      </c>
      <c r="O1153" s="159" t="s">
        <v>593</v>
      </c>
      <c r="P1153" s="159" t="e">
        <f>VLOOKUP(bargiri[[#This Row],[شماره سند مبنا]],invoice[[شماره پیش فاکتور]:[پیش دریافت به ازای هر کیلوگرم]],14,0)</f>
        <v>#N/A</v>
      </c>
      <c r="Q1153" s="159" t="e">
        <f>IF(bargiri[[#This Row],[مبلغ ناخالص]]-(bargiri[[#This Row],[نرخ استهلاک]]*bargiri[[#This Row],[مقدار]])&lt;0,0,bargiri[[#This Row],[مبلغ ناخالص]]-(bargiri[[#This Row],[نرخ استهلاک]]*bargiri[[#This Row],[مقدار]]))</f>
        <v>#N/A</v>
      </c>
    </row>
    <row r="1154" spans="1:17" s="22" customFormat="1" ht="13.8" x14ac:dyDescent="0.25">
      <c r="A1154" s="22">
        <v>389</v>
      </c>
      <c r="B1154" s="22" t="s">
        <v>886</v>
      </c>
      <c r="C1154" s="22" t="s">
        <v>72</v>
      </c>
      <c r="D1154" s="22" t="s">
        <v>73</v>
      </c>
      <c r="E1154" s="158">
        <v>20555</v>
      </c>
      <c r="F1154" s="159">
        <v>57273</v>
      </c>
      <c r="G1154" s="159">
        <v>1177246515</v>
      </c>
      <c r="H1154" s="159">
        <v>117724652</v>
      </c>
      <c r="I1154" s="159">
        <v>1294971167</v>
      </c>
      <c r="J1154" s="159" t="e">
        <f>bargiri[[#This Row],[مقدار]]*INDEX(invoice[پیش دریافت به ازای هر کیلوگرم],MATCH(bargiri[[#This Row],[شماره سند مبنا]],invoice[شماره پیش فاکتور],0))</f>
        <v>#N/A</v>
      </c>
      <c r="K1154" s="159" t="e">
        <f>bargiri[[#This Row],[مبلغ خالص]]-bargiri[[#This Row],[میزان استهلاک پیش دریافتی]]</f>
        <v>#N/A</v>
      </c>
      <c r="L1154" s="160" t="s">
        <v>593</v>
      </c>
      <c r="M1154" s="159"/>
      <c r="N1154" s="159" t="e">
        <f>IF(bargiri[[#This Row],[مبلغ واریزی]]&lt;&gt;"",bargiri[[#This Row],[مانده مبلغ]]-bargiri[[#This Row],[مبلغ واریزی]],bargiri[[#This Row],[مانده مبلغ]])</f>
        <v>#N/A</v>
      </c>
      <c r="O1154" s="159" t="s">
        <v>593</v>
      </c>
      <c r="P1154" s="159" t="e">
        <f>VLOOKUP(bargiri[[#This Row],[شماره سند مبنا]],invoice[[شماره پیش فاکتور]:[پیش دریافت به ازای هر کیلوگرم]],14,0)</f>
        <v>#N/A</v>
      </c>
      <c r="Q1154" s="159" t="e">
        <f>IF(bargiri[[#This Row],[مبلغ ناخالص]]-(bargiri[[#This Row],[نرخ استهلاک]]*bargiri[[#This Row],[مقدار]])&lt;0,0,bargiri[[#This Row],[مبلغ ناخالص]]-(bargiri[[#This Row],[نرخ استهلاک]]*bargiri[[#This Row],[مقدار]]))</f>
        <v>#N/A</v>
      </c>
    </row>
    <row r="1155" spans="1:17" s="22" customFormat="1" ht="13.8" x14ac:dyDescent="0.25">
      <c r="A1155" s="22">
        <v>388</v>
      </c>
      <c r="B1155" s="22" t="s">
        <v>886</v>
      </c>
      <c r="C1155" s="22" t="s">
        <v>466</v>
      </c>
      <c r="D1155" s="22" t="s">
        <v>180</v>
      </c>
      <c r="E1155" s="158">
        <v>7800</v>
      </c>
      <c r="F1155" s="159">
        <v>100000</v>
      </c>
      <c r="G1155" s="159">
        <v>780000000</v>
      </c>
      <c r="H1155" s="159">
        <v>78000000</v>
      </c>
      <c r="I1155" s="159">
        <v>858000000</v>
      </c>
      <c r="J1155" s="159">
        <f>bargiri[[#This Row],[مقدار]]*INDEX(invoice[پیش دریافت به ازای هر کیلوگرم],MATCH(bargiri[[#This Row],[شماره سند مبنا]],invoice[شماره پیش فاکتور],0))</f>
        <v>136140740.02698016</v>
      </c>
      <c r="K1155" s="159">
        <f>bargiri[[#This Row],[مبلغ خالص]]-bargiri[[#This Row],[میزان استهلاک پیش دریافتی]]</f>
        <v>721859259.97301984</v>
      </c>
      <c r="L1155" s="160" t="s">
        <v>593</v>
      </c>
      <c r="M1155" s="159"/>
      <c r="N1155" s="159">
        <f>IF(bargiri[[#This Row],[مبلغ واریزی]]&lt;&gt;"",bargiri[[#This Row],[مانده مبلغ]]-bargiri[[#This Row],[مبلغ واریزی]],bargiri[[#This Row],[مانده مبلغ]])</f>
        <v>721859259.97301984</v>
      </c>
      <c r="O1155" s="159" t="s">
        <v>593</v>
      </c>
      <c r="P1155" s="159">
        <f>VLOOKUP(bargiri[[#This Row],[شماره سند مبنا]],invoice[[شماره پیش فاکتور]:[پیش دریافت به ازای هر کیلوگرم]],14,0)</f>
        <v>17453.94102910002</v>
      </c>
      <c r="Q1155" s="159">
        <f>IF(bargiri[[#This Row],[مبلغ ناخالص]]-(bargiri[[#This Row],[نرخ استهلاک]]*bargiri[[#This Row],[مقدار]])&lt;0,0,bargiri[[#This Row],[مبلغ ناخالص]]-(bargiri[[#This Row],[نرخ استهلاک]]*bargiri[[#This Row],[مقدار]]))</f>
        <v>643859259.97301984</v>
      </c>
    </row>
    <row r="1156" spans="1:17" s="22" customFormat="1" ht="13.8" x14ac:dyDescent="0.25">
      <c r="A1156" s="22">
        <v>387</v>
      </c>
      <c r="B1156" s="22" t="s">
        <v>886</v>
      </c>
      <c r="C1156" s="22" t="s">
        <v>72</v>
      </c>
      <c r="D1156" s="22" t="s">
        <v>73</v>
      </c>
      <c r="E1156" s="158">
        <v>20635</v>
      </c>
      <c r="F1156" s="159">
        <v>57273</v>
      </c>
      <c r="G1156" s="159">
        <v>1181828355</v>
      </c>
      <c r="H1156" s="159">
        <v>118182836</v>
      </c>
      <c r="I1156" s="159">
        <v>1300011191</v>
      </c>
      <c r="J1156" s="159" t="e">
        <f>bargiri[[#This Row],[مقدار]]*INDEX(invoice[پیش دریافت به ازای هر کیلوگرم],MATCH(bargiri[[#This Row],[شماره سند مبنا]],invoice[شماره پیش فاکتور],0))</f>
        <v>#N/A</v>
      </c>
      <c r="K1156" s="159" t="e">
        <f>bargiri[[#This Row],[مبلغ خالص]]-bargiri[[#This Row],[میزان استهلاک پیش دریافتی]]</f>
        <v>#N/A</v>
      </c>
      <c r="L1156" s="160" t="s">
        <v>593</v>
      </c>
      <c r="M1156" s="159"/>
      <c r="N1156" s="159" t="e">
        <f>IF(bargiri[[#This Row],[مبلغ واریزی]]&lt;&gt;"",bargiri[[#This Row],[مانده مبلغ]]-bargiri[[#This Row],[مبلغ واریزی]],bargiri[[#This Row],[مانده مبلغ]])</f>
        <v>#N/A</v>
      </c>
      <c r="O1156" s="159" t="s">
        <v>593</v>
      </c>
      <c r="P1156" s="159" t="e">
        <f>VLOOKUP(bargiri[[#This Row],[شماره سند مبنا]],invoice[[شماره پیش فاکتور]:[پیش دریافت به ازای هر کیلوگرم]],14,0)</f>
        <v>#N/A</v>
      </c>
      <c r="Q1156" s="159" t="e">
        <f>IF(bargiri[[#This Row],[مبلغ ناخالص]]-(bargiri[[#This Row],[نرخ استهلاک]]*bargiri[[#This Row],[مقدار]])&lt;0,0,bargiri[[#This Row],[مبلغ ناخالص]]-(bargiri[[#This Row],[نرخ استهلاک]]*bargiri[[#This Row],[مقدار]]))</f>
        <v>#N/A</v>
      </c>
    </row>
    <row r="1157" spans="1:17" s="22" customFormat="1" ht="13.8" x14ac:dyDescent="0.25">
      <c r="A1157" s="22">
        <v>386</v>
      </c>
      <c r="B1157" s="22" t="s">
        <v>635</v>
      </c>
      <c r="C1157" s="22" t="s">
        <v>461</v>
      </c>
      <c r="D1157" s="22" t="s">
        <v>35</v>
      </c>
      <c r="E1157" s="158">
        <v>7490</v>
      </c>
      <c r="F1157" s="159">
        <v>142000</v>
      </c>
      <c r="G1157" s="159">
        <v>1063580000</v>
      </c>
      <c r="H1157" s="159">
        <v>106358000</v>
      </c>
      <c r="I1157" s="159">
        <v>1169938000</v>
      </c>
      <c r="J1157" s="159">
        <f>bargiri[[#This Row],[مقدار]]*INDEX(invoice[پیش دریافت به ازای هر کیلوگرم],MATCH(bargiri[[#This Row],[شماره سند مبنا]],invoice[شماره پیش فاکتور],0))</f>
        <v>245808704.47045377</v>
      </c>
      <c r="K1157" s="159">
        <f>bargiri[[#This Row],[مبلغ خالص]]-bargiri[[#This Row],[میزان استهلاک پیش دریافتی]]</f>
        <v>924129295.52954626</v>
      </c>
      <c r="L1157" s="160" t="s">
        <v>593</v>
      </c>
      <c r="M1157" s="159"/>
      <c r="N1157" s="159">
        <f>IF(bargiri[[#This Row],[مبلغ واریزی]]&lt;&gt;"",bargiri[[#This Row],[مانده مبلغ]]-bargiri[[#This Row],[مبلغ واریزی]],bargiri[[#This Row],[مانده مبلغ]])</f>
        <v>924129295.52954626</v>
      </c>
      <c r="O1157" s="159" t="s">
        <v>593</v>
      </c>
      <c r="P1157" s="159">
        <f>VLOOKUP(bargiri[[#This Row],[شماره سند مبنا]],invoice[[شماره پیش فاکتور]:[پیش دریافت به ازای هر کیلوگرم]],14,0)</f>
        <v>32818.251598191426</v>
      </c>
      <c r="Q1157" s="159">
        <f>IF(bargiri[[#This Row],[مبلغ ناخالص]]-(bargiri[[#This Row],[نرخ استهلاک]]*bargiri[[#This Row],[مقدار]])&lt;0,0,bargiri[[#This Row],[مبلغ ناخالص]]-(bargiri[[#This Row],[نرخ استهلاک]]*bargiri[[#This Row],[مقدار]]))</f>
        <v>817771295.52954626</v>
      </c>
    </row>
    <row r="1158" spans="1:17" s="22" customFormat="1" ht="13.8" x14ac:dyDescent="0.25">
      <c r="A1158" s="22">
        <v>385</v>
      </c>
      <c r="B1158" s="22" t="s">
        <v>635</v>
      </c>
      <c r="C1158" s="22" t="s">
        <v>606</v>
      </c>
      <c r="D1158" s="22" t="s">
        <v>219</v>
      </c>
      <c r="E1158" s="158">
        <v>20015</v>
      </c>
      <c r="F1158" s="159">
        <v>142000</v>
      </c>
      <c r="G1158" s="159">
        <v>2842130000</v>
      </c>
      <c r="H1158" s="159">
        <v>284213000</v>
      </c>
      <c r="I1158" s="159">
        <v>3126343000</v>
      </c>
      <c r="J1158" s="159">
        <f>bargiri[[#This Row],[مقدار]]*INDEX(invoice[پیش دریافت به ازای هر کیلوگرم],MATCH(bargiri[[#This Row],[شماره سند مبنا]],invoice[شماره پیش فاکتور],0))</f>
        <v>869548479.32773125</v>
      </c>
      <c r="K1158" s="159">
        <f>bargiri[[#This Row],[مبلغ خالص]]-bargiri[[#This Row],[میزان استهلاک پیش دریافتی]]</f>
        <v>2256794520.6722689</v>
      </c>
      <c r="L1158" s="160" t="s">
        <v>593</v>
      </c>
      <c r="M1158" s="159"/>
      <c r="N1158" s="159">
        <f>IF(bargiri[[#This Row],[مبلغ واریزی]]&lt;&gt;"",bargiri[[#This Row],[مانده مبلغ]]-bargiri[[#This Row],[مبلغ واریزی]],bargiri[[#This Row],[مانده مبلغ]])</f>
        <v>2256794520.6722689</v>
      </c>
      <c r="O1158" s="159" t="s">
        <v>593</v>
      </c>
      <c r="P1158" s="159">
        <f>VLOOKUP(bargiri[[#This Row],[شماره سند مبنا]],invoice[[شماره پیش فاکتور]:[پیش دریافت به ازای هر کیلوگرم]],14,0)</f>
        <v>43444.840336134461</v>
      </c>
      <c r="Q1158" s="159">
        <f>IF(bargiri[[#This Row],[مبلغ ناخالص]]-(bargiri[[#This Row],[نرخ استهلاک]]*bargiri[[#This Row],[مقدار]])&lt;0,0,bargiri[[#This Row],[مبلغ ناخالص]]-(bargiri[[#This Row],[نرخ استهلاک]]*bargiri[[#This Row],[مقدار]]))</f>
        <v>1972581520.6722689</v>
      </c>
    </row>
    <row r="1159" spans="1:17" s="22" customFormat="1" ht="13.8" x14ac:dyDescent="0.25">
      <c r="A1159" s="22">
        <v>384</v>
      </c>
      <c r="B1159" s="22" t="s">
        <v>635</v>
      </c>
      <c r="C1159" s="22" t="s">
        <v>608</v>
      </c>
      <c r="D1159" s="22" t="s">
        <v>40</v>
      </c>
      <c r="E1159" s="158">
        <v>18505</v>
      </c>
      <c r="F1159" s="159">
        <v>142000</v>
      </c>
      <c r="G1159" s="159">
        <v>2627710000</v>
      </c>
      <c r="H1159" s="159">
        <v>262771000</v>
      </c>
      <c r="I1159" s="159">
        <v>2890481000</v>
      </c>
      <c r="J1159" s="159">
        <f>bargiri[[#This Row],[مقدار]]*INDEX(invoice[پیش دریافت به ازای هر کیلوگرم],MATCH(bargiri[[#This Row],[شماره سند مبنا]],invoice[شماره پیش فاکتور],0))</f>
        <v>433572150</v>
      </c>
      <c r="K1159" s="159">
        <f>bargiri[[#This Row],[مبلغ خالص]]-bargiri[[#This Row],[میزان استهلاک پیش دریافتی]]</f>
        <v>2456908850</v>
      </c>
      <c r="L1159" s="160" t="s">
        <v>593</v>
      </c>
      <c r="M1159" s="159"/>
      <c r="N1159" s="159">
        <f>IF(bargiri[[#This Row],[مبلغ واریزی]]&lt;&gt;"",bargiri[[#This Row],[مانده مبلغ]]-bargiri[[#This Row],[مبلغ واریزی]],bargiri[[#This Row],[مانده مبلغ]])</f>
        <v>2456908850</v>
      </c>
      <c r="O1159" s="159" t="s">
        <v>593</v>
      </c>
      <c r="P1159" s="159">
        <f>VLOOKUP(bargiri[[#This Row],[شماره سند مبنا]],invoice[[شماره پیش فاکتور]:[پیش دریافت به ازای هر کیلوگرم]],14,0)</f>
        <v>23430</v>
      </c>
      <c r="Q1159" s="159">
        <f>IF(bargiri[[#This Row],[مبلغ ناخالص]]-(bargiri[[#This Row],[نرخ استهلاک]]*bargiri[[#This Row],[مقدار]])&lt;0,0,bargiri[[#This Row],[مبلغ ناخالص]]-(bargiri[[#This Row],[نرخ استهلاک]]*bargiri[[#This Row],[مقدار]]))</f>
        <v>2194137850</v>
      </c>
    </row>
    <row r="1160" spans="1:17" s="22" customFormat="1" ht="13.8" x14ac:dyDescent="0.25">
      <c r="A1160" s="22">
        <v>383</v>
      </c>
      <c r="B1160" s="22" t="s">
        <v>635</v>
      </c>
      <c r="C1160" s="22" t="s">
        <v>189</v>
      </c>
      <c r="D1160" s="22" t="s">
        <v>173</v>
      </c>
      <c r="E1160" s="158">
        <v>22495</v>
      </c>
      <c r="F1160" s="159">
        <v>75000</v>
      </c>
      <c r="G1160" s="159">
        <v>1687125000</v>
      </c>
      <c r="H1160" s="159">
        <v>168712500</v>
      </c>
      <c r="I1160" s="159">
        <v>1855837500</v>
      </c>
      <c r="J1160" s="159">
        <f>bargiri[[#This Row],[مقدار]]*INDEX(invoice[پیش دریافت به ازای هر کیلوگرم],MATCH(bargiri[[#This Row],[شماره سند مبنا]],invoice[شماره پیش فاکتور],0))</f>
        <v>278375625</v>
      </c>
      <c r="K1160" s="159">
        <f>bargiri[[#This Row],[مبلغ خالص]]-bargiri[[#This Row],[میزان استهلاک پیش دریافتی]]</f>
        <v>1577461875</v>
      </c>
      <c r="L1160" s="160" t="s">
        <v>593</v>
      </c>
      <c r="M1160" s="159"/>
      <c r="N1160" s="159">
        <f>IF(bargiri[[#This Row],[مبلغ واریزی]]&lt;&gt;"",bargiri[[#This Row],[مانده مبلغ]]-bargiri[[#This Row],[مبلغ واریزی]],bargiri[[#This Row],[مانده مبلغ]])</f>
        <v>1577461875</v>
      </c>
      <c r="O1160" s="159" t="s">
        <v>593</v>
      </c>
      <c r="P1160" s="159">
        <f>VLOOKUP(bargiri[[#This Row],[شماره سند مبنا]],invoice[[شماره پیش فاکتور]:[پیش دریافت به ازای هر کیلوگرم]],14,0)</f>
        <v>12375</v>
      </c>
      <c r="Q1160" s="159">
        <f>IF(bargiri[[#This Row],[مبلغ ناخالص]]-(bargiri[[#This Row],[نرخ استهلاک]]*bargiri[[#This Row],[مقدار]])&lt;0,0,bargiri[[#This Row],[مبلغ ناخالص]]-(bargiri[[#This Row],[نرخ استهلاک]]*bargiri[[#This Row],[مقدار]]))</f>
        <v>1408749375</v>
      </c>
    </row>
    <row r="1161" spans="1:17" s="22" customFormat="1" ht="13.8" x14ac:dyDescent="0.25">
      <c r="A1161" s="22">
        <v>382</v>
      </c>
      <c r="B1161" s="22" t="s">
        <v>635</v>
      </c>
      <c r="C1161" s="22" t="s">
        <v>115</v>
      </c>
      <c r="D1161" s="22" t="s">
        <v>116</v>
      </c>
      <c r="E1161" s="158">
        <v>19125</v>
      </c>
      <c r="F1161" s="159">
        <v>75000</v>
      </c>
      <c r="G1161" s="159">
        <v>1434375000</v>
      </c>
      <c r="H1161" s="159">
        <v>143437500</v>
      </c>
      <c r="I1161" s="159">
        <v>1577812500</v>
      </c>
      <c r="J1161" s="159">
        <f>bargiri[[#This Row],[مقدار]]*INDEX(invoice[پیش دریافت به ازای هر کیلوگرم],MATCH(bargiri[[#This Row],[شماره سند مبنا]],invoice[شماره پیش فاکتور],0))</f>
        <v>287070207.74126405</v>
      </c>
      <c r="K1161" s="159">
        <f>bargiri[[#This Row],[مبلغ خالص]]-bargiri[[#This Row],[میزان استهلاک پیش دریافتی]]</f>
        <v>1290742292.2587359</v>
      </c>
      <c r="L1161" s="160" t="s">
        <v>593</v>
      </c>
      <c r="M1161" s="159"/>
      <c r="N1161" s="159">
        <f>IF(bargiri[[#This Row],[مبلغ واریزی]]&lt;&gt;"",bargiri[[#This Row],[مانده مبلغ]]-bargiri[[#This Row],[مبلغ واریزی]],bargiri[[#This Row],[مانده مبلغ]])</f>
        <v>1290742292.2587359</v>
      </c>
      <c r="O1161" s="159" t="s">
        <v>593</v>
      </c>
      <c r="P1161" s="159">
        <f>VLOOKUP(bargiri[[#This Row],[شماره سند مبنا]],invoice[[شماره پیش فاکتور]:[پیش دریافت به ازای هر کیلوگرم]],14,0)</f>
        <v>15010.206940719689</v>
      </c>
      <c r="Q1161" s="159">
        <f>IF(bargiri[[#This Row],[مبلغ ناخالص]]-(bargiri[[#This Row],[نرخ استهلاک]]*bargiri[[#This Row],[مقدار]])&lt;0,0,bargiri[[#This Row],[مبلغ ناخالص]]-(bargiri[[#This Row],[نرخ استهلاک]]*bargiri[[#This Row],[مقدار]]))</f>
        <v>1147304792.2587359</v>
      </c>
    </row>
    <row r="1162" spans="1:17" s="22" customFormat="1" ht="13.8" x14ac:dyDescent="0.25">
      <c r="A1162" s="22">
        <v>381</v>
      </c>
      <c r="B1162" s="22" t="s">
        <v>635</v>
      </c>
      <c r="C1162" s="22" t="s">
        <v>456</v>
      </c>
      <c r="D1162" s="22" t="s">
        <v>213</v>
      </c>
      <c r="E1162" s="158">
        <v>7490</v>
      </c>
      <c r="F1162" s="159">
        <v>142000</v>
      </c>
      <c r="G1162" s="159">
        <v>1063580000</v>
      </c>
      <c r="H1162" s="159">
        <v>106358000</v>
      </c>
      <c r="I1162" s="159">
        <v>1169938000</v>
      </c>
      <c r="J1162" s="159">
        <f>bargiri[[#This Row],[مقدار]]*INDEX(invoice[پیش دریافت به ازای هر کیلوگرم],MATCH(bargiri[[#This Row],[شماره سند مبنا]],invoice[شماره پیش فاکتور],0))</f>
        <v>888794399.16657281</v>
      </c>
      <c r="K1162" s="159">
        <f>bargiri[[#This Row],[مبلغ خالص]]-bargiri[[#This Row],[میزان استهلاک پیش دریافتی]]</f>
        <v>281143600.83342719</v>
      </c>
      <c r="L1162" s="160" t="s">
        <v>593</v>
      </c>
      <c r="M1162" s="159"/>
      <c r="N1162" s="159">
        <f>IF(bargiri[[#This Row],[مبلغ واریزی]]&lt;&gt;"",bargiri[[#This Row],[مانده مبلغ]]-bargiri[[#This Row],[مبلغ واریزی]],bargiri[[#This Row],[مانده مبلغ]])</f>
        <v>281143600.83342719</v>
      </c>
      <c r="O1162" s="159" t="s">
        <v>593</v>
      </c>
      <c r="P1162" s="159">
        <f>VLOOKUP(bargiri[[#This Row],[شماره سند مبنا]],invoice[[شماره پیش فاکتور]:[پیش دریافت به ازای هر کیلوگرم]],14,0)</f>
        <v>118664.13874053041</v>
      </c>
      <c r="Q1162" s="159">
        <f>IF(bargiri[[#This Row],[مبلغ ناخالص]]-(bargiri[[#This Row],[نرخ استهلاک]]*bargiri[[#This Row],[مقدار]])&lt;0,0,bargiri[[#This Row],[مبلغ ناخالص]]-(bargiri[[#This Row],[نرخ استهلاک]]*bargiri[[#This Row],[مقدار]]))</f>
        <v>174785600.83342719</v>
      </c>
    </row>
    <row r="1163" spans="1:17" s="22" customFormat="1" ht="13.8" x14ac:dyDescent="0.25">
      <c r="A1163" s="22">
        <v>380</v>
      </c>
      <c r="B1163" s="22" t="s">
        <v>636</v>
      </c>
      <c r="C1163" s="22" t="s">
        <v>455</v>
      </c>
      <c r="D1163" s="22" t="s">
        <v>67</v>
      </c>
      <c r="E1163" s="158">
        <v>19990</v>
      </c>
      <c r="F1163" s="159">
        <v>142000</v>
      </c>
      <c r="G1163" s="159">
        <v>2838580000</v>
      </c>
      <c r="H1163" s="159">
        <v>283858000</v>
      </c>
      <c r="I1163" s="159">
        <v>3122438000</v>
      </c>
      <c r="J1163" s="159">
        <f>bargiri[[#This Row],[مقدار]]*INDEX(invoice[پیش دریافت به ازای هر کیلوگرم],MATCH(bargiri[[#This Row],[شماره سند مبنا]],invoice[شماره پیش فاکتور],0))</f>
        <v>468365700</v>
      </c>
      <c r="K1163" s="159">
        <f>bargiri[[#This Row],[مبلغ خالص]]-bargiri[[#This Row],[میزان استهلاک پیش دریافتی]]</f>
        <v>2654072300</v>
      </c>
      <c r="L1163" s="160" t="s">
        <v>593</v>
      </c>
      <c r="M1163" s="159"/>
      <c r="N1163" s="159">
        <f>IF(bargiri[[#This Row],[مبلغ واریزی]]&lt;&gt;"",bargiri[[#This Row],[مانده مبلغ]]-bargiri[[#This Row],[مبلغ واریزی]],bargiri[[#This Row],[مانده مبلغ]])</f>
        <v>2654072300</v>
      </c>
      <c r="O1163" s="159" t="s">
        <v>593</v>
      </c>
      <c r="P1163" s="159">
        <f>VLOOKUP(bargiri[[#This Row],[شماره سند مبنا]],invoice[[شماره پیش فاکتور]:[پیش دریافت به ازای هر کیلوگرم]],14,0)</f>
        <v>23430</v>
      </c>
      <c r="Q1163" s="159">
        <f>IF(bargiri[[#This Row],[مبلغ ناخالص]]-(bargiri[[#This Row],[نرخ استهلاک]]*bargiri[[#This Row],[مقدار]])&lt;0,0,bargiri[[#This Row],[مبلغ ناخالص]]-(bargiri[[#This Row],[نرخ استهلاک]]*bargiri[[#This Row],[مقدار]]))</f>
        <v>2370214300</v>
      </c>
    </row>
    <row r="1164" spans="1:17" s="22" customFormat="1" ht="13.8" x14ac:dyDescent="0.25">
      <c r="A1164" s="22">
        <v>379</v>
      </c>
      <c r="B1164" s="22" t="s">
        <v>636</v>
      </c>
      <c r="C1164" s="22" t="s">
        <v>455</v>
      </c>
      <c r="D1164" s="22" t="s">
        <v>67</v>
      </c>
      <c r="E1164" s="158">
        <v>16065</v>
      </c>
      <c r="F1164" s="159">
        <v>142000</v>
      </c>
      <c r="G1164" s="159">
        <v>2281230000</v>
      </c>
      <c r="H1164" s="159">
        <v>228123000</v>
      </c>
      <c r="I1164" s="159">
        <v>2509353000</v>
      </c>
      <c r="J1164" s="159">
        <f>bargiri[[#This Row],[مقدار]]*INDEX(invoice[پیش دریافت به ازای هر کیلوگرم],MATCH(bargiri[[#This Row],[شماره سند مبنا]],invoice[شماره پیش فاکتور],0))</f>
        <v>376402950</v>
      </c>
      <c r="K1164" s="159">
        <f>bargiri[[#This Row],[مبلغ خالص]]-bargiri[[#This Row],[میزان استهلاک پیش دریافتی]]</f>
        <v>2132950050</v>
      </c>
      <c r="L1164" s="160" t="s">
        <v>593</v>
      </c>
      <c r="M1164" s="159"/>
      <c r="N1164" s="159">
        <f>IF(bargiri[[#This Row],[مبلغ واریزی]]&lt;&gt;"",bargiri[[#This Row],[مانده مبلغ]]-bargiri[[#This Row],[مبلغ واریزی]],bargiri[[#This Row],[مانده مبلغ]])</f>
        <v>2132950050</v>
      </c>
      <c r="O1164" s="159" t="s">
        <v>593</v>
      </c>
      <c r="P1164" s="159">
        <f>VLOOKUP(bargiri[[#This Row],[شماره سند مبنا]],invoice[[شماره پیش فاکتور]:[پیش دریافت به ازای هر کیلوگرم]],14,0)</f>
        <v>23430</v>
      </c>
      <c r="Q1164" s="159">
        <f>IF(bargiri[[#This Row],[مبلغ ناخالص]]-(bargiri[[#This Row],[نرخ استهلاک]]*bargiri[[#This Row],[مقدار]])&lt;0,0,bargiri[[#This Row],[مبلغ ناخالص]]-(bargiri[[#This Row],[نرخ استهلاک]]*bargiri[[#This Row],[مقدار]]))</f>
        <v>1904827050</v>
      </c>
    </row>
    <row r="1165" spans="1:17" s="22" customFormat="1" ht="13.8" x14ac:dyDescent="0.25">
      <c r="A1165" s="22">
        <v>378</v>
      </c>
      <c r="B1165" s="22" t="s">
        <v>636</v>
      </c>
      <c r="C1165" s="22" t="s">
        <v>464</v>
      </c>
      <c r="D1165" s="22" t="s">
        <v>221</v>
      </c>
      <c r="E1165" s="158">
        <v>14320</v>
      </c>
      <c r="F1165" s="159">
        <v>142000</v>
      </c>
      <c r="G1165" s="159">
        <v>2033440000</v>
      </c>
      <c r="H1165" s="159">
        <v>203344000</v>
      </c>
      <c r="I1165" s="159">
        <v>2236784000</v>
      </c>
      <c r="J1165" s="159">
        <f>bargiri[[#This Row],[مقدار]]*INDEX(invoice[پیش دریافت به ازای هر کیلوگرم],MATCH(bargiri[[#This Row],[شماره سند مبنا]],invoice[شماره پیش فاکتور],0))</f>
        <v>335517600</v>
      </c>
      <c r="K1165" s="159">
        <f>bargiri[[#This Row],[مبلغ خالص]]-bargiri[[#This Row],[میزان استهلاک پیش دریافتی]]</f>
        <v>1901266400</v>
      </c>
      <c r="L1165" s="160" t="s">
        <v>593</v>
      </c>
      <c r="M1165" s="159"/>
      <c r="N1165" s="159">
        <f>IF(bargiri[[#This Row],[مبلغ واریزی]]&lt;&gt;"",bargiri[[#This Row],[مانده مبلغ]]-bargiri[[#This Row],[مبلغ واریزی]],bargiri[[#This Row],[مانده مبلغ]])</f>
        <v>1901266400</v>
      </c>
      <c r="O1165" s="159" t="s">
        <v>593</v>
      </c>
      <c r="P1165" s="159">
        <f>VLOOKUP(bargiri[[#This Row],[شماره سند مبنا]],invoice[[شماره پیش فاکتور]:[پیش دریافت به ازای هر کیلوگرم]],14,0)</f>
        <v>23430</v>
      </c>
      <c r="Q1165" s="159">
        <f>IF(bargiri[[#This Row],[مبلغ ناخالص]]-(bargiri[[#This Row],[نرخ استهلاک]]*bargiri[[#This Row],[مقدار]])&lt;0,0,bargiri[[#This Row],[مبلغ ناخالص]]-(bargiri[[#This Row],[نرخ استهلاک]]*bargiri[[#This Row],[مقدار]]))</f>
        <v>1697922400</v>
      </c>
    </row>
    <row r="1166" spans="1:17" s="22" customFormat="1" ht="13.8" x14ac:dyDescent="0.25">
      <c r="A1166" s="22">
        <v>377</v>
      </c>
      <c r="B1166" s="22" t="s">
        <v>636</v>
      </c>
      <c r="C1166" s="22" t="s">
        <v>184</v>
      </c>
      <c r="D1166" s="22" t="s">
        <v>40</v>
      </c>
      <c r="E1166" s="158">
        <v>8660</v>
      </c>
      <c r="F1166" s="159">
        <v>83800</v>
      </c>
      <c r="G1166" s="159">
        <v>725708000</v>
      </c>
      <c r="H1166" s="159">
        <v>72570800</v>
      </c>
      <c r="I1166" s="159">
        <v>798278800</v>
      </c>
      <c r="J1166" s="159">
        <f>bargiri[[#This Row],[مقدار]]*INDEX(invoice[پیش دریافت به ازای هر کیلوگرم],MATCH(bargiri[[#This Row],[شماره سند مبنا]],invoice[شماره پیش فاکتور],0))</f>
        <v>119741820</v>
      </c>
      <c r="K1166" s="159">
        <f>bargiri[[#This Row],[مبلغ خالص]]-bargiri[[#This Row],[میزان استهلاک پیش دریافتی]]</f>
        <v>678536980</v>
      </c>
      <c r="L1166" s="160" t="s">
        <v>593</v>
      </c>
      <c r="M1166" s="159"/>
      <c r="N1166" s="159">
        <f>IF(bargiri[[#This Row],[مبلغ واریزی]]&lt;&gt;"",bargiri[[#This Row],[مانده مبلغ]]-bargiri[[#This Row],[مبلغ واریزی]],bargiri[[#This Row],[مانده مبلغ]])</f>
        <v>678536980</v>
      </c>
      <c r="O1166" s="159" t="s">
        <v>593</v>
      </c>
      <c r="P1166" s="159">
        <f>VLOOKUP(bargiri[[#This Row],[شماره سند مبنا]],invoice[[شماره پیش فاکتور]:[پیش دریافت به ازای هر کیلوگرم]],14,0)</f>
        <v>13827</v>
      </c>
      <c r="Q1166" s="159">
        <f>IF(bargiri[[#This Row],[مبلغ ناخالص]]-(bargiri[[#This Row],[نرخ استهلاک]]*bargiri[[#This Row],[مقدار]])&lt;0,0,bargiri[[#This Row],[مبلغ ناخالص]]-(bargiri[[#This Row],[نرخ استهلاک]]*bargiri[[#This Row],[مقدار]]))</f>
        <v>605966180</v>
      </c>
    </row>
    <row r="1167" spans="1:17" s="22" customFormat="1" ht="13.8" x14ac:dyDescent="0.25">
      <c r="A1167" s="22">
        <v>377</v>
      </c>
      <c r="B1167" s="22" t="s">
        <v>636</v>
      </c>
      <c r="C1167" s="22" t="s">
        <v>608</v>
      </c>
      <c r="D1167" s="22" t="s">
        <v>40</v>
      </c>
      <c r="E1167" s="158">
        <v>9315</v>
      </c>
      <c r="F1167" s="159">
        <v>142000</v>
      </c>
      <c r="G1167" s="159">
        <v>1322730000</v>
      </c>
      <c r="H1167" s="159">
        <v>132273000</v>
      </c>
      <c r="I1167" s="159">
        <v>1455003000</v>
      </c>
      <c r="J1167" s="159">
        <f>bargiri[[#This Row],[مقدار]]*INDEX(invoice[پیش دریافت به ازای هر کیلوگرم],MATCH(bargiri[[#This Row],[شماره سند مبنا]],invoice[شماره پیش فاکتور],0))</f>
        <v>218250450</v>
      </c>
      <c r="K1167" s="159">
        <f>bargiri[[#This Row],[مبلغ خالص]]-bargiri[[#This Row],[میزان استهلاک پیش دریافتی]]</f>
        <v>1236752550</v>
      </c>
      <c r="L1167" s="160" t="s">
        <v>593</v>
      </c>
      <c r="M1167" s="159"/>
      <c r="N1167" s="159">
        <f>IF(bargiri[[#This Row],[مبلغ واریزی]]&lt;&gt;"",bargiri[[#This Row],[مانده مبلغ]]-bargiri[[#This Row],[مبلغ واریزی]],bargiri[[#This Row],[مانده مبلغ]])</f>
        <v>1236752550</v>
      </c>
      <c r="O1167" s="159" t="s">
        <v>593</v>
      </c>
      <c r="P1167" s="159">
        <f>VLOOKUP(bargiri[[#This Row],[شماره سند مبنا]],invoice[[شماره پیش فاکتور]:[پیش دریافت به ازای هر کیلوگرم]],14,0)</f>
        <v>23430</v>
      </c>
      <c r="Q1167" s="159">
        <f>IF(bargiri[[#This Row],[مبلغ ناخالص]]-(bargiri[[#This Row],[نرخ استهلاک]]*bargiri[[#This Row],[مقدار]])&lt;0,0,bargiri[[#This Row],[مبلغ ناخالص]]-(bargiri[[#This Row],[نرخ استهلاک]]*bargiri[[#This Row],[مقدار]]))</f>
        <v>1104479550</v>
      </c>
    </row>
    <row r="1168" spans="1:17" s="22" customFormat="1" ht="13.8" x14ac:dyDescent="0.25">
      <c r="A1168" s="22">
        <v>376</v>
      </c>
      <c r="B1168" s="22" t="s">
        <v>637</v>
      </c>
      <c r="C1168" s="22" t="s">
        <v>107</v>
      </c>
      <c r="D1168" s="22" t="s">
        <v>30</v>
      </c>
      <c r="E1168" s="158">
        <v>11635</v>
      </c>
      <c r="F1168" s="159">
        <v>70000</v>
      </c>
      <c r="G1168" s="159">
        <v>814450000</v>
      </c>
      <c r="H1168" s="159">
        <v>81445000</v>
      </c>
      <c r="I1168" s="159">
        <v>895895000</v>
      </c>
      <c r="J1168" s="159">
        <f>bargiri[[#This Row],[مقدار]]*INDEX(invoice[پیش دریافت به ازای هر کیلوگرم],MATCH(bargiri[[#This Row],[شماره سند مبنا]],invoice[شماره پیش فاکتور],0))</f>
        <v>447947500</v>
      </c>
      <c r="K1168" s="159">
        <f>bargiri[[#This Row],[مبلغ خالص]]-bargiri[[#This Row],[میزان استهلاک پیش دریافتی]]</f>
        <v>447947500</v>
      </c>
      <c r="L1168" s="160" t="s">
        <v>593</v>
      </c>
      <c r="M1168" s="159"/>
      <c r="N1168" s="159">
        <f>IF(bargiri[[#This Row],[مبلغ واریزی]]&lt;&gt;"",bargiri[[#This Row],[مانده مبلغ]]-bargiri[[#This Row],[مبلغ واریزی]],bargiri[[#This Row],[مانده مبلغ]])</f>
        <v>447947500</v>
      </c>
      <c r="O1168" s="159" t="s">
        <v>593</v>
      </c>
      <c r="P1168" s="159">
        <f>VLOOKUP(bargiri[[#This Row],[شماره سند مبنا]],invoice[[شماره پیش فاکتور]:[پیش دریافت به ازای هر کیلوگرم]],14,0)</f>
        <v>38500</v>
      </c>
      <c r="Q1168" s="159">
        <f>IF(bargiri[[#This Row],[مبلغ ناخالص]]-(bargiri[[#This Row],[نرخ استهلاک]]*bargiri[[#This Row],[مقدار]])&lt;0,0,bargiri[[#This Row],[مبلغ ناخالص]]-(bargiri[[#This Row],[نرخ استهلاک]]*bargiri[[#This Row],[مقدار]]))</f>
        <v>366502500</v>
      </c>
    </row>
    <row r="1169" spans="1:17" s="22" customFormat="1" ht="13.8" x14ac:dyDescent="0.25">
      <c r="A1169" s="22">
        <v>375</v>
      </c>
      <c r="B1169" s="22" t="s">
        <v>637</v>
      </c>
      <c r="C1169" s="22" t="s">
        <v>176</v>
      </c>
      <c r="D1169" s="22" t="s">
        <v>70</v>
      </c>
      <c r="E1169" s="158">
        <v>16750</v>
      </c>
      <c r="F1169" s="159">
        <v>75000</v>
      </c>
      <c r="G1169" s="159">
        <v>1256250000</v>
      </c>
      <c r="H1169" s="159">
        <v>125625000</v>
      </c>
      <c r="I1169" s="159">
        <v>1381875000</v>
      </c>
      <c r="J1169" s="159" t="e">
        <f>bargiri[[#This Row],[مقدار]]*INDEX(invoice[پیش دریافت به ازای هر کیلوگرم],MATCH(bargiri[[#This Row],[شماره سند مبنا]],invoice[شماره پیش فاکتور],0))</f>
        <v>#N/A</v>
      </c>
      <c r="K1169" s="159" t="e">
        <f>bargiri[[#This Row],[مبلغ خالص]]-bargiri[[#This Row],[میزان استهلاک پیش دریافتی]]</f>
        <v>#N/A</v>
      </c>
      <c r="L1169" s="160" t="s">
        <v>593</v>
      </c>
      <c r="M1169" s="159"/>
      <c r="N1169" s="159" t="e">
        <f>IF(bargiri[[#This Row],[مبلغ واریزی]]&lt;&gt;"",bargiri[[#This Row],[مانده مبلغ]]-bargiri[[#This Row],[مبلغ واریزی]],bargiri[[#This Row],[مانده مبلغ]])</f>
        <v>#N/A</v>
      </c>
      <c r="O1169" s="159" t="s">
        <v>593</v>
      </c>
      <c r="P1169" s="159" t="e">
        <f>VLOOKUP(bargiri[[#This Row],[شماره سند مبنا]],invoice[[شماره پیش فاکتور]:[پیش دریافت به ازای هر کیلوگرم]],14,0)</f>
        <v>#N/A</v>
      </c>
      <c r="Q1169" s="159" t="e">
        <f>IF(bargiri[[#This Row],[مبلغ ناخالص]]-(bargiri[[#This Row],[نرخ استهلاک]]*bargiri[[#This Row],[مقدار]])&lt;0,0,bargiri[[#This Row],[مبلغ ناخالص]]-(bargiri[[#This Row],[نرخ استهلاک]]*bargiri[[#This Row],[مقدار]]))</f>
        <v>#N/A</v>
      </c>
    </row>
    <row r="1170" spans="1:17" s="22" customFormat="1" ht="13.8" x14ac:dyDescent="0.25">
      <c r="A1170" s="22">
        <v>375</v>
      </c>
      <c r="B1170" s="22" t="s">
        <v>637</v>
      </c>
      <c r="C1170" s="22" t="s">
        <v>605</v>
      </c>
      <c r="D1170" s="22" t="s">
        <v>70</v>
      </c>
      <c r="E1170" s="158">
        <v>3250</v>
      </c>
      <c r="F1170" s="159">
        <v>142000</v>
      </c>
      <c r="G1170" s="159">
        <v>461500000</v>
      </c>
      <c r="H1170" s="159">
        <v>46150000</v>
      </c>
      <c r="I1170" s="159">
        <v>507650000</v>
      </c>
      <c r="J1170" s="159">
        <f>bargiri[[#This Row],[مقدار]]*INDEX(invoice[پیش دریافت به ازای هر کیلوگرم],MATCH(bargiri[[#This Row],[شماره سند مبنا]],invoice[شماره پیش فاکتور],0))</f>
        <v>76147500</v>
      </c>
      <c r="K1170" s="159">
        <f>bargiri[[#This Row],[مبلغ خالص]]-bargiri[[#This Row],[میزان استهلاک پیش دریافتی]]</f>
        <v>431502500</v>
      </c>
      <c r="L1170" s="160" t="s">
        <v>593</v>
      </c>
      <c r="M1170" s="159"/>
      <c r="N1170" s="159">
        <f>IF(bargiri[[#This Row],[مبلغ واریزی]]&lt;&gt;"",bargiri[[#This Row],[مانده مبلغ]]-bargiri[[#This Row],[مبلغ واریزی]],bargiri[[#This Row],[مانده مبلغ]])</f>
        <v>431502500</v>
      </c>
      <c r="O1170" s="159" t="s">
        <v>593</v>
      </c>
      <c r="P1170" s="159">
        <f>VLOOKUP(bargiri[[#This Row],[شماره سند مبنا]],invoice[[شماره پیش فاکتور]:[پیش دریافت به ازای هر کیلوگرم]],14,0)</f>
        <v>23430</v>
      </c>
      <c r="Q1170" s="159">
        <f>IF(bargiri[[#This Row],[مبلغ ناخالص]]-(bargiri[[#This Row],[نرخ استهلاک]]*bargiri[[#This Row],[مقدار]])&lt;0,0,bargiri[[#This Row],[مبلغ ناخالص]]-(bargiri[[#This Row],[نرخ استهلاک]]*bargiri[[#This Row],[مقدار]]))</f>
        <v>385352500</v>
      </c>
    </row>
    <row r="1171" spans="1:17" s="22" customFormat="1" ht="13.8" x14ac:dyDescent="0.25">
      <c r="A1171" s="22">
        <v>374</v>
      </c>
      <c r="B1171" s="22" t="s">
        <v>637</v>
      </c>
      <c r="C1171" s="22" t="s">
        <v>461</v>
      </c>
      <c r="D1171" s="22" t="s">
        <v>35</v>
      </c>
      <c r="E1171" s="158">
        <v>7370</v>
      </c>
      <c r="F1171" s="159">
        <v>142000</v>
      </c>
      <c r="G1171" s="159">
        <v>1046540000</v>
      </c>
      <c r="H1171" s="159">
        <v>104654000</v>
      </c>
      <c r="I1171" s="159">
        <v>1151194000</v>
      </c>
      <c r="J1171" s="159">
        <f>bargiri[[#This Row],[مقدار]]*INDEX(invoice[پیش دریافت به ازای هر کیلوگرم],MATCH(bargiri[[#This Row],[شماره سند مبنا]],invoice[شماره پیش فاکتور],0))</f>
        <v>241870514.27867082</v>
      </c>
      <c r="K1171" s="159">
        <f>bargiri[[#This Row],[مبلغ خالص]]-bargiri[[#This Row],[میزان استهلاک پیش دریافتی]]</f>
        <v>909323485.72132921</v>
      </c>
      <c r="L1171" s="160" t="s">
        <v>593</v>
      </c>
      <c r="M1171" s="159"/>
      <c r="N1171" s="159">
        <f>IF(bargiri[[#This Row],[مبلغ واریزی]]&lt;&gt;"",bargiri[[#This Row],[مانده مبلغ]]-bargiri[[#This Row],[مبلغ واریزی]],bargiri[[#This Row],[مانده مبلغ]])</f>
        <v>909323485.72132921</v>
      </c>
      <c r="O1171" s="159" t="s">
        <v>593</v>
      </c>
      <c r="P1171" s="159">
        <f>VLOOKUP(bargiri[[#This Row],[شماره سند مبنا]],invoice[[شماره پیش فاکتور]:[پیش دریافت به ازای هر کیلوگرم]],14,0)</f>
        <v>32818.251598191426</v>
      </c>
      <c r="Q1171" s="159">
        <f>IF(bargiri[[#This Row],[مبلغ ناخالص]]-(bargiri[[#This Row],[نرخ استهلاک]]*bargiri[[#This Row],[مقدار]])&lt;0,0,bargiri[[#This Row],[مبلغ ناخالص]]-(bargiri[[#This Row],[نرخ استهلاک]]*bargiri[[#This Row],[مقدار]]))</f>
        <v>804669485.72132921</v>
      </c>
    </row>
    <row r="1172" spans="1:17" s="22" customFormat="1" ht="13.8" x14ac:dyDescent="0.25">
      <c r="A1172" s="22">
        <v>372</v>
      </c>
      <c r="B1172" s="22" t="s">
        <v>637</v>
      </c>
      <c r="C1172" s="22" t="s">
        <v>455</v>
      </c>
      <c r="D1172" s="22" t="s">
        <v>67</v>
      </c>
      <c r="E1172" s="158">
        <v>20000</v>
      </c>
      <c r="F1172" s="159">
        <v>142000</v>
      </c>
      <c r="G1172" s="159">
        <v>2840000000</v>
      </c>
      <c r="H1172" s="159">
        <v>284000000</v>
      </c>
      <c r="I1172" s="159">
        <v>3124000000</v>
      </c>
      <c r="J1172" s="159">
        <f>bargiri[[#This Row],[مقدار]]*INDEX(invoice[پیش دریافت به ازای هر کیلوگرم],MATCH(bargiri[[#This Row],[شماره سند مبنا]],invoice[شماره پیش فاکتور],0))</f>
        <v>468600000</v>
      </c>
      <c r="K1172" s="159">
        <f>bargiri[[#This Row],[مبلغ خالص]]-bargiri[[#This Row],[میزان استهلاک پیش دریافتی]]</f>
        <v>2655400000</v>
      </c>
      <c r="L1172" s="160" t="s">
        <v>593</v>
      </c>
      <c r="M1172" s="159"/>
      <c r="N1172" s="159">
        <f>IF(bargiri[[#This Row],[مبلغ واریزی]]&lt;&gt;"",bargiri[[#This Row],[مانده مبلغ]]-bargiri[[#This Row],[مبلغ واریزی]],bargiri[[#This Row],[مانده مبلغ]])</f>
        <v>2655400000</v>
      </c>
      <c r="O1172" s="159" t="s">
        <v>593</v>
      </c>
      <c r="P1172" s="159">
        <f>VLOOKUP(bargiri[[#This Row],[شماره سند مبنا]],invoice[[شماره پیش فاکتور]:[پیش دریافت به ازای هر کیلوگرم]],14,0)</f>
        <v>23430</v>
      </c>
      <c r="Q1172" s="159">
        <f>IF(bargiri[[#This Row],[مبلغ ناخالص]]-(bargiri[[#This Row],[نرخ استهلاک]]*bargiri[[#This Row],[مقدار]])&lt;0,0,bargiri[[#This Row],[مبلغ ناخالص]]-(bargiri[[#This Row],[نرخ استهلاک]]*bargiri[[#This Row],[مقدار]]))</f>
        <v>2371400000</v>
      </c>
    </row>
    <row r="1173" spans="1:17" s="22" customFormat="1" ht="13.8" x14ac:dyDescent="0.25">
      <c r="A1173" s="22">
        <v>371</v>
      </c>
      <c r="B1173" s="22" t="s">
        <v>637</v>
      </c>
      <c r="C1173" s="22" t="s">
        <v>456</v>
      </c>
      <c r="D1173" s="22" t="s">
        <v>213</v>
      </c>
      <c r="E1173" s="158">
        <v>7420</v>
      </c>
      <c r="F1173" s="159">
        <v>142000</v>
      </c>
      <c r="G1173" s="159">
        <v>1053640000</v>
      </c>
      <c r="H1173" s="159">
        <v>105364000</v>
      </c>
      <c r="I1173" s="159">
        <v>1159004000</v>
      </c>
      <c r="J1173" s="159">
        <f>bargiri[[#This Row],[مقدار]]*INDEX(invoice[پیش دریافت به ازای هر کیلوگرم],MATCH(bargiri[[#This Row],[شماره سند مبنا]],invoice[شماره پیش فاکتور],0))</f>
        <v>880487909.45473564</v>
      </c>
      <c r="K1173" s="159">
        <f>bargiri[[#This Row],[مبلغ خالص]]-bargiri[[#This Row],[میزان استهلاک پیش دریافتی]]</f>
        <v>278516090.54526436</v>
      </c>
      <c r="L1173" s="160" t="s">
        <v>593</v>
      </c>
      <c r="M1173" s="159"/>
      <c r="N1173" s="159">
        <f>IF(bargiri[[#This Row],[مبلغ واریزی]]&lt;&gt;"",bargiri[[#This Row],[مانده مبلغ]]-bargiri[[#This Row],[مبلغ واریزی]],bargiri[[#This Row],[مانده مبلغ]])</f>
        <v>278516090.54526436</v>
      </c>
      <c r="O1173" s="159" t="s">
        <v>593</v>
      </c>
      <c r="P1173" s="159">
        <f>VLOOKUP(bargiri[[#This Row],[شماره سند مبنا]],invoice[[شماره پیش فاکتور]:[پیش دریافت به ازای هر کیلوگرم]],14,0)</f>
        <v>118664.13874053041</v>
      </c>
      <c r="Q1173" s="159">
        <f>IF(bargiri[[#This Row],[مبلغ ناخالص]]-(bargiri[[#This Row],[نرخ استهلاک]]*bargiri[[#This Row],[مقدار]])&lt;0,0,bargiri[[#This Row],[مبلغ ناخالص]]-(bargiri[[#This Row],[نرخ استهلاک]]*bargiri[[#This Row],[مقدار]]))</f>
        <v>173152090.54526436</v>
      </c>
    </row>
    <row r="1174" spans="1:17" s="22" customFormat="1" ht="13.8" x14ac:dyDescent="0.25">
      <c r="A1174" s="22">
        <v>370</v>
      </c>
      <c r="B1174" s="22" t="s">
        <v>638</v>
      </c>
      <c r="C1174" s="22" t="s">
        <v>187</v>
      </c>
      <c r="D1174" s="22" t="s">
        <v>43</v>
      </c>
      <c r="E1174" s="158">
        <v>22075</v>
      </c>
      <c r="F1174" s="159">
        <v>80000</v>
      </c>
      <c r="G1174" s="159">
        <v>1766000000</v>
      </c>
      <c r="H1174" s="159">
        <v>176600000</v>
      </c>
      <c r="I1174" s="159">
        <v>1942600000</v>
      </c>
      <c r="J1174" s="159">
        <f>bargiri[[#This Row],[مقدار]]*INDEX(invoice[پیش دریافت به ازای هر کیلوگرم],MATCH(bargiri[[#This Row],[شماره سند مبنا]],invoice[شماره پیش فاکتور],0))</f>
        <v>388520000</v>
      </c>
      <c r="K1174" s="159">
        <f>bargiri[[#This Row],[مبلغ خالص]]-bargiri[[#This Row],[میزان استهلاک پیش دریافتی]]</f>
        <v>1554080000</v>
      </c>
      <c r="L1174" s="160" t="s">
        <v>593</v>
      </c>
      <c r="M1174" s="159"/>
      <c r="N1174" s="159">
        <f>IF(bargiri[[#This Row],[مبلغ واریزی]]&lt;&gt;"",bargiri[[#This Row],[مانده مبلغ]]-bargiri[[#This Row],[مبلغ واریزی]],bargiri[[#This Row],[مانده مبلغ]])</f>
        <v>1554080000</v>
      </c>
      <c r="O1174" s="159" t="s">
        <v>593</v>
      </c>
      <c r="P1174" s="159">
        <f>VLOOKUP(bargiri[[#This Row],[شماره سند مبنا]],invoice[[شماره پیش فاکتور]:[پیش دریافت به ازای هر کیلوگرم]],14,0)</f>
        <v>17600</v>
      </c>
      <c r="Q1174" s="159">
        <f>IF(bargiri[[#This Row],[مبلغ ناخالص]]-(bargiri[[#This Row],[نرخ استهلاک]]*bargiri[[#This Row],[مقدار]])&lt;0,0,bargiri[[#This Row],[مبلغ ناخالص]]-(bargiri[[#This Row],[نرخ استهلاک]]*bargiri[[#This Row],[مقدار]]))</f>
        <v>1377480000</v>
      </c>
    </row>
    <row r="1175" spans="1:17" s="22" customFormat="1" ht="13.8" x14ac:dyDescent="0.25">
      <c r="A1175" s="22">
        <v>369</v>
      </c>
      <c r="B1175" s="22" t="s">
        <v>638</v>
      </c>
      <c r="C1175" s="22" t="s">
        <v>461</v>
      </c>
      <c r="D1175" s="22" t="s">
        <v>35</v>
      </c>
      <c r="E1175" s="158">
        <v>7250</v>
      </c>
      <c r="F1175" s="159">
        <v>142000</v>
      </c>
      <c r="G1175" s="159">
        <v>1029500000</v>
      </c>
      <c r="H1175" s="159">
        <v>102950000</v>
      </c>
      <c r="I1175" s="159">
        <v>1132450000</v>
      </c>
      <c r="J1175" s="159">
        <f>bargiri[[#This Row],[مقدار]]*INDEX(invoice[پیش دریافت به ازای هر کیلوگرم],MATCH(bargiri[[#This Row],[شماره سند مبنا]],invoice[شماره پیش فاکتور],0))</f>
        <v>237932324.08688784</v>
      </c>
      <c r="K1175" s="159">
        <f>bargiri[[#This Row],[مبلغ خالص]]-bargiri[[#This Row],[میزان استهلاک پیش دریافتی]]</f>
        <v>894517675.91311216</v>
      </c>
      <c r="L1175" s="160" t="s">
        <v>593</v>
      </c>
      <c r="M1175" s="159"/>
      <c r="N1175" s="159">
        <f>IF(bargiri[[#This Row],[مبلغ واریزی]]&lt;&gt;"",bargiri[[#This Row],[مانده مبلغ]]-bargiri[[#This Row],[مبلغ واریزی]],bargiri[[#This Row],[مانده مبلغ]])</f>
        <v>894517675.91311216</v>
      </c>
      <c r="O1175" s="159" t="s">
        <v>593</v>
      </c>
      <c r="P1175" s="159">
        <f>VLOOKUP(bargiri[[#This Row],[شماره سند مبنا]],invoice[[شماره پیش فاکتور]:[پیش دریافت به ازای هر کیلوگرم]],14,0)</f>
        <v>32818.251598191426</v>
      </c>
      <c r="Q1175" s="159">
        <f>IF(bargiri[[#This Row],[مبلغ ناخالص]]-(bargiri[[#This Row],[نرخ استهلاک]]*bargiri[[#This Row],[مقدار]])&lt;0,0,bargiri[[#This Row],[مبلغ ناخالص]]-(bargiri[[#This Row],[نرخ استهلاک]]*bargiri[[#This Row],[مقدار]]))</f>
        <v>791567675.91311216</v>
      </c>
    </row>
    <row r="1176" spans="1:17" s="22" customFormat="1" ht="13.8" x14ac:dyDescent="0.25">
      <c r="A1176" s="22">
        <v>367</v>
      </c>
      <c r="B1176" s="22" t="s">
        <v>639</v>
      </c>
      <c r="C1176" s="22" t="s">
        <v>461</v>
      </c>
      <c r="D1176" s="22" t="s">
        <v>35</v>
      </c>
      <c r="E1176" s="158">
        <v>7490</v>
      </c>
      <c r="F1176" s="159">
        <v>142000</v>
      </c>
      <c r="G1176" s="159">
        <v>1063580000</v>
      </c>
      <c r="H1176" s="159">
        <v>106358000</v>
      </c>
      <c r="I1176" s="159">
        <v>1169938000</v>
      </c>
      <c r="J1176" s="159">
        <f>bargiri[[#This Row],[مقدار]]*INDEX(invoice[پیش دریافت به ازای هر کیلوگرم],MATCH(bargiri[[#This Row],[شماره سند مبنا]],invoice[شماره پیش فاکتور],0))</f>
        <v>245808704.47045377</v>
      </c>
      <c r="K1176" s="159">
        <f>bargiri[[#This Row],[مبلغ خالص]]-bargiri[[#This Row],[میزان استهلاک پیش دریافتی]]</f>
        <v>924129295.52954626</v>
      </c>
      <c r="L1176" s="160" t="s">
        <v>593</v>
      </c>
      <c r="M1176" s="159"/>
      <c r="N1176" s="159">
        <f>IF(bargiri[[#This Row],[مبلغ واریزی]]&lt;&gt;"",bargiri[[#This Row],[مانده مبلغ]]-bargiri[[#This Row],[مبلغ واریزی]],bargiri[[#This Row],[مانده مبلغ]])</f>
        <v>924129295.52954626</v>
      </c>
      <c r="O1176" s="159" t="s">
        <v>593</v>
      </c>
      <c r="P1176" s="159">
        <f>VLOOKUP(bargiri[[#This Row],[شماره سند مبنا]],invoice[[شماره پیش فاکتور]:[پیش دریافت به ازای هر کیلوگرم]],14,0)</f>
        <v>32818.251598191426</v>
      </c>
      <c r="Q1176" s="159">
        <f>IF(bargiri[[#This Row],[مبلغ ناخالص]]-(bargiri[[#This Row],[نرخ استهلاک]]*bargiri[[#This Row],[مقدار]])&lt;0,0,bargiri[[#This Row],[مبلغ ناخالص]]-(bargiri[[#This Row],[نرخ استهلاک]]*bargiri[[#This Row],[مقدار]]))</f>
        <v>817771295.52954626</v>
      </c>
    </row>
    <row r="1177" spans="1:17" s="22" customFormat="1" ht="13.8" x14ac:dyDescent="0.25">
      <c r="A1177" s="22">
        <v>366</v>
      </c>
      <c r="B1177" s="22" t="s">
        <v>639</v>
      </c>
      <c r="C1177" s="22" t="s">
        <v>119</v>
      </c>
      <c r="D1177" s="22" t="s">
        <v>25</v>
      </c>
      <c r="E1177" s="158">
        <v>21190</v>
      </c>
      <c r="F1177" s="159">
        <v>75000</v>
      </c>
      <c r="G1177" s="159">
        <v>1589250000</v>
      </c>
      <c r="H1177" s="159">
        <v>158925000</v>
      </c>
      <c r="I1177" s="159">
        <v>1748175000</v>
      </c>
      <c r="J1177" s="159">
        <f>bargiri[[#This Row],[مقدار]]*INDEX(invoice[پیش دریافت به ازای هر کیلوگرم],MATCH(bargiri[[#This Row],[شماره سند مبنا]],invoice[شماره پیش فاکتور],0))</f>
        <v>262226250</v>
      </c>
      <c r="K1177" s="159">
        <f>bargiri[[#This Row],[مبلغ خالص]]-bargiri[[#This Row],[میزان استهلاک پیش دریافتی]]</f>
        <v>1485948750</v>
      </c>
      <c r="L1177" s="160" t="s">
        <v>593</v>
      </c>
      <c r="M1177" s="159"/>
      <c r="N1177" s="159">
        <f>IF(bargiri[[#This Row],[مبلغ واریزی]]&lt;&gt;"",bargiri[[#This Row],[مانده مبلغ]]-bargiri[[#This Row],[مبلغ واریزی]],bargiri[[#This Row],[مانده مبلغ]])</f>
        <v>1485948750</v>
      </c>
      <c r="O1177" s="159" t="s">
        <v>593</v>
      </c>
      <c r="P1177" s="159">
        <f>VLOOKUP(bargiri[[#This Row],[شماره سند مبنا]],invoice[[شماره پیش فاکتور]:[پیش دریافت به ازای هر کیلوگرم]],14,0)</f>
        <v>12375</v>
      </c>
      <c r="Q1177" s="159">
        <f>IF(bargiri[[#This Row],[مبلغ ناخالص]]-(bargiri[[#This Row],[نرخ استهلاک]]*bargiri[[#This Row],[مقدار]])&lt;0,0,bargiri[[#This Row],[مبلغ ناخالص]]-(bargiri[[#This Row],[نرخ استهلاک]]*bargiri[[#This Row],[مقدار]]))</f>
        <v>1327023750</v>
      </c>
    </row>
    <row r="1178" spans="1:17" s="22" customFormat="1" ht="13.8" x14ac:dyDescent="0.25">
      <c r="A1178" s="22">
        <v>365</v>
      </c>
      <c r="B1178" s="22" t="s">
        <v>639</v>
      </c>
      <c r="C1178" s="22" t="s">
        <v>461</v>
      </c>
      <c r="D1178" s="22" t="s">
        <v>35</v>
      </c>
      <c r="E1178" s="158">
        <v>7500</v>
      </c>
      <c r="F1178" s="159">
        <v>142000</v>
      </c>
      <c r="G1178" s="159">
        <v>1065000000</v>
      </c>
      <c r="H1178" s="159">
        <v>106500000</v>
      </c>
      <c r="I1178" s="159">
        <v>1171500000</v>
      </c>
      <c r="J1178" s="159">
        <f>bargiri[[#This Row],[مقدار]]*INDEX(invoice[پیش دریافت به ازای هر کیلوگرم],MATCH(bargiri[[#This Row],[شماره سند مبنا]],invoice[شماره پیش فاکتور],0))</f>
        <v>246136886.98643568</v>
      </c>
      <c r="K1178" s="159">
        <f>bargiri[[#This Row],[مبلغ خالص]]-bargiri[[#This Row],[میزان استهلاک پیش دریافتی]]</f>
        <v>925363113.01356435</v>
      </c>
      <c r="L1178" s="160" t="s">
        <v>593</v>
      </c>
      <c r="M1178" s="159"/>
      <c r="N1178" s="159">
        <f>IF(bargiri[[#This Row],[مبلغ واریزی]]&lt;&gt;"",bargiri[[#This Row],[مانده مبلغ]]-bargiri[[#This Row],[مبلغ واریزی]],bargiri[[#This Row],[مانده مبلغ]])</f>
        <v>925363113.01356435</v>
      </c>
      <c r="O1178" s="159" t="s">
        <v>593</v>
      </c>
      <c r="P1178" s="159">
        <f>VLOOKUP(bargiri[[#This Row],[شماره سند مبنا]],invoice[[شماره پیش فاکتور]:[پیش دریافت به ازای هر کیلوگرم]],14,0)</f>
        <v>32818.251598191426</v>
      </c>
      <c r="Q1178" s="159">
        <f>IF(bargiri[[#This Row],[مبلغ ناخالص]]-(bargiri[[#This Row],[نرخ استهلاک]]*bargiri[[#This Row],[مقدار]])&lt;0,0,bargiri[[#This Row],[مبلغ ناخالص]]-(bargiri[[#This Row],[نرخ استهلاک]]*bargiri[[#This Row],[مقدار]]))</f>
        <v>818863113.01356435</v>
      </c>
    </row>
    <row r="1179" spans="1:17" s="22" customFormat="1" ht="13.8" x14ac:dyDescent="0.25">
      <c r="A1179" s="22">
        <v>364</v>
      </c>
      <c r="B1179" s="22" t="s">
        <v>640</v>
      </c>
      <c r="C1179" s="22" t="s">
        <v>128</v>
      </c>
      <c r="D1179" s="22" t="s">
        <v>129</v>
      </c>
      <c r="E1179" s="158">
        <v>9030</v>
      </c>
      <c r="F1179" s="159">
        <v>80000</v>
      </c>
      <c r="G1179" s="159">
        <v>722400000</v>
      </c>
      <c r="H1179" s="159">
        <v>72240000</v>
      </c>
      <c r="I1179" s="159">
        <v>794640000</v>
      </c>
      <c r="J1179" s="159">
        <f>bargiri[[#This Row],[مقدار]]*INDEX(invoice[پیش دریافت به ازای هر کیلوگرم],MATCH(bargiri[[#This Row],[شماره سند مبنا]],invoice[شماره پیش فاکتور],0))</f>
        <v>119774912.07502931</v>
      </c>
      <c r="K1179" s="159">
        <f>bargiri[[#This Row],[مبلغ خالص]]-bargiri[[#This Row],[میزان استهلاک پیش دریافتی]]</f>
        <v>674865087.92497063</v>
      </c>
      <c r="L1179" s="160" t="s">
        <v>593</v>
      </c>
      <c r="M1179" s="159"/>
      <c r="N1179" s="159">
        <f>IF(bargiri[[#This Row],[مبلغ واریزی]]&lt;&gt;"",bargiri[[#This Row],[مانده مبلغ]]-bargiri[[#This Row],[مبلغ واریزی]],bargiri[[#This Row],[مانده مبلغ]])</f>
        <v>674865087.92497063</v>
      </c>
      <c r="O1179" s="159" t="s">
        <v>593</v>
      </c>
      <c r="P1179" s="159">
        <f>VLOOKUP(bargiri[[#This Row],[شماره سند مبنا]],invoice[[شماره پیش فاکتور]:[پیش دریافت به ازای هر کیلوگرم]],14,0)</f>
        <v>13264.109864344331</v>
      </c>
      <c r="Q1179" s="159">
        <f>IF(bargiri[[#This Row],[مبلغ ناخالص]]-(bargiri[[#This Row],[نرخ استهلاک]]*bargiri[[#This Row],[مقدار]])&lt;0,0,bargiri[[#This Row],[مبلغ ناخالص]]-(bargiri[[#This Row],[نرخ استهلاک]]*bargiri[[#This Row],[مقدار]]))</f>
        <v>602625087.92497063</v>
      </c>
    </row>
    <row r="1180" spans="1:17" s="22" customFormat="1" ht="13.8" x14ac:dyDescent="0.25">
      <c r="A1180" s="22">
        <v>363</v>
      </c>
      <c r="B1180" s="22" t="s">
        <v>641</v>
      </c>
      <c r="C1180" s="22" t="s">
        <v>456</v>
      </c>
      <c r="D1180" s="22" t="s">
        <v>213</v>
      </c>
      <c r="E1180" s="158">
        <v>7440</v>
      </c>
      <c r="F1180" s="159">
        <v>142000</v>
      </c>
      <c r="G1180" s="159">
        <v>1056480000</v>
      </c>
      <c r="H1180" s="159">
        <v>105648000</v>
      </c>
      <c r="I1180" s="159">
        <v>1162128000</v>
      </c>
      <c r="J1180" s="159">
        <f>bargiri[[#This Row],[مقدار]]*INDEX(invoice[پیش دریافت به ازای هر کیلوگرم],MATCH(bargiri[[#This Row],[شماره سند مبنا]],invoice[شماره پیش فاکتور],0))</f>
        <v>882861192.22954631</v>
      </c>
      <c r="K1180" s="159">
        <f>bargiri[[#This Row],[مبلغ خالص]]-bargiri[[#This Row],[میزان استهلاک پیش دریافتی]]</f>
        <v>279266807.77045369</v>
      </c>
      <c r="L1180" s="160" t="s">
        <v>593</v>
      </c>
      <c r="M1180" s="159"/>
      <c r="N1180" s="159">
        <f>IF(bargiri[[#This Row],[مبلغ واریزی]]&lt;&gt;"",bargiri[[#This Row],[مانده مبلغ]]-bargiri[[#This Row],[مبلغ واریزی]],bargiri[[#This Row],[مانده مبلغ]])</f>
        <v>279266807.77045369</v>
      </c>
      <c r="O1180" s="159" t="s">
        <v>593</v>
      </c>
      <c r="P1180" s="159">
        <f>VLOOKUP(bargiri[[#This Row],[شماره سند مبنا]],invoice[[شماره پیش فاکتور]:[پیش دریافت به ازای هر کیلوگرم]],14,0)</f>
        <v>118664.13874053041</v>
      </c>
      <c r="Q1180" s="159">
        <f>IF(bargiri[[#This Row],[مبلغ ناخالص]]-(bargiri[[#This Row],[نرخ استهلاک]]*bargiri[[#This Row],[مقدار]])&lt;0,0,bargiri[[#This Row],[مبلغ ناخالص]]-(bargiri[[#This Row],[نرخ استهلاک]]*bargiri[[#This Row],[مقدار]]))</f>
        <v>173618807.77045369</v>
      </c>
    </row>
    <row r="1181" spans="1:17" s="22" customFormat="1" ht="13.8" x14ac:dyDescent="0.25">
      <c r="A1181" s="22">
        <v>362</v>
      </c>
      <c r="B1181" s="22" t="s">
        <v>641</v>
      </c>
      <c r="C1181" s="22" t="s">
        <v>72</v>
      </c>
      <c r="D1181" s="22" t="s">
        <v>73</v>
      </c>
      <c r="E1181" s="158">
        <v>20440</v>
      </c>
      <c r="F1181" s="159">
        <v>57273</v>
      </c>
      <c r="G1181" s="159">
        <v>1170660120</v>
      </c>
      <c r="H1181" s="159">
        <v>117066012</v>
      </c>
      <c r="I1181" s="159">
        <v>1287726132</v>
      </c>
      <c r="J1181" s="159" t="e">
        <f>bargiri[[#This Row],[مقدار]]*INDEX(invoice[پیش دریافت به ازای هر کیلوگرم],MATCH(bargiri[[#This Row],[شماره سند مبنا]],invoice[شماره پیش فاکتور],0))</f>
        <v>#N/A</v>
      </c>
      <c r="K1181" s="159" t="e">
        <f>bargiri[[#This Row],[مبلغ خالص]]-bargiri[[#This Row],[میزان استهلاک پیش دریافتی]]</f>
        <v>#N/A</v>
      </c>
      <c r="L1181" s="160" t="s">
        <v>593</v>
      </c>
      <c r="M1181" s="159"/>
      <c r="N1181" s="159" t="e">
        <f>IF(bargiri[[#This Row],[مبلغ واریزی]]&lt;&gt;"",bargiri[[#This Row],[مانده مبلغ]]-bargiri[[#This Row],[مبلغ واریزی]],bargiri[[#This Row],[مانده مبلغ]])</f>
        <v>#N/A</v>
      </c>
      <c r="O1181" s="159" t="s">
        <v>593</v>
      </c>
      <c r="P1181" s="159" t="e">
        <f>VLOOKUP(bargiri[[#This Row],[شماره سند مبنا]],invoice[[شماره پیش فاکتور]:[پیش دریافت به ازای هر کیلوگرم]],14,0)</f>
        <v>#N/A</v>
      </c>
      <c r="Q1181" s="159" t="e">
        <f>IF(bargiri[[#This Row],[مبلغ ناخالص]]-(bargiri[[#This Row],[نرخ استهلاک]]*bargiri[[#This Row],[مقدار]])&lt;0,0,bargiri[[#This Row],[مبلغ ناخالص]]-(bargiri[[#This Row],[نرخ استهلاک]]*bargiri[[#This Row],[مقدار]]))</f>
        <v>#N/A</v>
      </c>
    </row>
    <row r="1182" spans="1:17" s="22" customFormat="1" ht="13.8" x14ac:dyDescent="0.25">
      <c r="A1182" s="22">
        <v>361</v>
      </c>
      <c r="B1182" s="22" t="s">
        <v>641</v>
      </c>
      <c r="C1182" s="22" t="s">
        <v>456</v>
      </c>
      <c r="D1182" s="22" t="s">
        <v>213</v>
      </c>
      <c r="E1182" s="158">
        <v>7525</v>
      </c>
      <c r="F1182" s="159">
        <v>142000</v>
      </c>
      <c r="G1182" s="159">
        <v>1068550000</v>
      </c>
      <c r="H1182" s="159">
        <v>106855000</v>
      </c>
      <c r="I1182" s="159">
        <v>1175405000</v>
      </c>
      <c r="J1182" s="159">
        <f>bargiri[[#This Row],[مقدار]]*INDEX(invoice[پیش دریافت به ازای هر کیلوگرم],MATCH(bargiri[[#This Row],[شماره سند مبنا]],invoice[شماره پیش فاکتور],0))</f>
        <v>892947644.02249134</v>
      </c>
      <c r="K1182" s="159">
        <f>bargiri[[#This Row],[مبلغ خالص]]-bargiri[[#This Row],[میزان استهلاک پیش دریافتی]]</f>
        <v>282457355.97750866</v>
      </c>
      <c r="L1182" s="160" t="s">
        <v>593</v>
      </c>
      <c r="M1182" s="159"/>
      <c r="N1182" s="159">
        <f>IF(bargiri[[#This Row],[مبلغ واریزی]]&lt;&gt;"",bargiri[[#This Row],[مانده مبلغ]]-bargiri[[#This Row],[مبلغ واریزی]],bargiri[[#This Row],[مانده مبلغ]])</f>
        <v>282457355.97750866</v>
      </c>
      <c r="O1182" s="159" t="s">
        <v>593</v>
      </c>
      <c r="P1182" s="159">
        <f>VLOOKUP(bargiri[[#This Row],[شماره سند مبنا]],invoice[[شماره پیش فاکتور]:[پیش دریافت به ازای هر کیلوگرم]],14,0)</f>
        <v>118664.13874053041</v>
      </c>
      <c r="Q1182" s="159">
        <f>IF(bargiri[[#This Row],[مبلغ ناخالص]]-(bargiri[[#This Row],[نرخ استهلاک]]*bargiri[[#This Row],[مقدار]])&lt;0,0,bargiri[[#This Row],[مبلغ ناخالص]]-(bargiri[[#This Row],[نرخ استهلاک]]*bargiri[[#This Row],[مقدار]]))</f>
        <v>175602355.97750866</v>
      </c>
    </row>
    <row r="1183" spans="1:17" s="22" customFormat="1" ht="13.8" x14ac:dyDescent="0.25">
      <c r="A1183" s="22">
        <v>360</v>
      </c>
      <c r="B1183" s="22" t="s">
        <v>641</v>
      </c>
      <c r="C1183" s="22" t="s">
        <v>72</v>
      </c>
      <c r="D1183" s="22" t="s">
        <v>73</v>
      </c>
      <c r="E1183" s="158">
        <v>20445</v>
      </c>
      <c r="F1183" s="159">
        <v>57273</v>
      </c>
      <c r="G1183" s="159">
        <v>1170946485</v>
      </c>
      <c r="H1183" s="159">
        <v>117094649</v>
      </c>
      <c r="I1183" s="159">
        <v>1288041134</v>
      </c>
      <c r="J1183" s="159" t="e">
        <f>bargiri[[#This Row],[مقدار]]*INDEX(invoice[پیش دریافت به ازای هر کیلوگرم],MATCH(bargiri[[#This Row],[شماره سند مبنا]],invoice[شماره پیش فاکتور],0))</f>
        <v>#N/A</v>
      </c>
      <c r="K1183" s="159" t="e">
        <f>bargiri[[#This Row],[مبلغ خالص]]-bargiri[[#This Row],[میزان استهلاک پیش دریافتی]]</f>
        <v>#N/A</v>
      </c>
      <c r="L1183" s="160" t="s">
        <v>593</v>
      </c>
      <c r="M1183" s="159"/>
      <c r="N1183" s="159" t="e">
        <f>IF(bargiri[[#This Row],[مبلغ واریزی]]&lt;&gt;"",bargiri[[#This Row],[مانده مبلغ]]-bargiri[[#This Row],[مبلغ واریزی]],bargiri[[#This Row],[مانده مبلغ]])</f>
        <v>#N/A</v>
      </c>
      <c r="O1183" s="159" t="s">
        <v>593</v>
      </c>
      <c r="P1183" s="159" t="e">
        <f>VLOOKUP(bargiri[[#This Row],[شماره سند مبنا]],invoice[[شماره پیش فاکتور]:[پیش دریافت به ازای هر کیلوگرم]],14,0)</f>
        <v>#N/A</v>
      </c>
      <c r="Q1183" s="159" t="e">
        <f>IF(bargiri[[#This Row],[مبلغ ناخالص]]-(bargiri[[#This Row],[نرخ استهلاک]]*bargiri[[#This Row],[مقدار]])&lt;0,0,bargiri[[#This Row],[مبلغ ناخالص]]-(bargiri[[#This Row],[نرخ استهلاک]]*bargiri[[#This Row],[مقدار]]))</f>
        <v>#N/A</v>
      </c>
    </row>
    <row r="1184" spans="1:17" s="22" customFormat="1" ht="13.8" x14ac:dyDescent="0.25">
      <c r="A1184" s="22">
        <v>359</v>
      </c>
      <c r="B1184" s="22" t="s">
        <v>641</v>
      </c>
      <c r="C1184" s="22" t="s">
        <v>72</v>
      </c>
      <c r="D1184" s="22" t="s">
        <v>73</v>
      </c>
      <c r="E1184" s="158">
        <v>20530</v>
      </c>
      <c r="F1184" s="159">
        <v>57273</v>
      </c>
      <c r="G1184" s="159">
        <v>1175814690</v>
      </c>
      <c r="H1184" s="159">
        <v>117581469</v>
      </c>
      <c r="I1184" s="159">
        <v>1293396159</v>
      </c>
      <c r="J1184" s="159" t="e">
        <f>bargiri[[#This Row],[مقدار]]*INDEX(invoice[پیش دریافت به ازای هر کیلوگرم],MATCH(bargiri[[#This Row],[شماره سند مبنا]],invoice[شماره پیش فاکتور],0))</f>
        <v>#N/A</v>
      </c>
      <c r="K1184" s="159" t="e">
        <f>bargiri[[#This Row],[مبلغ خالص]]-bargiri[[#This Row],[میزان استهلاک پیش دریافتی]]</f>
        <v>#N/A</v>
      </c>
      <c r="L1184" s="160" t="s">
        <v>593</v>
      </c>
      <c r="M1184" s="159"/>
      <c r="N1184" s="159" t="e">
        <f>IF(bargiri[[#This Row],[مبلغ واریزی]]&lt;&gt;"",bargiri[[#This Row],[مانده مبلغ]]-bargiri[[#This Row],[مبلغ واریزی]],bargiri[[#This Row],[مانده مبلغ]])</f>
        <v>#N/A</v>
      </c>
      <c r="O1184" s="159" t="s">
        <v>593</v>
      </c>
      <c r="P1184" s="159" t="e">
        <f>VLOOKUP(bargiri[[#This Row],[شماره سند مبنا]],invoice[[شماره پیش فاکتور]:[پیش دریافت به ازای هر کیلوگرم]],14,0)</f>
        <v>#N/A</v>
      </c>
      <c r="Q1184" s="159" t="e">
        <f>IF(bargiri[[#This Row],[مبلغ ناخالص]]-(bargiri[[#This Row],[نرخ استهلاک]]*bargiri[[#This Row],[مقدار]])&lt;0,0,bargiri[[#This Row],[مبلغ ناخالص]]-(bargiri[[#This Row],[نرخ استهلاک]]*bargiri[[#This Row],[مقدار]]))</f>
        <v>#N/A</v>
      </c>
    </row>
    <row r="1185" spans="1:17" s="22" customFormat="1" ht="13.8" x14ac:dyDescent="0.25">
      <c r="A1185" s="22">
        <v>358</v>
      </c>
      <c r="B1185" s="22" t="s">
        <v>641</v>
      </c>
      <c r="C1185" s="22" t="s">
        <v>72</v>
      </c>
      <c r="D1185" s="22" t="s">
        <v>73</v>
      </c>
      <c r="E1185" s="158">
        <v>20525</v>
      </c>
      <c r="F1185" s="159">
        <v>57273</v>
      </c>
      <c r="G1185" s="159">
        <v>1175528325</v>
      </c>
      <c r="H1185" s="159">
        <v>117552833</v>
      </c>
      <c r="I1185" s="159">
        <v>1293081158</v>
      </c>
      <c r="J1185" s="159" t="e">
        <f>bargiri[[#This Row],[مقدار]]*INDEX(invoice[پیش دریافت به ازای هر کیلوگرم],MATCH(bargiri[[#This Row],[شماره سند مبنا]],invoice[شماره پیش فاکتور],0))</f>
        <v>#N/A</v>
      </c>
      <c r="K1185" s="159" t="e">
        <f>bargiri[[#This Row],[مبلغ خالص]]-bargiri[[#This Row],[میزان استهلاک پیش دریافتی]]</f>
        <v>#N/A</v>
      </c>
      <c r="L1185" s="160" t="s">
        <v>593</v>
      </c>
      <c r="M1185" s="159"/>
      <c r="N1185" s="159" t="e">
        <f>IF(bargiri[[#This Row],[مبلغ واریزی]]&lt;&gt;"",bargiri[[#This Row],[مانده مبلغ]]-bargiri[[#This Row],[مبلغ واریزی]],bargiri[[#This Row],[مانده مبلغ]])</f>
        <v>#N/A</v>
      </c>
      <c r="O1185" s="159" t="s">
        <v>593</v>
      </c>
      <c r="P1185" s="159" t="e">
        <f>VLOOKUP(bargiri[[#This Row],[شماره سند مبنا]],invoice[[شماره پیش فاکتور]:[پیش دریافت به ازای هر کیلوگرم]],14,0)</f>
        <v>#N/A</v>
      </c>
      <c r="Q1185" s="159" t="e">
        <f>IF(bargiri[[#This Row],[مبلغ ناخالص]]-(bargiri[[#This Row],[نرخ استهلاک]]*bargiri[[#This Row],[مقدار]])&lt;0,0,bargiri[[#This Row],[مبلغ ناخالص]]-(bargiri[[#This Row],[نرخ استهلاک]]*bargiri[[#This Row],[مقدار]]))</f>
        <v>#N/A</v>
      </c>
    </row>
    <row r="1186" spans="1:17" s="22" customFormat="1" ht="13.8" x14ac:dyDescent="0.25">
      <c r="A1186" s="22">
        <v>357</v>
      </c>
      <c r="B1186" s="22" t="s">
        <v>641</v>
      </c>
      <c r="C1186" s="22" t="s">
        <v>72</v>
      </c>
      <c r="D1186" s="22" t="s">
        <v>73</v>
      </c>
      <c r="E1186" s="158">
        <v>20530</v>
      </c>
      <c r="F1186" s="159">
        <v>57273</v>
      </c>
      <c r="G1186" s="159">
        <v>1175814690</v>
      </c>
      <c r="H1186" s="159">
        <v>117581469</v>
      </c>
      <c r="I1186" s="159">
        <v>1293396159</v>
      </c>
      <c r="J1186" s="159" t="e">
        <f>bargiri[[#This Row],[مقدار]]*INDEX(invoice[پیش دریافت به ازای هر کیلوگرم],MATCH(bargiri[[#This Row],[شماره سند مبنا]],invoice[شماره پیش فاکتور],0))</f>
        <v>#N/A</v>
      </c>
      <c r="K1186" s="159" t="e">
        <f>bargiri[[#This Row],[مبلغ خالص]]-bargiri[[#This Row],[میزان استهلاک پیش دریافتی]]</f>
        <v>#N/A</v>
      </c>
      <c r="L1186" s="160" t="s">
        <v>593</v>
      </c>
      <c r="M1186" s="159"/>
      <c r="N1186" s="159" t="e">
        <f>IF(bargiri[[#This Row],[مبلغ واریزی]]&lt;&gt;"",bargiri[[#This Row],[مانده مبلغ]]-bargiri[[#This Row],[مبلغ واریزی]],bargiri[[#This Row],[مانده مبلغ]])</f>
        <v>#N/A</v>
      </c>
      <c r="O1186" s="159" t="s">
        <v>593</v>
      </c>
      <c r="P1186" s="159" t="e">
        <f>VLOOKUP(bargiri[[#This Row],[شماره سند مبنا]],invoice[[شماره پیش فاکتور]:[پیش دریافت به ازای هر کیلوگرم]],14,0)</f>
        <v>#N/A</v>
      </c>
      <c r="Q1186" s="159" t="e">
        <f>IF(bargiri[[#This Row],[مبلغ ناخالص]]-(bargiri[[#This Row],[نرخ استهلاک]]*bargiri[[#This Row],[مقدار]])&lt;0,0,bargiri[[#This Row],[مبلغ ناخالص]]-(bargiri[[#This Row],[نرخ استهلاک]]*bargiri[[#This Row],[مقدار]]))</f>
        <v>#N/A</v>
      </c>
    </row>
    <row r="1187" spans="1:17" s="22" customFormat="1" ht="13.8" x14ac:dyDescent="0.25">
      <c r="A1187" s="22">
        <v>356</v>
      </c>
      <c r="B1187" s="22" t="s">
        <v>642</v>
      </c>
      <c r="C1187" s="22" t="s">
        <v>184</v>
      </c>
      <c r="D1187" s="22" t="s">
        <v>40</v>
      </c>
      <c r="E1187" s="158">
        <v>18025</v>
      </c>
      <c r="F1187" s="159">
        <v>83800</v>
      </c>
      <c r="G1187" s="159">
        <v>1510495000</v>
      </c>
      <c r="H1187" s="159">
        <v>151049500</v>
      </c>
      <c r="I1187" s="159">
        <v>1661544500</v>
      </c>
      <c r="J1187" s="159">
        <f>bargiri[[#This Row],[مقدار]]*INDEX(invoice[پیش دریافت به ازای هر کیلوگرم],MATCH(bargiri[[#This Row],[شماره سند مبنا]],invoice[شماره پیش فاکتور],0))</f>
        <v>249231675</v>
      </c>
      <c r="K1187" s="159">
        <f>bargiri[[#This Row],[مبلغ خالص]]-bargiri[[#This Row],[میزان استهلاک پیش دریافتی]]</f>
        <v>1412312825</v>
      </c>
      <c r="L1187" s="160" t="s">
        <v>593</v>
      </c>
      <c r="M1187" s="159"/>
      <c r="N1187" s="159">
        <f>IF(bargiri[[#This Row],[مبلغ واریزی]]&lt;&gt;"",bargiri[[#This Row],[مانده مبلغ]]-bargiri[[#This Row],[مبلغ واریزی]],bargiri[[#This Row],[مانده مبلغ]])</f>
        <v>1412312825</v>
      </c>
      <c r="O1187" s="159" t="s">
        <v>593</v>
      </c>
      <c r="P1187" s="159">
        <f>VLOOKUP(bargiri[[#This Row],[شماره سند مبنا]],invoice[[شماره پیش فاکتور]:[پیش دریافت به ازای هر کیلوگرم]],14,0)</f>
        <v>13827</v>
      </c>
      <c r="Q1187" s="159">
        <f>IF(bargiri[[#This Row],[مبلغ ناخالص]]-(bargiri[[#This Row],[نرخ استهلاک]]*bargiri[[#This Row],[مقدار]])&lt;0,0,bargiri[[#This Row],[مبلغ ناخالص]]-(bargiri[[#This Row],[نرخ استهلاک]]*bargiri[[#This Row],[مقدار]]))</f>
        <v>1261263325</v>
      </c>
    </row>
    <row r="1188" spans="1:17" s="22" customFormat="1" ht="13.8" x14ac:dyDescent="0.25">
      <c r="A1188" s="22">
        <v>355</v>
      </c>
      <c r="B1188" s="22" t="s">
        <v>642</v>
      </c>
      <c r="C1188" s="22" t="s">
        <v>72</v>
      </c>
      <c r="D1188" s="22" t="s">
        <v>73</v>
      </c>
      <c r="E1188" s="158">
        <v>20540</v>
      </c>
      <c r="F1188" s="159">
        <v>57273</v>
      </c>
      <c r="G1188" s="159">
        <v>1176387420</v>
      </c>
      <c r="H1188" s="159">
        <v>117638742</v>
      </c>
      <c r="I1188" s="159">
        <v>1294026162</v>
      </c>
      <c r="J1188" s="159" t="e">
        <f>bargiri[[#This Row],[مقدار]]*INDEX(invoice[پیش دریافت به ازای هر کیلوگرم],MATCH(bargiri[[#This Row],[شماره سند مبنا]],invoice[شماره پیش فاکتور],0))</f>
        <v>#N/A</v>
      </c>
      <c r="K1188" s="159" t="e">
        <f>bargiri[[#This Row],[مبلغ خالص]]-bargiri[[#This Row],[میزان استهلاک پیش دریافتی]]</f>
        <v>#N/A</v>
      </c>
      <c r="L1188" s="160" t="s">
        <v>593</v>
      </c>
      <c r="M1188" s="159"/>
      <c r="N1188" s="159" t="e">
        <f>IF(bargiri[[#This Row],[مبلغ واریزی]]&lt;&gt;"",bargiri[[#This Row],[مانده مبلغ]]-bargiri[[#This Row],[مبلغ واریزی]],bargiri[[#This Row],[مانده مبلغ]])</f>
        <v>#N/A</v>
      </c>
      <c r="O1188" s="159" t="s">
        <v>593</v>
      </c>
      <c r="P1188" s="159" t="e">
        <f>VLOOKUP(bargiri[[#This Row],[شماره سند مبنا]],invoice[[شماره پیش فاکتور]:[پیش دریافت به ازای هر کیلوگرم]],14,0)</f>
        <v>#N/A</v>
      </c>
      <c r="Q1188" s="159" t="e">
        <f>IF(bargiri[[#This Row],[مبلغ ناخالص]]-(bargiri[[#This Row],[نرخ استهلاک]]*bargiri[[#This Row],[مقدار]])&lt;0,0,bargiri[[#This Row],[مبلغ ناخالص]]-(bargiri[[#This Row],[نرخ استهلاک]]*bargiri[[#This Row],[مقدار]]))</f>
        <v>#N/A</v>
      </c>
    </row>
    <row r="1189" spans="1:17" s="22" customFormat="1" ht="13.8" x14ac:dyDescent="0.25">
      <c r="A1189" s="22">
        <v>354</v>
      </c>
      <c r="B1189" s="22" t="s">
        <v>642</v>
      </c>
      <c r="C1189" s="22" t="s">
        <v>115</v>
      </c>
      <c r="D1189" s="22" t="s">
        <v>116</v>
      </c>
      <c r="E1189" s="158">
        <v>18645</v>
      </c>
      <c r="F1189" s="159">
        <v>75000</v>
      </c>
      <c r="G1189" s="159">
        <v>1398375000</v>
      </c>
      <c r="H1189" s="159">
        <v>139837500</v>
      </c>
      <c r="I1189" s="159">
        <v>1538212500</v>
      </c>
      <c r="J1189" s="159">
        <f>bargiri[[#This Row],[مقدار]]*INDEX(invoice[پیش دریافت به ازای هر کیلوگرم],MATCH(bargiri[[#This Row],[شماره سند مبنا]],invoice[شماره پیش فاکتور],0))</f>
        <v>279865308.40971857</v>
      </c>
      <c r="K1189" s="159">
        <f>bargiri[[#This Row],[مبلغ خالص]]-bargiri[[#This Row],[میزان استهلاک پیش دریافتی]]</f>
        <v>1258347191.5902815</v>
      </c>
      <c r="L1189" s="160" t="s">
        <v>593</v>
      </c>
      <c r="M1189" s="159"/>
      <c r="N1189" s="159">
        <f>IF(bargiri[[#This Row],[مبلغ واریزی]]&lt;&gt;"",bargiri[[#This Row],[مانده مبلغ]]-bargiri[[#This Row],[مبلغ واریزی]],bargiri[[#This Row],[مانده مبلغ]])</f>
        <v>1258347191.5902815</v>
      </c>
      <c r="O1189" s="159" t="s">
        <v>593</v>
      </c>
      <c r="P1189" s="159">
        <f>VLOOKUP(bargiri[[#This Row],[شماره سند مبنا]],invoice[[شماره پیش فاکتور]:[پیش دریافت به ازای هر کیلوگرم]],14,0)</f>
        <v>15010.206940719689</v>
      </c>
      <c r="Q1189" s="159">
        <f>IF(bargiri[[#This Row],[مبلغ ناخالص]]-(bargiri[[#This Row],[نرخ استهلاک]]*bargiri[[#This Row],[مقدار]])&lt;0,0,bargiri[[#This Row],[مبلغ ناخالص]]-(bargiri[[#This Row],[نرخ استهلاک]]*bargiri[[#This Row],[مقدار]]))</f>
        <v>1118509691.5902815</v>
      </c>
    </row>
    <row r="1190" spans="1:17" s="22" customFormat="1" ht="13.8" x14ac:dyDescent="0.25">
      <c r="A1190" s="22">
        <v>353</v>
      </c>
      <c r="B1190" s="22" t="s">
        <v>642</v>
      </c>
      <c r="C1190" s="22" t="s">
        <v>72</v>
      </c>
      <c r="D1190" s="22" t="s">
        <v>73</v>
      </c>
      <c r="E1190" s="158">
        <v>20460</v>
      </c>
      <c r="F1190" s="159">
        <v>57273</v>
      </c>
      <c r="G1190" s="159">
        <v>1171805580</v>
      </c>
      <c r="H1190" s="159">
        <v>117180558</v>
      </c>
      <c r="I1190" s="159">
        <v>1288986138</v>
      </c>
      <c r="J1190" s="159" t="e">
        <f>bargiri[[#This Row],[مقدار]]*INDEX(invoice[پیش دریافت به ازای هر کیلوگرم],MATCH(bargiri[[#This Row],[شماره سند مبنا]],invoice[شماره پیش فاکتور],0))</f>
        <v>#N/A</v>
      </c>
      <c r="K1190" s="159" t="e">
        <f>bargiri[[#This Row],[مبلغ خالص]]-bargiri[[#This Row],[میزان استهلاک پیش دریافتی]]</f>
        <v>#N/A</v>
      </c>
      <c r="L1190" s="160" t="s">
        <v>593</v>
      </c>
      <c r="M1190" s="159"/>
      <c r="N1190" s="159" t="e">
        <f>IF(bargiri[[#This Row],[مبلغ واریزی]]&lt;&gt;"",bargiri[[#This Row],[مانده مبلغ]]-bargiri[[#This Row],[مبلغ واریزی]],bargiri[[#This Row],[مانده مبلغ]])</f>
        <v>#N/A</v>
      </c>
      <c r="O1190" s="159" t="s">
        <v>593</v>
      </c>
      <c r="P1190" s="159" t="e">
        <f>VLOOKUP(bargiri[[#This Row],[شماره سند مبنا]],invoice[[شماره پیش فاکتور]:[پیش دریافت به ازای هر کیلوگرم]],14,0)</f>
        <v>#N/A</v>
      </c>
      <c r="Q1190" s="159" t="e">
        <f>IF(bargiri[[#This Row],[مبلغ ناخالص]]-(bargiri[[#This Row],[نرخ استهلاک]]*bargiri[[#This Row],[مقدار]])&lt;0,0,bargiri[[#This Row],[مبلغ ناخالص]]-(bargiri[[#This Row],[نرخ استهلاک]]*bargiri[[#This Row],[مقدار]]))</f>
        <v>#N/A</v>
      </c>
    </row>
    <row r="1191" spans="1:17" s="22" customFormat="1" ht="13.8" x14ac:dyDescent="0.25">
      <c r="A1191" s="22">
        <v>352</v>
      </c>
      <c r="B1191" s="22" t="s">
        <v>454</v>
      </c>
      <c r="C1191" s="22" t="s">
        <v>189</v>
      </c>
      <c r="D1191" s="22" t="s">
        <v>173</v>
      </c>
      <c r="E1191" s="158">
        <v>21685</v>
      </c>
      <c r="F1191" s="159">
        <v>75000</v>
      </c>
      <c r="G1191" s="159">
        <v>1626375000</v>
      </c>
      <c r="H1191" s="159">
        <v>162637500</v>
      </c>
      <c r="I1191" s="159">
        <v>1789012500</v>
      </c>
      <c r="J1191" s="159">
        <f>bargiri[[#This Row],[مقدار]]*INDEX(invoice[پیش دریافت به ازای هر کیلوگرم],MATCH(bargiri[[#This Row],[شماره سند مبنا]],invoice[شماره پیش فاکتور],0))</f>
        <v>268351875</v>
      </c>
      <c r="K1191" s="159">
        <f>bargiri[[#This Row],[مبلغ خالص]]-bargiri[[#This Row],[میزان استهلاک پیش دریافتی]]</f>
        <v>1520660625</v>
      </c>
      <c r="L1191" s="160" t="s">
        <v>593</v>
      </c>
      <c r="M1191" s="159"/>
      <c r="N1191" s="159">
        <f>IF(bargiri[[#This Row],[مبلغ واریزی]]&lt;&gt;"",bargiri[[#This Row],[مانده مبلغ]]-bargiri[[#This Row],[مبلغ واریزی]],bargiri[[#This Row],[مانده مبلغ]])</f>
        <v>1520660625</v>
      </c>
      <c r="O1191" s="159" t="s">
        <v>593</v>
      </c>
      <c r="P1191" s="159">
        <f>VLOOKUP(bargiri[[#This Row],[شماره سند مبنا]],invoice[[شماره پیش فاکتور]:[پیش دریافت به ازای هر کیلوگرم]],14,0)</f>
        <v>12375</v>
      </c>
      <c r="Q1191" s="159">
        <f>IF(bargiri[[#This Row],[مبلغ ناخالص]]-(bargiri[[#This Row],[نرخ استهلاک]]*bargiri[[#This Row],[مقدار]])&lt;0,0,bargiri[[#This Row],[مبلغ ناخالص]]-(bargiri[[#This Row],[نرخ استهلاک]]*bargiri[[#This Row],[مقدار]]))</f>
        <v>1358023125</v>
      </c>
    </row>
    <row r="1192" spans="1:17" s="22" customFormat="1" ht="13.8" x14ac:dyDescent="0.25">
      <c r="A1192" s="22">
        <v>351</v>
      </c>
      <c r="B1192" s="22" t="s">
        <v>454</v>
      </c>
      <c r="C1192" s="22" t="s">
        <v>455</v>
      </c>
      <c r="D1192" s="22" t="s">
        <v>67</v>
      </c>
      <c r="E1192" s="158">
        <v>17980</v>
      </c>
      <c r="F1192" s="159">
        <v>142000</v>
      </c>
      <c r="G1192" s="159">
        <v>2553160000</v>
      </c>
      <c r="H1192" s="159">
        <v>255316000</v>
      </c>
      <c r="I1192" s="159">
        <v>2808476000</v>
      </c>
      <c r="J1192" s="159">
        <f>bargiri[[#This Row],[مقدار]]*INDEX(invoice[پیش دریافت به ازای هر کیلوگرم],MATCH(bargiri[[#This Row],[شماره سند مبنا]],invoice[شماره پیش فاکتور],0))</f>
        <v>421271400</v>
      </c>
      <c r="K1192" s="159">
        <f>bargiri[[#This Row],[مبلغ خالص]]-bargiri[[#This Row],[میزان استهلاک پیش دریافتی]]</f>
        <v>2387204600</v>
      </c>
      <c r="L1192" s="160" t="s">
        <v>593</v>
      </c>
      <c r="M1192" s="159"/>
      <c r="N1192" s="159">
        <f>IF(bargiri[[#This Row],[مبلغ واریزی]]&lt;&gt;"",bargiri[[#This Row],[مانده مبلغ]]-bargiri[[#This Row],[مبلغ واریزی]],bargiri[[#This Row],[مانده مبلغ]])</f>
        <v>2387204600</v>
      </c>
      <c r="O1192" s="159" t="s">
        <v>593</v>
      </c>
      <c r="P1192" s="159">
        <f>VLOOKUP(bargiri[[#This Row],[شماره سند مبنا]],invoice[[شماره پیش فاکتور]:[پیش دریافت به ازای هر کیلوگرم]],14,0)</f>
        <v>23430</v>
      </c>
      <c r="Q1192" s="159">
        <f>IF(bargiri[[#This Row],[مبلغ ناخالص]]-(bargiri[[#This Row],[نرخ استهلاک]]*bargiri[[#This Row],[مقدار]])&lt;0,0,bargiri[[#This Row],[مبلغ ناخالص]]-(bargiri[[#This Row],[نرخ استهلاک]]*bargiri[[#This Row],[مقدار]]))</f>
        <v>2131888600</v>
      </c>
    </row>
    <row r="1193" spans="1:17" s="22" customFormat="1" ht="13.8" x14ac:dyDescent="0.25">
      <c r="A1193" s="22">
        <v>350</v>
      </c>
      <c r="B1193" s="22" t="s">
        <v>454</v>
      </c>
      <c r="C1193" s="22" t="s">
        <v>115</v>
      </c>
      <c r="D1193" s="22" t="s">
        <v>116</v>
      </c>
      <c r="E1193" s="158">
        <v>18525</v>
      </c>
      <c r="F1193" s="159">
        <v>75000</v>
      </c>
      <c r="G1193" s="159">
        <v>1389375000</v>
      </c>
      <c r="H1193" s="159">
        <v>138937500</v>
      </c>
      <c r="I1193" s="159">
        <v>1528312500</v>
      </c>
      <c r="J1193" s="159">
        <f>bargiri[[#This Row],[مقدار]]*INDEX(invoice[پیش دریافت به ازای هر کیلوگرم],MATCH(bargiri[[#This Row],[شماره سند مبنا]],invoice[شماره پیش فاکتور],0))</f>
        <v>278064083.57683223</v>
      </c>
      <c r="K1193" s="159">
        <f>bargiri[[#This Row],[مبلغ خالص]]-bargiri[[#This Row],[میزان استهلاک پیش دریافتی]]</f>
        <v>1250248416.4231677</v>
      </c>
      <c r="L1193" s="160" t="s">
        <v>593</v>
      </c>
      <c r="M1193" s="159"/>
      <c r="N1193" s="159">
        <f>IF(bargiri[[#This Row],[مبلغ واریزی]]&lt;&gt;"",bargiri[[#This Row],[مانده مبلغ]]-bargiri[[#This Row],[مبلغ واریزی]],bargiri[[#This Row],[مانده مبلغ]])</f>
        <v>1250248416.4231677</v>
      </c>
      <c r="O1193" s="159" t="s">
        <v>593</v>
      </c>
      <c r="P1193" s="159">
        <f>VLOOKUP(bargiri[[#This Row],[شماره سند مبنا]],invoice[[شماره پیش فاکتور]:[پیش دریافت به ازای هر کیلوگرم]],14,0)</f>
        <v>15010.206940719689</v>
      </c>
      <c r="Q1193" s="159">
        <f>IF(bargiri[[#This Row],[مبلغ ناخالص]]-(bargiri[[#This Row],[نرخ استهلاک]]*bargiri[[#This Row],[مقدار]])&lt;0,0,bargiri[[#This Row],[مبلغ ناخالص]]-(bargiri[[#This Row],[نرخ استهلاک]]*bargiri[[#This Row],[مقدار]]))</f>
        <v>1111310916.4231677</v>
      </c>
    </row>
    <row r="1194" spans="1:17" s="22" customFormat="1" ht="13.8" x14ac:dyDescent="0.25">
      <c r="A1194" s="22">
        <v>349</v>
      </c>
      <c r="B1194" s="22" t="s">
        <v>454</v>
      </c>
      <c r="C1194" s="22" t="s">
        <v>456</v>
      </c>
      <c r="D1194" s="22" t="s">
        <v>213</v>
      </c>
      <c r="E1194" s="158">
        <v>19975</v>
      </c>
      <c r="F1194" s="159">
        <v>142000</v>
      </c>
      <c r="G1194" s="159">
        <v>2836450000</v>
      </c>
      <c r="H1194" s="159">
        <v>283645000</v>
      </c>
      <c r="I1194" s="159">
        <v>3120095000</v>
      </c>
      <c r="J1194" s="159">
        <f>bargiri[[#This Row],[مقدار]]*INDEX(invoice[پیش دریافت به ازای هر کیلوگرم],MATCH(bargiri[[#This Row],[شماره سند مبنا]],invoice[شماره پیش فاکتور],0))</f>
        <v>2370316171.3420949</v>
      </c>
      <c r="K1194" s="159">
        <f>bargiri[[#This Row],[مبلغ خالص]]-bargiri[[#This Row],[میزان استهلاک پیش دریافتی]]</f>
        <v>749778828.6579051</v>
      </c>
      <c r="L1194" s="160" t="s">
        <v>593</v>
      </c>
      <c r="M1194" s="159"/>
      <c r="N1194" s="159">
        <f>IF(bargiri[[#This Row],[مبلغ واریزی]]&lt;&gt;"",bargiri[[#This Row],[مانده مبلغ]]-bargiri[[#This Row],[مبلغ واریزی]],bargiri[[#This Row],[مانده مبلغ]])</f>
        <v>749778828.6579051</v>
      </c>
      <c r="O1194" s="159" t="s">
        <v>593</v>
      </c>
      <c r="P1194" s="159">
        <f>VLOOKUP(bargiri[[#This Row],[شماره سند مبنا]],invoice[[شماره پیش فاکتور]:[پیش دریافت به ازای هر کیلوگرم]],14,0)</f>
        <v>118664.13874053041</v>
      </c>
      <c r="Q1194" s="159">
        <f>IF(bargiri[[#This Row],[مبلغ ناخالص]]-(bargiri[[#This Row],[نرخ استهلاک]]*bargiri[[#This Row],[مقدار]])&lt;0,0,bargiri[[#This Row],[مبلغ ناخالص]]-(bargiri[[#This Row],[نرخ استهلاک]]*bargiri[[#This Row],[مقدار]]))</f>
        <v>466133828.6579051</v>
      </c>
    </row>
    <row r="1195" spans="1:17" s="22" customFormat="1" ht="13.8" x14ac:dyDescent="0.25">
      <c r="A1195" s="22">
        <v>348</v>
      </c>
      <c r="B1195" s="22" t="s">
        <v>454</v>
      </c>
      <c r="C1195" s="22" t="s">
        <v>455</v>
      </c>
      <c r="D1195" s="22" t="s">
        <v>67</v>
      </c>
      <c r="E1195" s="158">
        <v>20005</v>
      </c>
      <c r="F1195" s="159">
        <v>142000</v>
      </c>
      <c r="G1195" s="159">
        <v>2840710000</v>
      </c>
      <c r="H1195" s="159">
        <v>284071000</v>
      </c>
      <c r="I1195" s="159">
        <v>3124781000</v>
      </c>
      <c r="J1195" s="159">
        <f>bargiri[[#This Row],[مقدار]]*INDEX(invoice[پیش دریافت به ازای هر کیلوگرم],MATCH(bargiri[[#This Row],[شماره سند مبنا]],invoice[شماره پیش فاکتور],0))</f>
        <v>468717150</v>
      </c>
      <c r="K1195" s="159">
        <f>bargiri[[#This Row],[مبلغ خالص]]-bargiri[[#This Row],[میزان استهلاک پیش دریافتی]]</f>
        <v>2656063850</v>
      </c>
      <c r="L1195" s="160" t="s">
        <v>593</v>
      </c>
      <c r="M1195" s="159"/>
      <c r="N1195" s="159">
        <f>IF(bargiri[[#This Row],[مبلغ واریزی]]&lt;&gt;"",bargiri[[#This Row],[مانده مبلغ]]-bargiri[[#This Row],[مبلغ واریزی]],bargiri[[#This Row],[مانده مبلغ]])</f>
        <v>2656063850</v>
      </c>
      <c r="O1195" s="159" t="s">
        <v>593</v>
      </c>
      <c r="P1195" s="159">
        <f>VLOOKUP(bargiri[[#This Row],[شماره سند مبنا]],invoice[[شماره پیش فاکتور]:[پیش دریافت به ازای هر کیلوگرم]],14,0)</f>
        <v>23430</v>
      </c>
      <c r="Q1195" s="159">
        <f>IF(bargiri[[#This Row],[مبلغ ناخالص]]-(bargiri[[#This Row],[نرخ استهلاک]]*bargiri[[#This Row],[مقدار]])&lt;0,0,bargiri[[#This Row],[مبلغ ناخالص]]-(bargiri[[#This Row],[نرخ استهلاک]]*bargiri[[#This Row],[مقدار]]))</f>
        <v>2371992850</v>
      </c>
    </row>
    <row r="1196" spans="1:17" s="22" customFormat="1" ht="13.8" x14ac:dyDescent="0.25">
      <c r="A1196" s="22">
        <v>347</v>
      </c>
      <c r="B1196" s="22" t="s">
        <v>457</v>
      </c>
      <c r="C1196" s="22" t="s">
        <v>455</v>
      </c>
      <c r="D1196" s="22" t="s">
        <v>67</v>
      </c>
      <c r="E1196" s="158">
        <v>18750</v>
      </c>
      <c r="F1196" s="159">
        <v>142000</v>
      </c>
      <c r="G1196" s="159">
        <v>2662500000</v>
      </c>
      <c r="H1196" s="159">
        <v>266250000</v>
      </c>
      <c r="I1196" s="159">
        <v>2928750000</v>
      </c>
      <c r="J1196" s="159">
        <f>bargiri[[#This Row],[مقدار]]*INDEX(invoice[پیش دریافت به ازای هر کیلوگرم],MATCH(bargiri[[#This Row],[شماره سند مبنا]],invoice[شماره پیش فاکتور],0))</f>
        <v>439312500</v>
      </c>
      <c r="K1196" s="159">
        <f>bargiri[[#This Row],[مبلغ خالص]]-bargiri[[#This Row],[میزان استهلاک پیش دریافتی]]</f>
        <v>2489437500</v>
      </c>
      <c r="L1196" s="160" t="s">
        <v>593</v>
      </c>
      <c r="M1196" s="159"/>
      <c r="N1196" s="159">
        <f>IF(bargiri[[#This Row],[مبلغ واریزی]]&lt;&gt;"",bargiri[[#This Row],[مانده مبلغ]]-bargiri[[#This Row],[مبلغ واریزی]],bargiri[[#This Row],[مانده مبلغ]])</f>
        <v>2489437500</v>
      </c>
      <c r="O1196" s="159" t="s">
        <v>593</v>
      </c>
      <c r="P1196" s="159">
        <f>VLOOKUP(bargiri[[#This Row],[شماره سند مبنا]],invoice[[شماره پیش فاکتور]:[پیش دریافت به ازای هر کیلوگرم]],14,0)</f>
        <v>23430</v>
      </c>
      <c r="Q1196" s="159">
        <f>IF(bargiri[[#This Row],[مبلغ ناخالص]]-(bargiri[[#This Row],[نرخ استهلاک]]*bargiri[[#This Row],[مقدار]])&lt;0,0,bargiri[[#This Row],[مبلغ ناخالص]]-(bargiri[[#This Row],[نرخ استهلاک]]*bargiri[[#This Row],[مقدار]]))</f>
        <v>2223187500</v>
      </c>
    </row>
    <row r="1197" spans="1:17" s="22" customFormat="1" ht="13.8" x14ac:dyDescent="0.25">
      <c r="A1197" s="22">
        <v>346</v>
      </c>
      <c r="B1197" s="22" t="s">
        <v>457</v>
      </c>
      <c r="C1197" s="22" t="s">
        <v>107</v>
      </c>
      <c r="D1197" s="22" t="s">
        <v>30</v>
      </c>
      <c r="E1197" s="158">
        <v>11780</v>
      </c>
      <c r="F1197" s="159">
        <v>70000</v>
      </c>
      <c r="G1197" s="159">
        <v>824600000</v>
      </c>
      <c r="H1197" s="159">
        <v>82460000</v>
      </c>
      <c r="I1197" s="159">
        <v>907060000</v>
      </c>
      <c r="J1197" s="159">
        <f>bargiri[[#This Row],[مقدار]]*INDEX(invoice[پیش دریافت به ازای هر کیلوگرم],MATCH(bargiri[[#This Row],[شماره سند مبنا]],invoice[شماره پیش فاکتور],0))</f>
        <v>453530000</v>
      </c>
      <c r="K1197" s="159">
        <f>bargiri[[#This Row],[مبلغ خالص]]-bargiri[[#This Row],[میزان استهلاک پیش دریافتی]]</f>
        <v>453530000</v>
      </c>
      <c r="L1197" s="160" t="s">
        <v>593</v>
      </c>
      <c r="M1197" s="159"/>
      <c r="N1197" s="159">
        <f>IF(bargiri[[#This Row],[مبلغ واریزی]]&lt;&gt;"",bargiri[[#This Row],[مانده مبلغ]]-bargiri[[#This Row],[مبلغ واریزی]],bargiri[[#This Row],[مانده مبلغ]])</f>
        <v>453530000</v>
      </c>
      <c r="O1197" s="159" t="s">
        <v>593</v>
      </c>
      <c r="P1197" s="159">
        <f>VLOOKUP(bargiri[[#This Row],[شماره سند مبنا]],invoice[[شماره پیش فاکتور]:[پیش دریافت به ازای هر کیلوگرم]],14,0)</f>
        <v>38500</v>
      </c>
      <c r="Q1197" s="159">
        <f>IF(bargiri[[#This Row],[مبلغ ناخالص]]-(bargiri[[#This Row],[نرخ استهلاک]]*bargiri[[#This Row],[مقدار]])&lt;0,0,bargiri[[#This Row],[مبلغ ناخالص]]-(bargiri[[#This Row],[نرخ استهلاک]]*bargiri[[#This Row],[مقدار]]))</f>
        <v>371070000</v>
      </c>
    </row>
    <row r="1198" spans="1:17" s="22" customFormat="1" ht="13.8" x14ac:dyDescent="0.25">
      <c r="A1198" s="22">
        <v>345</v>
      </c>
      <c r="B1198" s="22" t="s">
        <v>457</v>
      </c>
      <c r="C1198" s="22" t="s">
        <v>155</v>
      </c>
      <c r="D1198" s="22" t="s">
        <v>156</v>
      </c>
      <c r="E1198" s="158">
        <v>9615</v>
      </c>
      <c r="F1198" s="159">
        <v>75000</v>
      </c>
      <c r="G1198" s="159">
        <v>721125000</v>
      </c>
      <c r="H1198" s="159">
        <v>72112500</v>
      </c>
      <c r="I1198" s="159">
        <v>793237500</v>
      </c>
      <c r="J1198" s="159">
        <f>bargiri[[#This Row],[مقدار]]*INDEX(invoice[پیش دریافت به ازای هر کیلوگرم],MATCH(bargiri[[#This Row],[شماره سند مبنا]],invoice[شماره پیش فاکتور],0))</f>
        <v>118985625</v>
      </c>
      <c r="K1198" s="159">
        <f>bargiri[[#This Row],[مبلغ خالص]]-bargiri[[#This Row],[میزان استهلاک پیش دریافتی]]</f>
        <v>674251875</v>
      </c>
      <c r="L1198" s="160" t="s">
        <v>593</v>
      </c>
      <c r="M1198" s="159"/>
      <c r="N1198" s="159">
        <f>IF(bargiri[[#This Row],[مبلغ واریزی]]&lt;&gt;"",bargiri[[#This Row],[مانده مبلغ]]-bargiri[[#This Row],[مبلغ واریزی]],bargiri[[#This Row],[مانده مبلغ]])</f>
        <v>674251875</v>
      </c>
      <c r="O1198" s="159" t="s">
        <v>593</v>
      </c>
      <c r="P1198" s="159">
        <f>VLOOKUP(bargiri[[#This Row],[شماره سند مبنا]],invoice[[شماره پیش فاکتور]:[پیش دریافت به ازای هر کیلوگرم]],14,0)</f>
        <v>12375</v>
      </c>
      <c r="Q1198" s="159">
        <f>IF(bargiri[[#This Row],[مبلغ ناخالص]]-(bargiri[[#This Row],[نرخ استهلاک]]*bargiri[[#This Row],[مقدار]])&lt;0,0,bargiri[[#This Row],[مبلغ ناخالص]]-(bargiri[[#This Row],[نرخ استهلاک]]*bargiri[[#This Row],[مقدار]]))</f>
        <v>602139375</v>
      </c>
    </row>
    <row r="1199" spans="1:17" s="22" customFormat="1" ht="13.8" x14ac:dyDescent="0.25">
      <c r="A1199" s="22">
        <v>345</v>
      </c>
      <c r="B1199" s="22" t="s">
        <v>457</v>
      </c>
      <c r="C1199" s="22" t="s">
        <v>458</v>
      </c>
      <c r="D1199" s="22" t="s">
        <v>156</v>
      </c>
      <c r="E1199" s="158">
        <v>10355</v>
      </c>
      <c r="F1199" s="159">
        <v>142000</v>
      </c>
      <c r="G1199" s="159">
        <v>1470410000</v>
      </c>
      <c r="H1199" s="159">
        <v>147041000</v>
      </c>
      <c r="I1199" s="159">
        <v>1617451000</v>
      </c>
      <c r="J1199" s="159">
        <f>bargiri[[#This Row],[مقدار]]*INDEX(invoice[پیش دریافت به ازای هر کیلوگرم],MATCH(bargiri[[#This Row],[شماره سند مبنا]],invoice[شماره پیش فاکتور],0))</f>
        <v>292492495.32841724</v>
      </c>
      <c r="K1199" s="159">
        <f>bargiri[[#This Row],[مبلغ خالص]]-bargiri[[#This Row],[میزان استهلاک پیش دریافتی]]</f>
        <v>1324958504.6715827</v>
      </c>
      <c r="L1199" s="160" t="s">
        <v>593</v>
      </c>
      <c r="M1199" s="159"/>
      <c r="N1199" s="159">
        <f>IF(bargiri[[#This Row],[مبلغ واریزی]]&lt;&gt;"",bargiri[[#This Row],[مانده مبلغ]]-bargiri[[#This Row],[مبلغ واریزی]],bargiri[[#This Row],[مانده مبلغ]])</f>
        <v>1324958504.6715827</v>
      </c>
      <c r="O1199" s="159" t="s">
        <v>593</v>
      </c>
      <c r="P1199" s="159">
        <f>VLOOKUP(bargiri[[#This Row],[شماره سند مبنا]],invoice[[شماره پیش فاکتور]:[پیش دریافت به ازای هر کیلوگرم]],14,0)</f>
        <v>28246.498824569509</v>
      </c>
      <c r="Q1199" s="159">
        <f>IF(bargiri[[#This Row],[مبلغ ناخالص]]-(bargiri[[#This Row],[نرخ استهلاک]]*bargiri[[#This Row],[مقدار]])&lt;0,0,bargiri[[#This Row],[مبلغ ناخالص]]-(bargiri[[#This Row],[نرخ استهلاک]]*bargiri[[#This Row],[مقدار]]))</f>
        <v>1177917504.6715827</v>
      </c>
    </row>
    <row r="1200" spans="1:17" s="22" customFormat="1" ht="13.8" x14ac:dyDescent="0.25">
      <c r="A1200" s="22">
        <v>344</v>
      </c>
      <c r="B1200" s="22" t="s">
        <v>459</v>
      </c>
      <c r="C1200" s="22" t="s">
        <v>442</v>
      </c>
      <c r="D1200" s="22" t="s">
        <v>17</v>
      </c>
      <c r="E1200" s="158">
        <v>23190</v>
      </c>
      <c r="F1200" s="159">
        <v>80000</v>
      </c>
      <c r="G1200" s="159">
        <v>1855200000</v>
      </c>
      <c r="H1200" s="159">
        <v>185520000</v>
      </c>
      <c r="I1200" s="159">
        <v>2040720000</v>
      </c>
      <c r="J1200" s="159">
        <f>bargiri[[#This Row],[مقدار]]*INDEX(invoice[پیش دریافت به ازای هر کیلوگرم],MATCH(bargiri[[#This Row],[شماره سند مبنا]],invoice[شماره پیش فاکتور],0))</f>
        <v>306108000</v>
      </c>
      <c r="K1200" s="159">
        <f>bargiri[[#This Row],[مبلغ خالص]]-bargiri[[#This Row],[میزان استهلاک پیش دریافتی]]</f>
        <v>1734612000</v>
      </c>
      <c r="L1200" s="160" t="s">
        <v>593</v>
      </c>
      <c r="M1200" s="159"/>
      <c r="N1200" s="159">
        <f>IF(bargiri[[#This Row],[مبلغ واریزی]]&lt;&gt;"",bargiri[[#This Row],[مانده مبلغ]]-bargiri[[#This Row],[مبلغ واریزی]],bargiri[[#This Row],[مانده مبلغ]])</f>
        <v>1734612000</v>
      </c>
      <c r="O1200" s="159" t="s">
        <v>593</v>
      </c>
      <c r="P1200" s="159">
        <f>VLOOKUP(bargiri[[#This Row],[شماره سند مبنا]],invoice[[شماره پیش فاکتور]:[پیش دریافت به ازای هر کیلوگرم]],14,0)</f>
        <v>13200</v>
      </c>
      <c r="Q1200" s="159">
        <f>IF(bargiri[[#This Row],[مبلغ ناخالص]]-(bargiri[[#This Row],[نرخ استهلاک]]*bargiri[[#This Row],[مقدار]])&lt;0,0,bargiri[[#This Row],[مبلغ ناخالص]]-(bargiri[[#This Row],[نرخ استهلاک]]*bargiri[[#This Row],[مقدار]]))</f>
        <v>1549092000</v>
      </c>
    </row>
    <row r="1201" spans="1:17" s="22" customFormat="1" ht="13.8" x14ac:dyDescent="0.25">
      <c r="A1201" s="22">
        <v>343</v>
      </c>
      <c r="B1201" s="22" t="s">
        <v>460</v>
      </c>
      <c r="C1201" s="22" t="s">
        <v>461</v>
      </c>
      <c r="D1201" s="22" t="s">
        <v>35</v>
      </c>
      <c r="E1201" s="158">
        <v>7140</v>
      </c>
      <c r="F1201" s="159">
        <v>142000</v>
      </c>
      <c r="G1201" s="159">
        <v>1013880000</v>
      </c>
      <c r="H1201" s="159">
        <v>101388000</v>
      </c>
      <c r="I1201" s="159">
        <v>1115268000</v>
      </c>
      <c r="J1201" s="159">
        <f>bargiri[[#This Row],[مقدار]]*INDEX(invoice[پیش دریافت به ازای هر کیلوگرم],MATCH(bargiri[[#This Row],[شماره سند مبنا]],invoice[شماره پیش فاکتور],0))</f>
        <v>234322316.41108677</v>
      </c>
      <c r="K1201" s="159">
        <f>bargiri[[#This Row],[مبلغ خالص]]-bargiri[[#This Row],[میزان استهلاک پیش دریافتی]]</f>
        <v>880945683.5889132</v>
      </c>
      <c r="L1201" s="160" t="s">
        <v>593</v>
      </c>
      <c r="M1201" s="159"/>
      <c r="N1201" s="159">
        <f>IF(bargiri[[#This Row],[مبلغ واریزی]]&lt;&gt;"",bargiri[[#This Row],[مانده مبلغ]]-bargiri[[#This Row],[مبلغ واریزی]],bargiri[[#This Row],[مانده مبلغ]])</f>
        <v>880945683.5889132</v>
      </c>
      <c r="O1201" s="159" t="s">
        <v>593</v>
      </c>
      <c r="P1201" s="159">
        <f>VLOOKUP(bargiri[[#This Row],[شماره سند مبنا]],invoice[[شماره پیش فاکتور]:[پیش دریافت به ازای هر کیلوگرم]],14,0)</f>
        <v>32818.251598191426</v>
      </c>
      <c r="Q1201" s="159">
        <f>IF(bargiri[[#This Row],[مبلغ ناخالص]]-(bargiri[[#This Row],[نرخ استهلاک]]*bargiri[[#This Row],[مقدار]])&lt;0,0,bargiri[[#This Row],[مبلغ ناخالص]]-(bargiri[[#This Row],[نرخ استهلاک]]*bargiri[[#This Row],[مقدار]]))</f>
        <v>779557683.5889132</v>
      </c>
    </row>
    <row r="1202" spans="1:17" s="22" customFormat="1" ht="13.8" x14ac:dyDescent="0.25">
      <c r="A1202" s="22">
        <v>342</v>
      </c>
      <c r="B1202" s="22" t="s">
        <v>460</v>
      </c>
      <c r="C1202" s="22" t="s">
        <v>461</v>
      </c>
      <c r="D1202" s="22" t="s">
        <v>35</v>
      </c>
      <c r="E1202" s="158">
        <v>7165</v>
      </c>
      <c r="F1202" s="159">
        <v>142000</v>
      </c>
      <c r="G1202" s="159">
        <v>1017430000</v>
      </c>
      <c r="H1202" s="159">
        <v>101743000</v>
      </c>
      <c r="I1202" s="159">
        <v>1119173000</v>
      </c>
      <c r="J1202" s="159">
        <f>bargiri[[#This Row],[مقدار]]*INDEX(invoice[پیش دریافت به ازای هر کیلوگرم],MATCH(bargiri[[#This Row],[شماره سند مبنا]],invoice[شماره پیش فاکتور],0))</f>
        <v>235142772.70104158</v>
      </c>
      <c r="K1202" s="159">
        <f>bargiri[[#This Row],[مبلغ خالص]]-bargiri[[#This Row],[میزان استهلاک پیش دریافتی]]</f>
        <v>884030227.29895842</v>
      </c>
      <c r="L1202" s="160" t="s">
        <v>593</v>
      </c>
      <c r="M1202" s="159"/>
      <c r="N1202" s="159">
        <f>IF(bargiri[[#This Row],[مبلغ واریزی]]&lt;&gt;"",bargiri[[#This Row],[مانده مبلغ]]-bargiri[[#This Row],[مبلغ واریزی]],bargiri[[#This Row],[مانده مبلغ]])</f>
        <v>884030227.29895842</v>
      </c>
      <c r="O1202" s="159" t="s">
        <v>593</v>
      </c>
      <c r="P1202" s="159">
        <f>VLOOKUP(bargiri[[#This Row],[شماره سند مبنا]],invoice[[شماره پیش فاکتور]:[پیش دریافت به ازای هر کیلوگرم]],14,0)</f>
        <v>32818.251598191426</v>
      </c>
      <c r="Q1202" s="159">
        <f>IF(bargiri[[#This Row],[مبلغ ناخالص]]-(bargiri[[#This Row],[نرخ استهلاک]]*bargiri[[#This Row],[مقدار]])&lt;0,0,bargiri[[#This Row],[مبلغ ناخالص]]-(bargiri[[#This Row],[نرخ استهلاک]]*bargiri[[#This Row],[مقدار]]))</f>
        <v>782287227.29895842</v>
      </c>
    </row>
    <row r="1203" spans="1:17" s="22" customFormat="1" ht="13.8" x14ac:dyDescent="0.25">
      <c r="A1203" s="22">
        <v>341</v>
      </c>
      <c r="B1203" s="22" t="s">
        <v>460</v>
      </c>
      <c r="C1203" s="22" t="s">
        <v>455</v>
      </c>
      <c r="D1203" s="22" t="s">
        <v>67</v>
      </c>
      <c r="E1203" s="158">
        <v>17880</v>
      </c>
      <c r="F1203" s="159">
        <v>142000</v>
      </c>
      <c r="G1203" s="159">
        <v>2538960000</v>
      </c>
      <c r="H1203" s="159">
        <v>253896000</v>
      </c>
      <c r="I1203" s="159">
        <v>2792856000</v>
      </c>
      <c r="J1203" s="159">
        <f>bargiri[[#This Row],[مقدار]]*INDEX(invoice[پیش دریافت به ازای هر کیلوگرم],MATCH(bargiri[[#This Row],[شماره سند مبنا]],invoice[شماره پیش فاکتور],0))</f>
        <v>418928400</v>
      </c>
      <c r="K1203" s="159">
        <f>bargiri[[#This Row],[مبلغ خالص]]-bargiri[[#This Row],[میزان استهلاک پیش دریافتی]]</f>
        <v>2373927600</v>
      </c>
      <c r="L1203" s="160" t="s">
        <v>593</v>
      </c>
      <c r="M1203" s="159"/>
      <c r="N1203" s="159">
        <f>IF(bargiri[[#This Row],[مبلغ واریزی]]&lt;&gt;"",bargiri[[#This Row],[مانده مبلغ]]-bargiri[[#This Row],[مبلغ واریزی]],bargiri[[#This Row],[مانده مبلغ]])</f>
        <v>2373927600</v>
      </c>
      <c r="O1203" s="159" t="s">
        <v>593</v>
      </c>
      <c r="P1203" s="159">
        <f>VLOOKUP(bargiri[[#This Row],[شماره سند مبنا]],invoice[[شماره پیش فاکتور]:[پیش دریافت به ازای هر کیلوگرم]],14,0)</f>
        <v>23430</v>
      </c>
      <c r="Q1203" s="159">
        <f>IF(bargiri[[#This Row],[مبلغ ناخالص]]-(bargiri[[#This Row],[نرخ استهلاک]]*bargiri[[#This Row],[مقدار]])&lt;0,0,bargiri[[#This Row],[مبلغ ناخالص]]-(bargiri[[#This Row],[نرخ استهلاک]]*bargiri[[#This Row],[مقدار]]))</f>
        <v>2120031600</v>
      </c>
    </row>
    <row r="1204" spans="1:17" s="22" customFormat="1" ht="13.8" x14ac:dyDescent="0.25">
      <c r="A1204" s="22">
        <v>340</v>
      </c>
      <c r="B1204" s="22" t="s">
        <v>460</v>
      </c>
      <c r="C1204" s="22" t="s">
        <v>184</v>
      </c>
      <c r="D1204" s="22" t="s">
        <v>40</v>
      </c>
      <c r="E1204" s="158">
        <v>17990</v>
      </c>
      <c r="F1204" s="159">
        <v>83800</v>
      </c>
      <c r="G1204" s="159">
        <v>1507562000</v>
      </c>
      <c r="H1204" s="159">
        <v>150756200</v>
      </c>
      <c r="I1204" s="159">
        <v>1658318200</v>
      </c>
      <c r="J1204" s="159">
        <f>bargiri[[#This Row],[مقدار]]*INDEX(invoice[پیش دریافت به ازای هر کیلوگرم],MATCH(bargiri[[#This Row],[شماره سند مبنا]],invoice[شماره پیش فاکتور],0))</f>
        <v>248747730</v>
      </c>
      <c r="K1204" s="159">
        <f>bargiri[[#This Row],[مبلغ خالص]]-bargiri[[#This Row],[میزان استهلاک پیش دریافتی]]</f>
        <v>1409570470</v>
      </c>
      <c r="L1204" s="160" t="s">
        <v>593</v>
      </c>
      <c r="M1204" s="159"/>
      <c r="N1204" s="159">
        <f>IF(bargiri[[#This Row],[مبلغ واریزی]]&lt;&gt;"",bargiri[[#This Row],[مانده مبلغ]]-bargiri[[#This Row],[مبلغ واریزی]],bargiri[[#This Row],[مانده مبلغ]])</f>
        <v>1409570470</v>
      </c>
      <c r="O1204" s="159" t="s">
        <v>593</v>
      </c>
      <c r="P1204" s="159">
        <f>VLOOKUP(bargiri[[#This Row],[شماره سند مبنا]],invoice[[شماره پیش فاکتور]:[پیش دریافت به ازای هر کیلوگرم]],14,0)</f>
        <v>13827</v>
      </c>
      <c r="Q1204" s="159">
        <f>IF(bargiri[[#This Row],[مبلغ ناخالص]]-(bargiri[[#This Row],[نرخ استهلاک]]*bargiri[[#This Row],[مقدار]])&lt;0,0,bargiri[[#This Row],[مبلغ ناخالص]]-(bargiri[[#This Row],[نرخ استهلاک]]*bargiri[[#This Row],[مقدار]]))</f>
        <v>1258814270</v>
      </c>
    </row>
    <row r="1205" spans="1:17" s="22" customFormat="1" ht="13.8" x14ac:dyDescent="0.25">
      <c r="A1205" s="22">
        <v>339</v>
      </c>
      <c r="B1205" s="22" t="s">
        <v>460</v>
      </c>
      <c r="C1205" s="22" t="s">
        <v>461</v>
      </c>
      <c r="D1205" s="22" t="s">
        <v>35</v>
      </c>
      <c r="E1205" s="158">
        <v>7515</v>
      </c>
      <c r="F1205" s="159">
        <v>142000</v>
      </c>
      <c r="G1205" s="159">
        <v>1067130000</v>
      </c>
      <c r="H1205" s="159">
        <v>106713000</v>
      </c>
      <c r="I1205" s="159">
        <v>1173843000</v>
      </c>
      <c r="J1205" s="159">
        <f>bargiri[[#This Row],[مقدار]]*INDEX(invoice[پیش دریافت به ازای هر کیلوگرم],MATCH(bargiri[[#This Row],[شماره سند مبنا]],invoice[شماره پیش فاکتور],0))</f>
        <v>246629160.76040855</v>
      </c>
      <c r="K1205" s="159">
        <f>bargiri[[#This Row],[مبلغ خالص]]-bargiri[[#This Row],[میزان استهلاک پیش دریافتی]]</f>
        <v>927213839.23959148</v>
      </c>
      <c r="L1205" s="160" t="s">
        <v>593</v>
      </c>
      <c r="M1205" s="159"/>
      <c r="N1205" s="159">
        <f>IF(bargiri[[#This Row],[مبلغ واریزی]]&lt;&gt;"",bargiri[[#This Row],[مانده مبلغ]]-bargiri[[#This Row],[مبلغ واریزی]],bargiri[[#This Row],[مانده مبلغ]])</f>
        <v>927213839.23959148</v>
      </c>
      <c r="O1205" s="159" t="s">
        <v>593</v>
      </c>
      <c r="P1205" s="159">
        <f>VLOOKUP(bargiri[[#This Row],[شماره سند مبنا]],invoice[[شماره پیش فاکتور]:[پیش دریافت به ازای هر کیلوگرم]],14,0)</f>
        <v>32818.251598191426</v>
      </c>
      <c r="Q1205" s="159">
        <f>IF(bargiri[[#This Row],[مبلغ ناخالص]]-(bargiri[[#This Row],[نرخ استهلاک]]*bargiri[[#This Row],[مقدار]])&lt;0,0,bargiri[[#This Row],[مبلغ ناخالص]]-(bargiri[[#This Row],[نرخ استهلاک]]*bargiri[[#This Row],[مقدار]]))</f>
        <v>820500839.23959148</v>
      </c>
    </row>
    <row r="1206" spans="1:17" s="22" customFormat="1" ht="13.8" x14ac:dyDescent="0.25">
      <c r="A1206" s="22">
        <v>338</v>
      </c>
      <c r="B1206" s="22" t="s">
        <v>460</v>
      </c>
      <c r="C1206" s="22" t="s">
        <v>115</v>
      </c>
      <c r="D1206" s="22" t="s">
        <v>116</v>
      </c>
      <c r="E1206" s="158">
        <v>18990</v>
      </c>
      <c r="F1206" s="159">
        <v>75000</v>
      </c>
      <c r="G1206" s="159">
        <v>1424250000</v>
      </c>
      <c r="H1206" s="159">
        <v>142425000</v>
      </c>
      <c r="I1206" s="159">
        <v>1566675000</v>
      </c>
      <c r="J1206" s="159">
        <f>bargiri[[#This Row],[مقدار]]*INDEX(invoice[پیش دریافت به ازای هر کیلوگرم],MATCH(bargiri[[#This Row],[شماره سند مبنا]],invoice[شماره پیش فاکتور],0))</f>
        <v>285043829.80426687</v>
      </c>
      <c r="K1206" s="159">
        <f>bargiri[[#This Row],[مبلغ خالص]]-bargiri[[#This Row],[میزان استهلاک پیش دریافتی]]</f>
        <v>1281631170.1957331</v>
      </c>
      <c r="L1206" s="160" t="s">
        <v>593</v>
      </c>
      <c r="M1206" s="159"/>
      <c r="N1206" s="159">
        <f>IF(bargiri[[#This Row],[مبلغ واریزی]]&lt;&gt;"",bargiri[[#This Row],[مانده مبلغ]]-bargiri[[#This Row],[مبلغ واریزی]],bargiri[[#This Row],[مانده مبلغ]])</f>
        <v>1281631170.1957331</v>
      </c>
      <c r="O1206" s="159" t="s">
        <v>593</v>
      </c>
      <c r="P1206" s="159">
        <f>VLOOKUP(bargiri[[#This Row],[شماره سند مبنا]],invoice[[شماره پیش فاکتور]:[پیش دریافت به ازای هر کیلوگرم]],14,0)</f>
        <v>15010.206940719689</v>
      </c>
      <c r="Q1206" s="159">
        <f>IF(bargiri[[#This Row],[مبلغ ناخالص]]-(bargiri[[#This Row],[نرخ استهلاک]]*bargiri[[#This Row],[مقدار]])&lt;0,0,bargiri[[#This Row],[مبلغ ناخالص]]-(bargiri[[#This Row],[نرخ استهلاک]]*bargiri[[#This Row],[مقدار]]))</f>
        <v>1139206170.1957331</v>
      </c>
    </row>
    <row r="1207" spans="1:17" s="22" customFormat="1" ht="13.8" x14ac:dyDescent="0.25">
      <c r="A1207" s="22">
        <v>337</v>
      </c>
      <c r="B1207" s="22" t="s">
        <v>459</v>
      </c>
      <c r="C1207" s="22" t="s">
        <v>155</v>
      </c>
      <c r="D1207" s="22" t="s">
        <v>156</v>
      </c>
      <c r="E1207" s="158">
        <v>19840</v>
      </c>
      <c r="F1207" s="159">
        <v>75000</v>
      </c>
      <c r="G1207" s="159">
        <v>1488000000</v>
      </c>
      <c r="H1207" s="159">
        <v>148800000</v>
      </c>
      <c r="I1207" s="159">
        <v>1636800000</v>
      </c>
      <c r="J1207" s="159">
        <f>bargiri[[#This Row],[مقدار]]*INDEX(invoice[پیش دریافت به ازای هر کیلوگرم],MATCH(bargiri[[#This Row],[شماره سند مبنا]],invoice[شماره پیش فاکتور],0))</f>
        <v>245520000</v>
      </c>
      <c r="K1207" s="159">
        <f>bargiri[[#This Row],[مبلغ خالص]]-bargiri[[#This Row],[میزان استهلاک پیش دریافتی]]</f>
        <v>1391280000</v>
      </c>
      <c r="L1207" s="160" t="s">
        <v>593</v>
      </c>
      <c r="M1207" s="159"/>
      <c r="N1207" s="159">
        <f>IF(bargiri[[#This Row],[مبلغ واریزی]]&lt;&gt;"",bargiri[[#This Row],[مانده مبلغ]]-bargiri[[#This Row],[مبلغ واریزی]],bargiri[[#This Row],[مانده مبلغ]])</f>
        <v>1391280000</v>
      </c>
      <c r="O1207" s="159" t="s">
        <v>593</v>
      </c>
      <c r="P1207" s="159">
        <f>VLOOKUP(bargiri[[#This Row],[شماره سند مبنا]],invoice[[شماره پیش فاکتور]:[پیش دریافت به ازای هر کیلوگرم]],14,0)</f>
        <v>12375</v>
      </c>
      <c r="Q1207" s="159">
        <f>IF(bargiri[[#This Row],[مبلغ ناخالص]]-(bargiri[[#This Row],[نرخ استهلاک]]*bargiri[[#This Row],[مقدار]])&lt;0,0,bargiri[[#This Row],[مبلغ ناخالص]]-(bargiri[[#This Row],[نرخ استهلاک]]*bargiri[[#This Row],[مقدار]]))</f>
        <v>1242480000</v>
      </c>
    </row>
    <row r="1208" spans="1:17" s="22" customFormat="1" ht="13.8" x14ac:dyDescent="0.25">
      <c r="A1208" s="22">
        <v>336</v>
      </c>
      <c r="B1208" s="22" t="s">
        <v>459</v>
      </c>
      <c r="C1208" s="22" t="s">
        <v>456</v>
      </c>
      <c r="D1208" s="22" t="s">
        <v>213</v>
      </c>
      <c r="E1208" s="158">
        <v>7535</v>
      </c>
      <c r="F1208" s="159">
        <v>142000</v>
      </c>
      <c r="G1208" s="159">
        <v>1069970000</v>
      </c>
      <c r="H1208" s="159">
        <v>106997000</v>
      </c>
      <c r="I1208" s="159">
        <v>1176967000</v>
      </c>
      <c r="J1208" s="159">
        <f>bargiri[[#This Row],[مقدار]]*INDEX(invoice[پیش دریافت به ازای هر کیلوگرم],MATCH(bargiri[[#This Row],[شماره سند مبنا]],invoice[شماره پیش فاکتور],0))</f>
        <v>894134285.40989661</v>
      </c>
      <c r="K1208" s="159">
        <f>bargiri[[#This Row],[مبلغ خالص]]-bargiri[[#This Row],[میزان استهلاک پیش دریافتی]]</f>
        <v>282832714.59010339</v>
      </c>
      <c r="L1208" s="160" t="s">
        <v>593</v>
      </c>
      <c r="M1208" s="159"/>
      <c r="N1208" s="159">
        <f>IF(bargiri[[#This Row],[مبلغ واریزی]]&lt;&gt;"",bargiri[[#This Row],[مانده مبلغ]]-bargiri[[#This Row],[مبلغ واریزی]],bargiri[[#This Row],[مانده مبلغ]])</f>
        <v>282832714.59010339</v>
      </c>
      <c r="O1208" s="159" t="s">
        <v>593</v>
      </c>
      <c r="P1208" s="159">
        <f>VLOOKUP(bargiri[[#This Row],[شماره سند مبنا]],invoice[[شماره پیش فاکتور]:[پیش دریافت به ازای هر کیلوگرم]],14,0)</f>
        <v>118664.13874053041</v>
      </c>
      <c r="Q1208" s="159">
        <f>IF(bargiri[[#This Row],[مبلغ ناخالص]]-(bargiri[[#This Row],[نرخ استهلاک]]*bargiri[[#This Row],[مقدار]])&lt;0,0,bargiri[[#This Row],[مبلغ ناخالص]]-(bargiri[[#This Row],[نرخ استهلاک]]*bargiri[[#This Row],[مقدار]]))</f>
        <v>175835714.59010339</v>
      </c>
    </row>
    <row r="1209" spans="1:17" s="22" customFormat="1" ht="13.8" x14ac:dyDescent="0.25">
      <c r="A1209" s="22">
        <v>335</v>
      </c>
      <c r="B1209" s="22" t="s">
        <v>459</v>
      </c>
      <c r="C1209" s="22" t="s">
        <v>107</v>
      </c>
      <c r="D1209" s="22" t="s">
        <v>30</v>
      </c>
      <c r="E1209" s="158">
        <v>11800</v>
      </c>
      <c r="F1209" s="159">
        <v>70000</v>
      </c>
      <c r="G1209" s="159">
        <v>826000000</v>
      </c>
      <c r="H1209" s="159">
        <v>82600000</v>
      </c>
      <c r="I1209" s="159">
        <v>908600000</v>
      </c>
      <c r="J1209" s="159">
        <f>bargiri[[#This Row],[مقدار]]*INDEX(invoice[پیش دریافت به ازای هر کیلوگرم],MATCH(bargiri[[#This Row],[شماره سند مبنا]],invoice[شماره پیش فاکتور],0))</f>
        <v>454300000</v>
      </c>
      <c r="K1209" s="159">
        <f>bargiri[[#This Row],[مبلغ خالص]]-bargiri[[#This Row],[میزان استهلاک پیش دریافتی]]</f>
        <v>454300000</v>
      </c>
      <c r="L1209" s="160" t="s">
        <v>593</v>
      </c>
      <c r="M1209" s="159"/>
      <c r="N1209" s="159">
        <f>IF(bargiri[[#This Row],[مبلغ واریزی]]&lt;&gt;"",bargiri[[#This Row],[مانده مبلغ]]-bargiri[[#This Row],[مبلغ واریزی]],bargiri[[#This Row],[مانده مبلغ]])</f>
        <v>454300000</v>
      </c>
      <c r="O1209" s="159" t="s">
        <v>593</v>
      </c>
      <c r="P1209" s="159">
        <f>VLOOKUP(bargiri[[#This Row],[شماره سند مبنا]],invoice[[شماره پیش فاکتور]:[پیش دریافت به ازای هر کیلوگرم]],14,0)</f>
        <v>38500</v>
      </c>
      <c r="Q1209" s="159">
        <f>IF(bargiri[[#This Row],[مبلغ ناخالص]]-(bargiri[[#This Row],[نرخ استهلاک]]*bargiri[[#This Row],[مقدار]])&lt;0,0,bargiri[[#This Row],[مبلغ ناخالص]]-(bargiri[[#This Row],[نرخ استهلاک]]*bargiri[[#This Row],[مقدار]]))</f>
        <v>371700000</v>
      </c>
    </row>
    <row r="1210" spans="1:17" s="22" customFormat="1" ht="13.8" x14ac:dyDescent="0.25">
      <c r="A1210" s="22">
        <v>334</v>
      </c>
      <c r="B1210" s="22" t="s">
        <v>459</v>
      </c>
      <c r="C1210" s="22" t="s">
        <v>119</v>
      </c>
      <c r="D1210" s="22" t="s">
        <v>25</v>
      </c>
      <c r="E1210" s="158">
        <v>21070</v>
      </c>
      <c r="F1210" s="159">
        <v>75000</v>
      </c>
      <c r="G1210" s="159">
        <v>1580250000</v>
      </c>
      <c r="H1210" s="159">
        <v>158025000</v>
      </c>
      <c r="I1210" s="159">
        <v>1738275000</v>
      </c>
      <c r="J1210" s="159">
        <f>bargiri[[#This Row],[مقدار]]*INDEX(invoice[پیش دریافت به ازای هر کیلوگرم],MATCH(bargiri[[#This Row],[شماره سند مبنا]],invoice[شماره پیش فاکتور],0))</f>
        <v>260741250</v>
      </c>
      <c r="K1210" s="159">
        <f>bargiri[[#This Row],[مبلغ خالص]]-bargiri[[#This Row],[میزان استهلاک پیش دریافتی]]</f>
        <v>1477533750</v>
      </c>
      <c r="L1210" s="160" t="s">
        <v>593</v>
      </c>
      <c r="M1210" s="159"/>
      <c r="N1210" s="159">
        <f>IF(bargiri[[#This Row],[مبلغ واریزی]]&lt;&gt;"",bargiri[[#This Row],[مانده مبلغ]]-bargiri[[#This Row],[مبلغ واریزی]],bargiri[[#This Row],[مانده مبلغ]])</f>
        <v>1477533750</v>
      </c>
      <c r="O1210" s="159" t="s">
        <v>593</v>
      </c>
      <c r="P1210" s="159">
        <f>VLOOKUP(bargiri[[#This Row],[شماره سند مبنا]],invoice[[شماره پیش فاکتور]:[پیش دریافت به ازای هر کیلوگرم]],14,0)</f>
        <v>12375</v>
      </c>
      <c r="Q1210" s="159">
        <f>IF(bargiri[[#This Row],[مبلغ ناخالص]]-(bargiri[[#This Row],[نرخ استهلاک]]*bargiri[[#This Row],[مقدار]])&lt;0,0,bargiri[[#This Row],[مبلغ ناخالص]]-(bargiri[[#This Row],[نرخ استهلاک]]*bargiri[[#This Row],[مقدار]]))</f>
        <v>1319508750</v>
      </c>
    </row>
    <row r="1211" spans="1:17" s="22" customFormat="1" ht="13.8" x14ac:dyDescent="0.25">
      <c r="A1211" s="22">
        <v>333</v>
      </c>
      <c r="B1211" s="22" t="s">
        <v>459</v>
      </c>
      <c r="C1211" s="22" t="s">
        <v>115</v>
      </c>
      <c r="D1211" s="22" t="s">
        <v>116</v>
      </c>
      <c r="E1211" s="158">
        <v>19300</v>
      </c>
      <c r="F1211" s="159">
        <v>75000</v>
      </c>
      <c r="G1211" s="159">
        <v>1447500000</v>
      </c>
      <c r="H1211" s="159">
        <v>144750000</v>
      </c>
      <c r="I1211" s="159">
        <v>1592250000</v>
      </c>
      <c r="J1211" s="159">
        <f>bargiri[[#This Row],[مقدار]]*INDEX(invoice[پیش دریافت به ازای هر کیلوگرم],MATCH(bargiri[[#This Row],[شماره سند مبنا]],invoice[شماره پیش فاکتور],0))</f>
        <v>289696993.95589</v>
      </c>
      <c r="K1211" s="159">
        <f>bargiri[[#This Row],[مبلغ خالص]]-bargiri[[#This Row],[میزان استهلاک پیش دریافتی]]</f>
        <v>1302553006.0441101</v>
      </c>
      <c r="L1211" s="160" t="s">
        <v>593</v>
      </c>
      <c r="M1211" s="159"/>
      <c r="N1211" s="159">
        <f>IF(bargiri[[#This Row],[مبلغ واریزی]]&lt;&gt;"",bargiri[[#This Row],[مانده مبلغ]]-bargiri[[#This Row],[مبلغ واریزی]],bargiri[[#This Row],[مانده مبلغ]])</f>
        <v>1302553006.0441101</v>
      </c>
      <c r="O1211" s="159" t="s">
        <v>593</v>
      </c>
      <c r="P1211" s="159">
        <f>VLOOKUP(bargiri[[#This Row],[شماره سند مبنا]],invoice[[شماره پیش فاکتور]:[پیش دریافت به ازای هر کیلوگرم]],14,0)</f>
        <v>15010.206940719689</v>
      </c>
      <c r="Q1211" s="159">
        <f>IF(bargiri[[#This Row],[مبلغ ناخالص]]-(bargiri[[#This Row],[نرخ استهلاک]]*bargiri[[#This Row],[مقدار]])&lt;0,0,bargiri[[#This Row],[مبلغ ناخالص]]-(bargiri[[#This Row],[نرخ استهلاک]]*bargiri[[#This Row],[مقدار]]))</f>
        <v>1157803006.0441101</v>
      </c>
    </row>
    <row r="1212" spans="1:17" s="22" customFormat="1" ht="13.8" x14ac:dyDescent="0.25">
      <c r="A1212" s="22">
        <v>332</v>
      </c>
      <c r="B1212" s="22" t="s">
        <v>459</v>
      </c>
      <c r="C1212" s="22" t="s">
        <v>456</v>
      </c>
      <c r="D1212" s="22" t="s">
        <v>213</v>
      </c>
      <c r="E1212" s="158">
        <v>7465</v>
      </c>
      <c r="F1212" s="159">
        <v>142000</v>
      </c>
      <c r="G1212" s="159">
        <v>1060030000</v>
      </c>
      <c r="H1212" s="159">
        <v>106003000</v>
      </c>
      <c r="I1212" s="159">
        <v>1166033000</v>
      </c>
      <c r="J1212" s="159">
        <f>bargiri[[#This Row],[مقدار]]*INDEX(invoice[پیش دریافت به ازای هر کیلوگرم],MATCH(bargiri[[#This Row],[شماره سند مبنا]],invoice[شماره پیش فاکتور],0))</f>
        <v>885827795.69805956</v>
      </c>
      <c r="K1212" s="159">
        <f>bargiri[[#This Row],[مبلغ خالص]]-bargiri[[#This Row],[میزان استهلاک پیش دریافتی]]</f>
        <v>280205204.30194044</v>
      </c>
      <c r="L1212" s="160" t="s">
        <v>593</v>
      </c>
      <c r="M1212" s="159"/>
      <c r="N1212" s="159">
        <f>IF(bargiri[[#This Row],[مبلغ واریزی]]&lt;&gt;"",bargiri[[#This Row],[مانده مبلغ]]-bargiri[[#This Row],[مبلغ واریزی]],bargiri[[#This Row],[مانده مبلغ]])</f>
        <v>280205204.30194044</v>
      </c>
      <c r="O1212" s="159" t="s">
        <v>593</v>
      </c>
      <c r="P1212" s="159">
        <f>VLOOKUP(bargiri[[#This Row],[شماره سند مبنا]],invoice[[شماره پیش فاکتور]:[پیش دریافت به ازای هر کیلوگرم]],14,0)</f>
        <v>118664.13874053041</v>
      </c>
      <c r="Q1212" s="159">
        <f>IF(bargiri[[#This Row],[مبلغ ناخالص]]-(bargiri[[#This Row],[نرخ استهلاک]]*bargiri[[#This Row],[مقدار]])&lt;0,0,bargiri[[#This Row],[مبلغ ناخالص]]-(bargiri[[#This Row],[نرخ استهلاک]]*bargiri[[#This Row],[مقدار]]))</f>
        <v>174202204.30194044</v>
      </c>
    </row>
    <row r="1213" spans="1:17" s="22" customFormat="1" ht="13.8" x14ac:dyDescent="0.25">
      <c r="A1213" s="22">
        <v>331</v>
      </c>
      <c r="B1213" s="22" t="s">
        <v>459</v>
      </c>
      <c r="C1213" s="22" t="s">
        <v>455</v>
      </c>
      <c r="D1213" s="22" t="s">
        <v>67</v>
      </c>
      <c r="E1213" s="158">
        <v>17685</v>
      </c>
      <c r="F1213" s="159">
        <v>142000</v>
      </c>
      <c r="G1213" s="159">
        <v>2511270000</v>
      </c>
      <c r="H1213" s="159">
        <v>251127000</v>
      </c>
      <c r="I1213" s="159">
        <v>2762397000</v>
      </c>
      <c r="J1213" s="159">
        <f>bargiri[[#This Row],[مقدار]]*INDEX(invoice[پیش دریافت به ازای هر کیلوگرم],MATCH(bargiri[[#This Row],[شماره سند مبنا]],invoice[شماره پیش فاکتور],0))</f>
        <v>414359550</v>
      </c>
      <c r="K1213" s="159">
        <f>bargiri[[#This Row],[مبلغ خالص]]-bargiri[[#This Row],[میزان استهلاک پیش دریافتی]]</f>
        <v>2348037450</v>
      </c>
      <c r="L1213" s="160" t="s">
        <v>593</v>
      </c>
      <c r="M1213" s="159"/>
      <c r="N1213" s="159">
        <f>IF(bargiri[[#This Row],[مبلغ واریزی]]&lt;&gt;"",bargiri[[#This Row],[مانده مبلغ]]-bargiri[[#This Row],[مبلغ واریزی]],bargiri[[#This Row],[مانده مبلغ]])</f>
        <v>2348037450</v>
      </c>
      <c r="O1213" s="159" t="s">
        <v>593</v>
      </c>
      <c r="P1213" s="159">
        <f>VLOOKUP(bargiri[[#This Row],[شماره سند مبنا]],invoice[[شماره پیش فاکتور]:[پیش دریافت به ازای هر کیلوگرم]],14,0)</f>
        <v>23430</v>
      </c>
      <c r="Q1213" s="159">
        <f>IF(bargiri[[#This Row],[مبلغ ناخالص]]-(bargiri[[#This Row],[نرخ استهلاک]]*bargiri[[#This Row],[مقدار]])&lt;0,0,bargiri[[#This Row],[مبلغ ناخالص]]-(bargiri[[#This Row],[نرخ استهلاک]]*bargiri[[#This Row],[مقدار]]))</f>
        <v>2096910450</v>
      </c>
    </row>
    <row r="1214" spans="1:17" s="22" customFormat="1" ht="13.8" x14ac:dyDescent="0.25">
      <c r="A1214" s="22">
        <v>330</v>
      </c>
      <c r="B1214" s="22" t="s">
        <v>462</v>
      </c>
      <c r="C1214" s="22" t="s">
        <v>119</v>
      </c>
      <c r="D1214" s="22" t="s">
        <v>25</v>
      </c>
      <c r="E1214" s="158">
        <v>20190</v>
      </c>
      <c r="F1214" s="159">
        <v>75000</v>
      </c>
      <c r="G1214" s="159">
        <v>1514250000</v>
      </c>
      <c r="H1214" s="159">
        <v>151425000</v>
      </c>
      <c r="I1214" s="159">
        <v>1665675000</v>
      </c>
      <c r="J1214" s="159">
        <f>bargiri[[#This Row],[مقدار]]*INDEX(invoice[پیش دریافت به ازای هر کیلوگرم],MATCH(bargiri[[#This Row],[شماره سند مبنا]],invoice[شماره پیش فاکتور],0))</f>
        <v>249851250</v>
      </c>
      <c r="K1214" s="159">
        <f>bargiri[[#This Row],[مبلغ خالص]]-bargiri[[#This Row],[میزان استهلاک پیش دریافتی]]</f>
        <v>1415823750</v>
      </c>
      <c r="L1214" s="160" t="s">
        <v>593</v>
      </c>
      <c r="M1214" s="159"/>
      <c r="N1214" s="159">
        <f>IF(bargiri[[#This Row],[مبلغ واریزی]]&lt;&gt;"",bargiri[[#This Row],[مانده مبلغ]]-bargiri[[#This Row],[مبلغ واریزی]],bargiri[[#This Row],[مانده مبلغ]])</f>
        <v>1415823750</v>
      </c>
      <c r="O1214" s="159" t="s">
        <v>593</v>
      </c>
      <c r="P1214" s="159">
        <f>VLOOKUP(bargiri[[#This Row],[شماره سند مبنا]],invoice[[شماره پیش فاکتور]:[پیش دریافت به ازای هر کیلوگرم]],14,0)</f>
        <v>12375</v>
      </c>
      <c r="Q1214" s="159">
        <f>IF(bargiri[[#This Row],[مبلغ ناخالص]]-(bargiri[[#This Row],[نرخ استهلاک]]*bargiri[[#This Row],[مقدار]])&lt;0,0,bargiri[[#This Row],[مبلغ ناخالص]]-(bargiri[[#This Row],[نرخ استهلاک]]*bargiri[[#This Row],[مقدار]]))</f>
        <v>1264398750</v>
      </c>
    </row>
    <row r="1215" spans="1:17" s="22" customFormat="1" ht="13.8" x14ac:dyDescent="0.25">
      <c r="A1215" s="22">
        <v>329</v>
      </c>
      <c r="B1215" s="22" t="s">
        <v>462</v>
      </c>
      <c r="C1215" s="22" t="s">
        <v>461</v>
      </c>
      <c r="D1215" s="22" t="s">
        <v>35</v>
      </c>
      <c r="E1215" s="158">
        <v>20020</v>
      </c>
      <c r="F1215" s="159">
        <v>142000</v>
      </c>
      <c r="G1215" s="159">
        <v>2842840000</v>
      </c>
      <c r="H1215" s="159">
        <v>284284000</v>
      </c>
      <c r="I1215" s="159">
        <v>3127124000</v>
      </c>
      <c r="J1215" s="159">
        <f>bargiri[[#This Row],[مقدار]]*INDEX(invoice[پیش دریافت به ازای هر کیلوگرم],MATCH(bargiri[[#This Row],[شماره سند مبنا]],invoice[شماره پیش فاکتور],0))</f>
        <v>657021396.99579239</v>
      </c>
      <c r="K1215" s="159">
        <f>bargiri[[#This Row],[مبلغ خالص]]-bargiri[[#This Row],[میزان استهلاک پیش دریافتی]]</f>
        <v>2470102603.0042076</v>
      </c>
      <c r="L1215" s="160" t="s">
        <v>593</v>
      </c>
      <c r="M1215" s="159"/>
      <c r="N1215" s="159">
        <f>IF(bargiri[[#This Row],[مبلغ واریزی]]&lt;&gt;"",bargiri[[#This Row],[مانده مبلغ]]-bargiri[[#This Row],[مبلغ واریزی]],bargiri[[#This Row],[مانده مبلغ]])</f>
        <v>2470102603.0042076</v>
      </c>
      <c r="O1215" s="159" t="s">
        <v>593</v>
      </c>
      <c r="P1215" s="159">
        <f>VLOOKUP(bargiri[[#This Row],[شماره سند مبنا]],invoice[[شماره پیش فاکتور]:[پیش دریافت به ازای هر کیلوگرم]],14,0)</f>
        <v>32818.251598191426</v>
      </c>
      <c r="Q1215" s="159">
        <f>IF(bargiri[[#This Row],[مبلغ ناخالص]]-(bargiri[[#This Row],[نرخ استهلاک]]*bargiri[[#This Row],[مقدار]])&lt;0,0,bargiri[[#This Row],[مبلغ ناخالص]]-(bargiri[[#This Row],[نرخ استهلاک]]*bargiri[[#This Row],[مقدار]]))</f>
        <v>2185818603.0042076</v>
      </c>
    </row>
    <row r="1216" spans="1:17" s="22" customFormat="1" ht="13.8" x14ac:dyDescent="0.25">
      <c r="A1216" s="22">
        <v>328</v>
      </c>
      <c r="B1216" s="22" t="s">
        <v>462</v>
      </c>
      <c r="C1216" s="22" t="s">
        <v>455</v>
      </c>
      <c r="D1216" s="22" t="s">
        <v>67</v>
      </c>
      <c r="E1216" s="158">
        <v>19970</v>
      </c>
      <c r="F1216" s="159">
        <v>142000</v>
      </c>
      <c r="G1216" s="159">
        <v>2835740000</v>
      </c>
      <c r="H1216" s="159">
        <v>283574000</v>
      </c>
      <c r="I1216" s="159">
        <v>3119314000</v>
      </c>
      <c r="J1216" s="159">
        <f>bargiri[[#This Row],[مقدار]]*INDEX(invoice[پیش دریافت به ازای هر کیلوگرم],MATCH(bargiri[[#This Row],[شماره سند مبنا]],invoice[شماره پیش فاکتور],0))</f>
        <v>467897100</v>
      </c>
      <c r="K1216" s="159">
        <f>bargiri[[#This Row],[مبلغ خالص]]-bargiri[[#This Row],[میزان استهلاک پیش دریافتی]]</f>
        <v>2651416900</v>
      </c>
      <c r="L1216" s="160" t="s">
        <v>593</v>
      </c>
      <c r="M1216" s="159"/>
      <c r="N1216" s="159">
        <f>IF(bargiri[[#This Row],[مبلغ واریزی]]&lt;&gt;"",bargiri[[#This Row],[مانده مبلغ]]-bargiri[[#This Row],[مبلغ واریزی]],bargiri[[#This Row],[مانده مبلغ]])</f>
        <v>2651416900</v>
      </c>
      <c r="O1216" s="159" t="s">
        <v>593</v>
      </c>
      <c r="P1216" s="159">
        <f>VLOOKUP(bargiri[[#This Row],[شماره سند مبنا]],invoice[[شماره پیش فاکتور]:[پیش دریافت به ازای هر کیلوگرم]],14,0)</f>
        <v>23430</v>
      </c>
      <c r="Q1216" s="159">
        <f>IF(bargiri[[#This Row],[مبلغ ناخالص]]-(bargiri[[#This Row],[نرخ استهلاک]]*bargiri[[#This Row],[مقدار]])&lt;0,0,bargiri[[#This Row],[مبلغ ناخالص]]-(bargiri[[#This Row],[نرخ استهلاک]]*bargiri[[#This Row],[مقدار]]))</f>
        <v>2367842900</v>
      </c>
    </row>
    <row r="1217" spans="1:17" s="22" customFormat="1" ht="13.8" x14ac:dyDescent="0.25">
      <c r="A1217" s="22">
        <v>327</v>
      </c>
      <c r="B1217" s="22" t="s">
        <v>462</v>
      </c>
      <c r="C1217" s="22" t="s">
        <v>107</v>
      </c>
      <c r="D1217" s="22" t="s">
        <v>30</v>
      </c>
      <c r="E1217" s="158">
        <v>10150</v>
      </c>
      <c r="F1217" s="159">
        <v>70000</v>
      </c>
      <c r="G1217" s="159">
        <v>710500000</v>
      </c>
      <c r="H1217" s="159">
        <v>71050000</v>
      </c>
      <c r="I1217" s="159">
        <v>781550000</v>
      </c>
      <c r="J1217" s="159">
        <f>bargiri[[#This Row],[مقدار]]*INDEX(invoice[پیش دریافت به ازای هر کیلوگرم],MATCH(bargiri[[#This Row],[شماره سند مبنا]],invoice[شماره پیش فاکتور],0))</f>
        <v>390775000</v>
      </c>
      <c r="K1217" s="159">
        <f>bargiri[[#This Row],[مبلغ خالص]]-bargiri[[#This Row],[میزان استهلاک پیش دریافتی]]</f>
        <v>390775000</v>
      </c>
      <c r="L1217" s="160" t="s">
        <v>593</v>
      </c>
      <c r="M1217" s="159"/>
      <c r="N1217" s="159">
        <f>IF(bargiri[[#This Row],[مبلغ واریزی]]&lt;&gt;"",bargiri[[#This Row],[مانده مبلغ]]-bargiri[[#This Row],[مبلغ واریزی]],bargiri[[#This Row],[مانده مبلغ]])</f>
        <v>390775000</v>
      </c>
      <c r="O1217" s="159" t="s">
        <v>593</v>
      </c>
      <c r="P1217" s="159">
        <f>VLOOKUP(bargiri[[#This Row],[شماره سند مبنا]],invoice[[شماره پیش فاکتور]:[پیش دریافت به ازای هر کیلوگرم]],14,0)</f>
        <v>38500</v>
      </c>
      <c r="Q1217" s="159">
        <f>IF(bargiri[[#This Row],[مبلغ ناخالص]]-(bargiri[[#This Row],[نرخ استهلاک]]*bargiri[[#This Row],[مقدار]])&lt;0,0,bargiri[[#This Row],[مبلغ ناخالص]]-(bargiri[[#This Row],[نرخ استهلاک]]*bargiri[[#This Row],[مقدار]]))</f>
        <v>319725000</v>
      </c>
    </row>
    <row r="1218" spans="1:17" s="22" customFormat="1" ht="13.8" x14ac:dyDescent="0.25">
      <c r="A1218" s="22">
        <v>326</v>
      </c>
      <c r="B1218" s="22" t="s">
        <v>462</v>
      </c>
      <c r="C1218" s="22" t="s">
        <v>463</v>
      </c>
      <c r="D1218" s="22" t="s">
        <v>207</v>
      </c>
      <c r="E1218" s="158">
        <v>6690</v>
      </c>
      <c r="F1218" s="159">
        <v>142000</v>
      </c>
      <c r="G1218" s="159">
        <v>949980000</v>
      </c>
      <c r="H1218" s="159">
        <v>94998000</v>
      </c>
      <c r="I1218" s="159">
        <v>1044978000</v>
      </c>
      <c r="J1218" s="159">
        <f>bargiri[[#This Row],[مقدار]]*INDEX(invoice[پیش دریافت به ازای هر کیلوگرم],MATCH(bargiri[[#This Row],[شماره سند مبنا]],invoice[شماره پیش فاکتور],0))</f>
        <v>201413305.80474934</v>
      </c>
      <c r="K1218" s="159">
        <f>bargiri[[#This Row],[مبلغ خالص]]-bargiri[[#This Row],[میزان استهلاک پیش دریافتی]]</f>
        <v>843564694.19525063</v>
      </c>
      <c r="L1218" s="160" t="s">
        <v>593</v>
      </c>
      <c r="M1218" s="159"/>
      <c r="N1218" s="159">
        <f>IF(bargiri[[#This Row],[مبلغ واریزی]]&lt;&gt;"",bargiri[[#This Row],[مانده مبلغ]]-bargiri[[#This Row],[مبلغ واریزی]],bargiri[[#This Row],[مانده مبلغ]])</f>
        <v>843564694.19525063</v>
      </c>
      <c r="O1218" s="159" t="s">
        <v>593</v>
      </c>
      <c r="P1218" s="159">
        <f>VLOOKUP(bargiri[[#This Row],[شماره سند مبنا]],invoice[[شماره پیش فاکتور]:[پیش دریافت به ازای هر کیلوگرم]],14,0)</f>
        <v>30106.622691292876</v>
      </c>
      <c r="Q1218" s="159">
        <f>IF(bargiri[[#This Row],[مبلغ ناخالص]]-(bargiri[[#This Row],[نرخ استهلاک]]*bargiri[[#This Row],[مقدار]])&lt;0,0,bargiri[[#This Row],[مبلغ ناخالص]]-(bargiri[[#This Row],[نرخ استهلاک]]*bargiri[[#This Row],[مقدار]]))</f>
        <v>748566694.19525063</v>
      </c>
    </row>
    <row r="1219" spans="1:17" s="22" customFormat="1" ht="13.8" x14ac:dyDescent="0.25">
      <c r="A1219" s="22">
        <v>325</v>
      </c>
      <c r="B1219" s="22" t="s">
        <v>462</v>
      </c>
      <c r="C1219" s="22" t="s">
        <v>464</v>
      </c>
      <c r="D1219" s="22" t="s">
        <v>221</v>
      </c>
      <c r="E1219" s="158">
        <v>14335</v>
      </c>
      <c r="F1219" s="159">
        <v>142000</v>
      </c>
      <c r="G1219" s="159">
        <v>2035570000</v>
      </c>
      <c r="H1219" s="159">
        <v>203557000</v>
      </c>
      <c r="I1219" s="159">
        <v>2239127000</v>
      </c>
      <c r="J1219" s="159">
        <f>bargiri[[#This Row],[مقدار]]*INDEX(invoice[پیش دریافت به ازای هر کیلوگرم],MATCH(bargiri[[#This Row],[شماره سند مبنا]],invoice[شماره پیش فاکتور],0))</f>
        <v>335869050</v>
      </c>
      <c r="K1219" s="159">
        <f>bargiri[[#This Row],[مبلغ خالص]]-bargiri[[#This Row],[میزان استهلاک پیش دریافتی]]</f>
        <v>1903257950</v>
      </c>
      <c r="L1219" s="160" t="s">
        <v>593</v>
      </c>
      <c r="M1219" s="159"/>
      <c r="N1219" s="159">
        <f>IF(bargiri[[#This Row],[مبلغ واریزی]]&lt;&gt;"",bargiri[[#This Row],[مانده مبلغ]]-bargiri[[#This Row],[مبلغ واریزی]],bargiri[[#This Row],[مانده مبلغ]])</f>
        <v>1903257950</v>
      </c>
      <c r="O1219" s="159" t="s">
        <v>593</v>
      </c>
      <c r="P1219" s="159">
        <f>VLOOKUP(bargiri[[#This Row],[شماره سند مبنا]],invoice[[شماره پیش فاکتور]:[پیش دریافت به ازای هر کیلوگرم]],14,0)</f>
        <v>23430</v>
      </c>
      <c r="Q1219" s="159">
        <f>IF(bargiri[[#This Row],[مبلغ ناخالص]]-(bargiri[[#This Row],[نرخ استهلاک]]*bargiri[[#This Row],[مقدار]])&lt;0,0,bargiri[[#This Row],[مبلغ ناخالص]]-(bargiri[[#This Row],[نرخ استهلاک]]*bargiri[[#This Row],[مقدار]]))</f>
        <v>1699700950</v>
      </c>
    </row>
    <row r="1220" spans="1:17" s="22" customFormat="1" ht="13.8" x14ac:dyDescent="0.25">
      <c r="A1220" s="22">
        <v>324</v>
      </c>
      <c r="B1220" s="22" t="s">
        <v>465</v>
      </c>
      <c r="C1220" s="22" t="s">
        <v>456</v>
      </c>
      <c r="D1220" s="22" t="s">
        <v>213</v>
      </c>
      <c r="E1220" s="158">
        <v>7365</v>
      </c>
      <c r="F1220" s="159">
        <v>142000</v>
      </c>
      <c r="G1220" s="159">
        <v>1045830000</v>
      </c>
      <c r="H1220" s="159">
        <v>104583000</v>
      </c>
      <c r="I1220" s="159">
        <v>1150413000</v>
      </c>
      <c r="J1220" s="159">
        <f>bargiri[[#This Row],[مقدار]]*INDEX(invoice[پیش دریافت به ازای هر کیلوگرم],MATCH(bargiri[[#This Row],[شماره سند مبنا]],invoice[شماره پیش فاکتور],0))</f>
        <v>873961381.82400644</v>
      </c>
      <c r="K1220" s="159">
        <f>bargiri[[#This Row],[مبلغ خالص]]-bargiri[[#This Row],[میزان استهلاک پیش دریافتی]]</f>
        <v>276451618.17599356</v>
      </c>
      <c r="L1220" s="160" t="s">
        <v>593</v>
      </c>
      <c r="M1220" s="159"/>
      <c r="N1220" s="159">
        <f>IF(bargiri[[#This Row],[مبلغ واریزی]]&lt;&gt;"",bargiri[[#This Row],[مانده مبلغ]]-bargiri[[#This Row],[مبلغ واریزی]],bargiri[[#This Row],[مانده مبلغ]])</f>
        <v>276451618.17599356</v>
      </c>
      <c r="O1220" s="159" t="s">
        <v>593</v>
      </c>
      <c r="P1220" s="159">
        <f>VLOOKUP(bargiri[[#This Row],[شماره سند مبنا]],invoice[[شماره پیش فاکتور]:[پیش دریافت به ازای هر کیلوگرم]],14,0)</f>
        <v>118664.13874053041</v>
      </c>
      <c r="Q1220" s="159">
        <f>IF(bargiri[[#This Row],[مبلغ ناخالص]]-(bargiri[[#This Row],[نرخ استهلاک]]*bargiri[[#This Row],[مقدار]])&lt;0,0,bargiri[[#This Row],[مبلغ ناخالص]]-(bargiri[[#This Row],[نرخ استهلاک]]*bargiri[[#This Row],[مقدار]]))</f>
        <v>171868618.17599356</v>
      </c>
    </row>
    <row r="1221" spans="1:17" s="22" customFormat="1" ht="13.8" x14ac:dyDescent="0.25">
      <c r="A1221" s="22">
        <v>323</v>
      </c>
      <c r="B1221" s="22" t="s">
        <v>465</v>
      </c>
      <c r="C1221" s="22" t="s">
        <v>455</v>
      </c>
      <c r="D1221" s="22" t="s">
        <v>67</v>
      </c>
      <c r="E1221" s="158">
        <v>20005</v>
      </c>
      <c r="F1221" s="159">
        <v>142000</v>
      </c>
      <c r="G1221" s="159">
        <v>2840710000</v>
      </c>
      <c r="H1221" s="159">
        <v>284071000</v>
      </c>
      <c r="I1221" s="159">
        <v>3124781000</v>
      </c>
      <c r="J1221" s="159">
        <f>bargiri[[#This Row],[مقدار]]*INDEX(invoice[پیش دریافت به ازای هر کیلوگرم],MATCH(bargiri[[#This Row],[شماره سند مبنا]],invoice[شماره پیش فاکتور],0))</f>
        <v>468717150</v>
      </c>
      <c r="K1221" s="159">
        <f>bargiri[[#This Row],[مبلغ خالص]]-bargiri[[#This Row],[میزان استهلاک پیش دریافتی]]</f>
        <v>2656063850</v>
      </c>
      <c r="L1221" s="160" t="s">
        <v>593</v>
      </c>
      <c r="M1221" s="159"/>
      <c r="N1221" s="159">
        <f>IF(bargiri[[#This Row],[مبلغ واریزی]]&lt;&gt;"",bargiri[[#This Row],[مانده مبلغ]]-bargiri[[#This Row],[مبلغ واریزی]],bargiri[[#This Row],[مانده مبلغ]])</f>
        <v>2656063850</v>
      </c>
      <c r="O1221" s="159" t="s">
        <v>593</v>
      </c>
      <c r="P1221" s="159">
        <f>VLOOKUP(bargiri[[#This Row],[شماره سند مبنا]],invoice[[شماره پیش فاکتور]:[پیش دریافت به ازای هر کیلوگرم]],14,0)</f>
        <v>23430</v>
      </c>
      <c r="Q1221" s="159">
        <f>IF(bargiri[[#This Row],[مبلغ ناخالص]]-(bargiri[[#This Row],[نرخ استهلاک]]*bargiri[[#This Row],[مقدار]])&lt;0,0,bargiri[[#This Row],[مبلغ ناخالص]]-(bargiri[[#This Row],[نرخ استهلاک]]*bargiri[[#This Row],[مقدار]]))</f>
        <v>2371992850</v>
      </c>
    </row>
    <row r="1222" spans="1:17" s="22" customFormat="1" ht="13.8" x14ac:dyDescent="0.25">
      <c r="A1222" s="22">
        <v>322</v>
      </c>
      <c r="B1222" s="22" t="s">
        <v>465</v>
      </c>
      <c r="C1222" s="22" t="s">
        <v>455</v>
      </c>
      <c r="D1222" s="22" t="s">
        <v>67</v>
      </c>
      <c r="E1222" s="158">
        <v>8100</v>
      </c>
      <c r="F1222" s="159">
        <v>142000</v>
      </c>
      <c r="G1222" s="159">
        <v>1150200000</v>
      </c>
      <c r="H1222" s="159">
        <v>115020000</v>
      </c>
      <c r="I1222" s="159">
        <v>1265220000</v>
      </c>
      <c r="J1222" s="159">
        <f>bargiri[[#This Row],[مقدار]]*INDEX(invoice[پیش دریافت به ازای هر کیلوگرم],MATCH(bargiri[[#This Row],[شماره سند مبنا]],invoice[شماره پیش فاکتور],0))</f>
        <v>189783000</v>
      </c>
      <c r="K1222" s="159">
        <f>bargiri[[#This Row],[مبلغ خالص]]-bargiri[[#This Row],[میزان استهلاک پیش دریافتی]]</f>
        <v>1075437000</v>
      </c>
      <c r="L1222" s="160" t="s">
        <v>593</v>
      </c>
      <c r="M1222" s="159"/>
      <c r="N1222" s="159">
        <f>IF(bargiri[[#This Row],[مبلغ واریزی]]&lt;&gt;"",bargiri[[#This Row],[مانده مبلغ]]-bargiri[[#This Row],[مبلغ واریزی]],bargiri[[#This Row],[مانده مبلغ]])</f>
        <v>1075437000</v>
      </c>
      <c r="O1222" s="159" t="s">
        <v>593</v>
      </c>
      <c r="P1222" s="159">
        <f>VLOOKUP(bargiri[[#This Row],[شماره سند مبنا]],invoice[[شماره پیش فاکتور]:[پیش دریافت به ازای هر کیلوگرم]],14,0)</f>
        <v>23430</v>
      </c>
      <c r="Q1222" s="159">
        <f>IF(bargiri[[#This Row],[مبلغ ناخالص]]-(bargiri[[#This Row],[نرخ استهلاک]]*bargiri[[#This Row],[مقدار]])&lt;0,0,bargiri[[#This Row],[مبلغ ناخالص]]-(bargiri[[#This Row],[نرخ استهلاک]]*bargiri[[#This Row],[مقدار]]))</f>
        <v>960417000</v>
      </c>
    </row>
    <row r="1223" spans="1:17" s="22" customFormat="1" ht="13.8" x14ac:dyDescent="0.25">
      <c r="A1223" s="22">
        <v>321</v>
      </c>
      <c r="B1223" s="22" t="s">
        <v>465</v>
      </c>
      <c r="C1223" s="22" t="s">
        <v>461</v>
      </c>
      <c r="D1223" s="22" t="s">
        <v>35</v>
      </c>
      <c r="E1223" s="158">
        <v>7200</v>
      </c>
      <c r="F1223" s="159">
        <v>142000</v>
      </c>
      <c r="G1223" s="159">
        <v>1022400000</v>
      </c>
      <c r="H1223" s="159">
        <v>102240000</v>
      </c>
      <c r="I1223" s="159">
        <v>1124640000</v>
      </c>
      <c r="J1223" s="159">
        <f>bargiri[[#This Row],[مقدار]]*INDEX(invoice[پیش دریافت به ازای هر کیلوگرم],MATCH(bargiri[[#This Row],[شماره سند مبنا]],invoice[شماره پیش فاکتور],0))</f>
        <v>236291411.50697827</v>
      </c>
      <c r="K1223" s="159">
        <f>bargiri[[#This Row],[مبلغ خالص]]-bargiri[[#This Row],[میزان استهلاک پیش دریافتی]]</f>
        <v>888348588.49302173</v>
      </c>
      <c r="L1223" s="160" t="s">
        <v>593</v>
      </c>
      <c r="M1223" s="159"/>
      <c r="N1223" s="159">
        <f>IF(bargiri[[#This Row],[مبلغ واریزی]]&lt;&gt;"",bargiri[[#This Row],[مانده مبلغ]]-bargiri[[#This Row],[مبلغ واریزی]],bargiri[[#This Row],[مانده مبلغ]])</f>
        <v>888348588.49302173</v>
      </c>
      <c r="O1223" s="159" t="s">
        <v>593</v>
      </c>
      <c r="P1223" s="159">
        <f>VLOOKUP(bargiri[[#This Row],[شماره سند مبنا]],invoice[[شماره پیش فاکتور]:[پیش دریافت به ازای هر کیلوگرم]],14,0)</f>
        <v>32818.251598191426</v>
      </c>
      <c r="Q1223" s="159">
        <f>IF(bargiri[[#This Row],[مبلغ ناخالص]]-(bargiri[[#This Row],[نرخ استهلاک]]*bargiri[[#This Row],[مقدار]])&lt;0,0,bargiri[[#This Row],[مبلغ ناخالص]]-(bargiri[[#This Row],[نرخ استهلاک]]*bargiri[[#This Row],[مقدار]]))</f>
        <v>786108588.49302173</v>
      </c>
    </row>
    <row r="1224" spans="1:17" s="22" customFormat="1" ht="13.8" x14ac:dyDescent="0.25">
      <c r="A1224" s="22">
        <v>320</v>
      </c>
      <c r="B1224" s="22" t="s">
        <v>465</v>
      </c>
      <c r="C1224" s="22" t="s">
        <v>455</v>
      </c>
      <c r="D1224" s="22" t="s">
        <v>67</v>
      </c>
      <c r="E1224" s="158">
        <v>20015</v>
      </c>
      <c r="F1224" s="159">
        <v>142000</v>
      </c>
      <c r="G1224" s="159">
        <v>2842130000</v>
      </c>
      <c r="H1224" s="159">
        <v>284213000</v>
      </c>
      <c r="I1224" s="159">
        <v>3126343000</v>
      </c>
      <c r="J1224" s="159">
        <f>bargiri[[#This Row],[مقدار]]*INDEX(invoice[پیش دریافت به ازای هر کیلوگرم],MATCH(bargiri[[#This Row],[شماره سند مبنا]],invoice[شماره پیش فاکتور],0))</f>
        <v>468951450</v>
      </c>
      <c r="K1224" s="159">
        <f>bargiri[[#This Row],[مبلغ خالص]]-bargiri[[#This Row],[میزان استهلاک پیش دریافتی]]</f>
        <v>2657391550</v>
      </c>
      <c r="L1224" s="160" t="s">
        <v>593</v>
      </c>
      <c r="M1224" s="159"/>
      <c r="N1224" s="159">
        <f>IF(bargiri[[#This Row],[مبلغ واریزی]]&lt;&gt;"",bargiri[[#This Row],[مانده مبلغ]]-bargiri[[#This Row],[مبلغ واریزی]],bargiri[[#This Row],[مانده مبلغ]])</f>
        <v>2657391550</v>
      </c>
      <c r="O1224" s="159" t="s">
        <v>593</v>
      </c>
      <c r="P1224" s="159">
        <f>VLOOKUP(bargiri[[#This Row],[شماره سند مبنا]],invoice[[شماره پیش فاکتور]:[پیش دریافت به ازای هر کیلوگرم]],14,0)</f>
        <v>23430</v>
      </c>
      <c r="Q1224" s="159">
        <f>IF(bargiri[[#This Row],[مبلغ ناخالص]]-(bargiri[[#This Row],[نرخ استهلاک]]*bargiri[[#This Row],[مقدار]])&lt;0,0,bargiri[[#This Row],[مبلغ ناخالص]]-(bargiri[[#This Row],[نرخ استهلاک]]*bargiri[[#This Row],[مقدار]]))</f>
        <v>2373178550</v>
      </c>
    </row>
    <row r="1225" spans="1:17" s="22" customFormat="1" ht="13.8" x14ac:dyDescent="0.25">
      <c r="A1225" s="22">
        <v>319</v>
      </c>
      <c r="B1225" s="22" t="s">
        <v>465</v>
      </c>
      <c r="C1225" s="22" t="s">
        <v>455</v>
      </c>
      <c r="D1225" s="22" t="s">
        <v>67</v>
      </c>
      <c r="E1225" s="158">
        <v>19970</v>
      </c>
      <c r="F1225" s="159">
        <v>142000</v>
      </c>
      <c r="G1225" s="159">
        <v>2835740000</v>
      </c>
      <c r="H1225" s="159">
        <v>283574000</v>
      </c>
      <c r="I1225" s="159">
        <v>3119314000</v>
      </c>
      <c r="J1225" s="159">
        <f>bargiri[[#This Row],[مقدار]]*INDEX(invoice[پیش دریافت به ازای هر کیلوگرم],MATCH(bargiri[[#This Row],[شماره سند مبنا]],invoice[شماره پیش فاکتور],0))</f>
        <v>467897100</v>
      </c>
      <c r="K1225" s="159">
        <f>bargiri[[#This Row],[مبلغ خالص]]-bargiri[[#This Row],[میزان استهلاک پیش دریافتی]]</f>
        <v>2651416900</v>
      </c>
      <c r="L1225" s="160" t="s">
        <v>593</v>
      </c>
      <c r="M1225" s="159"/>
      <c r="N1225" s="159">
        <f>IF(bargiri[[#This Row],[مبلغ واریزی]]&lt;&gt;"",bargiri[[#This Row],[مانده مبلغ]]-bargiri[[#This Row],[مبلغ واریزی]],bargiri[[#This Row],[مانده مبلغ]])</f>
        <v>2651416900</v>
      </c>
      <c r="O1225" s="159" t="s">
        <v>593</v>
      </c>
      <c r="P1225" s="159">
        <f>VLOOKUP(bargiri[[#This Row],[شماره سند مبنا]],invoice[[شماره پیش فاکتور]:[پیش دریافت به ازای هر کیلوگرم]],14,0)</f>
        <v>23430</v>
      </c>
      <c r="Q1225" s="159">
        <f>IF(bargiri[[#This Row],[مبلغ ناخالص]]-(bargiri[[#This Row],[نرخ استهلاک]]*bargiri[[#This Row],[مقدار]])&lt;0,0,bargiri[[#This Row],[مبلغ ناخالص]]-(bargiri[[#This Row],[نرخ استهلاک]]*bargiri[[#This Row],[مقدار]]))</f>
        <v>2367842900</v>
      </c>
    </row>
    <row r="1226" spans="1:17" s="22" customFormat="1" ht="13.8" x14ac:dyDescent="0.25">
      <c r="A1226" s="22">
        <v>318</v>
      </c>
      <c r="B1226" s="22" t="s">
        <v>465</v>
      </c>
      <c r="C1226" s="22" t="s">
        <v>461</v>
      </c>
      <c r="D1226" s="22" t="s">
        <v>35</v>
      </c>
      <c r="E1226" s="158">
        <v>7455</v>
      </c>
      <c r="F1226" s="159">
        <v>142000</v>
      </c>
      <c r="G1226" s="159">
        <v>1058610000</v>
      </c>
      <c r="H1226" s="159">
        <v>105861000</v>
      </c>
      <c r="I1226" s="159">
        <v>1164471000</v>
      </c>
      <c r="J1226" s="159">
        <f>bargiri[[#This Row],[مقدار]]*INDEX(invoice[پیش دریافت به ازای هر کیلوگرم],MATCH(bargiri[[#This Row],[شماره سند مبنا]],invoice[شماره پیش فاکتور],0))</f>
        <v>244660065.66451707</v>
      </c>
      <c r="K1226" s="159">
        <f>bargiri[[#This Row],[مبلغ خالص]]-bargiri[[#This Row],[میزان استهلاک پیش دریافتی]]</f>
        <v>919810934.33548295</v>
      </c>
      <c r="L1226" s="160" t="s">
        <v>593</v>
      </c>
      <c r="M1226" s="159"/>
      <c r="N1226" s="159">
        <f>IF(bargiri[[#This Row],[مبلغ واریزی]]&lt;&gt;"",bargiri[[#This Row],[مانده مبلغ]]-bargiri[[#This Row],[مبلغ واریزی]],bargiri[[#This Row],[مانده مبلغ]])</f>
        <v>919810934.33548295</v>
      </c>
      <c r="O1226" s="159" t="s">
        <v>593</v>
      </c>
      <c r="P1226" s="159">
        <f>VLOOKUP(bargiri[[#This Row],[شماره سند مبنا]],invoice[[شماره پیش فاکتور]:[پیش دریافت به ازای هر کیلوگرم]],14,0)</f>
        <v>32818.251598191426</v>
      </c>
      <c r="Q1226" s="159">
        <f>IF(bargiri[[#This Row],[مبلغ ناخالص]]-(bargiri[[#This Row],[نرخ استهلاک]]*bargiri[[#This Row],[مقدار]])&lt;0,0,bargiri[[#This Row],[مبلغ ناخالص]]-(bargiri[[#This Row],[نرخ استهلاک]]*bargiri[[#This Row],[مقدار]]))</f>
        <v>813949934.33548295</v>
      </c>
    </row>
    <row r="1227" spans="1:17" s="22" customFormat="1" ht="13.8" x14ac:dyDescent="0.25">
      <c r="A1227" s="22">
        <v>317</v>
      </c>
      <c r="B1227" s="22" t="s">
        <v>465</v>
      </c>
      <c r="C1227" s="22" t="s">
        <v>119</v>
      </c>
      <c r="D1227" s="22" t="s">
        <v>25</v>
      </c>
      <c r="E1227" s="158">
        <v>20170</v>
      </c>
      <c r="F1227" s="159">
        <v>75000</v>
      </c>
      <c r="G1227" s="159">
        <v>1512750000</v>
      </c>
      <c r="H1227" s="159">
        <v>151275000</v>
      </c>
      <c r="I1227" s="159">
        <v>1664025000</v>
      </c>
      <c r="J1227" s="159">
        <f>bargiri[[#This Row],[مقدار]]*INDEX(invoice[پیش دریافت به ازای هر کیلوگرم],MATCH(bargiri[[#This Row],[شماره سند مبنا]],invoice[شماره پیش فاکتور],0))</f>
        <v>249603750</v>
      </c>
      <c r="K1227" s="159">
        <f>bargiri[[#This Row],[مبلغ خالص]]-bargiri[[#This Row],[میزان استهلاک پیش دریافتی]]</f>
        <v>1414421250</v>
      </c>
      <c r="L1227" s="160" t="s">
        <v>593</v>
      </c>
      <c r="M1227" s="159"/>
      <c r="N1227" s="159">
        <f>IF(bargiri[[#This Row],[مبلغ واریزی]]&lt;&gt;"",bargiri[[#This Row],[مانده مبلغ]]-bargiri[[#This Row],[مبلغ واریزی]],bargiri[[#This Row],[مانده مبلغ]])</f>
        <v>1414421250</v>
      </c>
      <c r="O1227" s="159" t="s">
        <v>593</v>
      </c>
      <c r="P1227" s="159">
        <f>VLOOKUP(bargiri[[#This Row],[شماره سند مبنا]],invoice[[شماره پیش فاکتور]:[پیش دریافت به ازای هر کیلوگرم]],14,0)</f>
        <v>12375</v>
      </c>
      <c r="Q1227" s="159">
        <f>IF(bargiri[[#This Row],[مبلغ ناخالص]]-(bargiri[[#This Row],[نرخ استهلاک]]*bargiri[[#This Row],[مقدار]])&lt;0,0,bargiri[[#This Row],[مبلغ ناخالص]]-(bargiri[[#This Row],[نرخ استهلاک]]*bargiri[[#This Row],[مقدار]]))</f>
        <v>1263146250</v>
      </c>
    </row>
    <row r="1228" spans="1:17" s="22" customFormat="1" ht="13.8" x14ac:dyDescent="0.25">
      <c r="A1228" s="22">
        <v>316</v>
      </c>
      <c r="B1228" s="22" t="s">
        <v>465</v>
      </c>
      <c r="C1228" s="22" t="s">
        <v>176</v>
      </c>
      <c r="D1228" s="22" t="s">
        <v>70</v>
      </c>
      <c r="E1228" s="158">
        <v>19945</v>
      </c>
      <c r="F1228" s="159">
        <v>75000</v>
      </c>
      <c r="G1228" s="159">
        <v>1495875000</v>
      </c>
      <c r="H1228" s="159">
        <v>149587500</v>
      </c>
      <c r="I1228" s="159">
        <v>1645462500</v>
      </c>
      <c r="J1228" s="159" t="e">
        <f>bargiri[[#This Row],[مقدار]]*INDEX(invoice[پیش دریافت به ازای هر کیلوگرم],MATCH(bargiri[[#This Row],[شماره سند مبنا]],invoice[شماره پیش فاکتور],0))</f>
        <v>#N/A</v>
      </c>
      <c r="K1228" s="159" t="e">
        <f>bargiri[[#This Row],[مبلغ خالص]]-bargiri[[#This Row],[میزان استهلاک پیش دریافتی]]</f>
        <v>#N/A</v>
      </c>
      <c r="L1228" s="160" t="s">
        <v>593</v>
      </c>
      <c r="M1228" s="159"/>
      <c r="N1228" s="159" t="e">
        <f>IF(bargiri[[#This Row],[مبلغ واریزی]]&lt;&gt;"",bargiri[[#This Row],[مانده مبلغ]]-bargiri[[#This Row],[مبلغ واریزی]],bargiri[[#This Row],[مانده مبلغ]])</f>
        <v>#N/A</v>
      </c>
      <c r="O1228" s="159" t="s">
        <v>593</v>
      </c>
      <c r="P1228" s="159" t="e">
        <f>VLOOKUP(bargiri[[#This Row],[شماره سند مبنا]],invoice[[شماره پیش فاکتور]:[پیش دریافت به ازای هر کیلوگرم]],14,0)</f>
        <v>#N/A</v>
      </c>
      <c r="Q1228" s="159" t="e">
        <f>IF(bargiri[[#This Row],[مبلغ ناخالص]]-(bargiri[[#This Row],[نرخ استهلاک]]*bargiri[[#This Row],[مقدار]])&lt;0,0,bargiri[[#This Row],[مبلغ ناخالص]]-(bargiri[[#This Row],[نرخ استهلاک]]*bargiri[[#This Row],[مقدار]]))</f>
        <v>#N/A</v>
      </c>
    </row>
    <row r="1229" spans="1:17" s="22" customFormat="1" ht="13.8" x14ac:dyDescent="0.25">
      <c r="A1229" s="22">
        <v>315</v>
      </c>
      <c r="B1229" s="22" t="s">
        <v>341</v>
      </c>
      <c r="C1229" s="22" t="s">
        <v>149</v>
      </c>
      <c r="D1229" s="22" t="s">
        <v>35</v>
      </c>
      <c r="E1229" s="158">
        <v>10260</v>
      </c>
      <c r="F1229" s="159">
        <v>75000</v>
      </c>
      <c r="G1229" s="159">
        <v>769500000</v>
      </c>
      <c r="H1229" s="159">
        <v>76950000</v>
      </c>
      <c r="I1229" s="159">
        <v>846450000</v>
      </c>
      <c r="J1229" s="159">
        <f>bargiri[[#This Row],[مقدار]]*INDEX(invoice[پیش دریافت به ازای هر کیلوگرم],MATCH(bargiri[[#This Row],[شماره سند مبنا]],invoice[شماره پیش فاکتور],0))</f>
        <v>126976811.63285308</v>
      </c>
      <c r="K1229" s="159">
        <f>bargiri[[#This Row],[مبلغ خالص]]-bargiri[[#This Row],[میزان استهلاک پیش دریافتی]]</f>
        <v>719473188.36714697</v>
      </c>
      <c r="L1229" s="160" t="s">
        <v>593</v>
      </c>
      <c r="M1229" s="159"/>
      <c r="N1229" s="159">
        <f>IF(bargiri[[#This Row],[مبلغ واریزی]]&lt;&gt;"",bargiri[[#This Row],[مانده مبلغ]]-bargiri[[#This Row],[مبلغ واریزی]],bargiri[[#This Row],[مانده مبلغ]])</f>
        <v>719473188.36714697</v>
      </c>
      <c r="O1229" s="159" t="s">
        <v>593</v>
      </c>
      <c r="P1229" s="159">
        <f>VLOOKUP(bargiri[[#This Row],[شماره سند مبنا]],invoice[[شماره پیش فاکتور]:[پیش دریافت به ازای هر کیلوگرم]],14,0)</f>
        <v>12375.907566554881</v>
      </c>
      <c r="Q1229" s="159">
        <f>IF(bargiri[[#This Row],[مبلغ ناخالص]]-(bargiri[[#This Row],[نرخ استهلاک]]*bargiri[[#This Row],[مقدار]])&lt;0,0,bargiri[[#This Row],[مبلغ ناخالص]]-(bargiri[[#This Row],[نرخ استهلاک]]*bargiri[[#This Row],[مقدار]]))</f>
        <v>642523188.36714697</v>
      </c>
    </row>
    <row r="1230" spans="1:17" s="22" customFormat="1" ht="13.8" x14ac:dyDescent="0.25">
      <c r="A1230" s="22">
        <v>315</v>
      </c>
      <c r="B1230" s="22" t="s">
        <v>341</v>
      </c>
      <c r="C1230" s="22" t="s">
        <v>461</v>
      </c>
      <c r="D1230" s="22" t="s">
        <v>35</v>
      </c>
      <c r="E1230" s="158">
        <v>9815</v>
      </c>
      <c r="F1230" s="159">
        <v>142000</v>
      </c>
      <c r="G1230" s="159">
        <v>1393730000</v>
      </c>
      <c r="H1230" s="159">
        <v>139373000</v>
      </c>
      <c r="I1230" s="159">
        <v>1533103000</v>
      </c>
      <c r="J1230" s="159">
        <f>bargiri[[#This Row],[مقدار]]*INDEX(invoice[پیش دریافت به ازای هر کیلوگرم],MATCH(bargiri[[#This Row],[شماره سند مبنا]],invoice[شماره پیش فاکتور],0))</f>
        <v>322111139.43624884</v>
      </c>
      <c r="K1230" s="159">
        <f>bargiri[[#This Row],[مبلغ خالص]]-bargiri[[#This Row],[میزان استهلاک پیش دریافتی]]</f>
        <v>1210991860.5637512</v>
      </c>
      <c r="L1230" s="160" t="s">
        <v>593</v>
      </c>
      <c r="M1230" s="159"/>
      <c r="N1230" s="159">
        <f>IF(bargiri[[#This Row],[مبلغ واریزی]]&lt;&gt;"",bargiri[[#This Row],[مانده مبلغ]]-bargiri[[#This Row],[مبلغ واریزی]],bargiri[[#This Row],[مانده مبلغ]])</f>
        <v>1210991860.5637512</v>
      </c>
      <c r="O1230" s="159" t="s">
        <v>593</v>
      </c>
      <c r="P1230" s="159">
        <f>VLOOKUP(bargiri[[#This Row],[شماره سند مبنا]],invoice[[شماره پیش فاکتور]:[پیش دریافت به ازای هر کیلوگرم]],14,0)</f>
        <v>32818.251598191426</v>
      </c>
      <c r="Q1230" s="159">
        <f>IF(bargiri[[#This Row],[مبلغ ناخالص]]-(bargiri[[#This Row],[نرخ استهلاک]]*bargiri[[#This Row],[مقدار]])&lt;0,0,bargiri[[#This Row],[مبلغ ناخالص]]-(bargiri[[#This Row],[نرخ استهلاک]]*bargiri[[#This Row],[مقدار]]))</f>
        <v>1071618860.5637512</v>
      </c>
    </row>
    <row r="1231" spans="1:17" s="22" customFormat="1" ht="13.8" x14ac:dyDescent="0.25">
      <c r="A1231" s="22">
        <v>314</v>
      </c>
      <c r="B1231" s="22" t="s">
        <v>365</v>
      </c>
      <c r="C1231" s="22" t="s">
        <v>115</v>
      </c>
      <c r="D1231" s="22" t="s">
        <v>116</v>
      </c>
      <c r="E1231" s="158">
        <v>19145</v>
      </c>
      <c r="F1231" s="159">
        <v>75000</v>
      </c>
      <c r="G1231" s="159">
        <v>1435875000</v>
      </c>
      <c r="H1231" s="159">
        <v>143587500</v>
      </c>
      <c r="I1231" s="159">
        <v>1579462500</v>
      </c>
      <c r="J1231" s="159">
        <f>bargiri[[#This Row],[مقدار]]*INDEX(invoice[پیش دریافت به ازای هر کیلوگرم],MATCH(bargiri[[#This Row],[شماره سند مبنا]],invoice[شماره پیش فاکتور],0))</f>
        <v>287370411.88007843</v>
      </c>
      <c r="K1231" s="159">
        <f>bargiri[[#This Row],[مبلغ خالص]]-bargiri[[#This Row],[میزان استهلاک پیش دریافتی]]</f>
        <v>1292092088.1199217</v>
      </c>
      <c r="L1231" s="160" t="s">
        <v>593</v>
      </c>
      <c r="M1231" s="159"/>
      <c r="N1231" s="159">
        <f>IF(bargiri[[#This Row],[مبلغ واریزی]]&lt;&gt;"",bargiri[[#This Row],[مانده مبلغ]]-bargiri[[#This Row],[مبلغ واریزی]],bargiri[[#This Row],[مانده مبلغ]])</f>
        <v>1292092088.1199217</v>
      </c>
      <c r="O1231" s="159" t="s">
        <v>593</v>
      </c>
      <c r="P1231" s="159">
        <f>VLOOKUP(bargiri[[#This Row],[شماره سند مبنا]],invoice[[شماره پیش فاکتور]:[پیش دریافت به ازای هر کیلوگرم]],14,0)</f>
        <v>15010.206940719689</v>
      </c>
      <c r="Q1231" s="159">
        <f>IF(bargiri[[#This Row],[مبلغ ناخالص]]-(bargiri[[#This Row],[نرخ استهلاک]]*bargiri[[#This Row],[مقدار]])&lt;0,0,bargiri[[#This Row],[مبلغ ناخالص]]-(bargiri[[#This Row],[نرخ استهلاک]]*bargiri[[#This Row],[مقدار]]))</f>
        <v>1148504588.1199217</v>
      </c>
    </row>
    <row r="1232" spans="1:17" s="22" customFormat="1" ht="13.8" x14ac:dyDescent="0.25">
      <c r="A1232" s="22">
        <v>313</v>
      </c>
      <c r="B1232" s="22" t="s">
        <v>341</v>
      </c>
      <c r="C1232" s="22" t="s">
        <v>66</v>
      </c>
      <c r="D1232" s="22" t="s">
        <v>67</v>
      </c>
      <c r="E1232" s="158">
        <v>18135</v>
      </c>
      <c r="F1232" s="159">
        <v>68500</v>
      </c>
      <c r="G1232" s="159">
        <v>1242247500</v>
      </c>
      <c r="H1232" s="159">
        <v>111802275</v>
      </c>
      <c r="I1232" s="159">
        <v>1354049775</v>
      </c>
      <c r="J1232" s="159" t="e">
        <f>bargiri[[#This Row],[مقدار]]*INDEX(invoice[پیش دریافت به ازای هر کیلوگرم],MATCH(bargiri[[#This Row],[شماره سند مبنا]],invoice[شماره پیش فاکتور],0))</f>
        <v>#N/A</v>
      </c>
      <c r="K1232" s="159" t="e">
        <f>bargiri[[#This Row],[مبلغ خالص]]-bargiri[[#This Row],[میزان استهلاک پیش دریافتی]]</f>
        <v>#N/A</v>
      </c>
      <c r="L1232" s="160" t="s">
        <v>593</v>
      </c>
      <c r="M1232" s="159"/>
      <c r="N1232" s="159" t="e">
        <f>IF(bargiri[[#This Row],[مبلغ واریزی]]&lt;&gt;"",bargiri[[#This Row],[مانده مبلغ]]-bargiri[[#This Row],[مبلغ واریزی]],bargiri[[#This Row],[مانده مبلغ]])</f>
        <v>#N/A</v>
      </c>
      <c r="O1232" s="159" t="s">
        <v>593</v>
      </c>
      <c r="P1232" s="159" t="e">
        <f>VLOOKUP(bargiri[[#This Row],[شماره سند مبنا]],invoice[[شماره پیش فاکتور]:[پیش دریافت به ازای هر کیلوگرم]],14,0)</f>
        <v>#N/A</v>
      </c>
      <c r="Q1232" s="159" t="e">
        <f>IF(bargiri[[#This Row],[مبلغ ناخالص]]-(bargiri[[#This Row],[نرخ استهلاک]]*bargiri[[#This Row],[مقدار]])&lt;0,0,bargiri[[#This Row],[مبلغ ناخالص]]-(bargiri[[#This Row],[نرخ استهلاک]]*bargiri[[#This Row],[مقدار]]))</f>
        <v>#N/A</v>
      </c>
    </row>
    <row r="1233" spans="1:17" s="22" customFormat="1" ht="13.8" x14ac:dyDescent="0.25">
      <c r="A1233" s="22">
        <v>312</v>
      </c>
      <c r="B1233" s="22" t="s">
        <v>341</v>
      </c>
      <c r="C1233" s="22" t="s">
        <v>155</v>
      </c>
      <c r="D1233" s="22" t="s">
        <v>156</v>
      </c>
      <c r="E1233" s="158">
        <v>19875</v>
      </c>
      <c r="F1233" s="159">
        <v>75000</v>
      </c>
      <c r="G1233" s="159">
        <v>1490625000</v>
      </c>
      <c r="H1233" s="159">
        <v>149062500</v>
      </c>
      <c r="I1233" s="159">
        <v>1639687500</v>
      </c>
      <c r="J1233" s="159">
        <f>bargiri[[#This Row],[مقدار]]*INDEX(invoice[پیش دریافت به ازای هر کیلوگرم],MATCH(bargiri[[#This Row],[شماره سند مبنا]],invoice[شماره پیش فاکتور],0))</f>
        <v>245953125</v>
      </c>
      <c r="K1233" s="159">
        <f>bargiri[[#This Row],[مبلغ خالص]]-bargiri[[#This Row],[میزان استهلاک پیش دریافتی]]</f>
        <v>1393734375</v>
      </c>
      <c r="L1233" s="160" t="s">
        <v>593</v>
      </c>
      <c r="M1233" s="159"/>
      <c r="N1233" s="159">
        <f>IF(bargiri[[#This Row],[مبلغ واریزی]]&lt;&gt;"",bargiri[[#This Row],[مانده مبلغ]]-bargiri[[#This Row],[مبلغ واریزی]],bargiri[[#This Row],[مانده مبلغ]])</f>
        <v>1393734375</v>
      </c>
      <c r="O1233" s="159" t="s">
        <v>593</v>
      </c>
      <c r="P1233" s="159">
        <f>VLOOKUP(bargiri[[#This Row],[شماره سند مبنا]],invoice[[شماره پیش فاکتور]:[پیش دریافت به ازای هر کیلوگرم]],14,0)</f>
        <v>12375</v>
      </c>
      <c r="Q1233" s="159">
        <f>IF(bargiri[[#This Row],[مبلغ ناخالص]]-(bargiri[[#This Row],[نرخ استهلاک]]*bargiri[[#This Row],[مقدار]])&lt;0,0,bargiri[[#This Row],[مبلغ ناخالص]]-(bargiri[[#This Row],[نرخ استهلاک]]*bargiri[[#This Row],[مقدار]]))</f>
        <v>1244671875</v>
      </c>
    </row>
    <row r="1234" spans="1:17" s="22" customFormat="1" ht="13.8" x14ac:dyDescent="0.25">
      <c r="A1234" s="22">
        <v>311</v>
      </c>
      <c r="B1234" s="22" t="s">
        <v>341</v>
      </c>
      <c r="C1234" s="22" t="s">
        <v>149</v>
      </c>
      <c r="D1234" s="22" t="s">
        <v>35</v>
      </c>
      <c r="E1234" s="158">
        <v>7275</v>
      </c>
      <c r="F1234" s="159">
        <v>75000</v>
      </c>
      <c r="G1234" s="159">
        <v>545625000</v>
      </c>
      <c r="H1234" s="159">
        <v>54562500</v>
      </c>
      <c r="I1234" s="159">
        <v>600187500</v>
      </c>
      <c r="J1234" s="159">
        <f>bargiri[[#This Row],[مقدار]]*INDEX(invoice[پیش دریافت به ازای هر کیلوگرم],MATCH(bargiri[[#This Row],[شماره سند مبنا]],invoice[شماره پیش فاکتور],0))</f>
        <v>90034727.546686754</v>
      </c>
      <c r="K1234" s="159">
        <f>bargiri[[#This Row],[مبلغ خالص]]-bargiri[[#This Row],[میزان استهلاک پیش دریافتی]]</f>
        <v>510152772.45331323</v>
      </c>
      <c r="L1234" s="160" t="s">
        <v>593</v>
      </c>
      <c r="M1234" s="159"/>
      <c r="N1234" s="159">
        <f>IF(bargiri[[#This Row],[مبلغ واریزی]]&lt;&gt;"",bargiri[[#This Row],[مانده مبلغ]]-bargiri[[#This Row],[مبلغ واریزی]],bargiri[[#This Row],[مانده مبلغ]])</f>
        <v>510152772.45331323</v>
      </c>
      <c r="O1234" s="159" t="s">
        <v>593</v>
      </c>
      <c r="P1234" s="159">
        <f>VLOOKUP(bargiri[[#This Row],[شماره سند مبنا]],invoice[[شماره پیش فاکتور]:[پیش دریافت به ازای هر کیلوگرم]],14,0)</f>
        <v>12375.907566554881</v>
      </c>
      <c r="Q1234" s="159">
        <f>IF(bargiri[[#This Row],[مبلغ ناخالص]]-(bargiri[[#This Row],[نرخ استهلاک]]*bargiri[[#This Row],[مقدار]])&lt;0,0,bargiri[[#This Row],[مبلغ ناخالص]]-(bargiri[[#This Row],[نرخ استهلاک]]*bargiri[[#This Row],[مقدار]]))</f>
        <v>455590272.45331323</v>
      </c>
    </row>
    <row r="1235" spans="1:17" s="22" customFormat="1" ht="13.8" x14ac:dyDescent="0.25">
      <c r="A1235" s="22">
        <v>310</v>
      </c>
      <c r="B1235" s="22" t="s">
        <v>327</v>
      </c>
      <c r="C1235" s="22" t="s">
        <v>66</v>
      </c>
      <c r="D1235" s="22" t="s">
        <v>67</v>
      </c>
      <c r="E1235" s="158">
        <v>17800</v>
      </c>
      <c r="F1235" s="159">
        <v>68500</v>
      </c>
      <c r="G1235" s="159">
        <v>1219300000</v>
      </c>
      <c r="H1235" s="159">
        <v>109737000</v>
      </c>
      <c r="I1235" s="159">
        <v>1329037000</v>
      </c>
      <c r="J1235" s="159" t="e">
        <f>bargiri[[#This Row],[مقدار]]*INDEX(invoice[پیش دریافت به ازای هر کیلوگرم],MATCH(bargiri[[#This Row],[شماره سند مبنا]],invoice[شماره پیش فاکتور],0))</f>
        <v>#N/A</v>
      </c>
      <c r="K1235" s="159" t="e">
        <f>bargiri[[#This Row],[مبلغ خالص]]-bargiri[[#This Row],[میزان استهلاک پیش دریافتی]]</f>
        <v>#N/A</v>
      </c>
      <c r="L1235" s="160" t="s">
        <v>593</v>
      </c>
      <c r="M1235" s="159"/>
      <c r="N1235" s="159" t="e">
        <f>IF(bargiri[[#This Row],[مبلغ واریزی]]&lt;&gt;"",bargiri[[#This Row],[مانده مبلغ]]-bargiri[[#This Row],[مبلغ واریزی]],bargiri[[#This Row],[مانده مبلغ]])</f>
        <v>#N/A</v>
      </c>
      <c r="O1235" s="159" t="s">
        <v>593</v>
      </c>
      <c r="P1235" s="159" t="e">
        <f>VLOOKUP(bargiri[[#This Row],[شماره سند مبنا]],invoice[[شماره پیش فاکتور]:[پیش دریافت به ازای هر کیلوگرم]],14,0)</f>
        <v>#N/A</v>
      </c>
      <c r="Q1235" s="159" t="e">
        <f>IF(bargiri[[#This Row],[مبلغ ناخالص]]-(bargiri[[#This Row],[نرخ استهلاک]]*bargiri[[#This Row],[مقدار]])&lt;0,0,bargiri[[#This Row],[مبلغ ناخالص]]-(bargiri[[#This Row],[نرخ استهلاک]]*bargiri[[#This Row],[مقدار]]))</f>
        <v>#N/A</v>
      </c>
    </row>
    <row r="1236" spans="1:17" s="22" customFormat="1" ht="13.8" x14ac:dyDescent="0.25">
      <c r="A1236" s="22">
        <v>309</v>
      </c>
      <c r="B1236" s="22" t="s">
        <v>327</v>
      </c>
      <c r="C1236" s="22" t="s">
        <v>187</v>
      </c>
      <c r="D1236" s="22" t="s">
        <v>43</v>
      </c>
      <c r="E1236" s="158">
        <v>22020</v>
      </c>
      <c r="F1236" s="159">
        <v>80000</v>
      </c>
      <c r="G1236" s="159">
        <v>1761600000</v>
      </c>
      <c r="H1236" s="159">
        <v>176160000</v>
      </c>
      <c r="I1236" s="159">
        <v>1937760000</v>
      </c>
      <c r="J1236" s="159">
        <f>bargiri[[#This Row],[مقدار]]*INDEX(invoice[پیش دریافت به ازای هر کیلوگرم],MATCH(bargiri[[#This Row],[شماره سند مبنا]],invoice[شماره پیش فاکتور],0))</f>
        <v>387552000</v>
      </c>
      <c r="K1236" s="159">
        <f>bargiri[[#This Row],[مبلغ خالص]]-bargiri[[#This Row],[میزان استهلاک پیش دریافتی]]</f>
        <v>1550208000</v>
      </c>
      <c r="L1236" s="160" t="s">
        <v>593</v>
      </c>
      <c r="M1236" s="159"/>
      <c r="N1236" s="159">
        <f>IF(bargiri[[#This Row],[مبلغ واریزی]]&lt;&gt;"",bargiri[[#This Row],[مانده مبلغ]]-bargiri[[#This Row],[مبلغ واریزی]],bargiri[[#This Row],[مانده مبلغ]])</f>
        <v>1550208000</v>
      </c>
      <c r="O1236" s="159" t="s">
        <v>593</v>
      </c>
      <c r="P1236" s="159">
        <f>VLOOKUP(bargiri[[#This Row],[شماره سند مبنا]],invoice[[شماره پیش فاکتور]:[پیش دریافت به ازای هر کیلوگرم]],14,0)</f>
        <v>17600</v>
      </c>
      <c r="Q1236" s="159">
        <f>IF(bargiri[[#This Row],[مبلغ ناخالص]]-(bargiri[[#This Row],[نرخ استهلاک]]*bargiri[[#This Row],[مقدار]])&lt;0,0,bargiri[[#This Row],[مبلغ ناخالص]]-(bargiri[[#This Row],[نرخ استهلاک]]*bargiri[[#This Row],[مقدار]]))</f>
        <v>1374048000</v>
      </c>
    </row>
    <row r="1237" spans="1:17" s="22" customFormat="1" ht="13.8" x14ac:dyDescent="0.25">
      <c r="A1237" s="22">
        <v>308</v>
      </c>
      <c r="B1237" s="22" t="s">
        <v>327</v>
      </c>
      <c r="C1237" s="22" t="s">
        <v>66</v>
      </c>
      <c r="D1237" s="22" t="s">
        <v>67</v>
      </c>
      <c r="E1237" s="158">
        <v>8125</v>
      </c>
      <c r="F1237" s="159">
        <v>68500</v>
      </c>
      <c r="G1237" s="159">
        <v>556562500</v>
      </c>
      <c r="H1237" s="159">
        <v>50090625</v>
      </c>
      <c r="I1237" s="159">
        <v>606653125</v>
      </c>
      <c r="J1237" s="159" t="e">
        <f>bargiri[[#This Row],[مقدار]]*INDEX(invoice[پیش دریافت به ازای هر کیلوگرم],MATCH(bargiri[[#This Row],[شماره سند مبنا]],invoice[شماره پیش فاکتور],0))</f>
        <v>#N/A</v>
      </c>
      <c r="K1237" s="159" t="e">
        <f>bargiri[[#This Row],[مبلغ خالص]]-bargiri[[#This Row],[میزان استهلاک پیش دریافتی]]</f>
        <v>#N/A</v>
      </c>
      <c r="L1237" s="160" t="s">
        <v>593</v>
      </c>
      <c r="M1237" s="159"/>
      <c r="N1237" s="159" t="e">
        <f>IF(bargiri[[#This Row],[مبلغ واریزی]]&lt;&gt;"",bargiri[[#This Row],[مانده مبلغ]]-bargiri[[#This Row],[مبلغ واریزی]],bargiri[[#This Row],[مانده مبلغ]])</f>
        <v>#N/A</v>
      </c>
      <c r="O1237" s="159" t="s">
        <v>593</v>
      </c>
      <c r="P1237" s="159" t="e">
        <f>VLOOKUP(bargiri[[#This Row],[شماره سند مبنا]],invoice[[شماره پیش فاکتور]:[پیش دریافت به ازای هر کیلوگرم]],14,0)</f>
        <v>#N/A</v>
      </c>
      <c r="Q1237" s="159" t="e">
        <f>IF(bargiri[[#This Row],[مبلغ ناخالص]]-(bargiri[[#This Row],[نرخ استهلاک]]*bargiri[[#This Row],[مقدار]])&lt;0,0,bargiri[[#This Row],[مبلغ ناخالص]]-(bargiri[[#This Row],[نرخ استهلاک]]*bargiri[[#This Row],[مقدار]]))</f>
        <v>#N/A</v>
      </c>
    </row>
    <row r="1238" spans="1:17" s="22" customFormat="1" ht="13.8" x14ac:dyDescent="0.25">
      <c r="A1238" s="22">
        <v>307</v>
      </c>
      <c r="B1238" s="22" t="s">
        <v>327</v>
      </c>
      <c r="C1238" s="22" t="s">
        <v>189</v>
      </c>
      <c r="D1238" s="22" t="s">
        <v>173</v>
      </c>
      <c r="E1238" s="158">
        <v>20945</v>
      </c>
      <c r="F1238" s="159">
        <v>75000</v>
      </c>
      <c r="G1238" s="159">
        <v>1570875000</v>
      </c>
      <c r="H1238" s="159">
        <v>157087500</v>
      </c>
      <c r="I1238" s="159">
        <v>1727962500</v>
      </c>
      <c r="J1238" s="159">
        <f>bargiri[[#This Row],[مقدار]]*INDEX(invoice[پیش دریافت به ازای هر کیلوگرم],MATCH(bargiri[[#This Row],[شماره سند مبنا]],invoice[شماره پیش فاکتور],0))</f>
        <v>259194375</v>
      </c>
      <c r="K1238" s="159">
        <f>bargiri[[#This Row],[مبلغ خالص]]-bargiri[[#This Row],[میزان استهلاک پیش دریافتی]]</f>
        <v>1468768125</v>
      </c>
      <c r="L1238" s="160" t="s">
        <v>593</v>
      </c>
      <c r="M1238" s="159"/>
      <c r="N1238" s="159">
        <f>IF(bargiri[[#This Row],[مبلغ واریزی]]&lt;&gt;"",bargiri[[#This Row],[مانده مبلغ]]-bargiri[[#This Row],[مبلغ واریزی]],bargiri[[#This Row],[مانده مبلغ]])</f>
        <v>1468768125</v>
      </c>
      <c r="O1238" s="159" t="s">
        <v>593</v>
      </c>
      <c r="P1238" s="159">
        <f>VLOOKUP(bargiri[[#This Row],[شماره سند مبنا]],invoice[[شماره پیش فاکتور]:[پیش دریافت به ازای هر کیلوگرم]],14,0)</f>
        <v>12375</v>
      </c>
      <c r="Q1238" s="159">
        <f>IF(bargiri[[#This Row],[مبلغ ناخالص]]-(bargiri[[#This Row],[نرخ استهلاک]]*bargiri[[#This Row],[مقدار]])&lt;0,0,bargiri[[#This Row],[مبلغ ناخالص]]-(bargiri[[#This Row],[نرخ استهلاک]]*bargiri[[#This Row],[مقدار]]))</f>
        <v>1311680625</v>
      </c>
    </row>
    <row r="1239" spans="1:17" s="22" customFormat="1" ht="13.8" x14ac:dyDescent="0.25">
      <c r="A1239" s="22">
        <v>306</v>
      </c>
      <c r="B1239" s="22" t="s">
        <v>365</v>
      </c>
      <c r="C1239" s="22" t="s">
        <v>107</v>
      </c>
      <c r="D1239" s="22" t="s">
        <v>30</v>
      </c>
      <c r="E1239" s="158">
        <v>11545</v>
      </c>
      <c r="F1239" s="159">
        <v>70000</v>
      </c>
      <c r="G1239" s="159">
        <v>808150000</v>
      </c>
      <c r="H1239" s="159">
        <v>80815000</v>
      </c>
      <c r="I1239" s="159">
        <v>888965000</v>
      </c>
      <c r="J1239" s="159">
        <f>bargiri[[#This Row],[مقدار]]*INDEX(invoice[پیش دریافت به ازای هر کیلوگرم],MATCH(bargiri[[#This Row],[شماره سند مبنا]],invoice[شماره پیش فاکتور],0))</f>
        <v>444482500</v>
      </c>
      <c r="K1239" s="159">
        <f>bargiri[[#This Row],[مبلغ خالص]]-bargiri[[#This Row],[میزان استهلاک پیش دریافتی]]</f>
        <v>444482500</v>
      </c>
      <c r="L1239" s="160" t="s">
        <v>593</v>
      </c>
      <c r="M1239" s="159"/>
      <c r="N1239" s="159">
        <f>IF(bargiri[[#This Row],[مبلغ واریزی]]&lt;&gt;"",bargiri[[#This Row],[مانده مبلغ]]-bargiri[[#This Row],[مبلغ واریزی]],bargiri[[#This Row],[مانده مبلغ]])</f>
        <v>444482500</v>
      </c>
      <c r="O1239" s="159" t="s">
        <v>593</v>
      </c>
      <c r="P1239" s="159">
        <f>VLOOKUP(bargiri[[#This Row],[شماره سند مبنا]],invoice[[شماره پیش فاکتور]:[پیش دریافت به ازای هر کیلوگرم]],14,0)</f>
        <v>38500</v>
      </c>
      <c r="Q1239" s="159">
        <f>IF(bargiri[[#This Row],[مبلغ ناخالص]]-(bargiri[[#This Row],[نرخ استهلاک]]*bargiri[[#This Row],[مقدار]])&lt;0,0,bargiri[[#This Row],[مبلغ ناخالص]]-(bargiri[[#This Row],[نرخ استهلاک]]*bargiri[[#This Row],[مقدار]]))</f>
        <v>363667500</v>
      </c>
    </row>
    <row r="1240" spans="1:17" s="22" customFormat="1" ht="13.8" x14ac:dyDescent="0.25">
      <c r="A1240" s="22">
        <v>305</v>
      </c>
      <c r="B1240" s="22" t="s">
        <v>302</v>
      </c>
      <c r="C1240" s="22" t="s">
        <v>149</v>
      </c>
      <c r="D1240" s="22" t="s">
        <v>35</v>
      </c>
      <c r="E1240" s="158">
        <v>7280</v>
      </c>
      <c r="F1240" s="159">
        <v>75000</v>
      </c>
      <c r="G1240" s="159">
        <v>546000000</v>
      </c>
      <c r="H1240" s="159">
        <v>54600000</v>
      </c>
      <c r="I1240" s="159">
        <v>600600000</v>
      </c>
      <c r="J1240" s="159">
        <f>bargiri[[#This Row],[مقدار]]*INDEX(invoice[پیش دریافت به ازای هر کیلوگرم],MATCH(bargiri[[#This Row],[شماره سند مبنا]],invoice[شماره پیش فاکتور],0))</f>
        <v>90096607.084519535</v>
      </c>
      <c r="K1240" s="159">
        <f>bargiri[[#This Row],[مبلغ خالص]]-bargiri[[#This Row],[میزان استهلاک پیش دریافتی]]</f>
        <v>510503392.91548049</v>
      </c>
      <c r="L1240" s="160" t="s">
        <v>593</v>
      </c>
      <c r="M1240" s="159"/>
      <c r="N1240" s="159">
        <f>IF(bargiri[[#This Row],[مبلغ واریزی]]&lt;&gt;"",bargiri[[#This Row],[مانده مبلغ]]-bargiri[[#This Row],[مبلغ واریزی]],bargiri[[#This Row],[مانده مبلغ]])</f>
        <v>510503392.91548049</v>
      </c>
      <c r="O1240" s="159" t="s">
        <v>593</v>
      </c>
      <c r="P1240" s="159">
        <f>VLOOKUP(bargiri[[#This Row],[شماره سند مبنا]],invoice[[شماره پیش فاکتور]:[پیش دریافت به ازای هر کیلوگرم]],14,0)</f>
        <v>12375.907566554881</v>
      </c>
      <c r="Q1240" s="159">
        <f>IF(bargiri[[#This Row],[مبلغ ناخالص]]-(bargiri[[#This Row],[نرخ استهلاک]]*bargiri[[#This Row],[مقدار]])&lt;0,0,bargiri[[#This Row],[مبلغ ناخالص]]-(bargiri[[#This Row],[نرخ استهلاک]]*bargiri[[#This Row],[مقدار]]))</f>
        <v>455903392.91548049</v>
      </c>
    </row>
    <row r="1241" spans="1:17" s="22" customFormat="1" ht="13.8" x14ac:dyDescent="0.25">
      <c r="A1241" s="22">
        <v>304</v>
      </c>
      <c r="B1241" s="22" t="s">
        <v>302</v>
      </c>
      <c r="C1241" s="22" t="s">
        <v>107</v>
      </c>
      <c r="D1241" s="22" t="s">
        <v>30</v>
      </c>
      <c r="E1241" s="158">
        <v>11620</v>
      </c>
      <c r="F1241" s="159">
        <v>70000</v>
      </c>
      <c r="G1241" s="159">
        <v>813400000</v>
      </c>
      <c r="H1241" s="159">
        <v>81340000</v>
      </c>
      <c r="I1241" s="159">
        <v>894740000</v>
      </c>
      <c r="J1241" s="159">
        <f>bargiri[[#This Row],[مقدار]]*INDEX(invoice[پیش دریافت به ازای هر کیلوگرم],MATCH(bargiri[[#This Row],[شماره سند مبنا]],invoice[شماره پیش فاکتور],0))</f>
        <v>447370000</v>
      </c>
      <c r="K1241" s="159">
        <f>bargiri[[#This Row],[مبلغ خالص]]-bargiri[[#This Row],[میزان استهلاک پیش دریافتی]]</f>
        <v>447370000</v>
      </c>
      <c r="L1241" s="160" t="s">
        <v>593</v>
      </c>
      <c r="M1241" s="159"/>
      <c r="N1241" s="159">
        <f>IF(bargiri[[#This Row],[مبلغ واریزی]]&lt;&gt;"",bargiri[[#This Row],[مانده مبلغ]]-bargiri[[#This Row],[مبلغ واریزی]],bargiri[[#This Row],[مانده مبلغ]])</f>
        <v>447370000</v>
      </c>
      <c r="O1241" s="159" t="s">
        <v>593</v>
      </c>
      <c r="P1241" s="159">
        <f>VLOOKUP(bargiri[[#This Row],[شماره سند مبنا]],invoice[[شماره پیش فاکتور]:[پیش دریافت به ازای هر کیلوگرم]],14,0)</f>
        <v>38500</v>
      </c>
      <c r="Q1241" s="159">
        <f>IF(bargiri[[#This Row],[مبلغ ناخالص]]-(bargiri[[#This Row],[نرخ استهلاک]]*bargiri[[#This Row],[مقدار]])&lt;0,0,bargiri[[#This Row],[مبلغ ناخالص]]-(bargiri[[#This Row],[نرخ استهلاک]]*bargiri[[#This Row],[مقدار]]))</f>
        <v>366030000</v>
      </c>
    </row>
    <row r="1242" spans="1:17" s="22" customFormat="1" ht="13.8" x14ac:dyDescent="0.25">
      <c r="A1242" s="22">
        <v>303</v>
      </c>
      <c r="B1242" s="22" t="s">
        <v>302</v>
      </c>
      <c r="C1242" s="22" t="s">
        <v>442</v>
      </c>
      <c r="D1242" s="22" t="s">
        <v>17</v>
      </c>
      <c r="E1242" s="158">
        <v>22025</v>
      </c>
      <c r="F1242" s="159">
        <v>80000</v>
      </c>
      <c r="G1242" s="159">
        <v>1762000000</v>
      </c>
      <c r="H1242" s="159">
        <v>176200000</v>
      </c>
      <c r="I1242" s="159">
        <v>1938200000</v>
      </c>
      <c r="J1242" s="159">
        <f>bargiri[[#This Row],[مقدار]]*INDEX(invoice[پیش دریافت به ازای هر کیلوگرم],MATCH(bargiri[[#This Row],[شماره سند مبنا]],invoice[شماره پیش فاکتور],0))</f>
        <v>290730000</v>
      </c>
      <c r="K1242" s="159">
        <f>bargiri[[#This Row],[مبلغ خالص]]-bargiri[[#This Row],[میزان استهلاک پیش دریافتی]]</f>
        <v>1647470000</v>
      </c>
      <c r="L1242" s="160" t="s">
        <v>593</v>
      </c>
      <c r="M1242" s="159"/>
      <c r="N1242" s="159">
        <f>IF(bargiri[[#This Row],[مبلغ واریزی]]&lt;&gt;"",bargiri[[#This Row],[مانده مبلغ]]-bargiri[[#This Row],[مبلغ واریزی]],bargiri[[#This Row],[مانده مبلغ]])</f>
        <v>1647470000</v>
      </c>
      <c r="O1242" s="159" t="s">
        <v>593</v>
      </c>
      <c r="P1242" s="159">
        <f>VLOOKUP(bargiri[[#This Row],[شماره سند مبنا]],invoice[[شماره پیش فاکتور]:[پیش دریافت به ازای هر کیلوگرم]],14,0)</f>
        <v>13200</v>
      </c>
      <c r="Q1242" s="159">
        <f>IF(bargiri[[#This Row],[مبلغ ناخالص]]-(bargiri[[#This Row],[نرخ استهلاک]]*bargiri[[#This Row],[مقدار]])&lt;0,0,bargiri[[#This Row],[مبلغ ناخالص]]-(bargiri[[#This Row],[نرخ استهلاک]]*bargiri[[#This Row],[مقدار]]))</f>
        <v>1471270000</v>
      </c>
    </row>
    <row r="1243" spans="1:17" s="22" customFormat="1" ht="13.8" x14ac:dyDescent="0.25">
      <c r="A1243" s="22">
        <v>302</v>
      </c>
      <c r="B1243" s="22" t="s">
        <v>302</v>
      </c>
      <c r="C1243" s="22" t="s">
        <v>463</v>
      </c>
      <c r="D1243" s="22" t="s">
        <v>207</v>
      </c>
      <c r="E1243" s="158">
        <v>10045</v>
      </c>
      <c r="F1243" s="159">
        <v>142000</v>
      </c>
      <c r="G1243" s="159">
        <v>1426390000</v>
      </c>
      <c r="H1243" s="159">
        <v>142639000</v>
      </c>
      <c r="I1243" s="159">
        <v>1569029000</v>
      </c>
      <c r="J1243" s="159">
        <f>bargiri[[#This Row],[مقدار]]*INDEX(invoice[پیش دریافت به ازای هر کیلوگرم],MATCH(bargiri[[#This Row],[شماره سند مبنا]],invoice[شماره پیش فاکتور],0))</f>
        <v>302421024.93403691</v>
      </c>
      <c r="K1243" s="159">
        <f>bargiri[[#This Row],[مبلغ خالص]]-bargiri[[#This Row],[میزان استهلاک پیش دریافتی]]</f>
        <v>1266607975.065963</v>
      </c>
      <c r="L1243" s="160" t="s">
        <v>593</v>
      </c>
      <c r="M1243" s="159"/>
      <c r="N1243" s="159">
        <f>IF(bargiri[[#This Row],[مبلغ واریزی]]&lt;&gt;"",bargiri[[#This Row],[مانده مبلغ]]-bargiri[[#This Row],[مبلغ واریزی]],bargiri[[#This Row],[مانده مبلغ]])</f>
        <v>1266607975.065963</v>
      </c>
      <c r="O1243" s="159" t="s">
        <v>593</v>
      </c>
      <c r="P1243" s="159">
        <f>VLOOKUP(bargiri[[#This Row],[شماره سند مبنا]],invoice[[شماره پیش فاکتور]:[پیش دریافت به ازای هر کیلوگرم]],14,0)</f>
        <v>30106.622691292876</v>
      </c>
      <c r="Q1243" s="159">
        <f>IF(bargiri[[#This Row],[مبلغ ناخالص]]-(bargiri[[#This Row],[نرخ استهلاک]]*bargiri[[#This Row],[مقدار]])&lt;0,0,bargiri[[#This Row],[مبلغ ناخالص]]-(bargiri[[#This Row],[نرخ استهلاک]]*bargiri[[#This Row],[مقدار]]))</f>
        <v>1123968975.065963</v>
      </c>
    </row>
    <row r="1244" spans="1:17" s="22" customFormat="1" ht="13.8" x14ac:dyDescent="0.25">
      <c r="A1244" s="22">
        <v>301</v>
      </c>
      <c r="B1244" s="22" t="s">
        <v>302</v>
      </c>
      <c r="C1244" s="22" t="s">
        <v>149</v>
      </c>
      <c r="D1244" s="22" t="s">
        <v>35</v>
      </c>
      <c r="E1244" s="158">
        <v>7230</v>
      </c>
      <c r="F1244" s="159">
        <v>75000</v>
      </c>
      <c r="G1244" s="159">
        <v>542250000</v>
      </c>
      <c r="H1244" s="159">
        <v>54225000</v>
      </c>
      <c r="I1244" s="159">
        <v>596475000</v>
      </c>
      <c r="J1244" s="159">
        <f>bargiri[[#This Row],[مقدار]]*INDEX(invoice[پیش دریافت به ازای هر کیلوگرم],MATCH(bargiri[[#This Row],[شماره سند مبنا]],invoice[شماره پیش فاکتور],0))</f>
        <v>89477811.706191793</v>
      </c>
      <c r="K1244" s="159">
        <f>bargiri[[#This Row],[مبلغ خالص]]-bargiri[[#This Row],[میزان استهلاک پیش دریافتی]]</f>
        <v>506997188.29380822</v>
      </c>
      <c r="L1244" s="160" t="s">
        <v>593</v>
      </c>
      <c r="M1244" s="159"/>
      <c r="N1244" s="159">
        <f>IF(bargiri[[#This Row],[مبلغ واریزی]]&lt;&gt;"",bargiri[[#This Row],[مانده مبلغ]]-bargiri[[#This Row],[مبلغ واریزی]],bargiri[[#This Row],[مانده مبلغ]])</f>
        <v>506997188.29380822</v>
      </c>
      <c r="O1244" s="159" t="s">
        <v>593</v>
      </c>
      <c r="P1244" s="159">
        <f>VLOOKUP(bargiri[[#This Row],[شماره سند مبنا]],invoice[[شماره پیش فاکتور]:[پیش دریافت به ازای هر کیلوگرم]],14,0)</f>
        <v>12375.907566554881</v>
      </c>
      <c r="Q1244" s="159">
        <f>IF(bargiri[[#This Row],[مبلغ ناخالص]]-(bargiri[[#This Row],[نرخ استهلاک]]*bargiri[[#This Row],[مقدار]])&lt;0,0,bargiri[[#This Row],[مبلغ ناخالص]]-(bargiri[[#This Row],[نرخ استهلاک]]*bargiri[[#This Row],[مقدار]]))</f>
        <v>452772188.29380822</v>
      </c>
    </row>
    <row r="1245" spans="1:17" s="22" customFormat="1" ht="13.8" x14ac:dyDescent="0.25">
      <c r="A1245" s="22">
        <v>300</v>
      </c>
      <c r="B1245" s="22" t="s">
        <v>302</v>
      </c>
      <c r="C1245" s="22" t="s">
        <v>115</v>
      </c>
      <c r="D1245" s="22" t="s">
        <v>116</v>
      </c>
      <c r="E1245" s="158">
        <v>17985</v>
      </c>
      <c r="F1245" s="159">
        <v>75000</v>
      </c>
      <c r="G1245" s="159">
        <v>1348875000</v>
      </c>
      <c r="H1245" s="159">
        <v>134887500</v>
      </c>
      <c r="I1245" s="159">
        <v>1483762500</v>
      </c>
      <c r="J1245" s="159">
        <f>bargiri[[#This Row],[مقدار]]*INDEX(invoice[پیش دریافت به ازای هر کیلوگرم],MATCH(bargiri[[#This Row],[شماره سند مبنا]],invoice[شماره پیش فاکتور],0))</f>
        <v>269958571.82884359</v>
      </c>
      <c r="K1245" s="159">
        <f>bargiri[[#This Row],[مبلغ خالص]]-bargiri[[#This Row],[میزان استهلاک پیش دریافتی]]</f>
        <v>1213803928.1711564</v>
      </c>
      <c r="L1245" s="160" t="s">
        <v>593</v>
      </c>
      <c r="M1245" s="159"/>
      <c r="N1245" s="159">
        <f>IF(bargiri[[#This Row],[مبلغ واریزی]]&lt;&gt;"",bargiri[[#This Row],[مانده مبلغ]]-bargiri[[#This Row],[مبلغ واریزی]],bargiri[[#This Row],[مانده مبلغ]])</f>
        <v>1213803928.1711564</v>
      </c>
      <c r="O1245" s="159" t="s">
        <v>593</v>
      </c>
      <c r="P1245" s="159">
        <f>VLOOKUP(bargiri[[#This Row],[شماره سند مبنا]],invoice[[شماره پیش فاکتور]:[پیش دریافت به ازای هر کیلوگرم]],14,0)</f>
        <v>15010.206940719689</v>
      </c>
      <c r="Q1245" s="159">
        <f>IF(bargiri[[#This Row],[مبلغ ناخالص]]-(bargiri[[#This Row],[نرخ استهلاک]]*bargiri[[#This Row],[مقدار]])&lt;0,0,bargiri[[#This Row],[مبلغ ناخالص]]-(bargiri[[#This Row],[نرخ استهلاک]]*bargiri[[#This Row],[مقدار]]))</f>
        <v>1078916428.1711564</v>
      </c>
    </row>
    <row r="1246" spans="1:17" s="22" customFormat="1" ht="13.8" x14ac:dyDescent="0.25">
      <c r="A1246" s="22">
        <v>299</v>
      </c>
      <c r="B1246" s="22" t="s">
        <v>283</v>
      </c>
      <c r="C1246" s="22" t="s">
        <v>72</v>
      </c>
      <c r="D1246" s="22" t="s">
        <v>73</v>
      </c>
      <c r="E1246" s="158">
        <v>20410</v>
      </c>
      <c r="F1246" s="159">
        <v>57273</v>
      </c>
      <c r="G1246" s="159">
        <v>1168941930</v>
      </c>
      <c r="H1246" s="159">
        <v>116894193</v>
      </c>
      <c r="I1246" s="159">
        <v>1285836123</v>
      </c>
      <c r="J1246" s="159" t="e">
        <f>bargiri[[#This Row],[مقدار]]*INDEX(invoice[پیش دریافت به ازای هر کیلوگرم],MATCH(bargiri[[#This Row],[شماره سند مبنا]],invoice[شماره پیش فاکتور],0))</f>
        <v>#N/A</v>
      </c>
      <c r="K1246" s="159" t="e">
        <f>bargiri[[#This Row],[مبلغ خالص]]-bargiri[[#This Row],[میزان استهلاک پیش دریافتی]]</f>
        <v>#N/A</v>
      </c>
      <c r="L1246" s="160" t="s">
        <v>593</v>
      </c>
      <c r="M1246" s="159"/>
      <c r="N1246" s="159" t="e">
        <f>IF(bargiri[[#This Row],[مبلغ واریزی]]&lt;&gt;"",bargiri[[#This Row],[مانده مبلغ]]-bargiri[[#This Row],[مبلغ واریزی]],bargiri[[#This Row],[مانده مبلغ]])</f>
        <v>#N/A</v>
      </c>
      <c r="O1246" s="159" t="s">
        <v>593</v>
      </c>
      <c r="P1246" s="159" t="e">
        <f>VLOOKUP(bargiri[[#This Row],[شماره سند مبنا]],invoice[[شماره پیش فاکتور]:[پیش دریافت به ازای هر کیلوگرم]],14,0)</f>
        <v>#N/A</v>
      </c>
      <c r="Q1246" s="159" t="e">
        <f>IF(bargiri[[#This Row],[مبلغ ناخالص]]-(bargiri[[#This Row],[نرخ استهلاک]]*bargiri[[#This Row],[مقدار]])&lt;0,0,bargiri[[#This Row],[مبلغ ناخالص]]-(bargiri[[#This Row],[نرخ استهلاک]]*bargiri[[#This Row],[مقدار]]))</f>
        <v>#N/A</v>
      </c>
    </row>
    <row r="1247" spans="1:17" s="22" customFormat="1" ht="13.8" x14ac:dyDescent="0.25">
      <c r="A1247" s="22">
        <v>298</v>
      </c>
      <c r="B1247" s="22" t="s">
        <v>283</v>
      </c>
      <c r="C1247" s="22" t="s">
        <v>66</v>
      </c>
      <c r="D1247" s="22" t="s">
        <v>67</v>
      </c>
      <c r="E1247" s="158">
        <v>19960</v>
      </c>
      <c r="F1247" s="159">
        <v>68500</v>
      </c>
      <c r="G1247" s="159">
        <v>1367260000</v>
      </c>
      <c r="H1247" s="159">
        <v>123053400</v>
      </c>
      <c r="I1247" s="159">
        <v>1490313400</v>
      </c>
      <c r="J1247" s="159" t="e">
        <f>bargiri[[#This Row],[مقدار]]*INDEX(invoice[پیش دریافت به ازای هر کیلوگرم],MATCH(bargiri[[#This Row],[شماره سند مبنا]],invoice[شماره پیش فاکتور],0))</f>
        <v>#N/A</v>
      </c>
      <c r="K1247" s="159" t="e">
        <f>bargiri[[#This Row],[مبلغ خالص]]-bargiri[[#This Row],[میزان استهلاک پیش دریافتی]]</f>
        <v>#N/A</v>
      </c>
      <c r="L1247" s="160" t="s">
        <v>593</v>
      </c>
      <c r="M1247" s="159"/>
      <c r="N1247" s="159" t="e">
        <f>IF(bargiri[[#This Row],[مبلغ واریزی]]&lt;&gt;"",bargiri[[#This Row],[مانده مبلغ]]-bargiri[[#This Row],[مبلغ واریزی]],bargiri[[#This Row],[مانده مبلغ]])</f>
        <v>#N/A</v>
      </c>
      <c r="O1247" s="159" t="s">
        <v>593</v>
      </c>
      <c r="P1247" s="159" t="e">
        <f>VLOOKUP(bargiri[[#This Row],[شماره سند مبنا]],invoice[[شماره پیش فاکتور]:[پیش دریافت به ازای هر کیلوگرم]],14,0)</f>
        <v>#N/A</v>
      </c>
      <c r="Q1247" s="159" t="e">
        <f>IF(bargiri[[#This Row],[مبلغ ناخالص]]-(bargiri[[#This Row],[نرخ استهلاک]]*bargiri[[#This Row],[مقدار]])&lt;0,0,bargiri[[#This Row],[مبلغ ناخالص]]-(bargiri[[#This Row],[نرخ استهلاک]]*bargiri[[#This Row],[مقدار]]))</f>
        <v>#N/A</v>
      </c>
    </row>
    <row r="1248" spans="1:17" s="22" customFormat="1" ht="13.8" x14ac:dyDescent="0.25">
      <c r="A1248" s="22">
        <v>297</v>
      </c>
      <c r="B1248" s="22" t="s">
        <v>283</v>
      </c>
      <c r="C1248" s="22" t="s">
        <v>66</v>
      </c>
      <c r="D1248" s="22" t="s">
        <v>67</v>
      </c>
      <c r="E1248" s="158">
        <v>8015</v>
      </c>
      <c r="F1248" s="159">
        <v>68500</v>
      </c>
      <c r="G1248" s="159">
        <v>549027500</v>
      </c>
      <c r="H1248" s="159">
        <v>49412475</v>
      </c>
      <c r="I1248" s="159">
        <v>598439975</v>
      </c>
      <c r="J1248" s="159" t="e">
        <f>bargiri[[#This Row],[مقدار]]*INDEX(invoice[پیش دریافت به ازای هر کیلوگرم],MATCH(bargiri[[#This Row],[شماره سند مبنا]],invoice[شماره پیش فاکتور],0))</f>
        <v>#N/A</v>
      </c>
      <c r="K1248" s="159" t="e">
        <f>bargiri[[#This Row],[مبلغ خالص]]-bargiri[[#This Row],[میزان استهلاک پیش دریافتی]]</f>
        <v>#N/A</v>
      </c>
      <c r="L1248" s="160" t="s">
        <v>593</v>
      </c>
      <c r="M1248" s="159"/>
      <c r="N1248" s="159" t="e">
        <f>IF(bargiri[[#This Row],[مبلغ واریزی]]&lt;&gt;"",bargiri[[#This Row],[مانده مبلغ]]-bargiri[[#This Row],[مبلغ واریزی]],bargiri[[#This Row],[مانده مبلغ]])</f>
        <v>#N/A</v>
      </c>
      <c r="O1248" s="159" t="s">
        <v>593</v>
      </c>
      <c r="P1248" s="159" t="e">
        <f>VLOOKUP(bargiri[[#This Row],[شماره سند مبنا]],invoice[[شماره پیش فاکتور]:[پیش دریافت به ازای هر کیلوگرم]],14,0)</f>
        <v>#N/A</v>
      </c>
      <c r="Q1248" s="159" t="e">
        <f>IF(bargiri[[#This Row],[مبلغ ناخالص]]-(bargiri[[#This Row],[نرخ استهلاک]]*bargiri[[#This Row],[مقدار]])&lt;0,0,bargiri[[#This Row],[مبلغ ناخالص]]-(bargiri[[#This Row],[نرخ استهلاک]]*bargiri[[#This Row],[مقدار]]))</f>
        <v>#N/A</v>
      </c>
    </row>
    <row r="1249" spans="1:17" s="22" customFormat="1" ht="13.8" x14ac:dyDescent="0.25">
      <c r="A1249" s="22">
        <v>296</v>
      </c>
      <c r="B1249" s="22" t="s">
        <v>283</v>
      </c>
      <c r="C1249" s="22" t="s">
        <v>66</v>
      </c>
      <c r="D1249" s="22" t="s">
        <v>67</v>
      </c>
      <c r="E1249" s="158">
        <v>18985</v>
      </c>
      <c r="F1249" s="159">
        <v>68500</v>
      </c>
      <c r="G1249" s="159">
        <v>1300472500</v>
      </c>
      <c r="H1249" s="159">
        <v>117042525</v>
      </c>
      <c r="I1249" s="159">
        <v>1417515025</v>
      </c>
      <c r="J1249" s="159" t="e">
        <f>bargiri[[#This Row],[مقدار]]*INDEX(invoice[پیش دریافت به ازای هر کیلوگرم],MATCH(bargiri[[#This Row],[شماره سند مبنا]],invoice[شماره پیش فاکتور],0))</f>
        <v>#N/A</v>
      </c>
      <c r="K1249" s="159" t="e">
        <f>bargiri[[#This Row],[مبلغ خالص]]-bargiri[[#This Row],[میزان استهلاک پیش دریافتی]]</f>
        <v>#N/A</v>
      </c>
      <c r="L1249" s="160" t="s">
        <v>593</v>
      </c>
      <c r="M1249" s="159"/>
      <c r="N1249" s="159" t="e">
        <f>IF(bargiri[[#This Row],[مبلغ واریزی]]&lt;&gt;"",bargiri[[#This Row],[مانده مبلغ]]-bargiri[[#This Row],[مبلغ واریزی]],bargiri[[#This Row],[مانده مبلغ]])</f>
        <v>#N/A</v>
      </c>
      <c r="O1249" s="159" t="s">
        <v>593</v>
      </c>
      <c r="P1249" s="159" t="e">
        <f>VLOOKUP(bargiri[[#This Row],[شماره سند مبنا]],invoice[[شماره پیش فاکتور]:[پیش دریافت به ازای هر کیلوگرم]],14,0)</f>
        <v>#N/A</v>
      </c>
      <c r="Q1249" s="159" t="e">
        <f>IF(bargiri[[#This Row],[مبلغ ناخالص]]-(bargiri[[#This Row],[نرخ استهلاک]]*bargiri[[#This Row],[مقدار]])&lt;0,0,bargiri[[#This Row],[مبلغ ناخالص]]-(bargiri[[#This Row],[نرخ استهلاک]]*bargiri[[#This Row],[مقدار]]))</f>
        <v>#N/A</v>
      </c>
    </row>
    <row r="1250" spans="1:17" s="22" customFormat="1" ht="13.8" x14ac:dyDescent="0.25">
      <c r="A1250" s="22">
        <v>295</v>
      </c>
      <c r="B1250" s="22" t="s">
        <v>283</v>
      </c>
      <c r="C1250" s="22" t="s">
        <v>72</v>
      </c>
      <c r="D1250" s="22" t="s">
        <v>73</v>
      </c>
      <c r="E1250" s="158">
        <v>20565</v>
      </c>
      <c r="F1250" s="159">
        <v>57273</v>
      </c>
      <c r="G1250" s="159">
        <v>1177819245</v>
      </c>
      <c r="H1250" s="159">
        <v>117781925</v>
      </c>
      <c r="I1250" s="159">
        <v>1295601170</v>
      </c>
      <c r="J1250" s="159" t="e">
        <f>bargiri[[#This Row],[مقدار]]*INDEX(invoice[پیش دریافت به ازای هر کیلوگرم],MATCH(bargiri[[#This Row],[شماره سند مبنا]],invoice[شماره پیش فاکتور],0))</f>
        <v>#N/A</v>
      </c>
      <c r="K1250" s="159" t="e">
        <f>bargiri[[#This Row],[مبلغ خالص]]-bargiri[[#This Row],[میزان استهلاک پیش دریافتی]]</f>
        <v>#N/A</v>
      </c>
      <c r="L1250" s="160" t="s">
        <v>593</v>
      </c>
      <c r="M1250" s="159"/>
      <c r="N1250" s="159" t="e">
        <f>IF(bargiri[[#This Row],[مبلغ واریزی]]&lt;&gt;"",bargiri[[#This Row],[مانده مبلغ]]-bargiri[[#This Row],[مبلغ واریزی]],bargiri[[#This Row],[مانده مبلغ]])</f>
        <v>#N/A</v>
      </c>
      <c r="O1250" s="159" t="s">
        <v>593</v>
      </c>
      <c r="P1250" s="159" t="e">
        <f>VLOOKUP(bargiri[[#This Row],[شماره سند مبنا]],invoice[[شماره پیش فاکتور]:[پیش دریافت به ازای هر کیلوگرم]],14,0)</f>
        <v>#N/A</v>
      </c>
      <c r="Q1250" s="159" t="e">
        <f>IF(bargiri[[#This Row],[مبلغ ناخالص]]-(bargiri[[#This Row],[نرخ استهلاک]]*bargiri[[#This Row],[مقدار]])&lt;0,0,bargiri[[#This Row],[مبلغ ناخالص]]-(bargiri[[#This Row],[نرخ استهلاک]]*bargiri[[#This Row],[مقدار]]))</f>
        <v>#N/A</v>
      </c>
    </row>
    <row r="1251" spans="1:17" s="22" customFormat="1" ht="13.8" x14ac:dyDescent="0.25">
      <c r="A1251" s="22">
        <v>294</v>
      </c>
      <c r="B1251" s="22" t="s">
        <v>283</v>
      </c>
      <c r="C1251" s="22" t="s">
        <v>66</v>
      </c>
      <c r="D1251" s="22" t="s">
        <v>67</v>
      </c>
      <c r="E1251" s="158">
        <v>19990</v>
      </c>
      <c r="F1251" s="159">
        <v>68500</v>
      </c>
      <c r="G1251" s="159">
        <v>1369315000</v>
      </c>
      <c r="H1251" s="159">
        <v>123238350</v>
      </c>
      <c r="I1251" s="159">
        <v>1492553350</v>
      </c>
      <c r="J1251" s="159" t="e">
        <f>bargiri[[#This Row],[مقدار]]*INDEX(invoice[پیش دریافت به ازای هر کیلوگرم],MATCH(bargiri[[#This Row],[شماره سند مبنا]],invoice[شماره پیش فاکتور],0))</f>
        <v>#N/A</v>
      </c>
      <c r="K1251" s="159" t="e">
        <f>bargiri[[#This Row],[مبلغ خالص]]-bargiri[[#This Row],[میزان استهلاک پیش دریافتی]]</f>
        <v>#N/A</v>
      </c>
      <c r="L1251" s="160" t="s">
        <v>593</v>
      </c>
      <c r="M1251" s="159"/>
      <c r="N1251" s="159" t="e">
        <f>IF(bargiri[[#This Row],[مبلغ واریزی]]&lt;&gt;"",bargiri[[#This Row],[مانده مبلغ]]-bargiri[[#This Row],[مبلغ واریزی]],bargiri[[#This Row],[مانده مبلغ]])</f>
        <v>#N/A</v>
      </c>
      <c r="O1251" s="159" t="s">
        <v>593</v>
      </c>
      <c r="P1251" s="159" t="e">
        <f>VLOOKUP(bargiri[[#This Row],[شماره سند مبنا]],invoice[[شماره پیش فاکتور]:[پیش دریافت به ازای هر کیلوگرم]],14,0)</f>
        <v>#N/A</v>
      </c>
      <c r="Q1251" s="159" t="e">
        <f>IF(bargiri[[#This Row],[مبلغ ناخالص]]-(bargiri[[#This Row],[نرخ استهلاک]]*bargiri[[#This Row],[مقدار]])&lt;0,0,bargiri[[#This Row],[مبلغ ناخالص]]-(bargiri[[#This Row],[نرخ استهلاک]]*bargiri[[#This Row],[مقدار]]))</f>
        <v>#N/A</v>
      </c>
    </row>
    <row r="1252" spans="1:17" s="22" customFormat="1" ht="13.8" x14ac:dyDescent="0.25">
      <c r="A1252" s="22">
        <v>293</v>
      </c>
      <c r="B1252" s="22" t="s">
        <v>373</v>
      </c>
      <c r="C1252" s="22" t="s">
        <v>128</v>
      </c>
      <c r="D1252" s="22" t="s">
        <v>129</v>
      </c>
      <c r="E1252" s="158">
        <v>9140</v>
      </c>
      <c r="F1252" s="159">
        <v>80000</v>
      </c>
      <c r="G1252" s="159">
        <v>731200000</v>
      </c>
      <c r="H1252" s="159">
        <v>73120000</v>
      </c>
      <c r="I1252" s="159">
        <v>804320000</v>
      </c>
      <c r="J1252" s="159">
        <f>bargiri[[#This Row],[مقدار]]*INDEX(invoice[پیش دریافت به ازای هر کیلوگرم],MATCH(bargiri[[#This Row],[شماره سند مبنا]],invoice[شماره پیش فاکتور],0))</f>
        <v>121233964.16010718</v>
      </c>
      <c r="K1252" s="159">
        <f>bargiri[[#This Row],[مبلغ خالص]]-bargiri[[#This Row],[میزان استهلاک پیش دریافتی]]</f>
        <v>683086035.83989286</v>
      </c>
      <c r="L1252" s="160" t="s">
        <v>593</v>
      </c>
      <c r="M1252" s="159"/>
      <c r="N1252" s="159">
        <f>IF(bargiri[[#This Row],[مبلغ واریزی]]&lt;&gt;"",bargiri[[#This Row],[مانده مبلغ]]-bargiri[[#This Row],[مبلغ واریزی]],bargiri[[#This Row],[مانده مبلغ]])</f>
        <v>683086035.83989286</v>
      </c>
      <c r="O1252" s="159" t="s">
        <v>593</v>
      </c>
      <c r="P1252" s="159">
        <f>VLOOKUP(bargiri[[#This Row],[شماره سند مبنا]],invoice[[شماره پیش فاکتور]:[پیش دریافت به ازای هر کیلوگرم]],14,0)</f>
        <v>13264.109864344331</v>
      </c>
      <c r="Q1252" s="159">
        <f>IF(bargiri[[#This Row],[مبلغ ناخالص]]-(bargiri[[#This Row],[نرخ استهلاک]]*bargiri[[#This Row],[مقدار]])&lt;0,0,bargiri[[#This Row],[مبلغ ناخالص]]-(bargiri[[#This Row],[نرخ استهلاک]]*bargiri[[#This Row],[مقدار]]))</f>
        <v>609966035.83989286</v>
      </c>
    </row>
    <row r="1253" spans="1:17" s="22" customFormat="1" ht="13.8" x14ac:dyDescent="0.25">
      <c r="A1253" s="22">
        <v>292</v>
      </c>
      <c r="B1253" s="22" t="s">
        <v>373</v>
      </c>
      <c r="C1253" s="22" t="s">
        <v>115</v>
      </c>
      <c r="D1253" s="22" t="s">
        <v>116</v>
      </c>
      <c r="E1253" s="158">
        <v>10160</v>
      </c>
      <c r="F1253" s="159">
        <v>75000</v>
      </c>
      <c r="G1253" s="159">
        <v>762000000</v>
      </c>
      <c r="H1253" s="159">
        <v>76200000</v>
      </c>
      <c r="I1253" s="159">
        <v>838200000</v>
      </c>
      <c r="J1253" s="159">
        <f>bargiri[[#This Row],[مقدار]]*INDEX(invoice[پیش دریافت به ازای هر کیلوگرم],MATCH(bargiri[[#This Row],[شماره سند مبنا]],invoice[شماره پیش فاکتور],0))</f>
        <v>152503702.51771203</v>
      </c>
      <c r="K1253" s="159">
        <f>bargiri[[#This Row],[مبلغ خالص]]-bargiri[[#This Row],[میزان استهلاک پیش دریافتی]]</f>
        <v>685696297.482288</v>
      </c>
      <c r="L1253" s="160" t="s">
        <v>593</v>
      </c>
      <c r="M1253" s="159"/>
      <c r="N1253" s="159">
        <f>IF(bargiri[[#This Row],[مبلغ واریزی]]&lt;&gt;"",bargiri[[#This Row],[مانده مبلغ]]-bargiri[[#This Row],[مبلغ واریزی]],bargiri[[#This Row],[مانده مبلغ]])</f>
        <v>685696297.482288</v>
      </c>
      <c r="O1253" s="159" t="s">
        <v>593</v>
      </c>
      <c r="P1253" s="159">
        <f>VLOOKUP(bargiri[[#This Row],[شماره سند مبنا]],invoice[[شماره پیش فاکتور]:[پیش دریافت به ازای هر کیلوگرم]],14,0)</f>
        <v>15010.206940719689</v>
      </c>
      <c r="Q1253" s="159">
        <f>IF(bargiri[[#This Row],[مبلغ ناخالص]]-(bargiri[[#This Row],[نرخ استهلاک]]*bargiri[[#This Row],[مقدار]])&lt;0,0,bargiri[[#This Row],[مبلغ ناخالص]]-(bargiri[[#This Row],[نرخ استهلاک]]*bargiri[[#This Row],[مقدار]]))</f>
        <v>609496297.482288</v>
      </c>
    </row>
    <row r="1254" spans="1:17" s="22" customFormat="1" ht="13.8" x14ac:dyDescent="0.25">
      <c r="A1254" s="22">
        <v>291</v>
      </c>
      <c r="B1254" s="22" t="s">
        <v>373</v>
      </c>
      <c r="C1254" s="22" t="s">
        <v>119</v>
      </c>
      <c r="D1254" s="22" t="s">
        <v>25</v>
      </c>
      <c r="E1254" s="158">
        <v>20105</v>
      </c>
      <c r="F1254" s="159">
        <v>75000</v>
      </c>
      <c r="G1254" s="159">
        <v>1507875000</v>
      </c>
      <c r="H1254" s="159">
        <v>150787500</v>
      </c>
      <c r="I1254" s="159">
        <v>1658662500</v>
      </c>
      <c r="J1254" s="159">
        <f>bargiri[[#This Row],[مقدار]]*INDEX(invoice[پیش دریافت به ازای هر کیلوگرم],MATCH(bargiri[[#This Row],[شماره سند مبنا]],invoice[شماره پیش فاکتور],0))</f>
        <v>248799375</v>
      </c>
      <c r="K1254" s="159">
        <f>bargiri[[#This Row],[مبلغ خالص]]-bargiri[[#This Row],[میزان استهلاک پیش دریافتی]]</f>
        <v>1409863125</v>
      </c>
      <c r="L1254" s="160" t="s">
        <v>593</v>
      </c>
      <c r="M1254" s="159"/>
      <c r="N1254" s="159">
        <f>IF(bargiri[[#This Row],[مبلغ واریزی]]&lt;&gt;"",bargiri[[#This Row],[مانده مبلغ]]-bargiri[[#This Row],[مبلغ واریزی]],bargiri[[#This Row],[مانده مبلغ]])</f>
        <v>1409863125</v>
      </c>
      <c r="O1254" s="159" t="s">
        <v>593</v>
      </c>
      <c r="P1254" s="159">
        <f>VLOOKUP(bargiri[[#This Row],[شماره سند مبنا]],invoice[[شماره پیش فاکتور]:[پیش دریافت به ازای هر کیلوگرم]],14,0)</f>
        <v>12375</v>
      </c>
      <c r="Q1254" s="159">
        <f>IF(bargiri[[#This Row],[مبلغ ناخالص]]-(bargiri[[#This Row],[نرخ استهلاک]]*bargiri[[#This Row],[مقدار]])&lt;0,0,bargiri[[#This Row],[مبلغ ناخالص]]-(bargiri[[#This Row],[نرخ استهلاک]]*bargiri[[#This Row],[مقدار]]))</f>
        <v>1259075625</v>
      </c>
    </row>
    <row r="1255" spans="1:17" s="22" customFormat="1" ht="13.8" x14ac:dyDescent="0.25">
      <c r="A1255" s="22">
        <v>290</v>
      </c>
      <c r="B1255" s="22" t="s">
        <v>373</v>
      </c>
      <c r="C1255" s="22" t="s">
        <v>161</v>
      </c>
      <c r="D1255" s="22" t="s">
        <v>40</v>
      </c>
      <c r="E1255" s="158">
        <v>12590</v>
      </c>
      <c r="F1255" s="159">
        <v>65000</v>
      </c>
      <c r="G1255" s="159">
        <v>818350000</v>
      </c>
      <c r="H1255" s="159">
        <v>81835000</v>
      </c>
      <c r="I1255" s="159">
        <v>900185000</v>
      </c>
      <c r="J1255" s="159">
        <f>bargiri[[#This Row],[مقدار]]*INDEX(invoice[پیش دریافت به ازای هر کیلوگرم],MATCH(bargiri[[#This Row],[شماره سند مبنا]],invoice[شماره پیش فاکتور],0))</f>
        <v>135027750</v>
      </c>
      <c r="K1255" s="159">
        <f>bargiri[[#This Row],[مبلغ خالص]]-bargiri[[#This Row],[میزان استهلاک پیش دریافتی]]</f>
        <v>765157250</v>
      </c>
      <c r="L1255" s="160" t="s">
        <v>593</v>
      </c>
      <c r="M1255" s="159"/>
      <c r="N1255" s="159">
        <f>IF(bargiri[[#This Row],[مبلغ واریزی]]&lt;&gt;"",bargiri[[#This Row],[مانده مبلغ]]-bargiri[[#This Row],[مبلغ واریزی]],bargiri[[#This Row],[مانده مبلغ]])</f>
        <v>765157250</v>
      </c>
      <c r="O1255" s="159" t="s">
        <v>593</v>
      </c>
      <c r="P1255" s="159">
        <f>VLOOKUP(bargiri[[#This Row],[شماره سند مبنا]],invoice[[شماره پیش فاکتور]:[پیش دریافت به ازای هر کیلوگرم]],14,0)</f>
        <v>10725</v>
      </c>
      <c r="Q1255" s="159">
        <f>IF(bargiri[[#This Row],[مبلغ ناخالص]]-(bargiri[[#This Row],[نرخ استهلاک]]*bargiri[[#This Row],[مقدار]])&lt;0,0,bargiri[[#This Row],[مبلغ ناخالص]]-(bargiri[[#This Row],[نرخ استهلاک]]*bargiri[[#This Row],[مقدار]]))</f>
        <v>683322250</v>
      </c>
    </row>
    <row r="1256" spans="1:17" s="22" customFormat="1" ht="13.8" x14ac:dyDescent="0.25">
      <c r="A1256" s="22">
        <v>290</v>
      </c>
      <c r="B1256" s="22" t="s">
        <v>373</v>
      </c>
      <c r="C1256" s="22" t="s">
        <v>184</v>
      </c>
      <c r="D1256" s="22" t="s">
        <v>40</v>
      </c>
      <c r="E1256" s="158">
        <v>5325</v>
      </c>
      <c r="F1256" s="159">
        <v>83800</v>
      </c>
      <c r="G1256" s="159">
        <v>446235000</v>
      </c>
      <c r="H1256" s="159">
        <v>44623500</v>
      </c>
      <c r="I1256" s="159">
        <v>490858500</v>
      </c>
      <c r="J1256" s="159">
        <f>bargiri[[#This Row],[مقدار]]*INDEX(invoice[پیش دریافت به ازای هر کیلوگرم],MATCH(bargiri[[#This Row],[شماره سند مبنا]],invoice[شماره پیش فاکتور],0))</f>
        <v>73628775</v>
      </c>
      <c r="K1256" s="159">
        <f>bargiri[[#This Row],[مبلغ خالص]]-bargiri[[#This Row],[میزان استهلاک پیش دریافتی]]</f>
        <v>417229725</v>
      </c>
      <c r="L1256" s="160" t="s">
        <v>593</v>
      </c>
      <c r="M1256" s="159"/>
      <c r="N1256" s="159">
        <f>IF(bargiri[[#This Row],[مبلغ واریزی]]&lt;&gt;"",bargiri[[#This Row],[مانده مبلغ]]-bargiri[[#This Row],[مبلغ واریزی]],bargiri[[#This Row],[مانده مبلغ]])</f>
        <v>417229725</v>
      </c>
      <c r="O1256" s="159" t="s">
        <v>593</v>
      </c>
      <c r="P1256" s="159">
        <f>VLOOKUP(bargiri[[#This Row],[شماره سند مبنا]],invoice[[شماره پیش فاکتور]:[پیش دریافت به ازای هر کیلوگرم]],14,0)</f>
        <v>13827</v>
      </c>
      <c r="Q1256" s="159">
        <f>IF(bargiri[[#This Row],[مبلغ ناخالص]]-(bargiri[[#This Row],[نرخ استهلاک]]*bargiri[[#This Row],[مقدار]])&lt;0,0,bargiri[[#This Row],[مبلغ ناخالص]]-(bargiri[[#This Row],[نرخ استهلاک]]*bargiri[[#This Row],[مقدار]]))</f>
        <v>372606225</v>
      </c>
    </row>
    <row r="1257" spans="1:17" s="22" customFormat="1" ht="13.8" x14ac:dyDescent="0.25">
      <c r="A1257" s="22">
        <v>289</v>
      </c>
      <c r="B1257" s="22" t="s">
        <v>282</v>
      </c>
      <c r="C1257" s="22" t="s">
        <v>128</v>
      </c>
      <c r="D1257" s="22" t="s">
        <v>129</v>
      </c>
      <c r="E1257" s="158">
        <v>9055</v>
      </c>
      <c r="F1257" s="159">
        <v>80000</v>
      </c>
      <c r="G1257" s="159">
        <v>724400000</v>
      </c>
      <c r="H1257" s="159">
        <v>72440000</v>
      </c>
      <c r="I1257" s="159">
        <v>796840000</v>
      </c>
      <c r="J1257" s="159">
        <f>bargiri[[#This Row],[مقدار]]*INDEX(invoice[پیش دریافت به ازای هر کیلوگرم],MATCH(bargiri[[#This Row],[شماره سند مبنا]],invoice[شماره پیش فاکتور],0))</f>
        <v>120106514.82163791</v>
      </c>
      <c r="K1257" s="159">
        <f>bargiri[[#This Row],[مبلغ خالص]]-bargiri[[#This Row],[میزان استهلاک پیش دریافتی]]</f>
        <v>676733485.17836213</v>
      </c>
      <c r="L1257" s="160" t="s">
        <v>593</v>
      </c>
      <c r="M1257" s="159"/>
      <c r="N1257" s="159">
        <f>IF(bargiri[[#This Row],[مبلغ واریزی]]&lt;&gt;"",bargiri[[#This Row],[مانده مبلغ]]-bargiri[[#This Row],[مبلغ واریزی]],bargiri[[#This Row],[مانده مبلغ]])</f>
        <v>676733485.17836213</v>
      </c>
      <c r="O1257" s="159" t="s">
        <v>593</v>
      </c>
      <c r="P1257" s="159">
        <f>VLOOKUP(bargiri[[#This Row],[شماره سند مبنا]],invoice[[شماره پیش فاکتور]:[پیش دریافت به ازای هر کیلوگرم]],14,0)</f>
        <v>13264.109864344331</v>
      </c>
      <c r="Q1257" s="159">
        <f>IF(bargiri[[#This Row],[مبلغ ناخالص]]-(bargiri[[#This Row],[نرخ استهلاک]]*bargiri[[#This Row],[مقدار]])&lt;0,0,bargiri[[#This Row],[مبلغ ناخالص]]-(bargiri[[#This Row],[نرخ استهلاک]]*bargiri[[#This Row],[مقدار]]))</f>
        <v>604293485.17836213</v>
      </c>
    </row>
    <row r="1258" spans="1:17" s="22" customFormat="1" ht="13.8" x14ac:dyDescent="0.25">
      <c r="A1258" s="22">
        <v>288</v>
      </c>
      <c r="B1258" s="22" t="s">
        <v>282</v>
      </c>
      <c r="C1258" s="22" t="s">
        <v>72</v>
      </c>
      <c r="D1258" s="22" t="s">
        <v>73</v>
      </c>
      <c r="E1258" s="158">
        <v>20500</v>
      </c>
      <c r="F1258" s="159">
        <v>57273</v>
      </c>
      <c r="G1258" s="159">
        <v>1174096500</v>
      </c>
      <c r="H1258" s="159">
        <v>117409650</v>
      </c>
      <c r="I1258" s="159">
        <v>1291506150</v>
      </c>
      <c r="J1258" s="159" t="e">
        <f>bargiri[[#This Row],[مقدار]]*INDEX(invoice[پیش دریافت به ازای هر کیلوگرم],MATCH(bargiri[[#This Row],[شماره سند مبنا]],invoice[شماره پیش فاکتور],0))</f>
        <v>#N/A</v>
      </c>
      <c r="K1258" s="159" t="e">
        <f>bargiri[[#This Row],[مبلغ خالص]]-bargiri[[#This Row],[میزان استهلاک پیش دریافتی]]</f>
        <v>#N/A</v>
      </c>
      <c r="L1258" s="160" t="s">
        <v>593</v>
      </c>
      <c r="M1258" s="159"/>
      <c r="N1258" s="159" t="e">
        <f>IF(bargiri[[#This Row],[مبلغ واریزی]]&lt;&gt;"",bargiri[[#This Row],[مانده مبلغ]]-bargiri[[#This Row],[مبلغ واریزی]],bargiri[[#This Row],[مانده مبلغ]])</f>
        <v>#N/A</v>
      </c>
      <c r="O1258" s="159" t="s">
        <v>593</v>
      </c>
      <c r="P1258" s="159" t="e">
        <f>VLOOKUP(bargiri[[#This Row],[شماره سند مبنا]],invoice[[شماره پیش فاکتور]:[پیش دریافت به ازای هر کیلوگرم]],14,0)</f>
        <v>#N/A</v>
      </c>
      <c r="Q1258" s="159" t="e">
        <f>IF(bargiri[[#This Row],[مبلغ ناخالص]]-(bargiri[[#This Row],[نرخ استهلاک]]*bargiri[[#This Row],[مقدار]])&lt;0,0,bargiri[[#This Row],[مبلغ ناخالص]]-(bargiri[[#This Row],[نرخ استهلاک]]*bargiri[[#This Row],[مقدار]]))</f>
        <v>#N/A</v>
      </c>
    </row>
    <row r="1259" spans="1:17" s="22" customFormat="1" ht="13.8" x14ac:dyDescent="0.25">
      <c r="A1259" s="22">
        <v>287</v>
      </c>
      <c r="B1259" s="22" t="s">
        <v>282</v>
      </c>
      <c r="C1259" s="22" t="s">
        <v>72</v>
      </c>
      <c r="D1259" s="22" t="s">
        <v>73</v>
      </c>
      <c r="E1259" s="158">
        <v>20455</v>
      </c>
      <c r="F1259" s="159">
        <v>57273</v>
      </c>
      <c r="G1259" s="159">
        <v>1171519215</v>
      </c>
      <c r="H1259" s="159">
        <v>117151922</v>
      </c>
      <c r="I1259" s="159">
        <v>1288671137</v>
      </c>
      <c r="J1259" s="159" t="e">
        <f>bargiri[[#This Row],[مقدار]]*INDEX(invoice[پیش دریافت به ازای هر کیلوگرم],MATCH(bargiri[[#This Row],[شماره سند مبنا]],invoice[شماره پیش فاکتور],0))</f>
        <v>#N/A</v>
      </c>
      <c r="K1259" s="159" t="e">
        <f>bargiri[[#This Row],[مبلغ خالص]]-bargiri[[#This Row],[میزان استهلاک پیش دریافتی]]</f>
        <v>#N/A</v>
      </c>
      <c r="L1259" s="160" t="s">
        <v>593</v>
      </c>
      <c r="M1259" s="159"/>
      <c r="N1259" s="159" t="e">
        <f>IF(bargiri[[#This Row],[مبلغ واریزی]]&lt;&gt;"",bargiri[[#This Row],[مانده مبلغ]]-bargiri[[#This Row],[مبلغ واریزی]],bargiri[[#This Row],[مانده مبلغ]])</f>
        <v>#N/A</v>
      </c>
      <c r="O1259" s="159" t="s">
        <v>593</v>
      </c>
      <c r="P1259" s="159" t="e">
        <f>VLOOKUP(bargiri[[#This Row],[شماره سند مبنا]],invoice[[شماره پیش فاکتور]:[پیش دریافت به ازای هر کیلوگرم]],14,0)</f>
        <v>#N/A</v>
      </c>
      <c r="Q1259" s="159" t="e">
        <f>IF(bargiri[[#This Row],[مبلغ ناخالص]]-(bargiri[[#This Row],[نرخ استهلاک]]*bargiri[[#This Row],[مقدار]])&lt;0,0,bargiri[[#This Row],[مبلغ ناخالص]]-(bargiri[[#This Row],[نرخ استهلاک]]*bargiri[[#This Row],[مقدار]]))</f>
        <v>#N/A</v>
      </c>
    </row>
    <row r="1260" spans="1:17" s="22" customFormat="1" ht="13.8" x14ac:dyDescent="0.25">
      <c r="A1260" s="22">
        <v>286</v>
      </c>
      <c r="B1260" s="22" t="s">
        <v>282</v>
      </c>
      <c r="C1260" s="22" t="s">
        <v>109</v>
      </c>
      <c r="D1260" s="22" t="s">
        <v>110</v>
      </c>
      <c r="E1260" s="158">
        <v>19000</v>
      </c>
      <c r="F1260" s="159">
        <v>70000</v>
      </c>
      <c r="G1260" s="159">
        <v>1330000000</v>
      </c>
      <c r="H1260" s="159">
        <v>133000000</v>
      </c>
      <c r="I1260" s="159">
        <v>1463000000</v>
      </c>
      <c r="J1260" s="159" t="e">
        <f>bargiri[[#This Row],[مقدار]]*INDEX(invoice[پیش دریافت به ازای هر کیلوگرم],MATCH(bargiri[[#This Row],[شماره سند مبنا]],invoice[شماره پیش فاکتور],0))</f>
        <v>#N/A</v>
      </c>
      <c r="K1260" s="159" t="e">
        <f>bargiri[[#This Row],[مبلغ خالص]]-bargiri[[#This Row],[میزان استهلاک پیش دریافتی]]</f>
        <v>#N/A</v>
      </c>
      <c r="L1260" s="160" t="s">
        <v>593</v>
      </c>
      <c r="M1260" s="159"/>
      <c r="N1260" s="159" t="e">
        <f>IF(bargiri[[#This Row],[مبلغ واریزی]]&lt;&gt;"",bargiri[[#This Row],[مانده مبلغ]]-bargiri[[#This Row],[مبلغ واریزی]],bargiri[[#This Row],[مانده مبلغ]])</f>
        <v>#N/A</v>
      </c>
      <c r="O1260" s="159" t="s">
        <v>593</v>
      </c>
      <c r="P1260" s="159" t="e">
        <f>VLOOKUP(bargiri[[#This Row],[شماره سند مبنا]],invoice[[شماره پیش فاکتور]:[پیش دریافت به ازای هر کیلوگرم]],14,0)</f>
        <v>#N/A</v>
      </c>
      <c r="Q1260" s="159" t="e">
        <f>IF(bargiri[[#This Row],[مبلغ ناخالص]]-(bargiri[[#This Row],[نرخ استهلاک]]*bargiri[[#This Row],[مقدار]])&lt;0,0,bargiri[[#This Row],[مبلغ ناخالص]]-(bargiri[[#This Row],[نرخ استهلاک]]*bargiri[[#This Row],[مقدار]]))</f>
        <v>#N/A</v>
      </c>
    </row>
    <row r="1261" spans="1:17" s="22" customFormat="1" ht="13.8" x14ac:dyDescent="0.25">
      <c r="A1261" s="22">
        <v>285</v>
      </c>
      <c r="B1261" s="22" t="s">
        <v>282</v>
      </c>
      <c r="C1261" s="22" t="s">
        <v>176</v>
      </c>
      <c r="D1261" s="22" t="s">
        <v>70</v>
      </c>
      <c r="E1261" s="158">
        <v>20005</v>
      </c>
      <c r="F1261" s="159">
        <v>75000</v>
      </c>
      <c r="G1261" s="159">
        <v>1500375000</v>
      </c>
      <c r="H1261" s="159">
        <v>150037500</v>
      </c>
      <c r="I1261" s="159">
        <v>1650412500</v>
      </c>
      <c r="J1261" s="159" t="e">
        <f>bargiri[[#This Row],[مقدار]]*INDEX(invoice[پیش دریافت به ازای هر کیلوگرم],MATCH(bargiri[[#This Row],[شماره سند مبنا]],invoice[شماره پیش فاکتور],0))</f>
        <v>#N/A</v>
      </c>
      <c r="K1261" s="159" t="e">
        <f>bargiri[[#This Row],[مبلغ خالص]]-bargiri[[#This Row],[میزان استهلاک پیش دریافتی]]</f>
        <v>#N/A</v>
      </c>
      <c r="L1261" s="160" t="s">
        <v>593</v>
      </c>
      <c r="M1261" s="159"/>
      <c r="N1261" s="159" t="e">
        <f>IF(bargiri[[#This Row],[مبلغ واریزی]]&lt;&gt;"",bargiri[[#This Row],[مانده مبلغ]]-bargiri[[#This Row],[مبلغ واریزی]],bargiri[[#This Row],[مانده مبلغ]])</f>
        <v>#N/A</v>
      </c>
      <c r="O1261" s="159" t="s">
        <v>593</v>
      </c>
      <c r="P1261" s="159" t="e">
        <f>VLOOKUP(bargiri[[#This Row],[شماره سند مبنا]],invoice[[شماره پیش فاکتور]:[پیش دریافت به ازای هر کیلوگرم]],14,0)</f>
        <v>#N/A</v>
      </c>
      <c r="Q1261" s="159" t="e">
        <f>IF(bargiri[[#This Row],[مبلغ ناخالص]]-(bargiri[[#This Row],[نرخ استهلاک]]*bargiri[[#This Row],[مقدار]])&lt;0,0,bargiri[[#This Row],[مبلغ ناخالص]]-(bargiri[[#This Row],[نرخ استهلاک]]*bargiri[[#This Row],[مقدار]]))</f>
        <v>#N/A</v>
      </c>
    </row>
    <row r="1262" spans="1:17" s="22" customFormat="1" ht="13.8" x14ac:dyDescent="0.25">
      <c r="A1262" s="22">
        <v>284</v>
      </c>
      <c r="B1262" s="22" t="s">
        <v>282</v>
      </c>
      <c r="C1262" s="22" t="s">
        <v>66</v>
      </c>
      <c r="D1262" s="22" t="s">
        <v>67</v>
      </c>
      <c r="E1262" s="158">
        <v>18990</v>
      </c>
      <c r="F1262" s="159">
        <v>68500</v>
      </c>
      <c r="G1262" s="159">
        <v>1300815000</v>
      </c>
      <c r="H1262" s="159">
        <v>117073350</v>
      </c>
      <c r="I1262" s="159">
        <v>1417888350</v>
      </c>
      <c r="J1262" s="159" t="e">
        <f>bargiri[[#This Row],[مقدار]]*INDEX(invoice[پیش دریافت به ازای هر کیلوگرم],MATCH(bargiri[[#This Row],[شماره سند مبنا]],invoice[شماره پیش فاکتور],0))</f>
        <v>#N/A</v>
      </c>
      <c r="K1262" s="159" t="e">
        <f>bargiri[[#This Row],[مبلغ خالص]]-bargiri[[#This Row],[میزان استهلاک پیش دریافتی]]</f>
        <v>#N/A</v>
      </c>
      <c r="L1262" s="160" t="s">
        <v>593</v>
      </c>
      <c r="M1262" s="159"/>
      <c r="N1262" s="159" t="e">
        <f>IF(bargiri[[#This Row],[مبلغ واریزی]]&lt;&gt;"",bargiri[[#This Row],[مانده مبلغ]]-bargiri[[#This Row],[مبلغ واریزی]],bargiri[[#This Row],[مانده مبلغ]])</f>
        <v>#N/A</v>
      </c>
      <c r="O1262" s="159" t="s">
        <v>593</v>
      </c>
      <c r="P1262" s="159" t="e">
        <f>VLOOKUP(bargiri[[#This Row],[شماره سند مبنا]],invoice[[شماره پیش فاکتور]:[پیش دریافت به ازای هر کیلوگرم]],14,0)</f>
        <v>#N/A</v>
      </c>
      <c r="Q1262" s="159" t="e">
        <f>IF(bargiri[[#This Row],[مبلغ ناخالص]]-(bargiri[[#This Row],[نرخ استهلاک]]*bargiri[[#This Row],[مقدار]])&lt;0,0,bargiri[[#This Row],[مبلغ ناخالص]]-(bargiri[[#This Row],[نرخ استهلاک]]*bargiri[[#This Row],[مقدار]]))</f>
        <v>#N/A</v>
      </c>
    </row>
    <row r="1263" spans="1:17" s="22" customFormat="1" ht="13.8" x14ac:dyDescent="0.25">
      <c r="A1263" s="22">
        <v>283</v>
      </c>
      <c r="B1263" s="22" t="s">
        <v>281</v>
      </c>
      <c r="C1263" s="22" t="s">
        <v>161</v>
      </c>
      <c r="D1263" s="22" t="s">
        <v>40</v>
      </c>
      <c r="E1263" s="158">
        <v>17965</v>
      </c>
      <c r="F1263" s="159">
        <v>65000</v>
      </c>
      <c r="G1263" s="159">
        <v>1167725000</v>
      </c>
      <c r="H1263" s="159">
        <v>116772500</v>
      </c>
      <c r="I1263" s="159">
        <v>1284497500</v>
      </c>
      <c r="J1263" s="159">
        <f>bargiri[[#This Row],[مقدار]]*INDEX(invoice[پیش دریافت به ازای هر کیلوگرم],MATCH(bargiri[[#This Row],[شماره سند مبنا]],invoice[شماره پیش فاکتور],0))</f>
        <v>192674625</v>
      </c>
      <c r="K1263" s="159">
        <f>bargiri[[#This Row],[مبلغ خالص]]-bargiri[[#This Row],[میزان استهلاک پیش دریافتی]]</f>
        <v>1091822875</v>
      </c>
      <c r="L1263" s="160" t="s">
        <v>593</v>
      </c>
      <c r="M1263" s="159"/>
      <c r="N1263" s="159">
        <f>IF(bargiri[[#This Row],[مبلغ واریزی]]&lt;&gt;"",bargiri[[#This Row],[مانده مبلغ]]-bargiri[[#This Row],[مبلغ واریزی]],bargiri[[#This Row],[مانده مبلغ]])</f>
        <v>1091822875</v>
      </c>
      <c r="O1263" s="159" t="s">
        <v>593</v>
      </c>
      <c r="P1263" s="159">
        <f>VLOOKUP(bargiri[[#This Row],[شماره سند مبنا]],invoice[[شماره پیش فاکتور]:[پیش دریافت به ازای هر کیلوگرم]],14,0)</f>
        <v>10725</v>
      </c>
      <c r="Q1263" s="159">
        <f>IF(bargiri[[#This Row],[مبلغ ناخالص]]-(bargiri[[#This Row],[نرخ استهلاک]]*bargiri[[#This Row],[مقدار]])&lt;0,0,bargiri[[#This Row],[مبلغ ناخالص]]-(bargiri[[#This Row],[نرخ استهلاک]]*bargiri[[#This Row],[مقدار]]))</f>
        <v>975050375</v>
      </c>
    </row>
    <row r="1264" spans="1:17" s="22" customFormat="1" ht="13.8" x14ac:dyDescent="0.25">
      <c r="A1264" s="22">
        <v>282</v>
      </c>
      <c r="B1264" s="22" t="s">
        <v>281</v>
      </c>
      <c r="C1264" s="22" t="s">
        <v>149</v>
      </c>
      <c r="D1264" s="22" t="s">
        <v>35</v>
      </c>
      <c r="E1264" s="158">
        <v>7475</v>
      </c>
      <c r="F1264" s="159">
        <v>75000</v>
      </c>
      <c r="G1264" s="159">
        <v>560625000</v>
      </c>
      <c r="H1264" s="159">
        <v>56062500</v>
      </c>
      <c r="I1264" s="159">
        <v>616687500</v>
      </c>
      <c r="J1264" s="159">
        <f>bargiri[[#This Row],[مقدار]]*INDEX(invoice[پیش دریافت به ازای هر کیلوگرم],MATCH(bargiri[[#This Row],[شماره سند مبنا]],invoice[شماره پیش فاکتور],0))</f>
        <v>92509909.059997737</v>
      </c>
      <c r="K1264" s="159">
        <f>bargiri[[#This Row],[مبلغ خالص]]-bargiri[[#This Row],[میزان استهلاک پیش دریافتی]]</f>
        <v>524177590.94000226</v>
      </c>
      <c r="L1264" s="160" t="s">
        <v>593</v>
      </c>
      <c r="M1264" s="159"/>
      <c r="N1264" s="159">
        <f>IF(bargiri[[#This Row],[مبلغ واریزی]]&lt;&gt;"",bargiri[[#This Row],[مانده مبلغ]]-bargiri[[#This Row],[مبلغ واریزی]],bargiri[[#This Row],[مانده مبلغ]])</f>
        <v>524177590.94000226</v>
      </c>
      <c r="O1264" s="159" t="s">
        <v>593</v>
      </c>
      <c r="P1264" s="159">
        <f>VLOOKUP(bargiri[[#This Row],[شماره سند مبنا]],invoice[[شماره پیش فاکتور]:[پیش دریافت به ازای هر کیلوگرم]],14,0)</f>
        <v>12375.907566554881</v>
      </c>
      <c r="Q1264" s="159">
        <f>IF(bargiri[[#This Row],[مبلغ ناخالص]]-(bargiri[[#This Row],[نرخ استهلاک]]*bargiri[[#This Row],[مقدار]])&lt;0,0,bargiri[[#This Row],[مبلغ ناخالص]]-(bargiri[[#This Row],[نرخ استهلاک]]*bargiri[[#This Row],[مقدار]]))</f>
        <v>468115090.94000226</v>
      </c>
    </row>
    <row r="1265" spans="1:17" s="22" customFormat="1" ht="13.8" x14ac:dyDescent="0.25">
      <c r="A1265" s="22">
        <v>281</v>
      </c>
      <c r="B1265" s="22" t="s">
        <v>281</v>
      </c>
      <c r="C1265" s="22" t="s">
        <v>115</v>
      </c>
      <c r="D1265" s="22" t="s">
        <v>116</v>
      </c>
      <c r="E1265" s="158">
        <v>19440</v>
      </c>
      <c r="F1265" s="159">
        <v>75000</v>
      </c>
      <c r="G1265" s="159">
        <v>1458000000</v>
      </c>
      <c r="H1265" s="159">
        <v>145800000</v>
      </c>
      <c r="I1265" s="159">
        <v>1603800000</v>
      </c>
      <c r="J1265" s="159">
        <f>bargiri[[#This Row],[مقدار]]*INDEX(invoice[پیش دریافت به ازای هر کیلوگرم],MATCH(bargiri[[#This Row],[شماره سند مبنا]],invoice[شماره پیش فاکتور],0))</f>
        <v>291798422.92759073</v>
      </c>
      <c r="K1265" s="159">
        <f>bargiri[[#This Row],[مبلغ خالص]]-bargiri[[#This Row],[میزان استهلاک پیش دریافتی]]</f>
        <v>1312001577.0724092</v>
      </c>
      <c r="L1265" s="160" t="s">
        <v>593</v>
      </c>
      <c r="M1265" s="159"/>
      <c r="N1265" s="159">
        <f>IF(bargiri[[#This Row],[مبلغ واریزی]]&lt;&gt;"",bargiri[[#This Row],[مانده مبلغ]]-bargiri[[#This Row],[مبلغ واریزی]],bargiri[[#This Row],[مانده مبلغ]])</f>
        <v>1312001577.0724092</v>
      </c>
      <c r="O1265" s="159" t="s">
        <v>593</v>
      </c>
      <c r="P1265" s="159">
        <f>VLOOKUP(bargiri[[#This Row],[شماره سند مبنا]],invoice[[شماره پیش فاکتور]:[پیش دریافت به ازای هر کیلوگرم]],14,0)</f>
        <v>15010.206940719689</v>
      </c>
      <c r="Q1265" s="159">
        <f>IF(bargiri[[#This Row],[مبلغ ناخالص]]-(bargiri[[#This Row],[نرخ استهلاک]]*bargiri[[#This Row],[مقدار]])&lt;0,0,bargiri[[#This Row],[مبلغ ناخالص]]-(bargiri[[#This Row],[نرخ استهلاک]]*bargiri[[#This Row],[مقدار]]))</f>
        <v>1166201577.0724092</v>
      </c>
    </row>
    <row r="1266" spans="1:17" s="22" customFormat="1" ht="13.8" x14ac:dyDescent="0.25">
      <c r="A1266" s="22">
        <v>280</v>
      </c>
      <c r="B1266" s="22" t="s">
        <v>281</v>
      </c>
      <c r="C1266" s="22" t="s">
        <v>72</v>
      </c>
      <c r="D1266" s="22" t="s">
        <v>73</v>
      </c>
      <c r="E1266" s="158">
        <v>20300</v>
      </c>
      <c r="F1266" s="159">
        <v>57273</v>
      </c>
      <c r="G1266" s="159">
        <v>1162641900</v>
      </c>
      <c r="H1266" s="159">
        <v>116264190</v>
      </c>
      <c r="I1266" s="159">
        <v>1278906090</v>
      </c>
      <c r="J1266" s="159" t="e">
        <f>bargiri[[#This Row],[مقدار]]*INDEX(invoice[پیش دریافت به ازای هر کیلوگرم],MATCH(bargiri[[#This Row],[شماره سند مبنا]],invoice[شماره پیش فاکتور],0))</f>
        <v>#N/A</v>
      </c>
      <c r="K1266" s="159" t="e">
        <f>bargiri[[#This Row],[مبلغ خالص]]-bargiri[[#This Row],[میزان استهلاک پیش دریافتی]]</f>
        <v>#N/A</v>
      </c>
      <c r="L1266" s="160" t="s">
        <v>593</v>
      </c>
      <c r="M1266" s="159"/>
      <c r="N1266" s="159" t="e">
        <f>IF(bargiri[[#This Row],[مبلغ واریزی]]&lt;&gt;"",bargiri[[#This Row],[مانده مبلغ]]-bargiri[[#This Row],[مبلغ واریزی]],bargiri[[#This Row],[مانده مبلغ]])</f>
        <v>#N/A</v>
      </c>
      <c r="O1266" s="159" t="s">
        <v>593</v>
      </c>
      <c r="P1266" s="159" t="e">
        <f>VLOOKUP(bargiri[[#This Row],[شماره سند مبنا]],invoice[[شماره پیش فاکتور]:[پیش دریافت به ازای هر کیلوگرم]],14,0)</f>
        <v>#N/A</v>
      </c>
      <c r="Q1266" s="159" t="e">
        <f>IF(bargiri[[#This Row],[مبلغ ناخالص]]-(bargiri[[#This Row],[نرخ استهلاک]]*bargiri[[#This Row],[مقدار]])&lt;0,0,bargiri[[#This Row],[مبلغ ناخالص]]-(bargiri[[#This Row],[نرخ استهلاک]]*bargiri[[#This Row],[مقدار]]))</f>
        <v>#N/A</v>
      </c>
    </row>
    <row r="1267" spans="1:17" s="22" customFormat="1" ht="13.8" x14ac:dyDescent="0.25">
      <c r="A1267" s="22">
        <v>279</v>
      </c>
      <c r="B1267" s="22" t="s">
        <v>281</v>
      </c>
      <c r="C1267" s="22" t="s">
        <v>72</v>
      </c>
      <c r="D1267" s="22" t="s">
        <v>73</v>
      </c>
      <c r="E1267" s="158">
        <v>20555</v>
      </c>
      <c r="F1267" s="159">
        <v>57273</v>
      </c>
      <c r="G1267" s="159">
        <v>1177246515</v>
      </c>
      <c r="H1267" s="159">
        <v>117724652</v>
      </c>
      <c r="I1267" s="159">
        <v>1294971167</v>
      </c>
      <c r="J1267" s="159" t="e">
        <f>bargiri[[#This Row],[مقدار]]*INDEX(invoice[پیش دریافت به ازای هر کیلوگرم],MATCH(bargiri[[#This Row],[شماره سند مبنا]],invoice[شماره پیش فاکتور],0))</f>
        <v>#N/A</v>
      </c>
      <c r="K1267" s="159" t="e">
        <f>bargiri[[#This Row],[مبلغ خالص]]-bargiri[[#This Row],[میزان استهلاک پیش دریافتی]]</f>
        <v>#N/A</v>
      </c>
      <c r="L1267" s="160" t="s">
        <v>593</v>
      </c>
      <c r="M1267" s="159"/>
      <c r="N1267" s="159" t="e">
        <f>IF(bargiri[[#This Row],[مبلغ واریزی]]&lt;&gt;"",bargiri[[#This Row],[مانده مبلغ]]-bargiri[[#This Row],[مبلغ واریزی]],bargiri[[#This Row],[مانده مبلغ]])</f>
        <v>#N/A</v>
      </c>
      <c r="O1267" s="159" t="s">
        <v>593</v>
      </c>
      <c r="P1267" s="159" t="e">
        <f>VLOOKUP(bargiri[[#This Row],[شماره سند مبنا]],invoice[[شماره پیش فاکتور]:[پیش دریافت به ازای هر کیلوگرم]],14,0)</f>
        <v>#N/A</v>
      </c>
      <c r="Q1267" s="159" t="e">
        <f>IF(bargiri[[#This Row],[مبلغ ناخالص]]-(bargiri[[#This Row],[نرخ استهلاک]]*bargiri[[#This Row],[مقدار]])&lt;0,0,bargiri[[#This Row],[مبلغ ناخالص]]-(bargiri[[#This Row],[نرخ استهلاک]]*bargiri[[#This Row],[مقدار]]))</f>
        <v>#N/A</v>
      </c>
    </row>
    <row r="1268" spans="1:17" s="22" customFormat="1" ht="13.8" x14ac:dyDescent="0.25">
      <c r="A1268" s="22">
        <v>278</v>
      </c>
      <c r="B1268" s="22" t="s">
        <v>281</v>
      </c>
      <c r="C1268" s="22" t="s">
        <v>149</v>
      </c>
      <c r="D1268" s="22" t="s">
        <v>35</v>
      </c>
      <c r="E1268" s="158">
        <v>7545</v>
      </c>
      <c r="F1268" s="159">
        <v>75000</v>
      </c>
      <c r="G1268" s="159">
        <v>565875000</v>
      </c>
      <c r="H1268" s="159">
        <v>56587500</v>
      </c>
      <c r="I1268" s="159">
        <v>622462500</v>
      </c>
      <c r="J1268" s="159">
        <f>bargiri[[#This Row],[مقدار]]*INDEX(invoice[پیش دریافت به ازای هر کیلوگرم],MATCH(bargiri[[#This Row],[شماره سند مبنا]],invoice[شماره پیش فاکتور],0))</f>
        <v>93376222.589656577</v>
      </c>
      <c r="K1268" s="159">
        <f>bargiri[[#This Row],[مبلغ خالص]]-bargiri[[#This Row],[میزان استهلاک پیش دریافتی]]</f>
        <v>529086277.41034341</v>
      </c>
      <c r="L1268" s="160" t="s">
        <v>593</v>
      </c>
      <c r="M1268" s="159"/>
      <c r="N1268" s="159">
        <f>IF(bargiri[[#This Row],[مبلغ واریزی]]&lt;&gt;"",bargiri[[#This Row],[مانده مبلغ]]-bargiri[[#This Row],[مبلغ واریزی]],bargiri[[#This Row],[مانده مبلغ]])</f>
        <v>529086277.41034341</v>
      </c>
      <c r="O1268" s="159" t="s">
        <v>593</v>
      </c>
      <c r="P1268" s="159">
        <f>VLOOKUP(bargiri[[#This Row],[شماره سند مبنا]],invoice[[شماره پیش فاکتور]:[پیش دریافت به ازای هر کیلوگرم]],14,0)</f>
        <v>12375.907566554881</v>
      </c>
      <c r="Q1268" s="159">
        <f>IF(bargiri[[#This Row],[مبلغ ناخالص]]-(bargiri[[#This Row],[نرخ استهلاک]]*bargiri[[#This Row],[مقدار]])&lt;0,0,bargiri[[#This Row],[مبلغ ناخالص]]-(bargiri[[#This Row],[نرخ استهلاک]]*bargiri[[#This Row],[مقدار]]))</f>
        <v>472498777.41034341</v>
      </c>
    </row>
    <row r="1269" spans="1:17" s="22" customFormat="1" ht="13.8" x14ac:dyDescent="0.25">
      <c r="A1269" s="22">
        <v>277</v>
      </c>
      <c r="B1269" s="22" t="s">
        <v>364</v>
      </c>
      <c r="C1269" s="22" t="s">
        <v>107</v>
      </c>
      <c r="D1269" s="22" t="s">
        <v>30</v>
      </c>
      <c r="E1269" s="158">
        <v>11475</v>
      </c>
      <c r="F1269" s="159">
        <v>70000</v>
      </c>
      <c r="G1269" s="159">
        <v>803250000</v>
      </c>
      <c r="H1269" s="159">
        <v>80325000</v>
      </c>
      <c r="I1269" s="159">
        <v>883575000</v>
      </c>
      <c r="J1269" s="159">
        <f>bargiri[[#This Row],[مقدار]]*INDEX(invoice[پیش دریافت به ازای هر کیلوگرم],MATCH(bargiri[[#This Row],[شماره سند مبنا]],invoice[شماره پیش فاکتور],0))</f>
        <v>441787500</v>
      </c>
      <c r="K1269" s="159">
        <f>bargiri[[#This Row],[مبلغ خالص]]-bargiri[[#This Row],[میزان استهلاک پیش دریافتی]]</f>
        <v>441787500</v>
      </c>
      <c r="L1269" s="160" t="s">
        <v>593</v>
      </c>
      <c r="M1269" s="159"/>
      <c r="N1269" s="159">
        <f>IF(bargiri[[#This Row],[مبلغ واریزی]]&lt;&gt;"",bargiri[[#This Row],[مانده مبلغ]]-bargiri[[#This Row],[مبلغ واریزی]],bargiri[[#This Row],[مانده مبلغ]])</f>
        <v>441787500</v>
      </c>
      <c r="O1269" s="159" t="s">
        <v>593</v>
      </c>
      <c r="P1269" s="159">
        <f>VLOOKUP(bargiri[[#This Row],[شماره سند مبنا]],invoice[[شماره پیش فاکتور]:[پیش دریافت به ازای هر کیلوگرم]],14,0)</f>
        <v>38500</v>
      </c>
      <c r="Q1269" s="159">
        <f>IF(bargiri[[#This Row],[مبلغ ناخالص]]-(bargiri[[#This Row],[نرخ استهلاک]]*bargiri[[#This Row],[مقدار]])&lt;0,0,bargiri[[#This Row],[مبلغ ناخالص]]-(bargiri[[#This Row],[نرخ استهلاک]]*bargiri[[#This Row],[مقدار]]))</f>
        <v>361462500</v>
      </c>
    </row>
    <row r="1270" spans="1:17" s="22" customFormat="1" ht="13.8" x14ac:dyDescent="0.25">
      <c r="A1270" s="22">
        <v>276</v>
      </c>
      <c r="B1270" s="22" t="s">
        <v>364</v>
      </c>
      <c r="C1270" s="22" t="s">
        <v>149</v>
      </c>
      <c r="D1270" s="22" t="s">
        <v>35</v>
      </c>
      <c r="E1270" s="158">
        <v>7330</v>
      </c>
      <c r="F1270" s="159">
        <v>75000</v>
      </c>
      <c r="G1270" s="159">
        <v>549750000</v>
      </c>
      <c r="H1270" s="159">
        <v>54975000</v>
      </c>
      <c r="I1270" s="159">
        <v>604725000</v>
      </c>
      <c r="J1270" s="159">
        <f>bargiri[[#This Row],[مقدار]]*INDEX(invoice[پیش دریافت به ازای هر کیلوگرم],MATCH(bargiri[[#This Row],[شماره سند مبنا]],invoice[شماره پیش فاکتور],0))</f>
        <v>90715402.462847278</v>
      </c>
      <c r="K1270" s="159">
        <f>bargiri[[#This Row],[مبلغ خالص]]-bargiri[[#This Row],[میزان استهلاک پیش دریافتی]]</f>
        <v>514009597.53715271</v>
      </c>
      <c r="L1270" s="160" t="s">
        <v>593</v>
      </c>
      <c r="M1270" s="159"/>
      <c r="N1270" s="159">
        <f>IF(bargiri[[#This Row],[مبلغ واریزی]]&lt;&gt;"",bargiri[[#This Row],[مانده مبلغ]]-bargiri[[#This Row],[مبلغ واریزی]],bargiri[[#This Row],[مانده مبلغ]])</f>
        <v>514009597.53715271</v>
      </c>
      <c r="O1270" s="159" t="s">
        <v>593</v>
      </c>
      <c r="P1270" s="159">
        <f>VLOOKUP(bargiri[[#This Row],[شماره سند مبنا]],invoice[[شماره پیش فاکتور]:[پیش دریافت به ازای هر کیلوگرم]],14,0)</f>
        <v>12375.907566554881</v>
      </c>
      <c r="Q1270" s="159">
        <f>IF(bargiri[[#This Row],[مبلغ ناخالص]]-(bargiri[[#This Row],[نرخ استهلاک]]*bargiri[[#This Row],[مقدار]])&lt;0,0,bargiri[[#This Row],[مبلغ ناخالص]]-(bargiri[[#This Row],[نرخ استهلاک]]*bargiri[[#This Row],[مقدار]]))</f>
        <v>459034597.53715271</v>
      </c>
    </row>
    <row r="1271" spans="1:17" s="22" customFormat="1" ht="13.8" x14ac:dyDescent="0.25">
      <c r="A1271" s="22">
        <v>275</v>
      </c>
      <c r="B1271" s="22" t="s">
        <v>364</v>
      </c>
      <c r="C1271" s="22" t="s">
        <v>109</v>
      </c>
      <c r="D1271" s="22" t="s">
        <v>110</v>
      </c>
      <c r="E1271" s="158">
        <v>19110</v>
      </c>
      <c r="F1271" s="159">
        <v>70000</v>
      </c>
      <c r="G1271" s="159">
        <v>1337700000</v>
      </c>
      <c r="H1271" s="159">
        <v>133770000</v>
      </c>
      <c r="I1271" s="159">
        <v>1471470000</v>
      </c>
      <c r="J1271" s="159" t="e">
        <f>bargiri[[#This Row],[مقدار]]*INDEX(invoice[پیش دریافت به ازای هر کیلوگرم],MATCH(bargiri[[#This Row],[شماره سند مبنا]],invoice[شماره پیش فاکتور],0))</f>
        <v>#N/A</v>
      </c>
      <c r="K1271" s="159" t="e">
        <f>bargiri[[#This Row],[مبلغ خالص]]-bargiri[[#This Row],[میزان استهلاک پیش دریافتی]]</f>
        <v>#N/A</v>
      </c>
      <c r="L1271" s="160" t="s">
        <v>593</v>
      </c>
      <c r="M1271" s="159"/>
      <c r="N1271" s="159" t="e">
        <f>IF(bargiri[[#This Row],[مبلغ واریزی]]&lt;&gt;"",bargiri[[#This Row],[مانده مبلغ]]-bargiri[[#This Row],[مبلغ واریزی]],bargiri[[#This Row],[مانده مبلغ]])</f>
        <v>#N/A</v>
      </c>
      <c r="O1271" s="159" t="s">
        <v>593</v>
      </c>
      <c r="P1271" s="159" t="e">
        <f>VLOOKUP(bargiri[[#This Row],[شماره سند مبنا]],invoice[[شماره پیش فاکتور]:[پیش دریافت به ازای هر کیلوگرم]],14,0)</f>
        <v>#N/A</v>
      </c>
      <c r="Q1271" s="159" t="e">
        <f>IF(bargiri[[#This Row],[مبلغ ناخالص]]-(bargiri[[#This Row],[نرخ استهلاک]]*bargiri[[#This Row],[مقدار]])&lt;0,0,bargiri[[#This Row],[مبلغ ناخالص]]-(bargiri[[#This Row],[نرخ استهلاک]]*bargiri[[#This Row],[مقدار]]))</f>
        <v>#N/A</v>
      </c>
    </row>
    <row r="1272" spans="1:17" s="22" customFormat="1" ht="13.8" x14ac:dyDescent="0.25">
      <c r="A1272" s="22">
        <v>274</v>
      </c>
      <c r="B1272" s="22" t="s">
        <v>364</v>
      </c>
      <c r="C1272" s="22" t="s">
        <v>466</v>
      </c>
      <c r="D1272" s="22" t="s">
        <v>180</v>
      </c>
      <c r="E1272" s="158">
        <v>7765</v>
      </c>
      <c r="F1272" s="159">
        <v>100000</v>
      </c>
      <c r="G1272" s="159">
        <v>776500000</v>
      </c>
      <c r="H1272" s="159">
        <v>77650000</v>
      </c>
      <c r="I1272" s="159">
        <v>854150000</v>
      </c>
      <c r="J1272" s="159">
        <f>bargiri[[#This Row],[مقدار]]*INDEX(invoice[پیش دریافت به ازای هر کیلوگرم],MATCH(bargiri[[#This Row],[شماره سند مبنا]],invoice[شماره پیش فاکتور],0))</f>
        <v>135529852.09096166</v>
      </c>
      <c r="K1272" s="159">
        <f>bargiri[[#This Row],[مبلغ خالص]]-bargiri[[#This Row],[میزان استهلاک پیش دریافتی]]</f>
        <v>718620147.90903831</v>
      </c>
      <c r="L1272" s="160" t="s">
        <v>593</v>
      </c>
      <c r="M1272" s="159"/>
      <c r="N1272" s="159">
        <f>IF(bargiri[[#This Row],[مبلغ واریزی]]&lt;&gt;"",bargiri[[#This Row],[مانده مبلغ]]-bargiri[[#This Row],[مبلغ واریزی]],bargiri[[#This Row],[مانده مبلغ]])</f>
        <v>718620147.90903831</v>
      </c>
      <c r="O1272" s="159" t="s">
        <v>593</v>
      </c>
      <c r="P1272" s="159">
        <f>VLOOKUP(bargiri[[#This Row],[شماره سند مبنا]],invoice[[شماره پیش فاکتور]:[پیش دریافت به ازای هر کیلوگرم]],14,0)</f>
        <v>17453.94102910002</v>
      </c>
      <c r="Q1272" s="159">
        <f>IF(bargiri[[#This Row],[مبلغ ناخالص]]-(bargiri[[#This Row],[نرخ استهلاک]]*bargiri[[#This Row],[مقدار]])&lt;0,0,bargiri[[#This Row],[مبلغ ناخالص]]-(bargiri[[#This Row],[نرخ استهلاک]]*bargiri[[#This Row],[مقدار]]))</f>
        <v>640970147.90903831</v>
      </c>
    </row>
    <row r="1273" spans="1:17" s="22" customFormat="1" ht="13.8" x14ac:dyDescent="0.25">
      <c r="A1273" s="22">
        <v>273</v>
      </c>
      <c r="B1273" s="22" t="s">
        <v>364</v>
      </c>
      <c r="C1273" s="22" t="s">
        <v>189</v>
      </c>
      <c r="D1273" s="22" t="s">
        <v>173</v>
      </c>
      <c r="E1273" s="158">
        <v>20975</v>
      </c>
      <c r="F1273" s="159">
        <v>75000</v>
      </c>
      <c r="G1273" s="159">
        <v>1573125000</v>
      </c>
      <c r="H1273" s="159">
        <v>157312500</v>
      </c>
      <c r="I1273" s="159">
        <v>1730437500</v>
      </c>
      <c r="J1273" s="159">
        <f>bargiri[[#This Row],[مقدار]]*INDEX(invoice[پیش دریافت به ازای هر کیلوگرم],MATCH(bargiri[[#This Row],[شماره سند مبنا]],invoice[شماره پیش فاکتور],0))</f>
        <v>259565625</v>
      </c>
      <c r="K1273" s="159">
        <f>bargiri[[#This Row],[مبلغ خالص]]-bargiri[[#This Row],[میزان استهلاک پیش دریافتی]]</f>
        <v>1470871875</v>
      </c>
      <c r="L1273" s="160" t="s">
        <v>593</v>
      </c>
      <c r="M1273" s="159"/>
      <c r="N1273" s="159">
        <f>IF(bargiri[[#This Row],[مبلغ واریزی]]&lt;&gt;"",bargiri[[#This Row],[مانده مبلغ]]-bargiri[[#This Row],[مبلغ واریزی]],bargiri[[#This Row],[مانده مبلغ]])</f>
        <v>1470871875</v>
      </c>
      <c r="O1273" s="159" t="s">
        <v>593</v>
      </c>
      <c r="P1273" s="159">
        <f>VLOOKUP(bargiri[[#This Row],[شماره سند مبنا]],invoice[[شماره پیش فاکتور]:[پیش دریافت به ازای هر کیلوگرم]],14,0)</f>
        <v>12375</v>
      </c>
      <c r="Q1273" s="159">
        <f>IF(bargiri[[#This Row],[مبلغ ناخالص]]-(bargiri[[#This Row],[نرخ استهلاک]]*bargiri[[#This Row],[مقدار]])&lt;0,0,bargiri[[#This Row],[مبلغ ناخالص]]-(bargiri[[#This Row],[نرخ استهلاک]]*bargiri[[#This Row],[مقدار]]))</f>
        <v>1313559375</v>
      </c>
    </row>
    <row r="1274" spans="1:17" s="22" customFormat="1" ht="13.8" x14ac:dyDescent="0.25">
      <c r="A1274" s="22">
        <v>272</v>
      </c>
      <c r="B1274" s="22" t="s">
        <v>280</v>
      </c>
      <c r="C1274" s="22" t="s">
        <v>109</v>
      </c>
      <c r="D1274" s="22" t="s">
        <v>110</v>
      </c>
      <c r="E1274" s="158">
        <v>18355</v>
      </c>
      <c r="F1274" s="159">
        <v>70000</v>
      </c>
      <c r="G1274" s="159">
        <v>1284850000</v>
      </c>
      <c r="H1274" s="159">
        <v>128485000</v>
      </c>
      <c r="I1274" s="159">
        <v>1413335000</v>
      </c>
      <c r="J1274" s="159" t="e">
        <f>bargiri[[#This Row],[مقدار]]*INDEX(invoice[پیش دریافت به ازای هر کیلوگرم],MATCH(bargiri[[#This Row],[شماره سند مبنا]],invoice[شماره پیش فاکتور],0))</f>
        <v>#N/A</v>
      </c>
      <c r="K1274" s="159" t="e">
        <f>bargiri[[#This Row],[مبلغ خالص]]-bargiri[[#This Row],[میزان استهلاک پیش دریافتی]]</f>
        <v>#N/A</v>
      </c>
      <c r="L1274" s="160" t="s">
        <v>593</v>
      </c>
      <c r="M1274" s="159"/>
      <c r="N1274" s="159" t="e">
        <f>IF(bargiri[[#This Row],[مبلغ واریزی]]&lt;&gt;"",bargiri[[#This Row],[مانده مبلغ]]-bargiri[[#This Row],[مبلغ واریزی]],bargiri[[#This Row],[مانده مبلغ]])</f>
        <v>#N/A</v>
      </c>
      <c r="O1274" s="159" t="s">
        <v>593</v>
      </c>
      <c r="P1274" s="159" t="e">
        <f>VLOOKUP(bargiri[[#This Row],[شماره سند مبنا]],invoice[[شماره پیش فاکتور]:[پیش دریافت به ازای هر کیلوگرم]],14,0)</f>
        <v>#N/A</v>
      </c>
      <c r="Q1274" s="159" t="e">
        <f>IF(bargiri[[#This Row],[مبلغ ناخالص]]-(bargiri[[#This Row],[نرخ استهلاک]]*bargiri[[#This Row],[مقدار]])&lt;0,0,bargiri[[#This Row],[مبلغ ناخالص]]-(bargiri[[#This Row],[نرخ استهلاک]]*bargiri[[#This Row],[مقدار]]))</f>
        <v>#N/A</v>
      </c>
    </row>
    <row r="1275" spans="1:17" s="22" customFormat="1" ht="13.8" x14ac:dyDescent="0.25">
      <c r="A1275" s="22">
        <v>271</v>
      </c>
      <c r="B1275" s="22" t="s">
        <v>280</v>
      </c>
      <c r="C1275" s="22" t="s">
        <v>206</v>
      </c>
      <c r="D1275" s="22" t="s">
        <v>207</v>
      </c>
      <c r="E1275" s="158">
        <v>19975</v>
      </c>
      <c r="F1275" s="159">
        <v>100000</v>
      </c>
      <c r="G1275" s="159">
        <v>1997500000</v>
      </c>
      <c r="H1275" s="159">
        <v>199750000</v>
      </c>
      <c r="I1275" s="159">
        <v>2197250000</v>
      </c>
      <c r="J1275" s="159">
        <f>bargiri[[#This Row],[مقدار]]*INDEX(invoice[پیش دریافت به ازای هر کیلوگرم],MATCH(bargiri[[#This Row],[شماره سند مبنا]],invoice[شماره پیش فاکتور],0))</f>
        <v>329587500</v>
      </c>
      <c r="K1275" s="159">
        <f>bargiri[[#This Row],[مبلغ خالص]]-bargiri[[#This Row],[میزان استهلاک پیش دریافتی]]</f>
        <v>1867662500</v>
      </c>
      <c r="L1275" s="160" t="s">
        <v>593</v>
      </c>
      <c r="M1275" s="159"/>
      <c r="N1275" s="159">
        <f>IF(bargiri[[#This Row],[مبلغ واریزی]]&lt;&gt;"",bargiri[[#This Row],[مانده مبلغ]]-bargiri[[#This Row],[مبلغ واریزی]],bargiri[[#This Row],[مانده مبلغ]])</f>
        <v>1867662500</v>
      </c>
      <c r="O1275" s="159" t="s">
        <v>593</v>
      </c>
      <c r="P1275" s="159">
        <f>VLOOKUP(bargiri[[#This Row],[شماره سند مبنا]],invoice[[شماره پیش فاکتور]:[پیش دریافت به ازای هر کیلوگرم]],14,0)</f>
        <v>16500</v>
      </c>
      <c r="Q1275" s="159">
        <f>IF(bargiri[[#This Row],[مبلغ ناخالص]]-(bargiri[[#This Row],[نرخ استهلاک]]*bargiri[[#This Row],[مقدار]])&lt;0,0,bargiri[[#This Row],[مبلغ ناخالص]]-(bargiri[[#This Row],[نرخ استهلاک]]*bargiri[[#This Row],[مقدار]]))</f>
        <v>1667912500</v>
      </c>
    </row>
    <row r="1276" spans="1:17" s="22" customFormat="1" ht="13.8" x14ac:dyDescent="0.25">
      <c r="A1276" s="22">
        <v>270</v>
      </c>
      <c r="B1276" s="22" t="s">
        <v>280</v>
      </c>
      <c r="C1276" s="22" t="s">
        <v>107</v>
      </c>
      <c r="D1276" s="22" t="s">
        <v>30</v>
      </c>
      <c r="E1276" s="158">
        <v>11860</v>
      </c>
      <c r="F1276" s="159">
        <v>70000</v>
      </c>
      <c r="G1276" s="159">
        <v>830200000</v>
      </c>
      <c r="H1276" s="159">
        <v>83020000</v>
      </c>
      <c r="I1276" s="159">
        <v>913220000</v>
      </c>
      <c r="J1276" s="159">
        <f>bargiri[[#This Row],[مقدار]]*INDEX(invoice[پیش دریافت به ازای هر کیلوگرم],MATCH(bargiri[[#This Row],[شماره سند مبنا]],invoice[شماره پیش فاکتور],0))</f>
        <v>456610000</v>
      </c>
      <c r="K1276" s="159">
        <f>bargiri[[#This Row],[مبلغ خالص]]-bargiri[[#This Row],[میزان استهلاک پیش دریافتی]]</f>
        <v>456610000</v>
      </c>
      <c r="L1276" s="160" t="s">
        <v>593</v>
      </c>
      <c r="M1276" s="159"/>
      <c r="N1276" s="159">
        <f>IF(bargiri[[#This Row],[مبلغ واریزی]]&lt;&gt;"",bargiri[[#This Row],[مانده مبلغ]]-bargiri[[#This Row],[مبلغ واریزی]],bargiri[[#This Row],[مانده مبلغ]])</f>
        <v>456610000</v>
      </c>
      <c r="O1276" s="159" t="s">
        <v>593</v>
      </c>
      <c r="P1276" s="159">
        <f>VLOOKUP(bargiri[[#This Row],[شماره سند مبنا]],invoice[[شماره پیش فاکتور]:[پیش دریافت به ازای هر کیلوگرم]],14,0)</f>
        <v>38500</v>
      </c>
      <c r="Q1276" s="159">
        <f>IF(bargiri[[#This Row],[مبلغ ناخالص]]-(bargiri[[#This Row],[نرخ استهلاک]]*bargiri[[#This Row],[مقدار]])&lt;0,0,bargiri[[#This Row],[مبلغ ناخالص]]-(bargiri[[#This Row],[نرخ استهلاک]]*bargiri[[#This Row],[مقدار]]))</f>
        <v>373590000</v>
      </c>
    </row>
    <row r="1277" spans="1:17" s="22" customFormat="1" ht="13.8" x14ac:dyDescent="0.25">
      <c r="A1277" s="22">
        <v>269</v>
      </c>
      <c r="B1277" s="22" t="s">
        <v>280</v>
      </c>
      <c r="C1277" s="22" t="s">
        <v>155</v>
      </c>
      <c r="D1277" s="22" t="s">
        <v>156</v>
      </c>
      <c r="E1277" s="158">
        <v>19960</v>
      </c>
      <c r="F1277" s="159">
        <v>75000</v>
      </c>
      <c r="G1277" s="159">
        <v>1497000000</v>
      </c>
      <c r="H1277" s="159">
        <v>149700000</v>
      </c>
      <c r="I1277" s="159">
        <v>1646700000</v>
      </c>
      <c r="J1277" s="159">
        <f>bargiri[[#This Row],[مقدار]]*INDEX(invoice[پیش دریافت به ازای هر کیلوگرم],MATCH(bargiri[[#This Row],[شماره سند مبنا]],invoice[شماره پیش فاکتور],0))</f>
        <v>247005000</v>
      </c>
      <c r="K1277" s="159">
        <f>bargiri[[#This Row],[مبلغ خالص]]-bargiri[[#This Row],[میزان استهلاک پیش دریافتی]]</f>
        <v>1399695000</v>
      </c>
      <c r="L1277" s="160" t="s">
        <v>593</v>
      </c>
      <c r="M1277" s="159"/>
      <c r="N1277" s="159">
        <f>IF(bargiri[[#This Row],[مبلغ واریزی]]&lt;&gt;"",bargiri[[#This Row],[مانده مبلغ]]-bargiri[[#This Row],[مبلغ واریزی]],bargiri[[#This Row],[مانده مبلغ]])</f>
        <v>1399695000</v>
      </c>
      <c r="O1277" s="159" t="s">
        <v>593</v>
      </c>
      <c r="P1277" s="159">
        <f>VLOOKUP(bargiri[[#This Row],[شماره سند مبنا]],invoice[[شماره پیش فاکتور]:[پیش دریافت به ازای هر کیلوگرم]],14,0)</f>
        <v>12375</v>
      </c>
      <c r="Q1277" s="159">
        <f>IF(bargiri[[#This Row],[مبلغ ناخالص]]-(bargiri[[#This Row],[نرخ استهلاک]]*bargiri[[#This Row],[مقدار]])&lt;0,0,bargiri[[#This Row],[مبلغ ناخالص]]-(bargiri[[#This Row],[نرخ استهلاک]]*bargiri[[#This Row],[مقدار]]))</f>
        <v>1249995000</v>
      </c>
    </row>
    <row r="1278" spans="1:17" s="22" customFormat="1" ht="13.8" x14ac:dyDescent="0.25">
      <c r="A1278" s="22">
        <v>268</v>
      </c>
      <c r="B1278" s="22" t="s">
        <v>280</v>
      </c>
      <c r="C1278" s="22" t="s">
        <v>176</v>
      </c>
      <c r="D1278" s="22" t="s">
        <v>70</v>
      </c>
      <c r="E1278" s="158">
        <v>20255</v>
      </c>
      <c r="F1278" s="159">
        <v>75000</v>
      </c>
      <c r="G1278" s="159">
        <v>1519125000</v>
      </c>
      <c r="H1278" s="159">
        <v>151912500</v>
      </c>
      <c r="I1278" s="159">
        <v>1671037500</v>
      </c>
      <c r="J1278" s="159" t="e">
        <f>bargiri[[#This Row],[مقدار]]*INDEX(invoice[پیش دریافت به ازای هر کیلوگرم],MATCH(bargiri[[#This Row],[شماره سند مبنا]],invoice[شماره پیش فاکتور],0))</f>
        <v>#N/A</v>
      </c>
      <c r="K1278" s="159" t="e">
        <f>bargiri[[#This Row],[مبلغ خالص]]-bargiri[[#This Row],[میزان استهلاک پیش دریافتی]]</f>
        <v>#N/A</v>
      </c>
      <c r="L1278" s="160" t="s">
        <v>593</v>
      </c>
      <c r="M1278" s="159"/>
      <c r="N1278" s="159" t="e">
        <f>IF(bargiri[[#This Row],[مبلغ واریزی]]&lt;&gt;"",bargiri[[#This Row],[مانده مبلغ]]-bargiri[[#This Row],[مبلغ واریزی]],bargiri[[#This Row],[مانده مبلغ]])</f>
        <v>#N/A</v>
      </c>
      <c r="O1278" s="159" t="s">
        <v>593</v>
      </c>
      <c r="P1278" s="159" t="e">
        <f>VLOOKUP(bargiri[[#This Row],[شماره سند مبنا]],invoice[[شماره پیش فاکتور]:[پیش دریافت به ازای هر کیلوگرم]],14,0)</f>
        <v>#N/A</v>
      </c>
      <c r="Q1278" s="159" t="e">
        <f>IF(bargiri[[#This Row],[مبلغ ناخالص]]-(bargiri[[#This Row],[نرخ استهلاک]]*bargiri[[#This Row],[مقدار]])&lt;0,0,bargiri[[#This Row],[مبلغ ناخالص]]-(bargiri[[#This Row],[نرخ استهلاک]]*bargiri[[#This Row],[مقدار]]))</f>
        <v>#N/A</v>
      </c>
    </row>
    <row r="1279" spans="1:17" s="22" customFormat="1" ht="13.8" x14ac:dyDescent="0.25">
      <c r="A1279" s="22">
        <v>267</v>
      </c>
      <c r="B1279" s="22" t="s">
        <v>280</v>
      </c>
      <c r="C1279" s="22" t="s">
        <v>72</v>
      </c>
      <c r="D1279" s="22" t="s">
        <v>73</v>
      </c>
      <c r="E1279" s="158">
        <v>20400</v>
      </c>
      <c r="F1279" s="159">
        <v>57273</v>
      </c>
      <c r="G1279" s="159">
        <v>1168369200</v>
      </c>
      <c r="H1279" s="159">
        <v>116836920</v>
      </c>
      <c r="I1279" s="159">
        <v>1285206120</v>
      </c>
      <c r="J1279" s="159" t="e">
        <f>bargiri[[#This Row],[مقدار]]*INDEX(invoice[پیش دریافت به ازای هر کیلوگرم],MATCH(bargiri[[#This Row],[شماره سند مبنا]],invoice[شماره پیش فاکتور],0))</f>
        <v>#N/A</v>
      </c>
      <c r="K1279" s="159" t="e">
        <f>bargiri[[#This Row],[مبلغ خالص]]-bargiri[[#This Row],[میزان استهلاک پیش دریافتی]]</f>
        <v>#N/A</v>
      </c>
      <c r="L1279" s="160" t="s">
        <v>593</v>
      </c>
      <c r="M1279" s="159"/>
      <c r="N1279" s="159" t="e">
        <f>IF(bargiri[[#This Row],[مبلغ واریزی]]&lt;&gt;"",bargiri[[#This Row],[مانده مبلغ]]-bargiri[[#This Row],[مبلغ واریزی]],bargiri[[#This Row],[مانده مبلغ]])</f>
        <v>#N/A</v>
      </c>
      <c r="O1279" s="159" t="s">
        <v>593</v>
      </c>
      <c r="P1279" s="159" t="e">
        <f>VLOOKUP(bargiri[[#This Row],[شماره سند مبنا]],invoice[[شماره پیش فاکتور]:[پیش دریافت به ازای هر کیلوگرم]],14,0)</f>
        <v>#N/A</v>
      </c>
      <c r="Q1279" s="159" t="e">
        <f>IF(bargiri[[#This Row],[مبلغ ناخالص]]-(bargiri[[#This Row],[نرخ استهلاک]]*bargiri[[#This Row],[مقدار]])&lt;0,0,bargiri[[#This Row],[مبلغ ناخالص]]-(bargiri[[#This Row],[نرخ استهلاک]]*bargiri[[#This Row],[مقدار]]))</f>
        <v>#N/A</v>
      </c>
    </row>
    <row r="1280" spans="1:17" s="22" customFormat="1" ht="13.8" x14ac:dyDescent="0.25">
      <c r="A1280" s="22">
        <v>266</v>
      </c>
      <c r="B1280" s="22" t="s">
        <v>280</v>
      </c>
      <c r="C1280" s="22" t="s">
        <v>72</v>
      </c>
      <c r="D1280" s="22" t="s">
        <v>73</v>
      </c>
      <c r="E1280" s="158">
        <v>20585</v>
      </c>
      <c r="F1280" s="159">
        <v>57273</v>
      </c>
      <c r="G1280" s="159">
        <v>1178964705</v>
      </c>
      <c r="H1280" s="159">
        <v>117896471</v>
      </c>
      <c r="I1280" s="159">
        <v>1296861176</v>
      </c>
      <c r="J1280" s="159" t="e">
        <f>bargiri[[#This Row],[مقدار]]*INDEX(invoice[پیش دریافت به ازای هر کیلوگرم],MATCH(bargiri[[#This Row],[شماره سند مبنا]],invoice[شماره پیش فاکتور],0))</f>
        <v>#N/A</v>
      </c>
      <c r="K1280" s="159" t="e">
        <f>bargiri[[#This Row],[مبلغ خالص]]-bargiri[[#This Row],[میزان استهلاک پیش دریافتی]]</f>
        <v>#N/A</v>
      </c>
      <c r="L1280" s="160" t="s">
        <v>593</v>
      </c>
      <c r="M1280" s="159"/>
      <c r="N1280" s="159" t="e">
        <f>IF(bargiri[[#This Row],[مبلغ واریزی]]&lt;&gt;"",bargiri[[#This Row],[مانده مبلغ]]-bargiri[[#This Row],[مبلغ واریزی]],bargiri[[#This Row],[مانده مبلغ]])</f>
        <v>#N/A</v>
      </c>
      <c r="O1280" s="159" t="s">
        <v>593</v>
      </c>
      <c r="P1280" s="159" t="e">
        <f>VLOOKUP(bargiri[[#This Row],[شماره سند مبنا]],invoice[[شماره پیش فاکتور]:[پیش دریافت به ازای هر کیلوگرم]],14,0)</f>
        <v>#N/A</v>
      </c>
      <c r="Q1280" s="159" t="e">
        <f>IF(bargiri[[#This Row],[مبلغ ناخالص]]-(bargiri[[#This Row],[نرخ استهلاک]]*bargiri[[#This Row],[مقدار]])&lt;0,0,bargiri[[#This Row],[مبلغ ناخالص]]-(bargiri[[#This Row],[نرخ استهلاک]]*bargiri[[#This Row],[مقدار]]))</f>
        <v>#N/A</v>
      </c>
    </row>
    <row r="1281" spans="1:17" s="22" customFormat="1" ht="13.8" x14ac:dyDescent="0.25">
      <c r="A1281" s="22">
        <v>265</v>
      </c>
      <c r="B1281" s="22" t="s">
        <v>280</v>
      </c>
      <c r="C1281" s="22" t="s">
        <v>115</v>
      </c>
      <c r="D1281" s="22" t="s">
        <v>116</v>
      </c>
      <c r="E1281" s="158">
        <v>18120</v>
      </c>
      <c r="F1281" s="159">
        <v>75000</v>
      </c>
      <c r="G1281" s="159">
        <v>1359000000</v>
      </c>
      <c r="H1281" s="159">
        <v>135900000</v>
      </c>
      <c r="I1281" s="159">
        <v>1494900000</v>
      </c>
      <c r="J1281" s="159">
        <f>bargiri[[#This Row],[مقدار]]*INDEX(invoice[پیش دریافت به ازای هر کیلوگرم],MATCH(bargiri[[#This Row],[شماره سند مبنا]],invoice[شماره پیش فاکتور],0))</f>
        <v>271984949.76584077</v>
      </c>
      <c r="K1281" s="159">
        <f>bargiri[[#This Row],[مبلغ خالص]]-bargiri[[#This Row],[میزان استهلاک پیش دریافتی]]</f>
        <v>1222915050.2341592</v>
      </c>
      <c r="L1281" s="160" t="s">
        <v>593</v>
      </c>
      <c r="M1281" s="159"/>
      <c r="N1281" s="159">
        <f>IF(bargiri[[#This Row],[مبلغ واریزی]]&lt;&gt;"",bargiri[[#This Row],[مانده مبلغ]]-bargiri[[#This Row],[مبلغ واریزی]],bargiri[[#This Row],[مانده مبلغ]])</f>
        <v>1222915050.2341592</v>
      </c>
      <c r="O1281" s="159" t="s">
        <v>593</v>
      </c>
      <c r="P1281" s="159">
        <f>VLOOKUP(bargiri[[#This Row],[شماره سند مبنا]],invoice[[شماره پیش فاکتور]:[پیش دریافت به ازای هر کیلوگرم]],14,0)</f>
        <v>15010.206940719689</v>
      </c>
      <c r="Q1281" s="159">
        <f>IF(bargiri[[#This Row],[مبلغ ناخالص]]-(bargiri[[#This Row],[نرخ استهلاک]]*bargiri[[#This Row],[مقدار]])&lt;0,0,bargiri[[#This Row],[مبلغ ناخالص]]-(bargiri[[#This Row],[نرخ استهلاک]]*bargiri[[#This Row],[مقدار]]))</f>
        <v>1087015050.2341592</v>
      </c>
    </row>
    <row r="1282" spans="1:17" s="22" customFormat="1" ht="13.8" x14ac:dyDescent="0.25">
      <c r="A1282" s="22">
        <v>264</v>
      </c>
      <c r="B1282" s="22" t="s">
        <v>280</v>
      </c>
      <c r="C1282" s="22" t="s">
        <v>467</v>
      </c>
      <c r="D1282" s="22" t="s">
        <v>17</v>
      </c>
      <c r="E1282" s="158">
        <v>15840</v>
      </c>
      <c r="F1282" s="159">
        <v>151200</v>
      </c>
      <c r="G1282" s="159">
        <v>2395008000</v>
      </c>
      <c r="H1282" s="159">
        <v>239500800</v>
      </c>
      <c r="I1282" s="159">
        <v>2634508800</v>
      </c>
      <c r="J1282" s="159">
        <f>bargiri[[#This Row],[مقدار]]*INDEX(invoice[پیش دریافت به ازای هر کیلوگرم],MATCH(bargiri[[#This Row],[شماره سند مبنا]],invoice[شماره پیش فاکتور],0))</f>
        <v>395176320</v>
      </c>
      <c r="K1282" s="159">
        <f>bargiri[[#This Row],[مبلغ خالص]]-bargiri[[#This Row],[میزان استهلاک پیش دریافتی]]</f>
        <v>2239332480</v>
      </c>
      <c r="L1282" s="160" t="s">
        <v>593</v>
      </c>
      <c r="M1282" s="159"/>
      <c r="N1282" s="159">
        <f>IF(bargiri[[#This Row],[مبلغ واریزی]]&lt;&gt;"",bargiri[[#This Row],[مانده مبلغ]]-bargiri[[#This Row],[مبلغ واریزی]],bargiri[[#This Row],[مانده مبلغ]])</f>
        <v>2239332480</v>
      </c>
      <c r="O1282" s="159" t="s">
        <v>593</v>
      </c>
      <c r="P1282" s="159">
        <f>VLOOKUP(bargiri[[#This Row],[شماره سند مبنا]],invoice[[شماره پیش فاکتور]:[پیش دریافت به ازای هر کیلوگرم]],14,0)</f>
        <v>24948</v>
      </c>
      <c r="Q1282" s="159">
        <f>IF(bargiri[[#This Row],[مبلغ ناخالص]]-(bargiri[[#This Row],[نرخ استهلاک]]*bargiri[[#This Row],[مقدار]])&lt;0,0,bargiri[[#This Row],[مبلغ ناخالص]]-(bargiri[[#This Row],[نرخ استهلاک]]*bargiri[[#This Row],[مقدار]]))</f>
        <v>1999831680</v>
      </c>
    </row>
    <row r="1283" spans="1:17" s="22" customFormat="1" ht="13.8" x14ac:dyDescent="0.25">
      <c r="A1283" s="22">
        <v>264</v>
      </c>
      <c r="B1283" s="22" t="s">
        <v>280</v>
      </c>
      <c r="C1283" s="22" t="s">
        <v>197</v>
      </c>
      <c r="D1283" s="22" t="s">
        <v>17</v>
      </c>
      <c r="E1283" s="158">
        <v>4060</v>
      </c>
      <c r="F1283" s="159">
        <v>65000</v>
      </c>
      <c r="G1283" s="159">
        <v>263900000</v>
      </c>
      <c r="H1283" s="159">
        <v>26390000</v>
      </c>
      <c r="I1283" s="159">
        <v>290290000</v>
      </c>
      <c r="J1283" s="159">
        <f>bargiri[[#This Row],[مقدار]]*INDEX(invoice[پیش دریافت به ازای هر کیلوگرم],MATCH(bargiri[[#This Row],[شماره سند مبنا]],invoice[شماره پیش فاکتور],0))</f>
        <v>43543500.000000007</v>
      </c>
      <c r="K1283" s="159">
        <f>bargiri[[#This Row],[مبلغ خالص]]-bargiri[[#This Row],[میزان استهلاک پیش دریافتی]]</f>
        <v>246746500</v>
      </c>
      <c r="L1283" s="160" t="s">
        <v>593</v>
      </c>
      <c r="M1283" s="159"/>
      <c r="N1283" s="159">
        <f>IF(bargiri[[#This Row],[مبلغ واریزی]]&lt;&gt;"",bargiri[[#This Row],[مانده مبلغ]]-bargiri[[#This Row],[مبلغ واریزی]],bargiri[[#This Row],[مانده مبلغ]])</f>
        <v>246746500</v>
      </c>
      <c r="O1283" s="159" t="s">
        <v>593</v>
      </c>
      <c r="P1283" s="159">
        <f>VLOOKUP(bargiri[[#This Row],[شماره سند مبنا]],invoice[[شماره پیش فاکتور]:[پیش دریافت به ازای هر کیلوگرم]],14,0)</f>
        <v>10725.000000000002</v>
      </c>
      <c r="Q1283" s="159">
        <f>IF(bargiri[[#This Row],[مبلغ ناخالص]]-(bargiri[[#This Row],[نرخ استهلاک]]*bargiri[[#This Row],[مقدار]])&lt;0,0,bargiri[[#This Row],[مبلغ ناخالص]]-(bargiri[[#This Row],[نرخ استهلاک]]*bargiri[[#This Row],[مقدار]]))</f>
        <v>220356500</v>
      </c>
    </row>
    <row r="1284" spans="1:17" s="22" customFormat="1" ht="13.8" x14ac:dyDescent="0.25">
      <c r="A1284" s="22">
        <v>263</v>
      </c>
      <c r="B1284" s="22" t="s">
        <v>279</v>
      </c>
      <c r="C1284" s="22" t="s">
        <v>72</v>
      </c>
      <c r="D1284" s="22" t="s">
        <v>73</v>
      </c>
      <c r="E1284" s="158">
        <v>20465</v>
      </c>
      <c r="F1284" s="159">
        <v>57273</v>
      </c>
      <c r="G1284" s="159">
        <v>1172091945</v>
      </c>
      <c r="H1284" s="159">
        <v>117209195</v>
      </c>
      <c r="I1284" s="159">
        <v>1289301140</v>
      </c>
      <c r="J1284" s="159" t="e">
        <f>bargiri[[#This Row],[مقدار]]*INDEX(invoice[پیش دریافت به ازای هر کیلوگرم],MATCH(bargiri[[#This Row],[شماره سند مبنا]],invoice[شماره پیش فاکتور],0))</f>
        <v>#N/A</v>
      </c>
      <c r="K1284" s="159" t="e">
        <f>bargiri[[#This Row],[مبلغ خالص]]-bargiri[[#This Row],[میزان استهلاک پیش دریافتی]]</f>
        <v>#N/A</v>
      </c>
      <c r="L1284" s="160" t="s">
        <v>593</v>
      </c>
      <c r="M1284" s="159"/>
      <c r="N1284" s="159" t="e">
        <f>IF(bargiri[[#This Row],[مبلغ واریزی]]&lt;&gt;"",bargiri[[#This Row],[مانده مبلغ]]-bargiri[[#This Row],[مبلغ واریزی]],bargiri[[#This Row],[مانده مبلغ]])</f>
        <v>#N/A</v>
      </c>
      <c r="O1284" s="159" t="s">
        <v>593</v>
      </c>
      <c r="P1284" s="159" t="e">
        <f>VLOOKUP(bargiri[[#This Row],[شماره سند مبنا]],invoice[[شماره پیش فاکتور]:[پیش دریافت به ازای هر کیلوگرم]],14,0)</f>
        <v>#N/A</v>
      </c>
      <c r="Q1284" s="159" t="e">
        <f>IF(bargiri[[#This Row],[مبلغ ناخالص]]-(bargiri[[#This Row],[نرخ استهلاک]]*bargiri[[#This Row],[مقدار]])&lt;0,0,bargiri[[#This Row],[مبلغ ناخالص]]-(bargiri[[#This Row],[نرخ استهلاک]]*bargiri[[#This Row],[مقدار]]))</f>
        <v>#N/A</v>
      </c>
    </row>
    <row r="1285" spans="1:17" s="22" customFormat="1" ht="13.8" x14ac:dyDescent="0.25">
      <c r="A1285" s="22">
        <v>262</v>
      </c>
      <c r="B1285" s="22" t="s">
        <v>279</v>
      </c>
      <c r="C1285" s="22" t="s">
        <v>72</v>
      </c>
      <c r="D1285" s="22" t="s">
        <v>73</v>
      </c>
      <c r="E1285" s="158">
        <v>20410</v>
      </c>
      <c r="F1285" s="159">
        <v>57273</v>
      </c>
      <c r="G1285" s="159">
        <v>1168941930</v>
      </c>
      <c r="H1285" s="159">
        <v>116894193</v>
      </c>
      <c r="I1285" s="159">
        <v>1285836123</v>
      </c>
      <c r="J1285" s="159" t="e">
        <f>bargiri[[#This Row],[مقدار]]*INDEX(invoice[پیش دریافت به ازای هر کیلوگرم],MATCH(bargiri[[#This Row],[شماره سند مبنا]],invoice[شماره پیش فاکتور],0))</f>
        <v>#N/A</v>
      </c>
      <c r="K1285" s="159" t="e">
        <f>bargiri[[#This Row],[مبلغ خالص]]-bargiri[[#This Row],[میزان استهلاک پیش دریافتی]]</f>
        <v>#N/A</v>
      </c>
      <c r="L1285" s="160" t="s">
        <v>593</v>
      </c>
      <c r="M1285" s="159"/>
      <c r="N1285" s="159" t="e">
        <f>IF(bargiri[[#This Row],[مبلغ واریزی]]&lt;&gt;"",bargiri[[#This Row],[مانده مبلغ]]-bargiri[[#This Row],[مبلغ واریزی]],bargiri[[#This Row],[مانده مبلغ]])</f>
        <v>#N/A</v>
      </c>
      <c r="O1285" s="159" t="s">
        <v>593</v>
      </c>
      <c r="P1285" s="159" t="e">
        <f>VLOOKUP(bargiri[[#This Row],[شماره سند مبنا]],invoice[[شماره پیش فاکتور]:[پیش دریافت به ازای هر کیلوگرم]],14,0)</f>
        <v>#N/A</v>
      </c>
      <c r="Q1285" s="159" t="e">
        <f>IF(bargiri[[#This Row],[مبلغ ناخالص]]-(bargiri[[#This Row],[نرخ استهلاک]]*bargiri[[#This Row],[مقدار]])&lt;0,0,bargiri[[#This Row],[مبلغ ناخالص]]-(bargiri[[#This Row],[نرخ استهلاک]]*bargiri[[#This Row],[مقدار]]))</f>
        <v>#N/A</v>
      </c>
    </row>
    <row r="1286" spans="1:17" s="22" customFormat="1" ht="13.8" x14ac:dyDescent="0.25">
      <c r="A1286" s="22">
        <v>261</v>
      </c>
      <c r="B1286" s="22" t="s">
        <v>279</v>
      </c>
      <c r="C1286" s="22" t="s">
        <v>149</v>
      </c>
      <c r="D1286" s="22" t="s">
        <v>35</v>
      </c>
      <c r="E1286" s="158">
        <v>7445</v>
      </c>
      <c r="F1286" s="159">
        <v>75000</v>
      </c>
      <c r="G1286" s="159">
        <v>558375000</v>
      </c>
      <c r="H1286" s="159">
        <v>55837500</v>
      </c>
      <c r="I1286" s="159">
        <v>614212500</v>
      </c>
      <c r="J1286" s="159">
        <f>bargiri[[#This Row],[مقدار]]*INDEX(invoice[پیش دریافت به ازای هر کیلوگرم],MATCH(bargiri[[#This Row],[شماره سند مبنا]],invoice[شماره پیش فاکتور],0))</f>
        <v>92138631.833001092</v>
      </c>
      <c r="K1286" s="159">
        <f>bargiri[[#This Row],[مبلغ خالص]]-bargiri[[#This Row],[میزان استهلاک پیش دریافتی]]</f>
        <v>522073868.16699892</v>
      </c>
      <c r="L1286" s="160" t="s">
        <v>593</v>
      </c>
      <c r="M1286" s="159"/>
      <c r="N1286" s="159">
        <f>IF(bargiri[[#This Row],[مبلغ واریزی]]&lt;&gt;"",bargiri[[#This Row],[مانده مبلغ]]-bargiri[[#This Row],[مبلغ واریزی]],bargiri[[#This Row],[مانده مبلغ]])</f>
        <v>522073868.16699892</v>
      </c>
      <c r="O1286" s="159" t="s">
        <v>593</v>
      </c>
      <c r="P1286" s="159">
        <f>VLOOKUP(bargiri[[#This Row],[شماره سند مبنا]],invoice[[شماره پیش فاکتور]:[پیش دریافت به ازای هر کیلوگرم]],14,0)</f>
        <v>12375.907566554881</v>
      </c>
      <c r="Q1286" s="159">
        <f>IF(bargiri[[#This Row],[مبلغ ناخالص]]-(bargiri[[#This Row],[نرخ استهلاک]]*bargiri[[#This Row],[مقدار]])&lt;0,0,bargiri[[#This Row],[مبلغ ناخالص]]-(bargiri[[#This Row],[نرخ استهلاک]]*bargiri[[#This Row],[مقدار]]))</f>
        <v>466236368.16699892</v>
      </c>
    </row>
    <row r="1287" spans="1:17" s="22" customFormat="1" ht="13.8" x14ac:dyDescent="0.25">
      <c r="A1287" s="22">
        <v>260</v>
      </c>
      <c r="B1287" s="22" t="s">
        <v>279</v>
      </c>
      <c r="C1287" s="22" t="s">
        <v>66</v>
      </c>
      <c r="D1287" s="22" t="s">
        <v>67</v>
      </c>
      <c r="E1287" s="158">
        <v>18110</v>
      </c>
      <c r="F1287" s="159">
        <v>68500</v>
      </c>
      <c r="G1287" s="159">
        <v>1240535000</v>
      </c>
      <c r="H1287" s="159">
        <v>111648150</v>
      </c>
      <c r="I1287" s="159">
        <v>1352183150</v>
      </c>
      <c r="J1287" s="159" t="e">
        <f>bargiri[[#This Row],[مقدار]]*INDEX(invoice[پیش دریافت به ازای هر کیلوگرم],MATCH(bargiri[[#This Row],[شماره سند مبنا]],invoice[شماره پیش فاکتور],0))</f>
        <v>#N/A</v>
      </c>
      <c r="K1287" s="159" t="e">
        <f>bargiri[[#This Row],[مبلغ خالص]]-bargiri[[#This Row],[میزان استهلاک پیش دریافتی]]</f>
        <v>#N/A</v>
      </c>
      <c r="L1287" s="160" t="s">
        <v>593</v>
      </c>
      <c r="M1287" s="159"/>
      <c r="N1287" s="159" t="e">
        <f>IF(bargiri[[#This Row],[مبلغ واریزی]]&lt;&gt;"",bargiri[[#This Row],[مانده مبلغ]]-bargiri[[#This Row],[مبلغ واریزی]],bargiri[[#This Row],[مانده مبلغ]])</f>
        <v>#N/A</v>
      </c>
      <c r="O1287" s="159" t="s">
        <v>593</v>
      </c>
      <c r="P1287" s="159" t="e">
        <f>VLOOKUP(bargiri[[#This Row],[شماره سند مبنا]],invoice[[شماره پیش فاکتور]:[پیش دریافت به ازای هر کیلوگرم]],14,0)</f>
        <v>#N/A</v>
      </c>
      <c r="Q1287" s="159" t="e">
        <f>IF(bargiri[[#This Row],[مبلغ ناخالص]]-(bargiri[[#This Row],[نرخ استهلاک]]*bargiri[[#This Row],[مقدار]])&lt;0,0,bargiri[[#This Row],[مبلغ ناخالص]]-(bargiri[[#This Row],[نرخ استهلاک]]*bargiri[[#This Row],[مقدار]]))</f>
        <v>#N/A</v>
      </c>
    </row>
    <row r="1288" spans="1:17" s="22" customFormat="1" ht="13.8" x14ac:dyDescent="0.25">
      <c r="A1288" s="22">
        <v>259</v>
      </c>
      <c r="B1288" s="22" t="s">
        <v>326</v>
      </c>
      <c r="C1288" s="22" t="s">
        <v>119</v>
      </c>
      <c r="D1288" s="22" t="s">
        <v>25</v>
      </c>
      <c r="E1288" s="158">
        <v>19960</v>
      </c>
      <c r="F1288" s="159">
        <v>75000</v>
      </c>
      <c r="G1288" s="159">
        <v>1497000000</v>
      </c>
      <c r="H1288" s="159">
        <v>149700000</v>
      </c>
      <c r="I1288" s="159">
        <v>1646700000</v>
      </c>
      <c r="J1288" s="159">
        <f>bargiri[[#This Row],[مقدار]]*INDEX(invoice[پیش دریافت به ازای هر کیلوگرم],MATCH(bargiri[[#This Row],[شماره سند مبنا]],invoice[شماره پیش فاکتور],0))</f>
        <v>247005000</v>
      </c>
      <c r="K1288" s="159">
        <f>bargiri[[#This Row],[مبلغ خالص]]-bargiri[[#This Row],[میزان استهلاک پیش دریافتی]]</f>
        <v>1399695000</v>
      </c>
      <c r="L1288" s="160" t="s">
        <v>593</v>
      </c>
      <c r="M1288" s="159"/>
      <c r="N1288" s="159">
        <f>IF(bargiri[[#This Row],[مبلغ واریزی]]&lt;&gt;"",bargiri[[#This Row],[مانده مبلغ]]-bargiri[[#This Row],[مبلغ واریزی]],bargiri[[#This Row],[مانده مبلغ]])</f>
        <v>1399695000</v>
      </c>
      <c r="O1288" s="159" t="s">
        <v>593</v>
      </c>
      <c r="P1288" s="159">
        <f>VLOOKUP(bargiri[[#This Row],[شماره سند مبنا]],invoice[[شماره پیش فاکتور]:[پیش دریافت به ازای هر کیلوگرم]],14,0)</f>
        <v>12375</v>
      </c>
      <c r="Q1288" s="159">
        <f>IF(bargiri[[#This Row],[مبلغ ناخالص]]-(bargiri[[#This Row],[نرخ استهلاک]]*bargiri[[#This Row],[مقدار]])&lt;0,0,bargiri[[#This Row],[مبلغ ناخالص]]-(bargiri[[#This Row],[نرخ استهلاک]]*bargiri[[#This Row],[مقدار]]))</f>
        <v>1249995000</v>
      </c>
    </row>
    <row r="1289" spans="1:17" s="22" customFormat="1" ht="13.8" x14ac:dyDescent="0.25">
      <c r="A1289" s="22">
        <v>258</v>
      </c>
      <c r="B1289" s="22" t="s">
        <v>326</v>
      </c>
      <c r="C1289" s="22" t="s">
        <v>187</v>
      </c>
      <c r="D1289" s="22" t="s">
        <v>43</v>
      </c>
      <c r="E1289" s="158">
        <v>20090</v>
      </c>
      <c r="F1289" s="159">
        <v>80000</v>
      </c>
      <c r="G1289" s="159">
        <v>1607200000</v>
      </c>
      <c r="H1289" s="159">
        <v>160720000</v>
      </c>
      <c r="I1289" s="159">
        <v>1767920000</v>
      </c>
      <c r="J1289" s="159">
        <f>bargiri[[#This Row],[مقدار]]*INDEX(invoice[پیش دریافت به ازای هر کیلوگرم],MATCH(bargiri[[#This Row],[شماره سند مبنا]],invoice[شماره پیش فاکتور],0))</f>
        <v>353584000</v>
      </c>
      <c r="K1289" s="159">
        <f>bargiri[[#This Row],[مبلغ خالص]]-bargiri[[#This Row],[میزان استهلاک پیش دریافتی]]</f>
        <v>1414336000</v>
      </c>
      <c r="L1289" s="160" t="s">
        <v>593</v>
      </c>
      <c r="M1289" s="159"/>
      <c r="N1289" s="159">
        <f>IF(bargiri[[#This Row],[مبلغ واریزی]]&lt;&gt;"",bargiri[[#This Row],[مانده مبلغ]]-bargiri[[#This Row],[مبلغ واریزی]],bargiri[[#This Row],[مانده مبلغ]])</f>
        <v>1414336000</v>
      </c>
      <c r="O1289" s="159" t="s">
        <v>593</v>
      </c>
      <c r="P1289" s="159">
        <f>VLOOKUP(bargiri[[#This Row],[شماره سند مبنا]],invoice[[شماره پیش فاکتور]:[پیش دریافت به ازای هر کیلوگرم]],14,0)</f>
        <v>17600</v>
      </c>
      <c r="Q1289" s="159">
        <f>IF(bargiri[[#This Row],[مبلغ ناخالص]]-(bargiri[[#This Row],[نرخ استهلاک]]*bargiri[[#This Row],[مقدار]])&lt;0,0,bargiri[[#This Row],[مبلغ ناخالص]]-(bargiri[[#This Row],[نرخ استهلاک]]*bargiri[[#This Row],[مقدار]]))</f>
        <v>1253616000</v>
      </c>
    </row>
    <row r="1290" spans="1:17" s="22" customFormat="1" ht="13.8" x14ac:dyDescent="0.25">
      <c r="A1290" s="22">
        <v>257</v>
      </c>
      <c r="B1290" s="22" t="s">
        <v>326</v>
      </c>
      <c r="C1290" s="22" t="s">
        <v>149</v>
      </c>
      <c r="D1290" s="22" t="s">
        <v>35</v>
      </c>
      <c r="E1290" s="158">
        <v>7345</v>
      </c>
      <c r="F1290" s="159">
        <v>75000</v>
      </c>
      <c r="G1290" s="159">
        <v>550875000</v>
      </c>
      <c r="H1290" s="159">
        <v>55087500</v>
      </c>
      <c r="I1290" s="159">
        <v>605962500</v>
      </c>
      <c r="J1290" s="159">
        <f>bargiri[[#This Row],[مقدار]]*INDEX(invoice[پیش دریافت به ازای هر کیلوگرم],MATCH(bargiri[[#This Row],[شماره سند مبنا]],invoice[شماره پیش فاکتور],0))</f>
        <v>90901041.076345593</v>
      </c>
      <c r="K1290" s="159">
        <f>bargiri[[#This Row],[مبلغ خالص]]-bargiri[[#This Row],[میزان استهلاک پیش دریافتی]]</f>
        <v>515061458.92365444</v>
      </c>
      <c r="L1290" s="160" t="s">
        <v>593</v>
      </c>
      <c r="M1290" s="159"/>
      <c r="N1290" s="159">
        <f>IF(bargiri[[#This Row],[مبلغ واریزی]]&lt;&gt;"",bargiri[[#This Row],[مانده مبلغ]]-bargiri[[#This Row],[مبلغ واریزی]],bargiri[[#This Row],[مانده مبلغ]])</f>
        <v>515061458.92365444</v>
      </c>
      <c r="O1290" s="159" t="s">
        <v>593</v>
      </c>
      <c r="P1290" s="159">
        <f>VLOOKUP(bargiri[[#This Row],[شماره سند مبنا]],invoice[[شماره پیش فاکتور]:[پیش دریافت به ازای هر کیلوگرم]],14,0)</f>
        <v>12375.907566554881</v>
      </c>
      <c r="Q1290" s="159">
        <f>IF(bargiri[[#This Row],[مبلغ ناخالص]]-(bargiri[[#This Row],[نرخ استهلاک]]*bargiri[[#This Row],[مقدار]])&lt;0,0,bargiri[[#This Row],[مبلغ ناخالص]]-(bargiri[[#This Row],[نرخ استهلاک]]*bargiri[[#This Row],[مقدار]]))</f>
        <v>459973958.92365444</v>
      </c>
    </row>
    <row r="1291" spans="1:17" s="22" customFormat="1" ht="13.8" x14ac:dyDescent="0.25">
      <c r="A1291" s="22">
        <v>256</v>
      </c>
      <c r="B1291" s="22" t="s">
        <v>326</v>
      </c>
      <c r="C1291" s="22" t="s">
        <v>161</v>
      </c>
      <c r="D1291" s="22" t="s">
        <v>40</v>
      </c>
      <c r="E1291" s="158">
        <v>18590</v>
      </c>
      <c r="F1291" s="159">
        <v>65000</v>
      </c>
      <c r="G1291" s="159">
        <v>1208350000</v>
      </c>
      <c r="H1291" s="159">
        <v>120835000</v>
      </c>
      <c r="I1291" s="159">
        <v>1329185000</v>
      </c>
      <c r="J1291" s="159">
        <f>bargiri[[#This Row],[مقدار]]*INDEX(invoice[پیش دریافت به ازای هر کیلوگرم],MATCH(bargiri[[#This Row],[شماره سند مبنا]],invoice[شماره پیش فاکتور],0))</f>
        <v>199377750</v>
      </c>
      <c r="K1291" s="159">
        <f>bargiri[[#This Row],[مبلغ خالص]]-bargiri[[#This Row],[میزان استهلاک پیش دریافتی]]</f>
        <v>1129807250</v>
      </c>
      <c r="L1291" s="160" t="s">
        <v>593</v>
      </c>
      <c r="M1291" s="159"/>
      <c r="N1291" s="159">
        <f>IF(bargiri[[#This Row],[مبلغ واریزی]]&lt;&gt;"",bargiri[[#This Row],[مانده مبلغ]]-bargiri[[#This Row],[مبلغ واریزی]],bargiri[[#This Row],[مانده مبلغ]])</f>
        <v>1129807250</v>
      </c>
      <c r="O1291" s="159" t="s">
        <v>593</v>
      </c>
      <c r="P1291" s="159">
        <f>VLOOKUP(bargiri[[#This Row],[شماره سند مبنا]],invoice[[شماره پیش فاکتور]:[پیش دریافت به ازای هر کیلوگرم]],14,0)</f>
        <v>10725</v>
      </c>
      <c r="Q1291" s="159">
        <f>IF(bargiri[[#This Row],[مبلغ ناخالص]]-(bargiri[[#This Row],[نرخ استهلاک]]*bargiri[[#This Row],[مقدار]])&lt;0,0,bargiri[[#This Row],[مبلغ ناخالص]]-(bargiri[[#This Row],[نرخ استهلاک]]*bargiri[[#This Row],[مقدار]]))</f>
        <v>1008972250</v>
      </c>
    </row>
    <row r="1292" spans="1:17" s="22" customFormat="1" ht="13.8" x14ac:dyDescent="0.25">
      <c r="A1292" s="22">
        <v>255</v>
      </c>
      <c r="B1292" s="22" t="s">
        <v>278</v>
      </c>
      <c r="C1292" s="22" t="s">
        <v>155</v>
      </c>
      <c r="D1292" s="22" t="s">
        <v>156</v>
      </c>
      <c r="E1292" s="158">
        <v>20045</v>
      </c>
      <c r="F1292" s="159">
        <v>75000</v>
      </c>
      <c r="G1292" s="159">
        <v>1503375000</v>
      </c>
      <c r="H1292" s="159">
        <v>150337500</v>
      </c>
      <c r="I1292" s="159">
        <v>1653712500</v>
      </c>
      <c r="J1292" s="159">
        <f>bargiri[[#This Row],[مقدار]]*INDEX(invoice[پیش دریافت به ازای هر کیلوگرم],MATCH(bargiri[[#This Row],[شماره سند مبنا]],invoice[شماره پیش فاکتور],0))</f>
        <v>248056875</v>
      </c>
      <c r="K1292" s="159">
        <f>bargiri[[#This Row],[مبلغ خالص]]-bargiri[[#This Row],[میزان استهلاک پیش دریافتی]]</f>
        <v>1405655625</v>
      </c>
      <c r="L1292" s="160" t="s">
        <v>593</v>
      </c>
      <c r="M1292" s="159"/>
      <c r="N1292" s="159">
        <f>IF(bargiri[[#This Row],[مبلغ واریزی]]&lt;&gt;"",bargiri[[#This Row],[مانده مبلغ]]-bargiri[[#This Row],[مبلغ واریزی]],bargiri[[#This Row],[مانده مبلغ]])</f>
        <v>1405655625</v>
      </c>
      <c r="O1292" s="159" t="s">
        <v>593</v>
      </c>
      <c r="P1292" s="159">
        <f>VLOOKUP(bargiri[[#This Row],[شماره سند مبنا]],invoice[[شماره پیش فاکتور]:[پیش دریافت به ازای هر کیلوگرم]],14,0)</f>
        <v>12375</v>
      </c>
      <c r="Q1292" s="159">
        <f>IF(bargiri[[#This Row],[مبلغ ناخالص]]-(bargiri[[#This Row],[نرخ استهلاک]]*bargiri[[#This Row],[مقدار]])&lt;0,0,bargiri[[#This Row],[مبلغ ناخالص]]-(bargiri[[#This Row],[نرخ استهلاک]]*bargiri[[#This Row],[مقدار]]))</f>
        <v>1255318125</v>
      </c>
    </row>
    <row r="1293" spans="1:17" s="22" customFormat="1" ht="13.8" x14ac:dyDescent="0.25">
      <c r="A1293" s="22">
        <v>254</v>
      </c>
      <c r="B1293" s="22" t="s">
        <v>278</v>
      </c>
      <c r="C1293" s="22" t="s">
        <v>66</v>
      </c>
      <c r="D1293" s="22" t="s">
        <v>67</v>
      </c>
      <c r="E1293" s="158">
        <v>19025</v>
      </c>
      <c r="F1293" s="159">
        <v>68500</v>
      </c>
      <c r="G1293" s="159">
        <v>1303212500</v>
      </c>
      <c r="H1293" s="159">
        <v>117289125</v>
      </c>
      <c r="I1293" s="159">
        <v>1420501625</v>
      </c>
      <c r="J1293" s="159" t="e">
        <f>bargiri[[#This Row],[مقدار]]*INDEX(invoice[پیش دریافت به ازای هر کیلوگرم],MATCH(bargiri[[#This Row],[شماره سند مبنا]],invoice[شماره پیش فاکتور],0))</f>
        <v>#N/A</v>
      </c>
      <c r="K1293" s="159" t="e">
        <f>bargiri[[#This Row],[مبلغ خالص]]-bargiri[[#This Row],[میزان استهلاک پیش دریافتی]]</f>
        <v>#N/A</v>
      </c>
      <c r="L1293" s="160" t="s">
        <v>593</v>
      </c>
      <c r="M1293" s="159"/>
      <c r="N1293" s="159" t="e">
        <f>IF(bargiri[[#This Row],[مبلغ واریزی]]&lt;&gt;"",bargiri[[#This Row],[مانده مبلغ]]-bargiri[[#This Row],[مبلغ واریزی]],bargiri[[#This Row],[مانده مبلغ]])</f>
        <v>#N/A</v>
      </c>
      <c r="O1293" s="159" t="s">
        <v>593</v>
      </c>
      <c r="P1293" s="159" t="e">
        <f>VLOOKUP(bargiri[[#This Row],[شماره سند مبنا]],invoice[[شماره پیش فاکتور]:[پیش دریافت به ازای هر کیلوگرم]],14,0)</f>
        <v>#N/A</v>
      </c>
      <c r="Q1293" s="159" t="e">
        <f>IF(bargiri[[#This Row],[مبلغ ناخالص]]-(bargiri[[#This Row],[نرخ استهلاک]]*bargiri[[#This Row],[مقدار]])&lt;0,0,bargiri[[#This Row],[مبلغ ناخالص]]-(bargiri[[#This Row],[نرخ استهلاک]]*bargiri[[#This Row],[مقدار]]))</f>
        <v>#N/A</v>
      </c>
    </row>
    <row r="1294" spans="1:17" s="22" customFormat="1" ht="13.8" x14ac:dyDescent="0.25">
      <c r="A1294" s="22">
        <v>253</v>
      </c>
      <c r="B1294" s="22" t="s">
        <v>278</v>
      </c>
      <c r="C1294" s="22" t="s">
        <v>72</v>
      </c>
      <c r="D1294" s="22" t="s">
        <v>73</v>
      </c>
      <c r="E1294" s="158">
        <v>20935</v>
      </c>
      <c r="F1294" s="159">
        <v>57273</v>
      </c>
      <c r="G1294" s="159">
        <v>1199010255</v>
      </c>
      <c r="H1294" s="159">
        <v>119901026</v>
      </c>
      <c r="I1294" s="159">
        <v>1318911281</v>
      </c>
      <c r="J1294" s="159" t="e">
        <f>bargiri[[#This Row],[مقدار]]*INDEX(invoice[پیش دریافت به ازای هر کیلوگرم],MATCH(bargiri[[#This Row],[شماره سند مبنا]],invoice[شماره پیش فاکتور],0))</f>
        <v>#N/A</v>
      </c>
      <c r="K1294" s="159" t="e">
        <f>bargiri[[#This Row],[مبلغ خالص]]-bargiri[[#This Row],[میزان استهلاک پیش دریافتی]]</f>
        <v>#N/A</v>
      </c>
      <c r="L1294" s="160" t="s">
        <v>593</v>
      </c>
      <c r="M1294" s="159"/>
      <c r="N1294" s="159" t="e">
        <f>IF(bargiri[[#This Row],[مبلغ واریزی]]&lt;&gt;"",bargiri[[#This Row],[مانده مبلغ]]-bargiri[[#This Row],[مبلغ واریزی]],bargiri[[#This Row],[مانده مبلغ]])</f>
        <v>#N/A</v>
      </c>
      <c r="O1294" s="159" t="s">
        <v>593</v>
      </c>
      <c r="P1294" s="159" t="e">
        <f>VLOOKUP(bargiri[[#This Row],[شماره سند مبنا]],invoice[[شماره پیش فاکتور]:[پیش دریافت به ازای هر کیلوگرم]],14,0)</f>
        <v>#N/A</v>
      </c>
      <c r="Q1294" s="159" t="e">
        <f>IF(bargiri[[#This Row],[مبلغ ناخالص]]-(bargiri[[#This Row],[نرخ استهلاک]]*bargiri[[#This Row],[مقدار]])&lt;0,0,bargiri[[#This Row],[مبلغ ناخالص]]-(bargiri[[#This Row],[نرخ استهلاک]]*bargiri[[#This Row],[مقدار]]))</f>
        <v>#N/A</v>
      </c>
    </row>
    <row r="1295" spans="1:17" s="22" customFormat="1" ht="13.8" x14ac:dyDescent="0.25">
      <c r="A1295" s="22">
        <v>252</v>
      </c>
      <c r="B1295" s="22" t="s">
        <v>278</v>
      </c>
      <c r="C1295" s="22" t="s">
        <v>72</v>
      </c>
      <c r="D1295" s="22" t="s">
        <v>73</v>
      </c>
      <c r="E1295" s="158">
        <v>21040</v>
      </c>
      <c r="F1295" s="159">
        <v>57273</v>
      </c>
      <c r="G1295" s="159">
        <v>1205023920</v>
      </c>
      <c r="H1295" s="159">
        <v>120502392</v>
      </c>
      <c r="I1295" s="159">
        <v>1325526312</v>
      </c>
      <c r="J1295" s="159" t="e">
        <f>bargiri[[#This Row],[مقدار]]*INDEX(invoice[پیش دریافت به ازای هر کیلوگرم],MATCH(bargiri[[#This Row],[شماره سند مبنا]],invoice[شماره پیش فاکتور],0))</f>
        <v>#N/A</v>
      </c>
      <c r="K1295" s="159" t="e">
        <f>bargiri[[#This Row],[مبلغ خالص]]-bargiri[[#This Row],[میزان استهلاک پیش دریافتی]]</f>
        <v>#N/A</v>
      </c>
      <c r="L1295" s="160" t="s">
        <v>593</v>
      </c>
      <c r="M1295" s="159"/>
      <c r="N1295" s="159" t="e">
        <f>IF(bargiri[[#This Row],[مبلغ واریزی]]&lt;&gt;"",bargiri[[#This Row],[مانده مبلغ]]-bargiri[[#This Row],[مبلغ واریزی]],bargiri[[#This Row],[مانده مبلغ]])</f>
        <v>#N/A</v>
      </c>
      <c r="O1295" s="159" t="s">
        <v>593</v>
      </c>
      <c r="P1295" s="159" t="e">
        <f>VLOOKUP(bargiri[[#This Row],[شماره سند مبنا]],invoice[[شماره پیش فاکتور]:[پیش دریافت به ازای هر کیلوگرم]],14,0)</f>
        <v>#N/A</v>
      </c>
      <c r="Q1295" s="159" t="e">
        <f>IF(bargiri[[#This Row],[مبلغ ناخالص]]-(bargiri[[#This Row],[نرخ استهلاک]]*bargiri[[#This Row],[مقدار]])&lt;0,0,bargiri[[#This Row],[مبلغ ناخالص]]-(bargiri[[#This Row],[نرخ استهلاک]]*bargiri[[#This Row],[مقدار]]))</f>
        <v>#N/A</v>
      </c>
    </row>
    <row r="1296" spans="1:17" s="22" customFormat="1" ht="13.8" x14ac:dyDescent="0.25">
      <c r="A1296" s="22">
        <v>251</v>
      </c>
      <c r="B1296" s="22" t="s">
        <v>278</v>
      </c>
      <c r="C1296" s="22" t="s">
        <v>220</v>
      </c>
      <c r="D1296" s="22" t="s">
        <v>221</v>
      </c>
      <c r="E1296" s="158">
        <v>14550</v>
      </c>
      <c r="F1296" s="159">
        <v>100000</v>
      </c>
      <c r="G1296" s="159">
        <v>1455000000</v>
      </c>
      <c r="H1296" s="159">
        <v>145500000</v>
      </c>
      <c r="I1296" s="159">
        <v>1600500000</v>
      </c>
      <c r="J1296" s="159">
        <f>bargiri[[#This Row],[مقدار]]*INDEX(invoice[پیش دریافت به ازای هر کیلوگرم],MATCH(bargiri[[#This Row],[شماره سند مبنا]],invoice[شماره پیش فاکتور],0))</f>
        <v>240075000</v>
      </c>
      <c r="K1296" s="159">
        <f>bargiri[[#This Row],[مبلغ خالص]]-bargiri[[#This Row],[میزان استهلاک پیش دریافتی]]</f>
        <v>1360425000</v>
      </c>
      <c r="L1296" s="160" t="s">
        <v>593</v>
      </c>
      <c r="M1296" s="159"/>
      <c r="N1296" s="159">
        <f>IF(bargiri[[#This Row],[مبلغ واریزی]]&lt;&gt;"",bargiri[[#This Row],[مانده مبلغ]]-bargiri[[#This Row],[مبلغ واریزی]],bargiri[[#This Row],[مانده مبلغ]])</f>
        <v>1360425000</v>
      </c>
      <c r="O1296" s="159" t="s">
        <v>593</v>
      </c>
      <c r="P1296" s="159">
        <f>VLOOKUP(bargiri[[#This Row],[شماره سند مبنا]],invoice[[شماره پیش فاکتور]:[پیش دریافت به ازای هر کیلوگرم]],14,0)</f>
        <v>16500</v>
      </c>
      <c r="Q1296" s="159">
        <f>IF(bargiri[[#This Row],[مبلغ ناخالص]]-(bargiri[[#This Row],[نرخ استهلاک]]*bargiri[[#This Row],[مقدار]])&lt;0,0,bargiri[[#This Row],[مبلغ ناخالص]]-(bargiri[[#This Row],[نرخ استهلاک]]*bargiri[[#This Row],[مقدار]]))</f>
        <v>1214925000</v>
      </c>
    </row>
    <row r="1297" spans="1:17" s="22" customFormat="1" ht="13.8" x14ac:dyDescent="0.25">
      <c r="A1297" s="22">
        <v>250</v>
      </c>
      <c r="B1297" s="22" t="s">
        <v>277</v>
      </c>
      <c r="C1297" s="22" t="s">
        <v>149</v>
      </c>
      <c r="D1297" s="22" t="s">
        <v>35</v>
      </c>
      <c r="E1297" s="158">
        <v>4020</v>
      </c>
      <c r="F1297" s="159">
        <v>75000</v>
      </c>
      <c r="G1297" s="159">
        <v>301500000</v>
      </c>
      <c r="H1297" s="159">
        <v>30150000</v>
      </c>
      <c r="I1297" s="159">
        <v>331650000</v>
      </c>
      <c r="J1297" s="159">
        <f>bargiri[[#This Row],[مقدار]]*INDEX(invoice[پیش دریافت به ازای هر کیلوگرم],MATCH(bargiri[[#This Row],[شماره سند مبنا]],invoice[شماره پیش فاکتور],0))</f>
        <v>49751148.417550623</v>
      </c>
      <c r="K1297" s="159">
        <f>bargiri[[#This Row],[مبلغ خالص]]-bargiri[[#This Row],[میزان استهلاک پیش دریافتی]]</f>
        <v>281898851.58244938</v>
      </c>
      <c r="L1297" s="160" t="s">
        <v>593</v>
      </c>
      <c r="M1297" s="159"/>
      <c r="N1297" s="159">
        <f>IF(bargiri[[#This Row],[مبلغ واریزی]]&lt;&gt;"",bargiri[[#This Row],[مانده مبلغ]]-bargiri[[#This Row],[مبلغ واریزی]],bargiri[[#This Row],[مانده مبلغ]])</f>
        <v>281898851.58244938</v>
      </c>
      <c r="O1297" s="159" t="s">
        <v>593</v>
      </c>
      <c r="P1297" s="159">
        <f>VLOOKUP(bargiri[[#This Row],[شماره سند مبنا]],invoice[[شماره پیش فاکتور]:[پیش دریافت به ازای هر کیلوگرم]],14,0)</f>
        <v>12375.907566554881</v>
      </c>
      <c r="Q1297" s="159">
        <f>IF(bargiri[[#This Row],[مبلغ ناخالص]]-(bargiri[[#This Row],[نرخ استهلاک]]*bargiri[[#This Row],[مقدار]])&lt;0,0,bargiri[[#This Row],[مبلغ ناخالص]]-(bargiri[[#This Row],[نرخ استهلاک]]*bargiri[[#This Row],[مقدار]]))</f>
        <v>251748851.58244938</v>
      </c>
    </row>
    <row r="1298" spans="1:17" s="22" customFormat="1" ht="13.8" x14ac:dyDescent="0.25">
      <c r="A1298" s="22">
        <v>249</v>
      </c>
      <c r="B1298" s="22" t="s">
        <v>277</v>
      </c>
      <c r="C1298" s="22" t="s">
        <v>115</v>
      </c>
      <c r="D1298" s="22" t="s">
        <v>116</v>
      </c>
      <c r="E1298" s="158">
        <v>19220</v>
      </c>
      <c r="F1298" s="159">
        <v>75000</v>
      </c>
      <c r="G1298" s="159">
        <v>1441500000</v>
      </c>
      <c r="H1298" s="159">
        <v>144150000</v>
      </c>
      <c r="I1298" s="159">
        <v>1585650000</v>
      </c>
      <c r="J1298" s="159">
        <f>bargiri[[#This Row],[مقدار]]*INDEX(invoice[پیش دریافت به ازای هر کیلوگرم],MATCH(bargiri[[#This Row],[شماره سند مبنا]],invoice[شماره پیش فاکتور],0))</f>
        <v>288496177.40063244</v>
      </c>
      <c r="K1298" s="159">
        <f>bargiri[[#This Row],[مبلغ خالص]]-bargiri[[#This Row],[میزان استهلاک پیش دریافتی]]</f>
        <v>1297153822.5993676</v>
      </c>
      <c r="L1298" s="160" t="s">
        <v>593</v>
      </c>
      <c r="M1298" s="159"/>
      <c r="N1298" s="159">
        <f>IF(bargiri[[#This Row],[مبلغ واریزی]]&lt;&gt;"",bargiri[[#This Row],[مانده مبلغ]]-bargiri[[#This Row],[مبلغ واریزی]],bargiri[[#This Row],[مانده مبلغ]])</f>
        <v>1297153822.5993676</v>
      </c>
      <c r="O1298" s="159" t="s">
        <v>593</v>
      </c>
      <c r="P1298" s="159">
        <f>VLOOKUP(bargiri[[#This Row],[شماره سند مبنا]],invoice[[شماره پیش فاکتور]:[پیش دریافت به ازای هر کیلوگرم]],14,0)</f>
        <v>15010.206940719689</v>
      </c>
      <c r="Q1298" s="159">
        <f>IF(bargiri[[#This Row],[مبلغ ناخالص]]-(bargiri[[#This Row],[نرخ استهلاک]]*bargiri[[#This Row],[مقدار]])&lt;0,0,bargiri[[#This Row],[مبلغ ناخالص]]-(bargiri[[#This Row],[نرخ استهلاک]]*bargiri[[#This Row],[مقدار]]))</f>
        <v>1153003822.5993676</v>
      </c>
    </row>
    <row r="1299" spans="1:17" s="22" customFormat="1" ht="13.8" x14ac:dyDescent="0.25">
      <c r="A1299" s="22">
        <v>248</v>
      </c>
      <c r="B1299" s="22" t="s">
        <v>277</v>
      </c>
      <c r="C1299" s="22" t="s">
        <v>72</v>
      </c>
      <c r="D1299" s="22" t="s">
        <v>73</v>
      </c>
      <c r="E1299" s="158">
        <v>20940</v>
      </c>
      <c r="F1299" s="159">
        <v>57273</v>
      </c>
      <c r="G1299" s="159">
        <v>1199296620</v>
      </c>
      <c r="H1299" s="159">
        <v>119929662</v>
      </c>
      <c r="I1299" s="159">
        <v>1319226282</v>
      </c>
      <c r="J1299" s="159" t="e">
        <f>bargiri[[#This Row],[مقدار]]*INDEX(invoice[پیش دریافت به ازای هر کیلوگرم],MATCH(bargiri[[#This Row],[شماره سند مبنا]],invoice[شماره پیش فاکتور],0))</f>
        <v>#N/A</v>
      </c>
      <c r="K1299" s="159" t="e">
        <f>bargiri[[#This Row],[مبلغ خالص]]-bargiri[[#This Row],[میزان استهلاک پیش دریافتی]]</f>
        <v>#N/A</v>
      </c>
      <c r="L1299" s="160" t="s">
        <v>593</v>
      </c>
      <c r="M1299" s="159"/>
      <c r="N1299" s="159" t="e">
        <f>IF(bargiri[[#This Row],[مبلغ واریزی]]&lt;&gt;"",bargiri[[#This Row],[مانده مبلغ]]-bargiri[[#This Row],[مبلغ واریزی]],bargiri[[#This Row],[مانده مبلغ]])</f>
        <v>#N/A</v>
      </c>
      <c r="O1299" s="159" t="s">
        <v>593</v>
      </c>
      <c r="P1299" s="159" t="e">
        <f>VLOOKUP(bargiri[[#This Row],[شماره سند مبنا]],invoice[[شماره پیش فاکتور]:[پیش دریافت به ازای هر کیلوگرم]],14,0)</f>
        <v>#N/A</v>
      </c>
      <c r="Q1299" s="159" t="e">
        <f>IF(bargiri[[#This Row],[مبلغ ناخالص]]-(bargiri[[#This Row],[نرخ استهلاک]]*bargiri[[#This Row],[مقدار]])&lt;0,0,bargiri[[#This Row],[مبلغ ناخالص]]-(bargiri[[#This Row],[نرخ استهلاک]]*bargiri[[#This Row],[مقدار]]))</f>
        <v>#N/A</v>
      </c>
    </row>
    <row r="1300" spans="1:17" s="22" customFormat="1" ht="13.8" x14ac:dyDescent="0.25">
      <c r="A1300" s="22">
        <v>247</v>
      </c>
      <c r="B1300" s="22" t="s">
        <v>277</v>
      </c>
      <c r="C1300" s="22" t="s">
        <v>72</v>
      </c>
      <c r="D1300" s="22" t="s">
        <v>73</v>
      </c>
      <c r="E1300" s="158">
        <v>20950</v>
      </c>
      <c r="F1300" s="159">
        <v>57273</v>
      </c>
      <c r="G1300" s="159">
        <v>1199869350</v>
      </c>
      <c r="H1300" s="159">
        <v>119986935</v>
      </c>
      <c r="I1300" s="159">
        <v>1319856285</v>
      </c>
      <c r="J1300" s="159" t="e">
        <f>bargiri[[#This Row],[مقدار]]*INDEX(invoice[پیش دریافت به ازای هر کیلوگرم],MATCH(bargiri[[#This Row],[شماره سند مبنا]],invoice[شماره پیش فاکتور],0))</f>
        <v>#N/A</v>
      </c>
      <c r="K1300" s="159" t="e">
        <f>bargiri[[#This Row],[مبلغ خالص]]-bargiri[[#This Row],[میزان استهلاک پیش دریافتی]]</f>
        <v>#N/A</v>
      </c>
      <c r="L1300" s="160" t="s">
        <v>593</v>
      </c>
      <c r="M1300" s="159"/>
      <c r="N1300" s="159" t="e">
        <f>IF(bargiri[[#This Row],[مبلغ واریزی]]&lt;&gt;"",bargiri[[#This Row],[مانده مبلغ]]-bargiri[[#This Row],[مبلغ واریزی]],bargiri[[#This Row],[مانده مبلغ]])</f>
        <v>#N/A</v>
      </c>
      <c r="O1300" s="159" t="s">
        <v>593</v>
      </c>
      <c r="P1300" s="159" t="e">
        <f>VLOOKUP(bargiri[[#This Row],[شماره سند مبنا]],invoice[[شماره پیش فاکتور]:[پیش دریافت به ازای هر کیلوگرم]],14,0)</f>
        <v>#N/A</v>
      </c>
      <c r="Q1300" s="159" t="e">
        <f>IF(bargiri[[#This Row],[مبلغ ناخالص]]-(bargiri[[#This Row],[نرخ استهلاک]]*bargiri[[#This Row],[مقدار]])&lt;0,0,bargiri[[#This Row],[مبلغ ناخالص]]-(bargiri[[#This Row],[نرخ استهلاک]]*bargiri[[#This Row],[مقدار]]))</f>
        <v>#N/A</v>
      </c>
    </row>
    <row r="1301" spans="1:17" s="22" customFormat="1" ht="13.8" x14ac:dyDescent="0.25">
      <c r="A1301" s="22">
        <v>246</v>
      </c>
      <c r="B1301" s="22" t="s">
        <v>277</v>
      </c>
      <c r="C1301" s="22" t="s">
        <v>109</v>
      </c>
      <c r="D1301" s="22" t="s">
        <v>110</v>
      </c>
      <c r="E1301" s="158">
        <v>18945</v>
      </c>
      <c r="F1301" s="159">
        <v>70000</v>
      </c>
      <c r="G1301" s="159">
        <v>1326150000</v>
      </c>
      <c r="H1301" s="159">
        <v>132615000</v>
      </c>
      <c r="I1301" s="159">
        <v>1458765000</v>
      </c>
      <c r="J1301" s="159" t="e">
        <f>bargiri[[#This Row],[مقدار]]*INDEX(invoice[پیش دریافت به ازای هر کیلوگرم],MATCH(bargiri[[#This Row],[شماره سند مبنا]],invoice[شماره پیش فاکتور],0))</f>
        <v>#N/A</v>
      </c>
      <c r="K1301" s="159" t="e">
        <f>bargiri[[#This Row],[مبلغ خالص]]-bargiri[[#This Row],[میزان استهلاک پیش دریافتی]]</f>
        <v>#N/A</v>
      </c>
      <c r="L1301" s="160" t="s">
        <v>593</v>
      </c>
      <c r="M1301" s="159"/>
      <c r="N1301" s="159" t="e">
        <f>IF(bargiri[[#This Row],[مبلغ واریزی]]&lt;&gt;"",bargiri[[#This Row],[مانده مبلغ]]-bargiri[[#This Row],[مبلغ واریزی]],bargiri[[#This Row],[مانده مبلغ]])</f>
        <v>#N/A</v>
      </c>
      <c r="O1301" s="159" t="s">
        <v>593</v>
      </c>
      <c r="P1301" s="159" t="e">
        <f>VLOOKUP(bargiri[[#This Row],[شماره سند مبنا]],invoice[[شماره پیش فاکتور]:[پیش دریافت به ازای هر کیلوگرم]],14,0)</f>
        <v>#N/A</v>
      </c>
      <c r="Q1301" s="159" t="e">
        <f>IF(bargiri[[#This Row],[مبلغ ناخالص]]-(bargiri[[#This Row],[نرخ استهلاک]]*bargiri[[#This Row],[مقدار]])&lt;0,0,bargiri[[#This Row],[مبلغ ناخالص]]-(bargiri[[#This Row],[نرخ استهلاک]]*bargiri[[#This Row],[مقدار]]))</f>
        <v>#N/A</v>
      </c>
    </row>
    <row r="1302" spans="1:17" s="22" customFormat="1" ht="13.8" x14ac:dyDescent="0.25">
      <c r="A1302" s="22">
        <v>245</v>
      </c>
      <c r="B1302" s="22" t="s">
        <v>277</v>
      </c>
      <c r="C1302" s="22" t="s">
        <v>149</v>
      </c>
      <c r="D1302" s="22" t="s">
        <v>35</v>
      </c>
      <c r="E1302" s="158">
        <v>7470</v>
      </c>
      <c r="F1302" s="159">
        <v>75000</v>
      </c>
      <c r="G1302" s="159">
        <v>560250000</v>
      </c>
      <c r="H1302" s="159">
        <v>56025000</v>
      </c>
      <c r="I1302" s="159">
        <v>616275000</v>
      </c>
      <c r="J1302" s="159">
        <f>bargiri[[#This Row],[مقدار]]*INDEX(invoice[پیش دریافت به ازای هر کیلوگرم],MATCH(bargiri[[#This Row],[شماره سند مبنا]],invoice[شماره پیش فاکتور],0))</f>
        <v>92448029.522164956</v>
      </c>
      <c r="K1302" s="159">
        <f>bargiri[[#This Row],[مبلغ خالص]]-bargiri[[#This Row],[میزان استهلاک پیش دریافتی]]</f>
        <v>523826970.47783506</v>
      </c>
      <c r="L1302" s="160" t="s">
        <v>593</v>
      </c>
      <c r="M1302" s="159"/>
      <c r="N1302" s="159">
        <f>IF(bargiri[[#This Row],[مبلغ واریزی]]&lt;&gt;"",bargiri[[#This Row],[مانده مبلغ]]-bargiri[[#This Row],[مبلغ واریزی]],bargiri[[#This Row],[مانده مبلغ]])</f>
        <v>523826970.47783506</v>
      </c>
      <c r="O1302" s="159" t="s">
        <v>593</v>
      </c>
      <c r="P1302" s="159">
        <f>VLOOKUP(bargiri[[#This Row],[شماره سند مبنا]],invoice[[شماره پیش فاکتور]:[پیش دریافت به ازای هر کیلوگرم]],14,0)</f>
        <v>12375.907566554881</v>
      </c>
      <c r="Q1302" s="159">
        <f>IF(bargiri[[#This Row],[مبلغ ناخالص]]-(bargiri[[#This Row],[نرخ استهلاک]]*bargiri[[#This Row],[مقدار]])&lt;0,0,bargiri[[#This Row],[مبلغ ناخالص]]-(bargiri[[#This Row],[نرخ استهلاک]]*bargiri[[#This Row],[مقدار]]))</f>
        <v>467801970.47783506</v>
      </c>
    </row>
    <row r="1303" spans="1:17" s="22" customFormat="1" ht="13.8" x14ac:dyDescent="0.25">
      <c r="A1303" s="22">
        <v>244</v>
      </c>
      <c r="B1303" s="22" t="s">
        <v>363</v>
      </c>
      <c r="C1303" s="22" t="s">
        <v>149</v>
      </c>
      <c r="D1303" s="22" t="s">
        <v>35</v>
      </c>
      <c r="E1303" s="158">
        <v>6950</v>
      </c>
      <c r="F1303" s="159">
        <v>75000</v>
      </c>
      <c r="G1303" s="159">
        <v>521250000</v>
      </c>
      <c r="H1303" s="159">
        <v>52125000</v>
      </c>
      <c r="I1303" s="159">
        <v>573375000</v>
      </c>
      <c r="J1303" s="159">
        <f>bargiri[[#This Row],[مقدار]]*INDEX(invoice[پیش دریافت به ازای هر کیلوگرم],MATCH(bargiri[[#This Row],[شماره سند مبنا]],invoice[شماره پیش فاکتور],0))</f>
        <v>86012557.587556422</v>
      </c>
      <c r="K1303" s="159">
        <f>bargiri[[#This Row],[مبلغ خالص]]-bargiri[[#This Row],[میزان استهلاک پیش دریافتی]]</f>
        <v>487362442.41244358</v>
      </c>
      <c r="L1303" s="160" t="s">
        <v>593</v>
      </c>
      <c r="M1303" s="159"/>
      <c r="N1303" s="159">
        <f>IF(bargiri[[#This Row],[مبلغ واریزی]]&lt;&gt;"",bargiri[[#This Row],[مانده مبلغ]]-bargiri[[#This Row],[مبلغ واریزی]],bargiri[[#This Row],[مانده مبلغ]])</f>
        <v>487362442.41244358</v>
      </c>
      <c r="O1303" s="159" t="s">
        <v>593</v>
      </c>
      <c r="P1303" s="159">
        <f>VLOOKUP(bargiri[[#This Row],[شماره سند مبنا]],invoice[[شماره پیش فاکتور]:[پیش دریافت به ازای هر کیلوگرم]],14,0)</f>
        <v>12375.907566554881</v>
      </c>
      <c r="Q1303" s="159">
        <f>IF(bargiri[[#This Row],[مبلغ ناخالص]]-(bargiri[[#This Row],[نرخ استهلاک]]*bargiri[[#This Row],[مقدار]])&lt;0,0,bargiri[[#This Row],[مبلغ ناخالص]]-(bargiri[[#This Row],[نرخ استهلاک]]*bargiri[[#This Row],[مقدار]]))</f>
        <v>435237442.41244358</v>
      </c>
    </row>
    <row r="1304" spans="1:17" s="22" customFormat="1" ht="13.8" x14ac:dyDescent="0.25">
      <c r="A1304" s="22">
        <v>243</v>
      </c>
      <c r="B1304" s="22" t="s">
        <v>363</v>
      </c>
      <c r="C1304" s="22" t="s">
        <v>107</v>
      </c>
      <c r="D1304" s="22" t="s">
        <v>30</v>
      </c>
      <c r="E1304" s="158">
        <v>11325</v>
      </c>
      <c r="F1304" s="159">
        <v>70000</v>
      </c>
      <c r="G1304" s="159">
        <v>792750000</v>
      </c>
      <c r="H1304" s="159">
        <v>79275000</v>
      </c>
      <c r="I1304" s="159">
        <v>872025000</v>
      </c>
      <c r="J1304" s="159">
        <f>bargiri[[#This Row],[مقدار]]*INDEX(invoice[پیش دریافت به ازای هر کیلوگرم],MATCH(bargiri[[#This Row],[شماره سند مبنا]],invoice[شماره پیش فاکتور],0))</f>
        <v>436012500</v>
      </c>
      <c r="K1304" s="159">
        <f>bargiri[[#This Row],[مبلغ خالص]]-bargiri[[#This Row],[میزان استهلاک پیش دریافتی]]</f>
        <v>436012500</v>
      </c>
      <c r="L1304" s="160" t="s">
        <v>593</v>
      </c>
      <c r="M1304" s="159"/>
      <c r="N1304" s="159">
        <f>IF(bargiri[[#This Row],[مبلغ واریزی]]&lt;&gt;"",bargiri[[#This Row],[مانده مبلغ]]-bargiri[[#This Row],[مبلغ واریزی]],bargiri[[#This Row],[مانده مبلغ]])</f>
        <v>436012500</v>
      </c>
      <c r="O1304" s="159" t="s">
        <v>593</v>
      </c>
      <c r="P1304" s="159">
        <f>VLOOKUP(bargiri[[#This Row],[شماره سند مبنا]],invoice[[شماره پیش فاکتور]:[پیش دریافت به ازای هر کیلوگرم]],14,0)</f>
        <v>38500</v>
      </c>
      <c r="Q1304" s="159">
        <f>IF(bargiri[[#This Row],[مبلغ ناخالص]]-(bargiri[[#This Row],[نرخ استهلاک]]*bargiri[[#This Row],[مقدار]])&lt;0,0,bargiri[[#This Row],[مبلغ ناخالص]]-(bargiri[[#This Row],[نرخ استهلاک]]*bargiri[[#This Row],[مقدار]]))</f>
        <v>356737500</v>
      </c>
    </row>
    <row r="1305" spans="1:17" s="22" customFormat="1" ht="13.8" x14ac:dyDescent="0.25">
      <c r="A1305" s="22">
        <v>242</v>
      </c>
      <c r="B1305" s="22" t="s">
        <v>276</v>
      </c>
      <c r="C1305" s="22" t="s">
        <v>72</v>
      </c>
      <c r="D1305" s="22" t="s">
        <v>73</v>
      </c>
      <c r="E1305" s="158">
        <v>20685</v>
      </c>
      <c r="F1305" s="159">
        <v>57273</v>
      </c>
      <c r="G1305" s="159">
        <v>1184692005</v>
      </c>
      <c r="H1305" s="159">
        <v>118469201</v>
      </c>
      <c r="I1305" s="159">
        <v>1303161206</v>
      </c>
      <c r="J1305" s="159" t="e">
        <f>bargiri[[#This Row],[مقدار]]*INDEX(invoice[پیش دریافت به ازای هر کیلوگرم],MATCH(bargiri[[#This Row],[شماره سند مبنا]],invoice[شماره پیش فاکتور],0))</f>
        <v>#N/A</v>
      </c>
      <c r="K1305" s="159" t="e">
        <f>bargiri[[#This Row],[مبلغ خالص]]-bargiri[[#This Row],[میزان استهلاک پیش دریافتی]]</f>
        <v>#N/A</v>
      </c>
      <c r="L1305" s="160" t="s">
        <v>593</v>
      </c>
      <c r="M1305" s="159"/>
      <c r="N1305" s="159" t="e">
        <f>IF(bargiri[[#This Row],[مبلغ واریزی]]&lt;&gt;"",bargiri[[#This Row],[مانده مبلغ]]-bargiri[[#This Row],[مبلغ واریزی]],bargiri[[#This Row],[مانده مبلغ]])</f>
        <v>#N/A</v>
      </c>
      <c r="O1305" s="159" t="s">
        <v>593</v>
      </c>
      <c r="P1305" s="159" t="e">
        <f>VLOOKUP(bargiri[[#This Row],[شماره سند مبنا]],invoice[[شماره پیش فاکتور]:[پیش دریافت به ازای هر کیلوگرم]],14,0)</f>
        <v>#N/A</v>
      </c>
      <c r="Q1305" s="159" t="e">
        <f>IF(bargiri[[#This Row],[مبلغ ناخالص]]-(bargiri[[#This Row],[نرخ استهلاک]]*bargiri[[#This Row],[مقدار]])&lt;0,0,bargiri[[#This Row],[مبلغ ناخالص]]-(bargiri[[#This Row],[نرخ استهلاک]]*bargiri[[#This Row],[مقدار]]))</f>
        <v>#N/A</v>
      </c>
    </row>
    <row r="1306" spans="1:17" s="22" customFormat="1" ht="13.8" x14ac:dyDescent="0.25">
      <c r="A1306" s="22">
        <v>241</v>
      </c>
      <c r="B1306" s="22" t="s">
        <v>276</v>
      </c>
      <c r="C1306" s="22" t="s">
        <v>72</v>
      </c>
      <c r="D1306" s="22" t="s">
        <v>73</v>
      </c>
      <c r="E1306" s="158">
        <v>20460</v>
      </c>
      <c r="F1306" s="159">
        <v>57273</v>
      </c>
      <c r="G1306" s="159">
        <v>1171805580</v>
      </c>
      <c r="H1306" s="159">
        <v>117180558</v>
      </c>
      <c r="I1306" s="159">
        <v>1288986138</v>
      </c>
      <c r="J1306" s="159" t="e">
        <f>bargiri[[#This Row],[مقدار]]*INDEX(invoice[پیش دریافت به ازای هر کیلوگرم],MATCH(bargiri[[#This Row],[شماره سند مبنا]],invoice[شماره پیش فاکتور],0))</f>
        <v>#N/A</v>
      </c>
      <c r="K1306" s="159" t="e">
        <f>bargiri[[#This Row],[مبلغ خالص]]-bargiri[[#This Row],[میزان استهلاک پیش دریافتی]]</f>
        <v>#N/A</v>
      </c>
      <c r="L1306" s="160" t="s">
        <v>593</v>
      </c>
      <c r="M1306" s="159"/>
      <c r="N1306" s="159" t="e">
        <f>IF(bargiri[[#This Row],[مبلغ واریزی]]&lt;&gt;"",bargiri[[#This Row],[مانده مبلغ]]-bargiri[[#This Row],[مبلغ واریزی]],bargiri[[#This Row],[مانده مبلغ]])</f>
        <v>#N/A</v>
      </c>
      <c r="O1306" s="159" t="s">
        <v>593</v>
      </c>
      <c r="P1306" s="159" t="e">
        <f>VLOOKUP(bargiri[[#This Row],[شماره سند مبنا]],invoice[[شماره پیش فاکتور]:[پیش دریافت به ازای هر کیلوگرم]],14,0)</f>
        <v>#N/A</v>
      </c>
      <c r="Q1306" s="159" t="e">
        <f>IF(bargiri[[#This Row],[مبلغ ناخالص]]-(bargiri[[#This Row],[نرخ استهلاک]]*bargiri[[#This Row],[مقدار]])&lt;0,0,bargiri[[#This Row],[مبلغ ناخالص]]-(bargiri[[#This Row],[نرخ استهلاک]]*bargiri[[#This Row],[مقدار]]))</f>
        <v>#N/A</v>
      </c>
    </row>
    <row r="1307" spans="1:17" s="22" customFormat="1" ht="13.8" x14ac:dyDescent="0.25">
      <c r="A1307" s="22">
        <v>240</v>
      </c>
      <c r="B1307" s="22" t="s">
        <v>325</v>
      </c>
      <c r="C1307" s="22" t="s">
        <v>149</v>
      </c>
      <c r="D1307" s="22" t="s">
        <v>35</v>
      </c>
      <c r="E1307" s="158">
        <v>7310</v>
      </c>
      <c r="F1307" s="159">
        <v>75000</v>
      </c>
      <c r="G1307" s="159">
        <v>548250000</v>
      </c>
      <c r="H1307" s="159">
        <v>54825000</v>
      </c>
      <c r="I1307" s="159">
        <v>603075000</v>
      </c>
      <c r="J1307" s="159">
        <f>bargiri[[#This Row],[مقدار]]*INDEX(invoice[پیش دریافت به ازای هر کیلوگرم],MATCH(bargiri[[#This Row],[شماره سند مبنا]],invoice[شماره پیش فاکتور],0))</f>
        <v>90467884.311516181</v>
      </c>
      <c r="K1307" s="159">
        <f>bargiri[[#This Row],[مبلغ خالص]]-bargiri[[#This Row],[میزان استهلاک پیش دریافتی]]</f>
        <v>512607115.68848383</v>
      </c>
      <c r="L1307" s="160" t="s">
        <v>593</v>
      </c>
      <c r="M1307" s="159"/>
      <c r="N1307" s="159">
        <f>IF(bargiri[[#This Row],[مبلغ واریزی]]&lt;&gt;"",bargiri[[#This Row],[مانده مبلغ]]-bargiri[[#This Row],[مبلغ واریزی]],bargiri[[#This Row],[مانده مبلغ]])</f>
        <v>512607115.68848383</v>
      </c>
      <c r="O1307" s="159" t="s">
        <v>593</v>
      </c>
      <c r="P1307" s="159">
        <f>VLOOKUP(bargiri[[#This Row],[شماره سند مبنا]],invoice[[شماره پیش فاکتور]:[پیش دریافت به ازای هر کیلوگرم]],14,0)</f>
        <v>12375.907566554881</v>
      </c>
      <c r="Q1307" s="159">
        <f>IF(bargiri[[#This Row],[مبلغ ناخالص]]-(bargiri[[#This Row],[نرخ استهلاک]]*bargiri[[#This Row],[مقدار]])&lt;0,0,bargiri[[#This Row],[مبلغ ناخالص]]-(bargiri[[#This Row],[نرخ استهلاک]]*bargiri[[#This Row],[مقدار]]))</f>
        <v>457782115.68848383</v>
      </c>
    </row>
    <row r="1308" spans="1:17" s="22" customFormat="1" ht="13.8" x14ac:dyDescent="0.25">
      <c r="A1308" s="22">
        <v>239</v>
      </c>
      <c r="B1308" s="22" t="s">
        <v>325</v>
      </c>
      <c r="C1308" s="22" t="s">
        <v>109</v>
      </c>
      <c r="D1308" s="22" t="s">
        <v>110</v>
      </c>
      <c r="E1308" s="158">
        <v>17755</v>
      </c>
      <c r="F1308" s="159">
        <v>70000</v>
      </c>
      <c r="G1308" s="159">
        <v>1242850000</v>
      </c>
      <c r="H1308" s="159">
        <v>124285000</v>
      </c>
      <c r="I1308" s="159">
        <v>1367135000</v>
      </c>
      <c r="J1308" s="159" t="e">
        <f>bargiri[[#This Row],[مقدار]]*INDEX(invoice[پیش دریافت به ازای هر کیلوگرم],MATCH(bargiri[[#This Row],[شماره سند مبنا]],invoice[شماره پیش فاکتور],0))</f>
        <v>#N/A</v>
      </c>
      <c r="K1308" s="159" t="e">
        <f>bargiri[[#This Row],[مبلغ خالص]]-bargiri[[#This Row],[میزان استهلاک پیش دریافتی]]</f>
        <v>#N/A</v>
      </c>
      <c r="L1308" s="160" t="s">
        <v>593</v>
      </c>
      <c r="M1308" s="159"/>
      <c r="N1308" s="159" t="e">
        <f>IF(bargiri[[#This Row],[مبلغ واریزی]]&lt;&gt;"",bargiri[[#This Row],[مانده مبلغ]]-bargiri[[#This Row],[مبلغ واریزی]],bargiri[[#This Row],[مانده مبلغ]])</f>
        <v>#N/A</v>
      </c>
      <c r="O1308" s="159" t="s">
        <v>593</v>
      </c>
      <c r="P1308" s="159" t="e">
        <f>VLOOKUP(bargiri[[#This Row],[شماره سند مبنا]],invoice[[شماره پیش فاکتور]:[پیش دریافت به ازای هر کیلوگرم]],14,0)</f>
        <v>#N/A</v>
      </c>
      <c r="Q1308" s="159" t="e">
        <f>IF(bargiri[[#This Row],[مبلغ ناخالص]]-(bargiri[[#This Row],[نرخ استهلاک]]*bargiri[[#This Row],[مقدار]])&lt;0,0,bargiri[[#This Row],[مبلغ ناخالص]]-(bargiri[[#This Row],[نرخ استهلاک]]*bargiri[[#This Row],[مقدار]]))</f>
        <v>#N/A</v>
      </c>
    </row>
    <row r="1309" spans="1:17" s="22" customFormat="1" ht="13.8" x14ac:dyDescent="0.25">
      <c r="A1309" s="22">
        <v>238</v>
      </c>
      <c r="B1309" s="22" t="s">
        <v>325</v>
      </c>
      <c r="C1309" s="22" t="s">
        <v>149</v>
      </c>
      <c r="D1309" s="22" t="s">
        <v>35</v>
      </c>
      <c r="E1309" s="158">
        <v>7305</v>
      </c>
      <c r="F1309" s="159">
        <v>75000</v>
      </c>
      <c r="G1309" s="159">
        <v>547875000</v>
      </c>
      <c r="H1309" s="159">
        <v>54787500</v>
      </c>
      <c r="I1309" s="159">
        <v>602662500</v>
      </c>
      <c r="J1309" s="159">
        <f>bargiri[[#This Row],[مقدار]]*INDEX(invoice[پیش دریافت به ازای هر کیلوگرم],MATCH(bargiri[[#This Row],[شماره سند مبنا]],invoice[شماره پیش فاکتور],0))</f>
        <v>90406004.773683399</v>
      </c>
      <c r="K1309" s="159">
        <f>bargiri[[#This Row],[مبلغ خالص]]-bargiri[[#This Row],[میزان استهلاک پیش دریافتی]]</f>
        <v>512256495.22631657</v>
      </c>
      <c r="L1309" s="160" t="s">
        <v>593</v>
      </c>
      <c r="M1309" s="159"/>
      <c r="N1309" s="159">
        <f>IF(bargiri[[#This Row],[مبلغ واریزی]]&lt;&gt;"",bargiri[[#This Row],[مانده مبلغ]]-bargiri[[#This Row],[مبلغ واریزی]],bargiri[[#This Row],[مانده مبلغ]])</f>
        <v>512256495.22631657</v>
      </c>
      <c r="O1309" s="159" t="s">
        <v>593</v>
      </c>
      <c r="P1309" s="159">
        <f>VLOOKUP(bargiri[[#This Row],[شماره سند مبنا]],invoice[[شماره پیش فاکتور]:[پیش دریافت به ازای هر کیلوگرم]],14,0)</f>
        <v>12375.907566554881</v>
      </c>
      <c r="Q1309" s="159">
        <f>IF(bargiri[[#This Row],[مبلغ ناخالص]]-(bargiri[[#This Row],[نرخ استهلاک]]*bargiri[[#This Row],[مقدار]])&lt;0,0,bargiri[[#This Row],[مبلغ ناخالص]]-(bargiri[[#This Row],[نرخ استهلاک]]*bargiri[[#This Row],[مقدار]]))</f>
        <v>457468995.22631657</v>
      </c>
    </row>
    <row r="1310" spans="1:17" s="22" customFormat="1" ht="13.8" x14ac:dyDescent="0.25">
      <c r="A1310" s="22">
        <v>237</v>
      </c>
      <c r="B1310" s="22" t="s">
        <v>325</v>
      </c>
      <c r="C1310" s="22" t="s">
        <v>197</v>
      </c>
      <c r="D1310" s="22" t="s">
        <v>17</v>
      </c>
      <c r="E1310" s="158">
        <v>20060</v>
      </c>
      <c r="F1310" s="159">
        <v>65000</v>
      </c>
      <c r="G1310" s="159">
        <v>1303900000</v>
      </c>
      <c r="H1310" s="159">
        <v>130390000</v>
      </c>
      <c r="I1310" s="159">
        <v>1434290000</v>
      </c>
      <c r="J1310" s="159">
        <f>bargiri[[#This Row],[مقدار]]*INDEX(invoice[پیش دریافت به ازای هر کیلوگرم],MATCH(bargiri[[#This Row],[شماره سند مبنا]],invoice[شماره پیش فاکتور],0))</f>
        <v>215143500.00000003</v>
      </c>
      <c r="K1310" s="159">
        <f>bargiri[[#This Row],[مبلغ خالص]]-bargiri[[#This Row],[میزان استهلاک پیش دریافتی]]</f>
        <v>1219146500</v>
      </c>
      <c r="L1310" s="160" t="s">
        <v>593</v>
      </c>
      <c r="M1310" s="159"/>
      <c r="N1310" s="159">
        <f>IF(bargiri[[#This Row],[مبلغ واریزی]]&lt;&gt;"",bargiri[[#This Row],[مانده مبلغ]]-bargiri[[#This Row],[مبلغ واریزی]],bargiri[[#This Row],[مانده مبلغ]])</f>
        <v>1219146500</v>
      </c>
      <c r="O1310" s="159" t="s">
        <v>593</v>
      </c>
      <c r="P1310" s="159">
        <f>VLOOKUP(bargiri[[#This Row],[شماره سند مبنا]],invoice[[شماره پیش فاکتور]:[پیش دریافت به ازای هر کیلوگرم]],14,0)</f>
        <v>10725.000000000002</v>
      </c>
      <c r="Q1310" s="159">
        <f>IF(bargiri[[#This Row],[مبلغ ناخالص]]-(bargiri[[#This Row],[نرخ استهلاک]]*bargiri[[#This Row],[مقدار]])&lt;0,0,bargiri[[#This Row],[مبلغ ناخالص]]-(bargiri[[#This Row],[نرخ استهلاک]]*bargiri[[#This Row],[مقدار]]))</f>
        <v>1088756500</v>
      </c>
    </row>
    <row r="1311" spans="1:17" s="22" customFormat="1" ht="13.8" x14ac:dyDescent="0.25">
      <c r="A1311" s="22">
        <v>236</v>
      </c>
      <c r="B1311" s="22" t="s">
        <v>325</v>
      </c>
      <c r="C1311" s="22" t="s">
        <v>115</v>
      </c>
      <c r="D1311" s="22" t="s">
        <v>116</v>
      </c>
      <c r="E1311" s="158">
        <v>19095</v>
      </c>
      <c r="F1311" s="159">
        <v>75000</v>
      </c>
      <c r="G1311" s="159">
        <v>1432125000</v>
      </c>
      <c r="H1311" s="159">
        <v>143212500</v>
      </c>
      <c r="I1311" s="159">
        <v>1575337500</v>
      </c>
      <c r="J1311" s="159">
        <f>bargiri[[#This Row],[مقدار]]*INDEX(invoice[پیش دریافت به ازای هر کیلوگرم],MATCH(bargiri[[#This Row],[شماره سند مبنا]],invoice[شماره پیش فاکتور],0))</f>
        <v>286619901.53304243</v>
      </c>
      <c r="K1311" s="159">
        <f>bargiri[[#This Row],[مبلغ خالص]]-bargiri[[#This Row],[میزان استهلاک پیش دریافتی]]</f>
        <v>1288717598.4669576</v>
      </c>
      <c r="L1311" s="160" t="s">
        <v>593</v>
      </c>
      <c r="M1311" s="159"/>
      <c r="N1311" s="159">
        <f>IF(bargiri[[#This Row],[مبلغ واریزی]]&lt;&gt;"",bargiri[[#This Row],[مانده مبلغ]]-bargiri[[#This Row],[مبلغ واریزی]],bargiri[[#This Row],[مانده مبلغ]])</f>
        <v>1288717598.4669576</v>
      </c>
      <c r="O1311" s="159" t="s">
        <v>593</v>
      </c>
      <c r="P1311" s="159">
        <f>VLOOKUP(bargiri[[#This Row],[شماره سند مبنا]],invoice[[شماره پیش فاکتور]:[پیش دریافت به ازای هر کیلوگرم]],14,0)</f>
        <v>15010.206940719689</v>
      </c>
      <c r="Q1311" s="159">
        <f>IF(bargiri[[#This Row],[مبلغ ناخالص]]-(bargiri[[#This Row],[نرخ استهلاک]]*bargiri[[#This Row],[مقدار]])&lt;0,0,bargiri[[#This Row],[مبلغ ناخالص]]-(bargiri[[#This Row],[نرخ استهلاک]]*bargiri[[#This Row],[مقدار]]))</f>
        <v>1145505098.4669576</v>
      </c>
    </row>
    <row r="1312" spans="1:17" s="22" customFormat="1" ht="13.8" x14ac:dyDescent="0.25">
      <c r="A1312" s="22">
        <v>235</v>
      </c>
      <c r="B1312" s="22" t="s">
        <v>275</v>
      </c>
      <c r="C1312" s="22" t="s">
        <v>66</v>
      </c>
      <c r="D1312" s="22" t="s">
        <v>67</v>
      </c>
      <c r="E1312" s="158">
        <v>17940</v>
      </c>
      <c r="F1312" s="159">
        <v>68500</v>
      </c>
      <c r="G1312" s="159">
        <v>1228890000</v>
      </c>
      <c r="H1312" s="159">
        <v>110600100</v>
      </c>
      <c r="I1312" s="159">
        <v>1339490100</v>
      </c>
      <c r="J1312" s="159" t="e">
        <f>bargiri[[#This Row],[مقدار]]*INDEX(invoice[پیش دریافت به ازای هر کیلوگرم],MATCH(bargiri[[#This Row],[شماره سند مبنا]],invoice[شماره پیش فاکتور],0))</f>
        <v>#N/A</v>
      </c>
      <c r="K1312" s="159" t="e">
        <f>bargiri[[#This Row],[مبلغ خالص]]-bargiri[[#This Row],[میزان استهلاک پیش دریافتی]]</f>
        <v>#N/A</v>
      </c>
      <c r="L1312" s="160" t="s">
        <v>593</v>
      </c>
      <c r="M1312" s="159"/>
      <c r="N1312" s="159" t="e">
        <f>IF(bargiri[[#This Row],[مبلغ واریزی]]&lt;&gt;"",bargiri[[#This Row],[مانده مبلغ]]-bargiri[[#This Row],[مبلغ واریزی]],bargiri[[#This Row],[مانده مبلغ]])</f>
        <v>#N/A</v>
      </c>
      <c r="O1312" s="159" t="s">
        <v>593</v>
      </c>
      <c r="P1312" s="159" t="e">
        <f>VLOOKUP(bargiri[[#This Row],[شماره سند مبنا]],invoice[[شماره پیش فاکتور]:[پیش دریافت به ازای هر کیلوگرم]],14,0)</f>
        <v>#N/A</v>
      </c>
      <c r="Q1312" s="159" t="e">
        <f>IF(bargiri[[#This Row],[مبلغ ناخالص]]-(bargiri[[#This Row],[نرخ استهلاک]]*bargiri[[#This Row],[مقدار]])&lt;0,0,bargiri[[#This Row],[مبلغ ناخالص]]-(bargiri[[#This Row],[نرخ استهلاک]]*bargiri[[#This Row],[مقدار]]))</f>
        <v>#N/A</v>
      </c>
    </row>
    <row r="1313" spans="1:17" s="22" customFormat="1" ht="13.8" x14ac:dyDescent="0.25">
      <c r="A1313" s="22">
        <v>234</v>
      </c>
      <c r="B1313" s="22" t="s">
        <v>275</v>
      </c>
      <c r="C1313" s="22" t="s">
        <v>72</v>
      </c>
      <c r="D1313" s="22" t="s">
        <v>73</v>
      </c>
      <c r="E1313" s="158">
        <v>21005</v>
      </c>
      <c r="F1313" s="159">
        <v>57273</v>
      </c>
      <c r="G1313" s="159">
        <v>1203019365</v>
      </c>
      <c r="H1313" s="159">
        <v>120301937</v>
      </c>
      <c r="I1313" s="159">
        <v>1323321302</v>
      </c>
      <c r="J1313" s="159" t="e">
        <f>bargiri[[#This Row],[مقدار]]*INDEX(invoice[پیش دریافت به ازای هر کیلوگرم],MATCH(bargiri[[#This Row],[شماره سند مبنا]],invoice[شماره پیش فاکتور],0))</f>
        <v>#N/A</v>
      </c>
      <c r="K1313" s="159" t="e">
        <f>bargiri[[#This Row],[مبلغ خالص]]-bargiri[[#This Row],[میزان استهلاک پیش دریافتی]]</f>
        <v>#N/A</v>
      </c>
      <c r="L1313" s="160" t="s">
        <v>593</v>
      </c>
      <c r="M1313" s="159"/>
      <c r="N1313" s="159" t="e">
        <f>IF(bargiri[[#This Row],[مبلغ واریزی]]&lt;&gt;"",bargiri[[#This Row],[مانده مبلغ]]-bargiri[[#This Row],[مبلغ واریزی]],bargiri[[#This Row],[مانده مبلغ]])</f>
        <v>#N/A</v>
      </c>
      <c r="O1313" s="159" t="s">
        <v>593</v>
      </c>
      <c r="P1313" s="159" t="e">
        <f>VLOOKUP(bargiri[[#This Row],[شماره سند مبنا]],invoice[[شماره پیش فاکتور]:[پیش دریافت به ازای هر کیلوگرم]],14,0)</f>
        <v>#N/A</v>
      </c>
      <c r="Q1313" s="159" t="e">
        <f>IF(bargiri[[#This Row],[مبلغ ناخالص]]-(bargiri[[#This Row],[نرخ استهلاک]]*bargiri[[#This Row],[مقدار]])&lt;0,0,bargiri[[#This Row],[مبلغ ناخالص]]-(bargiri[[#This Row],[نرخ استهلاک]]*bargiri[[#This Row],[مقدار]]))</f>
        <v>#N/A</v>
      </c>
    </row>
    <row r="1314" spans="1:17" s="22" customFormat="1" ht="13.8" x14ac:dyDescent="0.25">
      <c r="A1314" s="22">
        <v>233</v>
      </c>
      <c r="B1314" s="22" t="s">
        <v>275</v>
      </c>
      <c r="C1314" s="22" t="s">
        <v>72</v>
      </c>
      <c r="D1314" s="22" t="s">
        <v>73</v>
      </c>
      <c r="E1314" s="158">
        <v>20955</v>
      </c>
      <c r="F1314" s="159">
        <v>57273</v>
      </c>
      <c r="G1314" s="159">
        <v>1200155715</v>
      </c>
      <c r="H1314" s="159">
        <v>120015572</v>
      </c>
      <c r="I1314" s="159">
        <v>1320171287</v>
      </c>
      <c r="J1314" s="159" t="e">
        <f>bargiri[[#This Row],[مقدار]]*INDEX(invoice[پیش دریافت به ازای هر کیلوگرم],MATCH(bargiri[[#This Row],[شماره سند مبنا]],invoice[شماره پیش فاکتور],0))</f>
        <v>#N/A</v>
      </c>
      <c r="K1314" s="159" t="e">
        <f>bargiri[[#This Row],[مبلغ خالص]]-bargiri[[#This Row],[میزان استهلاک پیش دریافتی]]</f>
        <v>#N/A</v>
      </c>
      <c r="L1314" s="160" t="s">
        <v>593</v>
      </c>
      <c r="M1314" s="159"/>
      <c r="N1314" s="159" t="e">
        <f>IF(bargiri[[#This Row],[مبلغ واریزی]]&lt;&gt;"",bargiri[[#This Row],[مانده مبلغ]]-bargiri[[#This Row],[مبلغ واریزی]],bargiri[[#This Row],[مانده مبلغ]])</f>
        <v>#N/A</v>
      </c>
      <c r="O1314" s="159" t="s">
        <v>593</v>
      </c>
      <c r="P1314" s="159" t="e">
        <f>VLOOKUP(bargiri[[#This Row],[شماره سند مبنا]],invoice[[شماره پیش فاکتور]:[پیش دریافت به ازای هر کیلوگرم]],14,0)</f>
        <v>#N/A</v>
      </c>
      <c r="Q1314" s="159" t="e">
        <f>IF(bargiri[[#This Row],[مبلغ ناخالص]]-(bargiri[[#This Row],[نرخ استهلاک]]*bargiri[[#This Row],[مقدار]])&lt;0,0,bargiri[[#This Row],[مبلغ ناخالص]]-(bargiri[[#This Row],[نرخ استهلاک]]*bargiri[[#This Row],[مقدار]]))</f>
        <v>#N/A</v>
      </c>
    </row>
    <row r="1315" spans="1:17" s="22" customFormat="1" ht="13.8" x14ac:dyDescent="0.25">
      <c r="A1315" s="22">
        <v>232</v>
      </c>
      <c r="B1315" s="22" t="s">
        <v>275</v>
      </c>
      <c r="C1315" s="22" t="s">
        <v>128</v>
      </c>
      <c r="D1315" s="22" t="s">
        <v>129</v>
      </c>
      <c r="E1315" s="158">
        <v>9060</v>
      </c>
      <c r="F1315" s="159">
        <v>80000</v>
      </c>
      <c r="G1315" s="159">
        <v>724800000</v>
      </c>
      <c r="H1315" s="159">
        <v>72480000</v>
      </c>
      <c r="I1315" s="159">
        <v>797280000</v>
      </c>
      <c r="J1315" s="159">
        <f>bargiri[[#This Row],[مقدار]]*INDEX(invoice[پیش دریافت به ازای هر کیلوگرم],MATCH(bargiri[[#This Row],[شماره سند مبنا]],invoice[شماره پیش فاکتور],0))</f>
        <v>120172835.37095964</v>
      </c>
      <c r="K1315" s="159">
        <f>bargiri[[#This Row],[مبلغ خالص]]-bargiri[[#This Row],[میزان استهلاک پیش دریافتی]]</f>
        <v>677107164.62904036</v>
      </c>
      <c r="L1315" s="160" t="s">
        <v>593</v>
      </c>
      <c r="M1315" s="159"/>
      <c r="N1315" s="159">
        <f>IF(bargiri[[#This Row],[مبلغ واریزی]]&lt;&gt;"",bargiri[[#This Row],[مانده مبلغ]]-bargiri[[#This Row],[مبلغ واریزی]],bargiri[[#This Row],[مانده مبلغ]])</f>
        <v>677107164.62904036</v>
      </c>
      <c r="O1315" s="159" t="s">
        <v>593</v>
      </c>
      <c r="P1315" s="159">
        <f>VLOOKUP(bargiri[[#This Row],[شماره سند مبنا]],invoice[[شماره پیش فاکتور]:[پیش دریافت به ازای هر کیلوگرم]],14,0)</f>
        <v>13264.109864344331</v>
      </c>
      <c r="Q1315" s="159">
        <f>IF(bargiri[[#This Row],[مبلغ ناخالص]]-(bargiri[[#This Row],[نرخ استهلاک]]*bargiri[[#This Row],[مقدار]])&lt;0,0,bargiri[[#This Row],[مبلغ ناخالص]]-(bargiri[[#This Row],[نرخ استهلاک]]*bargiri[[#This Row],[مقدار]]))</f>
        <v>604627164.62904036</v>
      </c>
    </row>
    <row r="1316" spans="1:17" s="22" customFormat="1" ht="13.8" x14ac:dyDescent="0.25">
      <c r="A1316" s="22">
        <v>231</v>
      </c>
      <c r="B1316" s="22" t="s">
        <v>301</v>
      </c>
      <c r="C1316" s="22" t="s">
        <v>66</v>
      </c>
      <c r="D1316" s="22" t="s">
        <v>67</v>
      </c>
      <c r="E1316" s="158">
        <v>7995</v>
      </c>
      <c r="F1316" s="159">
        <v>68500</v>
      </c>
      <c r="G1316" s="159">
        <v>547657500</v>
      </c>
      <c r="H1316" s="159">
        <v>49289175</v>
      </c>
      <c r="I1316" s="159">
        <v>596946675</v>
      </c>
      <c r="J1316" s="159" t="e">
        <f>bargiri[[#This Row],[مقدار]]*INDEX(invoice[پیش دریافت به ازای هر کیلوگرم],MATCH(bargiri[[#This Row],[شماره سند مبنا]],invoice[شماره پیش فاکتور],0))</f>
        <v>#N/A</v>
      </c>
      <c r="K1316" s="159" t="e">
        <f>bargiri[[#This Row],[مبلغ خالص]]-bargiri[[#This Row],[میزان استهلاک پیش دریافتی]]</f>
        <v>#N/A</v>
      </c>
      <c r="L1316" s="160" t="s">
        <v>593</v>
      </c>
      <c r="M1316" s="159"/>
      <c r="N1316" s="159" t="e">
        <f>IF(bargiri[[#This Row],[مبلغ واریزی]]&lt;&gt;"",bargiri[[#This Row],[مانده مبلغ]]-bargiri[[#This Row],[مبلغ واریزی]],bargiri[[#This Row],[مانده مبلغ]])</f>
        <v>#N/A</v>
      </c>
      <c r="O1316" s="159" t="s">
        <v>593</v>
      </c>
      <c r="P1316" s="159" t="e">
        <f>VLOOKUP(bargiri[[#This Row],[شماره سند مبنا]],invoice[[شماره پیش فاکتور]:[پیش دریافت به ازای هر کیلوگرم]],14,0)</f>
        <v>#N/A</v>
      </c>
      <c r="Q1316" s="159" t="e">
        <f>IF(bargiri[[#This Row],[مبلغ ناخالص]]-(bargiri[[#This Row],[نرخ استهلاک]]*bargiri[[#This Row],[مقدار]])&lt;0,0,bargiri[[#This Row],[مبلغ ناخالص]]-(bargiri[[#This Row],[نرخ استهلاک]]*bargiri[[#This Row],[مقدار]]))</f>
        <v>#N/A</v>
      </c>
    </row>
    <row r="1317" spans="1:17" s="22" customFormat="1" ht="13.8" x14ac:dyDescent="0.25">
      <c r="A1317" s="22">
        <v>230</v>
      </c>
      <c r="B1317" s="22" t="s">
        <v>301</v>
      </c>
      <c r="C1317" s="22" t="s">
        <v>466</v>
      </c>
      <c r="D1317" s="22" t="s">
        <v>180</v>
      </c>
      <c r="E1317" s="158">
        <v>7700</v>
      </c>
      <c r="F1317" s="159">
        <v>100000</v>
      </c>
      <c r="G1317" s="159">
        <v>770000000</v>
      </c>
      <c r="H1317" s="159">
        <v>77000000</v>
      </c>
      <c r="I1317" s="159">
        <v>847000000</v>
      </c>
      <c r="J1317" s="159">
        <f>bargiri[[#This Row],[مقدار]]*INDEX(invoice[پیش دریافت به ازای هر کیلوگرم],MATCH(bargiri[[#This Row],[شماره سند مبنا]],invoice[شماره پیش فاکتور],0))</f>
        <v>134395345.92407015</v>
      </c>
      <c r="K1317" s="159">
        <f>bargiri[[#This Row],[مبلغ خالص]]-bargiri[[#This Row],[میزان استهلاک پیش دریافتی]]</f>
        <v>712604654.07592988</v>
      </c>
      <c r="L1317" s="160" t="s">
        <v>593</v>
      </c>
      <c r="M1317" s="159"/>
      <c r="N1317" s="159">
        <f>IF(bargiri[[#This Row],[مبلغ واریزی]]&lt;&gt;"",bargiri[[#This Row],[مانده مبلغ]]-bargiri[[#This Row],[مبلغ واریزی]],bargiri[[#This Row],[مانده مبلغ]])</f>
        <v>712604654.07592988</v>
      </c>
      <c r="O1317" s="159" t="s">
        <v>593</v>
      </c>
      <c r="P1317" s="159">
        <f>VLOOKUP(bargiri[[#This Row],[شماره سند مبنا]],invoice[[شماره پیش فاکتور]:[پیش دریافت به ازای هر کیلوگرم]],14,0)</f>
        <v>17453.94102910002</v>
      </c>
      <c r="Q1317" s="159">
        <f>IF(bargiri[[#This Row],[مبلغ ناخالص]]-(bargiri[[#This Row],[نرخ استهلاک]]*bargiri[[#This Row],[مقدار]])&lt;0,0,bargiri[[#This Row],[مبلغ ناخالص]]-(bargiri[[#This Row],[نرخ استهلاک]]*bargiri[[#This Row],[مقدار]]))</f>
        <v>635604654.07592988</v>
      </c>
    </row>
    <row r="1318" spans="1:17" s="22" customFormat="1" ht="13.8" x14ac:dyDescent="0.25">
      <c r="A1318" s="22">
        <v>229</v>
      </c>
      <c r="B1318" s="22" t="s">
        <v>301</v>
      </c>
      <c r="C1318" s="22" t="s">
        <v>176</v>
      </c>
      <c r="D1318" s="22" t="s">
        <v>70</v>
      </c>
      <c r="E1318" s="158">
        <v>19930</v>
      </c>
      <c r="F1318" s="159">
        <v>75000</v>
      </c>
      <c r="G1318" s="159">
        <v>1494750000</v>
      </c>
      <c r="H1318" s="159">
        <v>149475000</v>
      </c>
      <c r="I1318" s="159">
        <v>1644225000</v>
      </c>
      <c r="J1318" s="159" t="e">
        <f>bargiri[[#This Row],[مقدار]]*INDEX(invoice[پیش دریافت به ازای هر کیلوگرم],MATCH(bargiri[[#This Row],[شماره سند مبنا]],invoice[شماره پیش فاکتور],0))</f>
        <v>#N/A</v>
      </c>
      <c r="K1318" s="159" t="e">
        <f>bargiri[[#This Row],[مبلغ خالص]]-bargiri[[#This Row],[میزان استهلاک پیش دریافتی]]</f>
        <v>#N/A</v>
      </c>
      <c r="L1318" s="160" t="s">
        <v>593</v>
      </c>
      <c r="M1318" s="159"/>
      <c r="N1318" s="159" t="e">
        <f>IF(bargiri[[#This Row],[مبلغ واریزی]]&lt;&gt;"",bargiri[[#This Row],[مانده مبلغ]]-bargiri[[#This Row],[مبلغ واریزی]],bargiri[[#This Row],[مانده مبلغ]])</f>
        <v>#N/A</v>
      </c>
      <c r="O1318" s="159" t="s">
        <v>593</v>
      </c>
      <c r="P1318" s="159" t="e">
        <f>VLOOKUP(bargiri[[#This Row],[شماره سند مبنا]],invoice[[شماره پیش فاکتور]:[پیش دریافت به ازای هر کیلوگرم]],14,0)</f>
        <v>#N/A</v>
      </c>
      <c r="Q1318" s="159" t="e">
        <f>IF(bargiri[[#This Row],[مبلغ ناخالص]]-(bargiri[[#This Row],[نرخ استهلاک]]*bargiri[[#This Row],[مقدار]])&lt;0,0,bargiri[[#This Row],[مبلغ ناخالص]]-(bargiri[[#This Row],[نرخ استهلاک]]*bargiri[[#This Row],[مقدار]]))</f>
        <v>#N/A</v>
      </c>
    </row>
    <row r="1319" spans="1:17" s="22" customFormat="1" ht="13.8" x14ac:dyDescent="0.25">
      <c r="A1319" s="22">
        <v>228</v>
      </c>
      <c r="B1319" s="22" t="s">
        <v>301</v>
      </c>
      <c r="C1319" s="22" t="s">
        <v>149</v>
      </c>
      <c r="D1319" s="22" t="s">
        <v>35</v>
      </c>
      <c r="E1319" s="158">
        <v>7185</v>
      </c>
      <c r="F1319" s="159">
        <v>75000</v>
      </c>
      <c r="G1319" s="159">
        <v>538875000</v>
      </c>
      <c r="H1319" s="159">
        <v>53887500</v>
      </c>
      <c r="I1319" s="159">
        <v>592762500</v>
      </c>
      <c r="J1319" s="159">
        <f>bargiri[[#This Row],[مقدار]]*INDEX(invoice[پیش دریافت به ازای هر کیلوگرم],MATCH(bargiri[[#This Row],[شماره سند مبنا]],invoice[شماره پیش فاکتور],0))</f>
        <v>88920895.865696818</v>
      </c>
      <c r="K1319" s="159">
        <f>bargiri[[#This Row],[مبلغ خالص]]-bargiri[[#This Row],[میزان استهلاک پیش دریافتی]]</f>
        <v>503841604.13430321</v>
      </c>
      <c r="L1319" s="160" t="s">
        <v>593</v>
      </c>
      <c r="M1319" s="159"/>
      <c r="N1319" s="159">
        <f>IF(bargiri[[#This Row],[مبلغ واریزی]]&lt;&gt;"",bargiri[[#This Row],[مانده مبلغ]]-bargiri[[#This Row],[مبلغ واریزی]],bargiri[[#This Row],[مانده مبلغ]])</f>
        <v>503841604.13430321</v>
      </c>
      <c r="O1319" s="159" t="s">
        <v>593</v>
      </c>
      <c r="P1319" s="159">
        <f>VLOOKUP(bargiri[[#This Row],[شماره سند مبنا]],invoice[[شماره پیش فاکتور]:[پیش دریافت به ازای هر کیلوگرم]],14,0)</f>
        <v>12375.907566554881</v>
      </c>
      <c r="Q1319" s="159">
        <f>IF(bargiri[[#This Row],[مبلغ ناخالص]]-(bargiri[[#This Row],[نرخ استهلاک]]*bargiri[[#This Row],[مقدار]])&lt;0,0,bargiri[[#This Row],[مبلغ ناخالص]]-(bargiri[[#This Row],[نرخ استهلاک]]*bargiri[[#This Row],[مقدار]]))</f>
        <v>449954104.13430321</v>
      </c>
    </row>
    <row r="1320" spans="1:17" s="22" customFormat="1" ht="13.8" x14ac:dyDescent="0.25">
      <c r="A1320" s="22">
        <v>227</v>
      </c>
      <c r="B1320" s="22" t="s">
        <v>301</v>
      </c>
      <c r="C1320" s="22" t="s">
        <v>187</v>
      </c>
      <c r="D1320" s="22" t="s">
        <v>43</v>
      </c>
      <c r="E1320" s="158">
        <v>20005</v>
      </c>
      <c r="F1320" s="159">
        <v>80000</v>
      </c>
      <c r="G1320" s="159">
        <v>1600400000</v>
      </c>
      <c r="H1320" s="159">
        <v>160040000</v>
      </c>
      <c r="I1320" s="159">
        <v>1760440000</v>
      </c>
      <c r="J1320" s="159">
        <f>bargiri[[#This Row],[مقدار]]*INDEX(invoice[پیش دریافت به ازای هر کیلوگرم],MATCH(bargiri[[#This Row],[شماره سند مبنا]],invoice[شماره پیش فاکتور],0))</f>
        <v>352088000</v>
      </c>
      <c r="K1320" s="159">
        <f>bargiri[[#This Row],[مبلغ خالص]]-bargiri[[#This Row],[میزان استهلاک پیش دریافتی]]</f>
        <v>1408352000</v>
      </c>
      <c r="L1320" s="160" t="s">
        <v>593</v>
      </c>
      <c r="M1320" s="159"/>
      <c r="N1320" s="159">
        <f>IF(bargiri[[#This Row],[مبلغ واریزی]]&lt;&gt;"",bargiri[[#This Row],[مانده مبلغ]]-bargiri[[#This Row],[مبلغ واریزی]],bargiri[[#This Row],[مانده مبلغ]])</f>
        <v>1408352000</v>
      </c>
      <c r="O1320" s="159" t="s">
        <v>593</v>
      </c>
      <c r="P1320" s="159">
        <f>VLOOKUP(bargiri[[#This Row],[شماره سند مبنا]],invoice[[شماره پیش فاکتور]:[پیش دریافت به ازای هر کیلوگرم]],14,0)</f>
        <v>17600</v>
      </c>
      <c r="Q1320" s="159">
        <f>IF(bargiri[[#This Row],[مبلغ ناخالص]]-(bargiri[[#This Row],[نرخ استهلاک]]*bargiri[[#This Row],[مقدار]])&lt;0,0,bargiri[[#This Row],[مبلغ ناخالص]]-(bargiri[[#This Row],[نرخ استهلاک]]*bargiri[[#This Row],[مقدار]]))</f>
        <v>1248312000</v>
      </c>
    </row>
    <row r="1321" spans="1:17" s="22" customFormat="1" ht="13.8" x14ac:dyDescent="0.25">
      <c r="A1321" s="22">
        <v>226</v>
      </c>
      <c r="B1321" s="22" t="s">
        <v>301</v>
      </c>
      <c r="C1321" s="22" t="s">
        <v>115</v>
      </c>
      <c r="D1321" s="22" t="s">
        <v>116</v>
      </c>
      <c r="E1321" s="158">
        <v>19050</v>
      </c>
      <c r="F1321" s="159">
        <v>75000</v>
      </c>
      <c r="G1321" s="159">
        <v>1428750000</v>
      </c>
      <c r="H1321" s="159">
        <v>142875000</v>
      </c>
      <c r="I1321" s="159">
        <v>1571625000</v>
      </c>
      <c r="J1321" s="159">
        <f>bargiri[[#This Row],[مقدار]]*INDEX(invoice[پیش دریافت به ازای هر کیلوگرم],MATCH(bargiri[[#This Row],[شماره سند مبنا]],invoice[شماره پیش فاکتور],0))</f>
        <v>285944442.22071004</v>
      </c>
      <c r="K1321" s="159">
        <f>bargiri[[#This Row],[مبلغ خالص]]-bargiri[[#This Row],[میزان استهلاک پیش دریافتی]]</f>
        <v>1285680557.77929</v>
      </c>
      <c r="L1321" s="160" t="s">
        <v>593</v>
      </c>
      <c r="M1321" s="159"/>
      <c r="N1321" s="159">
        <f>IF(bargiri[[#This Row],[مبلغ واریزی]]&lt;&gt;"",bargiri[[#This Row],[مانده مبلغ]]-bargiri[[#This Row],[مبلغ واریزی]],bargiri[[#This Row],[مانده مبلغ]])</f>
        <v>1285680557.77929</v>
      </c>
      <c r="O1321" s="159" t="s">
        <v>593</v>
      </c>
      <c r="P1321" s="159">
        <f>VLOOKUP(bargiri[[#This Row],[شماره سند مبنا]],invoice[[شماره پیش فاکتور]:[پیش دریافت به ازای هر کیلوگرم]],14,0)</f>
        <v>15010.206940719689</v>
      </c>
      <c r="Q1321" s="159">
        <f>IF(bargiri[[#This Row],[مبلغ ناخالص]]-(bargiri[[#This Row],[نرخ استهلاک]]*bargiri[[#This Row],[مقدار]])&lt;0,0,bargiri[[#This Row],[مبلغ ناخالص]]-(bargiri[[#This Row],[نرخ استهلاک]]*bargiri[[#This Row],[مقدار]]))</f>
        <v>1142805557.77929</v>
      </c>
    </row>
    <row r="1322" spans="1:17" s="22" customFormat="1" ht="13.8" x14ac:dyDescent="0.25">
      <c r="A1322" s="22">
        <v>225</v>
      </c>
      <c r="B1322" s="22" t="s">
        <v>301</v>
      </c>
      <c r="C1322" s="22" t="s">
        <v>189</v>
      </c>
      <c r="D1322" s="22" t="s">
        <v>173</v>
      </c>
      <c r="E1322" s="158">
        <v>21015</v>
      </c>
      <c r="F1322" s="159">
        <v>75000</v>
      </c>
      <c r="G1322" s="159">
        <v>1576125000</v>
      </c>
      <c r="H1322" s="159">
        <v>157612500</v>
      </c>
      <c r="I1322" s="159">
        <v>1733737500</v>
      </c>
      <c r="J1322" s="159">
        <f>bargiri[[#This Row],[مقدار]]*INDEX(invoice[پیش دریافت به ازای هر کیلوگرم],MATCH(bargiri[[#This Row],[شماره سند مبنا]],invoice[شماره پیش فاکتور],0))</f>
        <v>260060625</v>
      </c>
      <c r="K1322" s="159">
        <f>bargiri[[#This Row],[مبلغ خالص]]-bargiri[[#This Row],[میزان استهلاک پیش دریافتی]]</f>
        <v>1473676875</v>
      </c>
      <c r="L1322" s="160" t="s">
        <v>593</v>
      </c>
      <c r="M1322" s="159"/>
      <c r="N1322" s="159">
        <f>IF(bargiri[[#This Row],[مبلغ واریزی]]&lt;&gt;"",bargiri[[#This Row],[مانده مبلغ]]-bargiri[[#This Row],[مبلغ واریزی]],bargiri[[#This Row],[مانده مبلغ]])</f>
        <v>1473676875</v>
      </c>
      <c r="O1322" s="159" t="s">
        <v>593</v>
      </c>
      <c r="P1322" s="159">
        <f>VLOOKUP(bargiri[[#This Row],[شماره سند مبنا]],invoice[[شماره پیش فاکتور]:[پیش دریافت به ازای هر کیلوگرم]],14,0)</f>
        <v>12375</v>
      </c>
      <c r="Q1322" s="159">
        <f>IF(bargiri[[#This Row],[مبلغ ناخالص]]-(bargiri[[#This Row],[نرخ استهلاک]]*bargiri[[#This Row],[مقدار]])&lt;0,0,bargiri[[#This Row],[مبلغ ناخالص]]-(bargiri[[#This Row],[نرخ استهلاک]]*bargiri[[#This Row],[مقدار]]))</f>
        <v>1316064375</v>
      </c>
    </row>
    <row r="1323" spans="1:17" s="22" customFormat="1" ht="13.8" x14ac:dyDescent="0.25">
      <c r="A1323" s="22">
        <v>224</v>
      </c>
      <c r="B1323" s="22" t="s">
        <v>274</v>
      </c>
      <c r="C1323" s="22" t="s">
        <v>149</v>
      </c>
      <c r="D1323" s="22" t="s">
        <v>35</v>
      </c>
      <c r="E1323" s="158">
        <v>7535</v>
      </c>
      <c r="F1323" s="159">
        <v>75000</v>
      </c>
      <c r="G1323" s="159">
        <v>565125000</v>
      </c>
      <c r="H1323" s="159">
        <v>56512500</v>
      </c>
      <c r="I1323" s="159">
        <v>621637500</v>
      </c>
      <c r="J1323" s="159">
        <f>bargiri[[#This Row],[مقدار]]*INDEX(invoice[پیش دریافت به ازای هر کیلوگرم],MATCH(bargiri[[#This Row],[شماره سند مبنا]],invoice[شماره پیش فاکتور],0))</f>
        <v>93252463.513991028</v>
      </c>
      <c r="K1323" s="159">
        <f>bargiri[[#This Row],[مبلغ خالص]]-bargiri[[#This Row],[میزان استهلاک پیش دریافتی]]</f>
        <v>528385036.486009</v>
      </c>
      <c r="L1323" s="160" t="s">
        <v>593</v>
      </c>
      <c r="M1323" s="159"/>
      <c r="N1323" s="159">
        <f>IF(bargiri[[#This Row],[مبلغ واریزی]]&lt;&gt;"",bargiri[[#This Row],[مانده مبلغ]]-bargiri[[#This Row],[مبلغ واریزی]],bargiri[[#This Row],[مانده مبلغ]])</f>
        <v>528385036.486009</v>
      </c>
      <c r="O1323" s="159" t="s">
        <v>593</v>
      </c>
      <c r="P1323" s="159">
        <f>VLOOKUP(bargiri[[#This Row],[شماره سند مبنا]],invoice[[شماره پیش فاکتور]:[پیش دریافت به ازای هر کیلوگرم]],14,0)</f>
        <v>12375.907566554881</v>
      </c>
      <c r="Q1323" s="159">
        <f>IF(bargiri[[#This Row],[مبلغ ناخالص]]-(bargiri[[#This Row],[نرخ استهلاک]]*bargiri[[#This Row],[مقدار]])&lt;0,0,bargiri[[#This Row],[مبلغ ناخالص]]-(bargiri[[#This Row],[نرخ استهلاک]]*bargiri[[#This Row],[مقدار]]))</f>
        <v>471872536.486009</v>
      </c>
    </row>
    <row r="1324" spans="1:17" s="22" customFormat="1" ht="13.8" x14ac:dyDescent="0.25">
      <c r="A1324" s="22">
        <v>223</v>
      </c>
      <c r="B1324" s="22" t="s">
        <v>338</v>
      </c>
      <c r="C1324" s="22" t="s">
        <v>466</v>
      </c>
      <c r="D1324" s="22" t="s">
        <v>180</v>
      </c>
      <c r="E1324" s="158">
        <v>7715</v>
      </c>
      <c r="F1324" s="159">
        <v>100000</v>
      </c>
      <c r="G1324" s="159">
        <v>771500000</v>
      </c>
      <c r="H1324" s="159">
        <v>77150000</v>
      </c>
      <c r="I1324" s="159">
        <v>848650000</v>
      </c>
      <c r="J1324" s="159">
        <f>bargiri[[#This Row],[مقدار]]*INDEX(invoice[پیش دریافت به ازای هر کیلوگرم],MATCH(bargiri[[#This Row],[شماره سند مبنا]],invoice[شماره پیش فاکتور],0))</f>
        <v>134657155.03950664</v>
      </c>
      <c r="K1324" s="159">
        <f>bargiri[[#This Row],[مبلغ خالص]]-bargiri[[#This Row],[میزان استهلاک پیش دریافتی]]</f>
        <v>713992844.96049333</v>
      </c>
      <c r="L1324" s="160" t="s">
        <v>593</v>
      </c>
      <c r="M1324" s="159"/>
      <c r="N1324" s="159">
        <f>IF(bargiri[[#This Row],[مبلغ واریزی]]&lt;&gt;"",bargiri[[#This Row],[مانده مبلغ]]-bargiri[[#This Row],[مبلغ واریزی]],bargiri[[#This Row],[مانده مبلغ]])</f>
        <v>713992844.96049333</v>
      </c>
      <c r="O1324" s="159" t="s">
        <v>593</v>
      </c>
      <c r="P1324" s="159">
        <f>VLOOKUP(bargiri[[#This Row],[شماره سند مبنا]],invoice[[شماره پیش فاکتور]:[پیش دریافت به ازای هر کیلوگرم]],14,0)</f>
        <v>17453.94102910002</v>
      </c>
      <c r="Q1324" s="159">
        <f>IF(bargiri[[#This Row],[مبلغ ناخالص]]-(bargiri[[#This Row],[نرخ استهلاک]]*bargiri[[#This Row],[مقدار]])&lt;0,0,bargiri[[#This Row],[مبلغ ناخالص]]-(bargiri[[#This Row],[نرخ استهلاک]]*bargiri[[#This Row],[مقدار]]))</f>
        <v>636842844.96049333</v>
      </c>
    </row>
    <row r="1325" spans="1:17" s="22" customFormat="1" ht="13.8" x14ac:dyDescent="0.25">
      <c r="A1325" s="22">
        <v>222</v>
      </c>
      <c r="B1325" s="22" t="s">
        <v>394</v>
      </c>
      <c r="C1325" s="22" t="s">
        <v>149</v>
      </c>
      <c r="D1325" s="22" t="s">
        <v>35</v>
      </c>
      <c r="E1325" s="158">
        <v>7450</v>
      </c>
      <c r="F1325" s="159">
        <v>75000</v>
      </c>
      <c r="G1325" s="159">
        <v>558750000</v>
      </c>
      <c r="H1325" s="159">
        <v>55875000</v>
      </c>
      <c r="I1325" s="159">
        <v>614625000</v>
      </c>
      <c r="J1325" s="159">
        <f>bargiri[[#This Row],[مقدار]]*INDEX(invoice[پیش دریافت به ازای هر کیلوگرم],MATCH(bargiri[[#This Row],[شماره سند مبنا]],invoice[شماره پیش فاکتور],0))</f>
        <v>92200511.370833859</v>
      </c>
      <c r="K1325" s="159">
        <f>bargiri[[#This Row],[مبلغ خالص]]-bargiri[[#This Row],[میزان استهلاک پیش دریافتی]]</f>
        <v>522424488.62916613</v>
      </c>
      <c r="L1325" s="160" t="s">
        <v>593</v>
      </c>
      <c r="M1325" s="159"/>
      <c r="N1325" s="159">
        <f>IF(bargiri[[#This Row],[مبلغ واریزی]]&lt;&gt;"",bargiri[[#This Row],[مانده مبلغ]]-bargiri[[#This Row],[مبلغ واریزی]],bargiri[[#This Row],[مانده مبلغ]])</f>
        <v>522424488.62916613</v>
      </c>
      <c r="O1325" s="159" t="s">
        <v>593</v>
      </c>
      <c r="P1325" s="159">
        <f>VLOOKUP(bargiri[[#This Row],[شماره سند مبنا]],invoice[[شماره پیش فاکتور]:[پیش دریافت به ازای هر کیلوگرم]],14,0)</f>
        <v>12375.907566554881</v>
      </c>
      <c r="Q1325" s="159">
        <f>IF(bargiri[[#This Row],[مبلغ ناخالص]]-(bargiri[[#This Row],[نرخ استهلاک]]*bargiri[[#This Row],[مقدار]])&lt;0,0,bargiri[[#This Row],[مبلغ ناخالص]]-(bargiri[[#This Row],[نرخ استهلاک]]*bargiri[[#This Row],[مقدار]]))</f>
        <v>466549488.62916613</v>
      </c>
    </row>
    <row r="1326" spans="1:17" s="22" customFormat="1" ht="13.8" x14ac:dyDescent="0.25">
      <c r="A1326" s="22">
        <v>221</v>
      </c>
      <c r="B1326" s="22" t="s">
        <v>394</v>
      </c>
      <c r="C1326" s="22" t="s">
        <v>128</v>
      </c>
      <c r="D1326" s="22" t="s">
        <v>129</v>
      </c>
      <c r="E1326" s="158">
        <v>9005</v>
      </c>
      <c r="F1326" s="159">
        <v>80000</v>
      </c>
      <c r="G1326" s="159">
        <v>720400000</v>
      </c>
      <c r="H1326" s="159">
        <v>72040000</v>
      </c>
      <c r="I1326" s="159">
        <v>792440000</v>
      </c>
      <c r="J1326" s="159">
        <f>bargiri[[#This Row],[مقدار]]*INDEX(invoice[پیش دریافت به ازای هر کیلوگرم],MATCH(bargiri[[#This Row],[شماره سند مبنا]],invoice[شماره پیش فاکتور],0))</f>
        <v>119443309.3284207</v>
      </c>
      <c r="K1326" s="159">
        <f>bargiri[[#This Row],[مبلغ خالص]]-bargiri[[#This Row],[میزان استهلاک پیش دریافتی]]</f>
        <v>672996690.67157936</v>
      </c>
      <c r="L1326" s="160" t="s">
        <v>593</v>
      </c>
      <c r="M1326" s="159"/>
      <c r="N1326" s="159">
        <f>IF(bargiri[[#This Row],[مبلغ واریزی]]&lt;&gt;"",bargiri[[#This Row],[مانده مبلغ]]-bargiri[[#This Row],[مبلغ واریزی]],bargiri[[#This Row],[مانده مبلغ]])</f>
        <v>672996690.67157936</v>
      </c>
      <c r="O1326" s="159" t="s">
        <v>593</v>
      </c>
      <c r="P1326" s="159">
        <f>VLOOKUP(bargiri[[#This Row],[شماره سند مبنا]],invoice[[شماره پیش فاکتور]:[پیش دریافت به ازای هر کیلوگرم]],14,0)</f>
        <v>13264.109864344331</v>
      </c>
      <c r="Q1326" s="159">
        <f>IF(bargiri[[#This Row],[مبلغ ناخالص]]-(bargiri[[#This Row],[نرخ استهلاک]]*bargiri[[#This Row],[مقدار]])&lt;0,0,bargiri[[#This Row],[مبلغ ناخالص]]-(bargiri[[#This Row],[نرخ استهلاک]]*bargiri[[#This Row],[مقدار]]))</f>
        <v>600956690.67157936</v>
      </c>
    </row>
    <row r="1327" spans="1:17" s="22" customFormat="1" ht="13.8" x14ac:dyDescent="0.25">
      <c r="A1327" s="22">
        <v>220</v>
      </c>
      <c r="B1327" s="22" t="s">
        <v>274</v>
      </c>
      <c r="C1327" s="22" t="s">
        <v>72</v>
      </c>
      <c r="D1327" s="22" t="s">
        <v>73</v>
      </c>
      <c r="E1327" s="158">
        <v>20420</v>
      </c>
      <c r="F1327" s="159">
        <v>57273</v>
      </c>
      <c r="G1327" s="159">
        <v>1169514660</v>
      </c>
      <c r="H1327" s="159">
        <v>116951466</v>
      </c>
      <c r="I1327" s="159">
        <v>1286466126</v>
      </c>
      <c r="J1327" s="159" t="e">
        <f>bargiri[[#This Row],[مقدار]]*INDEX(invoice[پیش دریافت به ازای هر کیلوگرم],MATCH(bargiri[[#This Row],[شماره سند مبنا]],invoice[شماره پیش فاکتور],0))</f>
        <v>#N/A</v>
      </c>
      <c r="K1327" s="159" t="e">
        <f>bargiri[[#This Row],[مبلغ خالص]]-bargiri[[#This Row],[میزان استهلاک پیش دریافتی]]</f>
        <v>#N/A</v>
      </c>
      <c r="L1327" s="160" t="s">
        <v>593</v>
      </c>
      <c r="M1327" s="159"/>
      <c r="N1327" s="159" t="e">
        <f>IF(bargiri[[#This Row],[مبلغ واریزی]]&lt;&gt;"",bargiri[[#This Row],[مانده مبلغ]]-bargiri[[#This Row],[مبلغ واریزی]],bargiri[[#This Row],[مانده مبلغ]])</f>
        <v>#N/A</v>
      </c>
      <c r="O1327" s="159" t="s">
        <v>593</v>
      </c>
      <c r="P1327" s="159" t="e">
        <f>VLOOKUP(bargiri[[#This Row],[شماره سند مبنا]],invoice[[شماره پیش فاکتور]:[پیش دریافت به ازای هر کیلوگرم]],14,0)</f>
        <v>#N/A</v>
      </c>
      <c r="Q1327" s="159" t="e">
        <f>IF(bargiri[[#This Row],[مبلغ ناخالص]]-(bargiri[[#This Row],[نرخ استهلاک]]*bargiri[[#This Row],[مقدار]])&lt;0,0,bargiri[[#This Row],[مبلغ ناخالص]]-(bargiri[[#This Row],[نرخ استهلاک]]*bargiri[[#This Row],[مقدار]]))</f>
        <v>#N/A</v>
      </c>
    </row>
    <row r="1328" spans="1:17" s="22" customFormat="1" ht="13.8" x14ac:dyDescent="0.25">
      <c r="A1328" s="22">
        <v>219</v>
      </c>
      <c r="B1328" s="22" t="s">
        <v>274</v>
      </c>
      <c r="C1328" s="22" t="s">
        <v>72</v>
      </c>
      <c r="D1328" s="22" t="s">
        <v>73</v>
      </c>
      <c r="E1328" s="158">
        <v>20555</v>
      </c>
      <c r="F1328" s="159">
        <v>57273</v>
      </c>
      <c r="G1328" s="159">
        <v>1177246515</v>
      </c>
      <c r="H1328" s="159">
        <v>117724652</v>
      </c>
      <c r="I1328" s="159">
        <v>1294971167</v>
      </c>
      <c r="J1328" s="159" t="e">
        <f>bargiri[[#This Row],[مقدار]]*INDEX(invoice[پیش دریافت به ازای هر کیلوگرم],MATCH(bargiri[[#This Row],[شماره سند مبنا]],invoice[شماره پیش فاکتور],0))</f>
        <v>#N/A</v>
      </c>
      <c r="K1328" s="159" t="e">
        <f>bargiri[[#This Row],[مبلغ خالص]]-bargiri[[#This Row],[میزان استهلاک پیش دریافتی]]</f>
        <v>#N/A</v>
      </c>
      <c r="L1328" s="160" t="s">
        <v>593</v>
      </c>
      <c r="M1328" s="159"/>
      <c r="N1328" s="159" t="e">
        <f>IF(bargiri[[#This Row],[مبلغ واریزی]]&lt;&gt;"",bargiri[[#This Row],[مانده مبلغ]]-bargiri[[#This Row],[مبلغ واریزی]],bargiri[[#This Row],[مانده مبلغ]])</f>
        <v>#N/A</v>
      </c>
      <c r="O1328" s="159" t="s">
        <v>593</v>
      </c>
      <c r="P1328" s="159" t="e">
        <f>VLOOKUP(bargiri[[#This Row],[شماره سند مبنا]],invoice[[شماره پیش فاکتور]:[پیش دریافت به ازای هر کیلوگرم]],14,0)</f>
        <v>#N/A</v>
      </c>
      <c r="Q1328" s="159" t="e">
        <f>IF(bargiri[[#This Row],[مبلغ ناخالص]]-(bargiri[[#This Row],[نرخ استهلاک]]*bargiri[[#This Row],[مقدار]])&lt;0,0,bargiri[[#This Row],[مبلغ ناخالص]]-(bargiri[[#This Row],[نرخ استهلاک]]*bargiri[[#This Row],[مقدار]]))</f>
        <v>#N/A</v>
      </c>
    </row>
    <row r="1329" spans="1:17" s="22" customFormat="1" ht="13.8" x14ac:dyDescent="0.25">
      <c r="A1329" s="22">
        <v>218</v>
      </c>
      <c r="B1329" s="22" t="s">
        <v>274</v>
      </c>
      <c r="C1329" s="22" t="s">
        <v>72</v>
      </c>
      <c r="D1329" s="22" t="s">
        <v>73</v>
      </c>
      <c r="E1329" s="158">
        <v>20370</v>
      </c>
      <c r="F1329" s="159">
        <v>57273</v>
      </c>
      <c r="G1329" s="159">
        <v>1166651010</v>
      </c>
      <c r="H1329" s="159">
        <v>116665101</v>
      </c>
      <c r="I1329" s="159">
        <v>1283316111</v>
      </c>
      <c r="J1329" s="159" t="e">
        <f>bargiri[[#This Row],[مقدار]]*INDEX(invoice[پیش دریافت به ازای هر کیلوگرم],MATCH(bargiri[[#This Row],[شماره سند مبنا]],invoice[شماره پیش فاکتور],0))</f>
        <v>#N/A</v>
      </c>
      <c r="K1329" s="159" t="e">
        <f>bargiri[[#This Row],[مبلغ خالص]]-bargiri[[#This Row],[میزان استهلاک پیش دریافتی]]</f>
        <v>#N/A</v>
      </c>
      <c r="L1329" s="160" t="s">
        <v>593</v>
      </c>
      <c r="M1329" s="159"/>
      <c r="N1329" s="159" t="e">
        <f>IF(bargiri[[#This Row],[مبلغ واریزی]]&lt;&gt;"",bargiri[[#This Row],[مانده مبلغ]]-bargiri[[#This Row],[مبلغ واریزی]],bargiri[[#This Row],[مانده مبلغ]])</f>
        <v>#N/A</v>
      </c>
      <c r="O1329" s="159" t="s">
        <v>593</v>
      </c>
      <c r="P1329" s="159" t="e">
        <f>VLOOKUP(bargiri[[#This Row],[شماره سند مبنا]],invoice[[شماره پیش فاکتور]:[پیش دریافت به ازای هر کیلوگرم]],14,0)</f>
        <v>#N/A</v>
      </c>
      <c r="Q1329" s="159" t="e">
        <f>IF(bargiri[[#This Row],[مبلغ ناخالص]]-(bargiri[[#This Row],[نرخ استهلاک]]*bargiri[[#This Row],[مقدار]])&lt;0,0,bargiri[[#This Row],[مبلغ ناخالص]]-(bargiri[[#This Row],[نرخ استهلاک]]*bargiri[[#This Row],[مقدار]]))</f>
        <v>#N/A</v>
      </c>
    </row>
    <row r="1330" spans="1:17" s="22" customFormat="1" ht="13.8" x14ac:dyDescent="0.25">
      <c r="A1330" s="22">
        <v>217</v>
      </c>
      <c r="B1330" s="22" t="s">
        <v>274</v>
      </c>
      <c r="C1330" s="22" t="s">
        <v>119</v>
      </c>
      <c r="D1330" s="22" t="s">
        <v>25</v>
      </c>
      <c r="E1330" s="158">
        <v>19945</v>
      </c>
      <c r="F1330" s="159">
        <v>75000</v>
      </c>
      <c r="G1330" s="159">
        <v>1495875000</v>
      </c>
      <c r="H1330" s="159">
        <v>149587500</v>
      </c>
      <c r="I1330" s="159">
        <v>1645462500</v>
      </c>
      <c r="J1330" s="159">
        <f>bargiri[[#This Row],[مقدار]]*INDEX(invoice[پیش دریافت به ازای هر کیلوگرم],MATCH(bargiri[[#This Row],[شماره سند مبنا]],invoice[شماره پیش فاکتور],0))</f>
        <v>246819375</v>
      </c>
      <c r="K1330" s="159">
        <f>bargiri[[#This Row],[مبلغ خالص]]-bargiri[[#This Row],[میزان استهلاک پیش دریافتی]]</f>
        <v>1398643125</v>
      </c>
      <c r="L1330" s="160" t="s">
        <v>593</v>
      </c>
      <c r="M1330" s="159"/>
      <c r="N1330" s="159">
        <f>IF(bargiri[[#This Row],[مبلغ واریزی]]&lt;&gt;"",bargiri[[#This Row],[مانده مبلغ]]-bargiri[[#This Row],[مبلغ واریزی]],bargiri[[#This Row],[مانده مبلغ]])</f>
        <v>1398643125</v>
      </c>
      <c r="O1330" s="159" t="s">
        <v>593</v>
      </c>
      <c r="P1330" s="159">
        <f>VLOOKUP(bargiri[[#This Row],[شماره سند مبنا]],invoice[[شماره پیش فاکتور]:[پیش دریافت به ازای هر کیلوگرم]],14,0)</f>
        <v>12375</v>
      </c>
      <c r="Q1330" s="159">
        <f>IF(bargiri[[#This Row],[مبلغ ناخالص]]-(bargiri[[#This Row],[نرخ استهلاک]]*bargiri[[#This Row],[مقدار]])&lt;0,0,bargiri[[#This Row],[مبلغ ناخالص]]-(bargiri[[#This Row],[نرخ استهلاک]]*bargiri[[#This Row],[مقدار]]))</f>
        <v>1249055625</v>
      </c>
    </row>
    <row r="1331" spans="1:17" s="22" customFormat="1" ht="13.8" x14ac:dyDescent="0.25">
      <c r="A1331" s="22">
        <v>216</v>
      </c>
      <c r="B1331" s="22" t="s">
        <v>274</v>
      </c>
      <c r="C1331" s="22" t="s">
        <v>109</v>
      </c>
      <c r="D1331" s="22" t="s">
        <v>110</v>
      </c>
      <c r="E1331" s="158">
        <v>18800</v>
      </c>
      <c r="F1331" s="159">
        <v>70000</v>
      </c>
      <c r="G1331" s="159">
        <v>1316000000</v>
      </c>
      <c r="H1331" s="159">
        <v>131600000</v>
      </c>
      <c r="I1331" s="159">
        <v>1447600000</v>
      </c>
      <c r="J1331" s="159" t="e">
        <f>bargiri[[#This Row],[مقدار]]*INDEX(invoice[پیش دریافت به ازای هر کیلوگرم],MATCH(bargiri[[#This Row],[شماره سند مبنا]],invoice[شماره پیش فاکتور],0))</f>
        <v>#N/A</v>
      </c>
      <c r="K1331" s="159" t="e">
        <f>bargiri[[#This Row],[مبلغ خالص]]-bargiri[[#This Row],[میزان استهلاک پیش دریافتی]]</f>
        <v>#N/A</v>
      </c>
      <c r="L1331" s="160" t="s">
        <v>593</v>
      </c>
      <c r="M1331" s="159"/>
      <c r="N1331" s="159" t="e">
        <f>IF(bargiri[[#This Row],[مبلغ واریزی]]&lt;&gt;"",bargiri[[#This Row],[مانده مبلغ]]-bargiri[[#This Row],[مبلغ واریزی]],bargiri[[#This Row],[مانده مبلغ]])</f>
        <v>#N/A</v>
      </c>
      <c r="O1331" s="159" t="s">
        <v>593</v>
      </c>
      <c r="P1331" s="159" t="e">
        <f>VLOOKUP(bargiri[[#This Row],[شماره سند مبنا]],invoice[[شماره پیش فاکتور]:[پیش دریافت به ازای هر کیلوگرم]],14,0)</f>
        <v>#N/A</v>
      </c>
      <c r="Q1331" s="159" t="e">
        <f>IF(bargiri[[#This Row],[مبلغ ناخالص]]-(bargiri[[#This Row],[نرخ استهلاک]]*bargiri[[#This Row],[مقدار]])&lt;0,0,bargiri[[#This Row],[مبلغ ناخالص]]-(bargiri[[#This Row],[نرخ استهلاک]]*bargiri[[#This Row],[مقدار]]))</f>
        <v>#N/A</v>
      </c>
    </row>
    <row r="1332" spans="1:17" s="22" customFormat="1" ht="13.8" x14ac:dyDescent="0.25">
      <c r="A1332" s="22">
        <v>215</v>
      </c>
      <c r="B1332" s="22" t="s">
        <v>274</v>
      </c>
      <c r="C1332" s="22" t="s">
        <v>212</v>
      </c>
      <c r="D1332" s="22" t="s">
        <v>213</v>
      </c>
      <c r="E1332" s="158">
        <v>7435</v>
      </c>
      <c r="F1332" s="159">
        <v>100000</v>
      </c>
      <c r="G1332" s="159">
        <v>743500000</v>
      </c>
      <c r="H1332" s="159">
        <v>74350000</v>
      </c>
      <c r="I1332" s="159">
        <v>817850000</v>
      </c>
      <c r="J1332" s="159">
        <f>bargiri[[#This Row],[مقدار]]*INDEX(invoice[پیش دریافت به ازای هر کیلوگرم],MATCH(bargiri[[#This Row],[شماره سند مبنا]],invoice[شماره پیش فاکتور],0))</f>
        <v>122677500</v>
      </c>
      <c r="K1332" s="159">
        <f>bargiri[[#This Row],[مبلغ خالص]]-bargiri[[#This Row],[میزان استهلاک پیش دریافتی]]</f>
        <v>695172500</v>
      </c>
      <c r="L1332" s="160" t="s">
        <v>593</v>
      </c>
      <c r="M1332" s="159"/>
      <c r="N1332" s="159">
        <f>IF(bargiri[[#This Row],[مبلغ واریزی]]&lt;&gt;"",bargiri[[#This Row],[مانده مبلغ]]-bargiri[[#This Row],[مبلغ واریزی]],bargiri[[#This Row],[مانده مبلغ]])</f>
        <v>695172500</v>
      </c>
      <c r="O1332" s="159" t="s">
        <v>593</v>
      </c>
      <c r="P1332" s="159">
        <f>VLOOKUP(bargiri[[#This Row],[شماره سند مبنا]],invoice[[شماره پیش فاکتور]:[پیش دریافت به ازای هر کیلوگرم]],14,0)</f>
        <v>16500</v>
      </c>
      <c r="Q1332" s="159">
        <f>IF(bargiri[[#This Row],[مبلغ ناخالص]]-(bargiri[[#This Row],[نرخ استهلاک]]*bargiri[[#This Row],[مقدار]])&lt;0,0,bargiri[[#This Row],[مبلغ ناخالص]]-(bargiri[[#This Row],[نرخ استهلاک]]*bargiri[[#This Row],[مقدار]]))</f>
        <v>620822500</v>
      </c>
    </row>
    <row r="1333" spans="1:17" s="22" customFormat="1" ht="13.8" x14ac:dyDescent="0.25">
      <c r="A1333" s="22">
        <v>214</v>
      </c>
      <c r="B1333" s="22" t="s">
        <v>321</v>
      </c>
      <c r="C1333" s="22" t="s">
        <v>107</v>
      </c>
      <c r="D1333" s="22" t="s">
        <v>30</v>
      </c>
      <c r="E1333" s="158">
        <v>11585</v>
      </c>
      <c r="F1333" s="159">
        <v>70000</v>
      </c>
      <c r="G1333" s="159">
        <v>810950000</v>
      </c>
      <c r="H1333" s="159">
        <v>81095000</v>
      </c>
      <c r="I1333" s="159">
        <v>892045000</v>
      </c>
      <c r="J1333" s="159">
        <f>bargiri[[#This Row],[مقدار]]*INDEX(invoice[پیش دریافت به ازای هر کیلوگرم],MATCH(bargiri[[#This Row],[شماره سند مبنا]],invoice[شماره پیش فاکتور],0))</f>
        <v>446022500</v>
      </c>
      <c r="K1333" s="159">
        <f>bargiri[[#This Row],[مبلغ خالص]]-bargiri[[#This Row],[میزان استهلاک پیش دریافتی]]</f>
        <v>446022500</v>
      </c>
      <c r="L1333" s="160" t="s">
        <v>593</v>
      </c>
      <c r="M1333" s="159"/>
      <c r="N1333" s="159">
        <f>IF(bargiri[[#This Row],[مبلغ واریزی]]&lt;&gt;"",bargiri[[#This Row],[مانده مبلغ]]-bargiri[[#This Row],[مبلغ واریزی]],bargiri[[#This Row],[مانده مبلغ]])</f>
        <v>446022500</v>
      </c>
      <c r="O1333" s="159" t="s">
        <v>593</v>
      </c>
      <c r="P1333" s="159">
        <f>VLOOKUP(bargiri[[#This Row],[شماره سند مبنا]],invoice[[شماره پیش فاکتور]:[پیش دریافت به ازای هر کیلوگرم]],14,0)</f>
        <v>38500</v>
      </c>
      <c r="Q1333" s="159">
        <f>IF(bargiri[[#This Row],[مبلغ ناخالص]]-(bargiri[[#This Row],[نرخ استهلاک]]*bargiri[[#This Row],[مقدار]])&lt;0,0,bargiri[[#This Row],[مبلغ ناخالص]]-(bargiri[[#This Row],[نرخ استهلاک]]*bargiri[[#This Row],[مقدار]]))</f>
        <v>364927500</v>
      </c>
    </row>
    <row r="1334" spans="1:17" s="22" customFormat="1" ht="13.8" x14ac:dyDescent="0.25">
      <c r="A1334" s="22">
        <v>213</v>
      </c>
      <c r="B1334" s="22" t="s">
        <v>321</v>
      </c>
      <c r="C1334" s="22" t="s">
        <v>66</v>
      </c>
      <c r="D1334" s="22" t="s">
        <v>67</v>
      </c>
      <c r="E1334" s="158">
        <v>18965</v>
      </c>
      <c r="F1334" s="159">
        <v>68500</v>
      </c>
      <c r="G1334" s="159">
        <v>1299102500</v>
      </c>
      <c r="H1334" s="159">
        <v>116919225</v>
      </c>
      <c r="I1334" s="159">
        <v>1416021725</v>
      </c>
      <c r="J1334" s="159" t="e">
        <f>bargiri[[#This Row],[مقدار]]*INDEX(invoice[پیش دریافت به ازای هر کیلوگرم],MATCH(bargiri[[#This Row],[شماره سند مبنا]],invoice[شماره پیش فاکتور],0))</f>
        <v>#N/A</v>
      </c>
      <c r="K1334" s="159" t="e">
        <f>bargiri[[#This Row],[مبلغ خالص]]-bargiri[[#This Row],[میزان استهلاک پیش دریافتی]]</f>
        <v>#N/A</v>
      </c>
      <c r="L1334" s="160" t="s">
        <v>593</v>
      </c>
      <c r="M1334" s="159"/>
      <c r="N1334" s="159" t="e">
        <f>IF(bargiri[[#This Row],[مبلغ واریزی]]&lt;&gt;"",bargiri[[#This Row],[مانده مبلغ]]-bargiri[[#This Row],[مبلغ واریزی]],bargiri[[#This Row],[مانده مبلغ]])</f>
        <v>#N/A</v>
      </c>
      <c r="O1334" s="159" t="s">
        <v>593</v>
      </c>
      <c r="P1334" s="159" t="e">
        <f>VLOOKUP(bargiri[[#This Row],[شماره سند مبنا]],invoice[[شماره پیش فاکتور]:[پیش دریافت به ازای هر کیلوگرم]],14,0)</f>
        <v>#N/A</v>
      </c>
      <c r="Q1334" s="159" t="e">
        <f>IF(bargiri[[#This Row],[مبلغ ناخالص]]-(bargiri[[#This Row],[نرخ استهلاک]]*bargiri[[#This Row],[مقدار]])&lt;0,0,bargiri[[#This Row],[مبلغ ناخالص]]-(bargiri[[#This Row],[نرخ استهلاک]]*bargiri[[#This Row],[مقدار]]))</f>
        <v>#N/A</v>
      </c>
    </row>
    <row r="1335" spans="1:17" s="22" customFormat="1" ht="13.8" x14ac:dyDescent="0.25">
      <c r="A1335" s="22">
        <v>212</v>
      </c>
      <c r="B1335" s="22" t="s">
        <v>273</v>
      </c>
      <c r="C1335" s="22" t="s">
        <v>72</v>
      </c>
      <c r="D1335" s="22" t="s">
        <v>73</v>
      </c>
      <c r="E1335" s="158">
        <v>20990</v>
      </c>
      <c r="F1335" s="159">
        <v>57273</v>
      </c>
      <c r="G1335" s="159">
        <v>1202160270</v>
      </c>
      <c r="H1335" s="159">
        <v>120216027</v>
      </c>
      <c r="I1335" s="159">
        <v>1322376297</v>
      </c>
      <c r="J1335" s="159" t="e">
        <f>bargiri[[#This Row],[مقدار]]*INDEX(invoice[پیش دریافت به ازای هر کیلوگرم],MATCH(bargiri[[#This Row],[شماره سند مبنا]],invoice[شماره پیش فاکتور],0))</f>
        <v>#N/A</v>
      </c>
      <c r="K1335" s="159" t="e">
        <f>bargiri[[#This Row],[مبلغ خالص]]-bargiri[[#This Row],[میزان استهلاک پیش دریافتی]]</f>
        <v>#N/A</v>
      </c>
      <c r="L1335" s="160" t="s">
        <v>593</v>
      </c>
      <c r="M1335" s="159"/>
      <c r="N1335" s="159" t="e">
        <f>IF(bargiri[[#This Row],[مبلغ واریزی]]&lt;&gt;"",bargiri[[#This Row],[مانده مبلغ]]-bargiri[[#This Row],[مبلغ واریزی]],bargiri[[#This Row],[مانده مبلغ]])</f>
        <v>#N/A</v>
      </c>
      <c r="O1335" s="159" t="s">
        <v>593</v>
      </c>
      <c r="P1335" s="159" t="e">
        <f>VLOOKUP(bargiri[[#This Row],[شماره سند مبنا]],invoice[[شماره پیش فاکتور]:[پیش دریافت به ازای هر کیلوگرم]],14,0)</f>
        <v>#N/A</v>
      </c>
      <c r="Q1335" s="159" t="e">
        <f>IF(bargiri[[#This Row],[مبلغ ناخالص]]-(bargiri[[#This Row],[نرخ استهلاک]]*bargiri[[#This Row],[مقدار]])&lt;0,0,bargiri[[#This Row],[مبلغ ناخالص]]-(bargiri[[#This Row],[نرخ استهلاک]]*bargiri[[#This Row],[مقدار]]))</f>
        <v>#N/A</v>
      </c>
    </row>
    <row r="1336" spans="1:17" s="22" customFormat="1" ht="13.8" x14ac:dyDescent="0.25">
      <c r="A1336" s="22">
        <v>211</v>
      </c>
      <c r="B1336" s="22" t="s">
        <v>273</v>
      </c>
      <c r="C1336" s="22" t="s">
        <v>72</v>
      </c>
      <c r="D1336" s="22" t="s">
        <v>73</v>
      </c>
      <c r="E1336" s="158">
        <v>20935</v>
      </c>
      <c r="F1336" s="159">
        <v>57273</v>
      </c>
      <c r="G1336" s="159">
        <v>1199010255</v>
      </c>
      <c r="H1336" s="159">
        <v>119901026</v>
      </c>
      <c r="I1336" s="159">
        <v>1318911281</v>
      </c>
      <c r="J1336" s="159" t="e">
        <f>bargiri[[#This Row],[مقدار]]*INDEX(invoice[پیش دریافت به ازای هر کیلوگرم],MATCH(bargiri[[#This Row],[شماره سند مبنا]],invoice[شماره پیش فاکتور],0))</f>
        <v>#N/A</v>
      </c>
      <c r="K1336" s="159" t="e">
        <f>bargiri[[#This Row],[مبلغ خالص]]-bargiri[[#This Row],[میزان استهلاک پیش دریافتی]]</f>
        <v>#N/A</v>
      </c>
      <c r="L1336" s="160" t="s">
        <v>593</v>
      </c>
      <c r="M1336" s="159"/>
      <c r="N1336" s="159" t="e">
        <f>IF(bargiri[[#This Row],[مبلغ واریزی]]&lt;&gt;"",bargiri[[#This Row],[مانده مبلغ]]-bargiri[[#This Row],[مبلغ واریزی]],bargiri[[#This Row],[مانده مبلغ]])</f>
        <v>#N/A</v>
      </c>
      <c r="O1336" s="159" t="s">
        <v>593</v>
      </c>
      <c r="P1336" s="159" t="e">
        <f>VLOOKUP(bargiri[[#This Row],[شماره سند مبنا]],invoice[[شماره پیش فاکتور]:[پیش دریافت به ازای هر کیلوگرم]],14,0)</f>
        <v>#N/A</v>
      </c>
      <c r="Q1336" s="159" t="e">
        <f>IF(bargiri[[#This Row],[مبلغ ناخالص]]-(bargiri[[#This Row],[نرخ استهلاک]]*bargiri[[#This Row],[مقدار]])&lt;0,0,bargiri[[#This Row],[مبلغ ناخالص]]-(bargiri[[#This Row],[نرخ استهلاک]]*bargiri[[#This Row],[مقدار]]))</f>
        <v>#N/A</v>
      </c>
    </row>
    <row r="1337" spans="1:17" s="22" customFormat="1" ht="13.8" x14ac:dyDescent="0.25">
      <c r="A1337" s="22">
        <v>210</v>
      </c>
      <c r="B1337" s="22" t="s">
        <v>338</v>
      </c>
      <c r="C1337" s="22" t="s">
        <v>212</v>
      </c>
      <c r="D1337" s="22" t="s">
        <v>213</v>
      </c>
      <c r="E1337" s="158">
        <v>7430</v>
      </c>
      <c r="F1337" s="159">
        <v>100000</v>
      </c>
      <c r="G1337" s="159">
        <v>743000000</v>
      </c>
      <c r="H1337" s="159">
        <v>74300000</v>
      </c>
      <c r="I1337" s="159">
        <v>817300000</v>
      </c>
      <c r="J1337" s="159">
        <f>bargiri[[#This Row],[مقدار]]*INDEX(invoice[پیش دریافت به ازای هر کیلوگرم],MATCH(bargiri[[#This Row],[شماره سند مبنا]],invoice[شماره پیش فاکتور],0))</f>
        <v>122595000</v>
      </c>
      <c r="K1337" s="159">
        <f>bargiri[[#This Row],[مبلغ خالص]]-bargiri[[#This Row],[میزان استهلاک پیش دریافتی]]</f>
        <v>694705000</v>
      </c>
      <c r="L1337" s="160" t="s">
        <v>593</v>
      </c>
      <c r="M1337" s="159"/>
      <c r="N1337" s="159">
        <f>IF(bargiri[[#This Row],[مبلغ واریزی]]&lt;&gt;"",bargiri[[#This Row],[مانده مبلغ]]-bargiri[[#This Row],[مبلغ واریزی]],bargiri[[#This Row],[مانده مبلغ]])</f>
        <v>694705000</v>
      </c>
      <c r="O1337" s="159" t="s">
        <v>593</v>
      </c>
      <c r="P1337" s="159">
        <f>VLOOKUP(bargiri[[#This Row],[شماره سند مبنا]],invoice[[شماره پیش فاکتور]:[پیش دریافت به ازای هر کیلوگرم]],14,0)</f>
        <v>16500</v>
      </c>
      <c r="Q1337" s="159">
        <f>IF(bargiri[[#This Row],[مبلغ ناخالص]]-(bargiri[[#This Row],[نرخ استهلاک]]*bargiri[[#This Row],[مقدار]])&lt;0,0,bargiri[[#This Row],[مبلغ ناخالص]]-(bargiri[[#This Row],[نرخ استهلاک]]*bargiri[[#This Row],[مقدار]]))</f>
        <v>620405000</v>
      </c>
    </row>
    <row r="1338" spans="1:17" s="22" customFormat="1" ht="13.8" x14ac:dyDescent="0.25">
      <c r="A1338" s="22">
        <v>209</v>
      </c>
      <c r="B1338" s="22" t="s">
        <v>338</v>
      </c>
      <c r="C1338" s="22" t="s">
        <v>107</v>
      </c>
      <c r="D1338" s="22" t="s">
        <v>30</v>
      </c>
      <c r="E1338" s="158">
        <v>11305</v>
      </c>
      <c r="F1338" s="159">
        <v>70000</v>
      </c>
      <c r="G1338" s="159">
        <v>791350000</v>
      </c>
      <c r="H1338" s="159">
        <v>79135000</v>
      </c>
      <c r="I1338" s="159">
        <v>870485000</v>
      </c>
      <c r="J1338" s="159">
        <f>bargiri[[#This Row],[مقدار]]*INDEX(invoice[پیش دریافت به ازای هر کیلوگرم],MATCH(bargiri[[#This Row],[شماره سند مبنا]],invoice[شماره پیش فاکتور],0))</f>
        <v>435242500</v>
      </c>
      <c r="K1338" s="159">
        <f>bargiri[[#This Row],[مبلغ خالص]]-bargiri[[#This Row],[میزان استهلاک پیش دریافتی]]</f>
        <v>435242500</v>
      </c>
      <c r="L1338" s="160" t="s">
        <v>593</v>
      </c>
      <c r="M1338" s="159"/>
      <c r="N1338" s="159">
        <f>IF(bargiri[[#This Row],[مبلغ واریزی]]&lt;&gt;"",bargiri[[#This Row],[مانده مبلغ]]-bargiri[[#This Row],[مبلغ واریزی]],bargiri[[#This Row],[مانده مبلغ]])</f>
        <v>435242500</v>
      </c>
      <c r="O1338" s="159" t="s">
        <v>593</v>
      </c>
      <c r="P1338" s="159">
        <f>VLOOKUP(bargiri[[#This Row],[شماره سند مبنا]],invoice[[شماره پیش فاکتور]:[پیش دریافت به ازای هر کیلوگرم]],14,0)</f>
        <v>38500</v>
      </c>
      <c r="Q1338" s="159">
        <f>IF(bargiri[[#This Row],[مبلغ ناخالص]]-(bargiri[[#This Row],[نرخ استهلاک]]*bargiri[[#This Row],[مقدار]])&lt;0,0,bargiri[[#This Row],[مبلغ ناخالص]]-(bargiri[[#This Row],[نرخ استهلاک]]*bargiri[[#This Row],[مقدار]]))</f>
        <v>356107500</v>
      </c>
    </row>
    <row r="1339" spans="1:17" s="22" customFormat="1" ht="13.8" x14ac:dyDescent="0.25">
      <c r="A1339" s="22">
        <v>208</v>
      </c>
      <c r="B1339" s="22" t="s">
        <v>338</v>
      </c>
      <c r="C1339" s="22" t="s">
        <v>189</v>
      </c>
      <c r="D1339" s="22" t="s">
        <v>173</v>
      </c>
      <c r="E1339" s="158">
        <v>21185</v>
      </c>
      <c r="F1339" s="159">
        <v>75000</v>
      </c>
      <c r="G1339" s="159">
        <v>1588875000</v>
      </c>
      <c r="H1339" s="159">
        <v>158887500</v>
      </c>
      <c r="I1339" s="159">
        <v>1747762500</v>
      </c>
      <c r="J1339" s="159">
        <f>bargiri[[#This Row],[مقدار]]*INDEX(invoice[پیش دریافت به ازای هر کیلوگرم],MATCH(bargiri[[#This Row],[شماره سند مبنا]],invoice[شماره پیش فاکتور],0))</f>
        <v>262164375</v>
      </c>
      <c r="K1339" s="159">
        <f>bargiri[[#This Row],[مبلغ خالص]]-bargiri[[#This Row],[میزان استهلاک پیش دریافتی]]</f>
        <v>1485598125</v>
      </c>
      <c r="L1339" s="160" t="s">
        <v>593</v>
      </c>
      <c r="M1339" s="159"/>
      <c r="N1339" s="159">
        <f>IF(bargiri[[#This Row],[مبلغ واریزی]]&lt;&gt;"",bargiri[[#This Row],[مانده مبلغ]]-bargiri[[#This Row],[مبلغ واریزی]],bargiri[[#This Row],[مانده مبلغ]])</f>
        <v>1485598125</v>
      </c>
      <c r="O1339" s="159" t="s">
        <v>593</v>
      </c>
      <c r="P1339" s="159">
        <f>VLOOKUP(bargiri[[#This Row],[شماره سند مبنا]],invoice[[شماره پیش فاکتور]:[پیش دریافت به ازای هر کیلوگرم]],14,0)</f>
        <v>12375</v>
      </c>
      <c r="Q1339" s="159">
        <f>IF(bargiri[[#This Row],[مبلغ ناخالص]]-(bargiri[[#This Row],[نرخ استهلاک]]*bargiri[[#This Row],[مقدار]])&lt;0,0,bargiri[[#This Row],[مبلغ ناخالص]]-(bargiri[[#This Row],[نرخ استهلاک]]*bargiri[[#This Row],[مقدار]]))</f>
        <v>1326710625</v>
      </c>
    </row>
    <row r="1340" spans="1:17" s="22" customFormat="1" ht="13.8" x14ac:dyDescent="0.25">
      <c r="A1340" s="22">
        <v>207</v>
      </c>
      <c r="B1340" s="22" t="s">
        <v>338</v>
      </c>
      <c r="C1340" s="22" t="s">
        <v>115</v>
      </c>
      <c r="D1340" s="22" t="s">
        <v>116</v>
      </c>
      <c r="E1340" s="158">
        <v>9805</v>
      </c>
      <c r="F1340" s="159">
        <v>75000</v>
      </c>
      <c r="G1340" s="159">
        <v>735375000</v>
      </c>
      <c r="H1340" s="159">
        <v>73537500</v>
      </c>
      <c r="I1340" s="159">
        <v>808912500</v>
      </c>
      <c r="J1340" s="159">
        <f>bargiri[[#This Row],[مقدار]]*INDEX(invoice[پیش دریافت به ازای هر کیلوگرم],MATCH(bargiri[[#This Row],[شماره سند مبنا]],invoice[شماره پیش فاکتور],0))</f>
        <v>147175079.05375654</v>
      </c>
      <c r="K1340" s="159">
        <f>bargiri[[#This Row],[مبلغ خالص]]-bargiri[[#This Row],[میزان استهلاک پیش دریافتی]]</f>
        <v>661737420.94624352</v>
      </c>
      <c r="L1340" s="160" t="s">
        <v>593</v>
      </c>
      <c r="M1340" s="159"/>
      <c r="N1340" s="159">
        <f>IF(bargiri[[#This Row],[مبلغ واریزی]]&lt;&gt;"",bargiri[[#This Row],[مانده مبلغ]]-bargiri[[#This Row],[مبلغ واریزی]],bargiri[[#This Row],[مانده مبلغ]])</f>
        <v>661737420.94624352</v>
      </c>
      <c r="O1340" s="159" t="s">
        <v>593</v>
      </c>
      <c r="P1340" s="159">
        <f>VLOOKUP(bargiri[[#This Row],[شماره سند مبنا]],invoice[[شماره پیش فاکتور]:[پیش دریافت به ازای هر کیلوگرم]],14,0)</f>
        <v>15010.206940719689</v>
      </c>
      <c r="Q1340" s="159">
        <f>IF(bargiri[[#This Row],[مبلغ ناخالص]]-(bargiri[[#This Row],[نرخ استهلاک]]*bargiri[[#This Row],[مقدار]])&lt;0,0,bargiri[[#This Row],[مبلغ ناخالص]]-(bargiri[[#This Row],[نرخ استهلاک]]*bargiri[[#This Row],[مقدار]]))</f>
        <v>588199920.94624352</v>
      </c>
    </row>
    <row r="1341" spans="1:17" s="22" customFormat="1" ht="13.8" x14ac:dyDescent="0.25">
      <c r="A1341" s="22">
        <v>206</v>
      </c>
      <c r="B1341" s="22" t="s">
        <v>338</v>
      </c>
      <c r="C1341" s="22" t="s">
        <v>128</v>
      </c>
      <c r="D1341" s="22" t="s">
        <v>129</v>
      </c>
      <c r="E1341" s="158">
        <v>8490</v>
      </c>
      <c r="F1341" s="159">
        <v>80000</v>
      </c>
      <c r="G1341" s="159">
        <v>679200000</v>
      </c>
      <c r="H1341" s="159">
        <v>67920000</v>
      </c>
      <c r="I1341" s="159">
        <v>747120000</v>
      </c>
      <c r="J1341" s="159">
        <f>bargiri[[#This Row],[مقدار]]*INDEX(invoice[پیش دریافت به ازای هر کیلوگرم],MATCH(bargiri[[#This Row],[شماره سند مبنا]],invoice[شماره پیش فاکتور],0))</f>
        <v>112612292.74828337</v>
      </c>
      <c r="K1341" s="159">
        <f>bargiri[[#This Row],[مبلغ خالص]]-bargiri[[#This Row],[میزان استهلاک پیش دریافتی]]</f>
        <v>634507707.25171661</v>
      </c>
      <c r="L1341" s="160" t="s">
        <v>593</v>
      </c>
      <c r="M1341" s="159"/>
      <c r="N1341" s="159">
        <f>IF(bargiri[[#This Row],[مبلغ واریزی]]&lt;&gt;"",bargiri[[#This Row],[مانده مبلغ]]-bargiri[[#This Row],[مبلغ واریزی]],bargiri[[#This Row],[مانده مبلغ]])</f>
        <v>634507707.25171661</v>
      </c>
      <c r="O1341" s="159" t="s">
        <v>593</v>
      </c>
      <c r="P1341" s="159">
        <f>VLOOKUP(bargiri[[#This Row],[شماره سند مبنا]],invoice[[شماره پیش فاکتور]:[پیش دریافت به ازای هر کیلوگرم]],14,0)</f>
        <v>13264.109864344331</v>
      </c>
      <c r="Q1341" s="159">
        <f>IF(bargiri[[#This Row],[مبلغ ناخالص]]-(bargiri[[#This Row],[نرخ استهلاک]]*bargiri[[#This Row],[مقدار]])&lt;0,0,bargiri[[#This Row],[مبلغ ناخالص]]-(bargiri[[#This Row],[نرخ استهلاک]]*bargiri[[#This Row],[مقدار]]))</f>
        <v>566587707.25171661</v>
      </c>
    </row>
    <row r="1342" spans="1:17" s="22" customFormat="1" ht="13.8" x14ac:dyDescent="0.25">
      <c r="A1342" s="22">
        <v>205</v>
      </c>
      <c r="B1342" s="22" t="s">
        <v>272</v>
      </c>
      <c r="C1342" s="22" t="s">
        <v>66</v>
      </c>
      <c r="D1342" s="22" t="s">
        <v>67</v>
      </c>
      <c r="E1342" s="158">
        <v>7285</v>
      </c>
      <c r="F1342" s="159">
        <v>68500</v>
      </c>
      <c r="G1342" s="159">
        <v>499022500</v>
      </c>
      <c r="H1342" s="159">
        <v>44912025</v>
      </c>
      <c r="I1342" s="159">
        <v>543934525</v>
      </c>
      <c r="J1342" s="159" t="e">
        <f>bargiri[[#This Row],[مقدار]]*INDEX(invoice[پیش دریافت به ازای هر کیلوگرم],MATCH(bargiri[[#This Row],[شماره سند مبنا]],invoice[شماره پیش فاکتور],0))</f>
        <v>#N/A</v>
      </c>
      <c r="K1342" s="159" t="e">
        <f>bargiri[[#This Row],[مبلغ خالص]]-bargiri[[#This Row],[میزان استهلاک پیش دریافتی]]</f>
        <v>#N/A</v>
      </c>
      <c r="L1342" s="160" t="s">
        <v>593</v>
      </c>
      <c r="M1342" s="159"/>
      <c r="N1342" s="159" t="e">
        <f>IF(bargiri[[#This Row],[مبلغ واریزی]]&lt;&gt;"",bargiri[[#This Row],[مانده مبلغ]]-bargiri[[#This Row],[مبلغ واریزی]],bargiri[[#This Row],[مانده مبلغ]])</f>
        <v>#N/A</v>
      </c>
      <c r="O1342" s="159" t="s">
        <v>593</v>
      </c>
      <c r="P1342" s="159" t="e">
        <f>VLOOKUP(bargiri[[#This Row],[شماره سند مبنا]],invoice[[شماره پیش فاکتور]:[پیش دریافت به ازای هر کیلوگرم]],14,0)</f>
        <v>#N/A</v>
      </c>
      <c r="Q1342" s="159" t="e">
        <f>IF(bargiri[[#This Row],[مبلغ ناخالص]]-(bargiri[[#This Row],[نرخ استهلاک]]*bargiri[[#This Row],[مقدار]])&lt;0,0,bargiri[[#This Row],[مبلغ ناخالص]]-(bargiri[[#This Row],[نرخ استهلاک]]*bargiri[[#This Row],[مقدار]]))</f>
        <v>#N/A</v>
      </c>
    </row>
    <row r="1343" spans="1:17" s="22" customFormat="1" ht="13.8" x14ac:dyDescent="0.25">
      <c r="A1343" s="22">
        <v>204</v>
      </c>
      <c r="B1343" s="22" t="s">
        <v>272</v>
      </c>
      <c r="C1343" s="22" t="s">
        <v>203</v>
      </c>
      <c r="D1343" s="22" t="s">
        <v>17</v>
      </c>
      <c r="E1343" s="158">
        <v>9955</v>
      </c>
      <c r="F1343" s="159">
        <v>92180</v>
      </c>
      <c r="G1343" s="159">
        <v>917651900</v>
      </c>
      <c r="H1343" s="159">
        <v>91765190</v>
      </c>
      <c r="I1343" s="159">
        <v>1009417090</v>
      </c>
      <c r="J1343" s="159">
        <f>bargiri[[#This Row],[مقدار]]*INDEX(invoice[پیش دریافت به ازای هر کیلوگرم],MATCH(bargiri[[#This Row],[شماره سند مبنا]],invoice[شماره پیش فاکتور],0))</f>
        <v>151412563.5</v>
      </c>
      <c r="K1343" s="159">
        <f>bargiri[[#This Row],[مبلغ خالص]]-bargiri[[#This Row],[میزان استهلاک پیش دریافتی]]</f>
        <v>858004526.5</v>
      </c>
      <c r="L1343" s="160" t="s">
        <v>593</v>
      </c>
      <c r="M1343" s="159"/>
      <c r="N1343" s="159">
        <f>IF(bargiri[[#This Row],[مبلغ واریزی]]&lt;&gt;"",bargiri[[#This Row],[مانده مبلغ]]-bargiri[[#This Row],[مبلغ واریزی]],bargiri[[#This Row],[مانده مبلغ]])</f>
        <v>858004526.5</v>
      </c>
      <c r="O1343" s="159" t="s">
        <v>593</v>
      </c>
      <c r="P1343" s="159">
        <f>VLOOKUP(bargiri[[#This Row],[شماره سند مبنا]],invoice[[شماره پیش فاکتور]:[پیش دریافت به ازای هر کیلوگرم]],14,0)</f>
        <v>15209.7</v>
      </c>
      <c r="Q1343" s="159">
        <f>IF(bargiri[[#This Row],[مبلغ ناخالص]]-(bargiri[[#This Row],[نرخ استهلاک]]*bargiri[[#This Row],[مقدار]])&lt;0,0,bargiri[[#This Row],[مبلغ ناخالص]]-(bargiri[[#This Row],[نرخ استهلاک]]*bargiri[[#This Row],[مقدار]]))</f>
        <v>766239336.5</v>
      </c>
    </row>
    <row r="1344" spans="1:17" s="22" customFormat="1" ht="13.8" x14ac:dyDescent="0.25">
      <c r="A1344" s="22">
        <v>204</v>
      </c>
      <c r="B1344" s="22" t="s">
        <v>272</v>
      </c>
      <c r="C1344" s="22" t="s">
        <v>197</v>
      </c>
      <c r="D1344" s="22" t="s">
        <v>17</v>
      </c>
      <c r="E1344" s="158">
        <v>10240</v>
      </c>
      <c r="F1344" s="159">
        <v>65000</v>
      </c>
      <c r="G1344" s="159">
        <v>665600000</v>
      </c>
      <c r="H1344" s="159">
        <v>66560000</v>
      </c>
      <c r="I1344" s="159">
        <v>732160000</v>
      </c>
      <c r="J1344" s="159">
        <f>bargiri[[#This Row],[مقدار]]*INDEX(invoice[پیش دریافت به ازای هر کیلوگرم],MATCH(bargiri[[#This Row],[شماره سند مبنا]],invoice[شماره پیش فاکتور],0))</f>
        <v>109824000.00000001</v>
      </c>
      <c r="K1344" s="159">
        <f>bargiri[[#This Row],[مبلغ خالص]]-bargiri[[#This Row],[میزان استهلاک پیش دریافتی]]</f>
        <v>622336000</v>
      </c>
      <c r="L1344" s="160" t="s">
        <v>593</v>
      </c>
      <c r="M1344" s="159"/>
      <c r="N1344" s="159">
        <f>IF(bargiri[[#This Row],[مبلغ واریزی]]&lt;&gt;"",bargiri[[#This Row],[مانده مبلغ]]-bargiri[[#This Row],[مبلغ واریزی]],bargiri[[#This Row],[مانده مبلغ]])</f>
        <v>622336000</v>
      </c>
      <c r="O1344" s="159" t="s">
        <v>593</v>
      </c>
      <c r="P1344" s="159">
        <f>VLOOKUP(bargiri[[#This Row],[شماره سند مبنا]],invoice[[شماره پیش فاکتور]:[پیش دریافت به ازای هر کیلوگرم]],14,0)</f>
        <v>10725.000000000002</v>
      </c>
      <c r="Q1344" s="159">
        <f>IF(bargiri[[#This Row],[مبلغ ناخالص]]-(bargiri[[#This Row],[نرخ استهلاک]]*bargiri[[#This Row],[مقدار]])&lt;0,0,bargiri[[#This Row],[مبلغ ناخالص]]-(bargiri[[#This Row],[نرخ استهلاک]]*bargiri[[#This Row],[مقدار]]))</f>
        <v>555776000</v>
      </c>
    </row>
    <row r="1345" spans="1:17" s="22" customFormat="1" ht="13.8" x14ac:dyDescent="0.25">
      <c r="A1345" s="22">
        <v>203</v>
      </c>
      <c r="B1345" s="22" t="s">
        <v>272</v>
      </c>
      <c r="C1345" s="22" t="s">
        <v>72</v>
      </c>
      <c r="D1345" s="22" t="s">
        <v>73</v>
      </c>
      <c r="E1345" s="158">
        <v>20460</v>
      </c>
      <c r="F1345" s="159">
        <v>57273</v>
      </c>
      <c r="G1345" s="159">
        <v>1171805580</v>
      </c>
      <c r="H1345" s="159">
        <v>117180558</v>
      </c>
      <c r="I1345" s="159">
        <v>1288986138</v>
      </c>
      <c r="J1345" s="159" t="e">
        <f>bargiri[[#This Row],[مقدار]]*INDEX(invoice[پیش دریافت به ازای هر کیلوگرم],MATCH(bargiri[[#This Row],[شماره سند مبنا]],invoice[شماره پیش فاکتور],0))</f>
        <v>#N/A</v>
      </c>
      <c r="K1345" s="159" t="e">
        <f>bargiri[[#This Row],[مبلغ خالص]]-bargiri[[#This Row],[میزان استهلاک پیش دریافتی]]</f>
        <v>#N/A</v>
      </c>
      <c r="L1345" s="160" t="s">
        <v>593</v>
      </c>
      <c r="M1345" s="159"/>
      <c r="N1345" s="159" t="e">
        <f>IF(bargiri[[#This Row],[مبلغ واریزی]]&lt;&gt;"",bargiri[[#This Row],[مانده مبلغ]]-bargiri[[#This Row],[مبلغ واریزی]],bargiri[[#This Row],[مانده مبلغ]])</f>
        <v>#N/A</v>
      </c>
      <c r="O1345" s="159" t="s">
        <v>593</v>
      </c>
      <c r="P1345" s="159" t="e">
        <f>VLOOKUP(bargiri[[#This Row],[شماره سند مبنا]],invoice[[شماره پیش فاکتور]:[پیش دریافت به ازای هر کیلوگرم]],14,0)</f>
        <v>#N/A</v>
      </c>
      <c r="Q1345" s="159" t="e">
        <f>IF(bargiri[[#This Row],[مبلغ ناخالص]]-(bargiri[[#This Row],[نرخ استهلاک]]*bargiri[[#This Row],[مقدار]])&lt;0,0,bargiri[[#This Row],[مبلغ ناخالص]]-(bargiri[[#This Row],[نرخ استهلاک]]*bargiri[[#This Row],[مقدار]]))</f>
        <v>#N/A</v>
      </c>
    </row>
    <row r="1346" spans="1:17" s="22" customFormat="1" ht="13.8" x14ac:dyDescent="0.25">
      <c r="A1346" s="22">
        <v>202</v>
      </c>
      <c r="B1346" s="22" t="s">
        <v>272</v>
      </c>
      <c r="C1346" s="22" t="s">
        <v>72</v>
      </c>
      <c r="D1346" s="22" t="s">
        <v>73</v>
      </c>
      <c r="E1346" s="158">
        <v>20515</v>
      </c>
      <c r="F1346" s="159">
        <v>57273</v>
      </c>
      <c r="G1346" s="159">
        <v>1174955595</v>
      </c>
      <c r="H1346" s="159">
        <v>117495560</v>
      </c>
      <c r="I1346" s="159">
        <v>1292451155</v>
      </c>
      <c r="J1346" s="159" t="e">
        <f>bargiri[[#This Row],[مقدار]]*INDEX(invoice[پیش دریافت به ازای هر کیلوگرم],MATCH(bargiri[[#This Row],[شماره سند مبنا]],invoice[شماره پیش فاکتور],0))</f>
        <v>#N/A</v>
      </c>
      <c r="K1346" s="159" t="e">
        <f>bargiri[[#This Row],[مبلغ خالص]]-bargiri[[#This Row],[میزان استهلاک پیش دریافتی]]</f>
        <v>#N/A</v>
      </c>
      <c r="L1346" s="160" t="s">
        <v>593</v>
      </c>
      <c r="M1346" s="159"/>
      <c r="N1346" s="159" t="e">
        <f>IF(bargiri[[#This Row],[مبلغ واریزی]]&lt;&gt;"",bargiri[[#This Row],[مانده مبلغ]]-bargiri[[#This Row],[مبلغ واریزی]],bargiri[[#This Row],[مانده مبلغ]])</f>
        <v>#N/A</v>
      </c>
      <c r="O1346" s="159" t="s">
        <v>593</v>
      </c>
      <c r="P1346" s="159" t="e">
        <f>VLOOKUP(bargiri[[#This Row],[شماره سند مبنا]],invoice[[شماره پیش فاکتور]:[پیش دریافت به ازای هر کیلوگرم]],14,0)</f>
        <v>#N/A</v>
      </c>
      <c r="Q1346" s="159" t="e">
        <f>IF(bargiri[[#This Row],[مبلغ ناخالص]]-(bargiri[[#This Row],[نرخ استهلاک]]*bargiri[[#This Row],[مقدار]])&lt;0,0,bargiri[[#This Row],[مبلغ ناخالص]]-(bargiri[[#This Row],[نرخ استهلاک]]*bargiri[[#This Row],[مقدار]]))</f>
        <v>#N/A</v>
      </c>
    </row>
    <row r="1347" spans="1:17" s="22" customFormat="1" ht="13.8" x14ac:dyDescent="0.25">
      <c r="A1347" s="22">
        <v>201</v>
      </c>
      <c r="B1347" s="22" t="s">
        <v>272</v>
      </c>
      <c r="C1347" s="22" t="s">
        <v>72</v>
      </c>
      <c r="D1347" s="22" t="s">
        <v>73</v>
      </c>
      <c r="E1347" s="158">
        <v>20615</v>
      </c>
      <c r="F1347" s="159">
        <v>57273</v>
      </c>
      <c r="G1347" s="159">
        <v>1180682895</v>
      </c>
      <c r="H1347" s="159">
        <v>118068290</v>
      </c>
      <c r="I1347" s="159">
        <v>1298751185</v>
      </c>
      <c r="J1347" s="159" t="e">
        <f>bargiri[[#This Row],[مقدار]]*INDEX(invoice[پیش دریافت به ازای هر کیلوگرم],MATCH(bargiri[[#This Row],[شماره سند مبنا]],invoice[شماره پیش فاکتور],0))</f>
        <v>#N/A</v>
      </c>
      <c r="K1347" s="159" t="e">
        <f>bargiri[[#This Row],[مبلغ خالص]]-bargiri[[#This Row],[میزان استهلاک پیش دریافتی]]</f>
        <v>#N/A</v>
      </c>
      <c r="L1347" s="160" t="s">
        <v>593</v>
      </c>
      <c r="M1347" s="159"/>
      <c r="N1347" s="159" t="e">
        <f>IF(bargiri[[#This Row],[مبلغ واریزی]]&lt;&gt;"",bargiri[[#This Row],[مانده مبلغ]]-bargiri[[#This Row],[مبلغ واریزی]],bargiri[[#This Row],[مانده مبلغ]])</f>
        <v>#N/A</v>
      </c>
      <c r="O1347" s="159" t="s">
        <v>593</v>
      </c>
      <c r="P1347" s="159" t="e">
        <f>VLOOKUP(bargiri[[#This Row],[شماره سند مبنا]],invoice[[شماره پیش فاکتور]:[پیش دریافت به ازای هر کیلوگرم]],14,0)</f>
        <v>#N/A</v>
      </c>
      <c r="Q1347" s="159" t="e">
        <f>IF(bargiri[[#This Row],[مبلغ ناخالص]]-(bargiri[[#This Row],[نرخ استهلاک]]*bargiri[[#This Row],[مقدار]])&lt;0,0,bargiri[[#This Row],[مبلغ ناخالص]]-(bargiri[[#This Row],[نرخ استهلاک]]*bargiri[[#This Row],[مقدار]]))</f>
        <v>#N/A</v>
      </c>
    </row>
    <row r="1348" spans="1:17" s="22" customFormat="1" ht="13.8" x14ac:dyDescent="0.25">
      <c r="A1348" s="22">
        <v>200</v>
      </c>
      <c r="B1348" s="22" t="s">
        <v>272</v>
      </c>
      <c r="C1348" s="22" t="s">
        <v>212</v>
      </c>
      <c r="D1348" s="22" t="s">
        <v>213</v>
      </c>
      <c r="E1348" s="158">
        <v>7380</v>
      </c>
      <c r="F1348" s="159">
        <v>100000</v>
      </c>
      <c r="G1348" s="159">
        <v>738000000</v>
      </c>
      <c r="H1348" s="159">
        <v>73800000</v>
      </c>
      <c r="I1348" s="159">
        <v>811800000</v>
      </c>
      <c r="J1348" s="159">
        <f>bargiri[[#This Row],[مقدار]]*INDEX(invoice[پیش دریافت به ازای هر کیلوگرم],MATCH(bargiri[[#This Row],[شماره سند مبنا]],invoice[شماره پیش فاکتور],0))</f>
        <v>121770000</v>
      </c>
      <c r="K1348" s="159">
        <f>bargiri[[#This Row],[مبلغ خالص]]-bargiri[[#This Row],[میزان استهلاک پیش دریافتی]]</f>
        <v>690030000</v>
      </c>
      <c r="L1348" s="160" t="s">
        <v>593</v>
      </c>
      <c r="M1348" s="159"/>
      <c r="N1348" s="159">
        <f>IF(bargiri[[#This Row],[مبلغ واریزی]]&lt;&gt;"",bargiri[[#This Row],[مانده مبلغ]]-bargiri[[#This Row],[مبلغ واریزی]],bargiri[[#This Row],[مانده مبلغ]])</f>
        <v>690030000</v>
      </c>
      <c r="O1348" s="159" t="s">
        <v>593</v>
      </c>
      <c r="P1348" s="159">
        <f>VLOOKUP(bargiri[[#This Row],[شماره سند مبنا]],invoice[[شماره پیش فاکتور]:[پیش دریافت به ازای هر کیلوگرم]],14,0)</f>
        <v>16500</v>
      </c>
      <c r="Q1348" s="159">
        <f>IF(bargiri[[#This Row],[مبلغ ناخالص]]-(bargiri[[#This Row],[نرخ استهلاک]]*bargiri[[#This Row],[مقدار]])&lt;0,0,bargiri[[#This Row],[مبلغ ناخالص]]-(bargiri[[#This Row],[نرخ استهلاک]]*bargiri[[#This Row],[مقدار]]))</f>
        <v>616230000</v>
      </c>
    </row>
    <row r="1349" spans="1:17" s="22" customFormat="1" ht="13.8" x14ac:dyDescent="0.25">
      <c r="A1349" s="22">
        <v>199</v>
      </c>
      <c r="B1349" s="22" t="s">
        <v>272</v>
      </c>
      <c r="C1349" s="22" t="s">
        <v>66</v>
      </c>
      <c r="D1349" s="22" t="s">
        <v>67</v>
      </c>
      <c r="E1349" s="158">
        <v>17875</v>
      </c>
      <c r="F1349" s="159">
        <v>68500</v>
      </c>
      <c r="G1349" s="159">
        <v>1224437500</v>
      </c>
      <c r="H1349" s="159">
        <v>110199375</v>
      </c>
      <c r="I1349" s="159">
        <v>1334636875</v>
      </c>
      <c r="J1349" s="159" t="e">
        <f>bargiri[[#This Row],[مقدار]]*INDEX(invoice[پیش دریافت به ازای هر کیلوگرم],MATCH(bargiri[[#This Row],[شماره سند مبنا]],invoice[شماره پیش فاکتور],0))</f>
        <v>#N/A</v>
      </c>
      <c r="K1349" s="159" t="e">
        <f>bargiri[[#This Row],[مبلغ خالص]]-bargiri[[#This Row],[میزان استهلاک پیش دریافتی]]</f>
        <v>#N/A</v>
      </c>
      <c r="L1349" s="160" t="s">
        <v>593</v>
      </c>
      <c r="M1349" s="159"/>
      <c r="N1349" s="159" t="e">
        <f>IF(bargiri[[#This Row],[مبلغ واریزی]]&lt;&gt;"",bargiri[[#This Row],[مانده مبلغ]]-bargiri[[#This Row],[مبلغ واریزی]],bargiri[[#This Row],[مانده مبلغ]])</f>
        <v>#N/A</v>
      </c>
      <c r="O1349" s="159" t="s">
        <v>593</v>
      </c>
      <c r="P1349" s="159" t="e">
        <f>VLOOKUP(bargiri[[#This Row],[شماره سند مبنا]],invoice[[شماره پیش فاکتور]:[پیش دریافت به ازای هر کیلوگرم]],14,0)</f>
        <v>#N/A</v>
      </c>
      <c r="Q1349" s="159" t="e">
        <f>IF(bargiri[[#This Row],[مبلغ ناخالص]]-(bargiri[[#This Row],[نرخ استهلاک]]*bargiri[[#This Row],[مقدار]])&lt;0,0,bargiri[[#This Row],[مبلغ ناخالص]]-(bargiri[[#This Row],[نرخ استهلاک]]*bargiri[[#This Row],[مقدار]]))</f>
        <v>#N/A</v>
      </c>
    </row>
    <row r="1350" spans="1:17" s="22" customFormat="1" ht="13.8" x14ac:dyDescent="0.25">
      <c r="A1350" s="22">
        <v>198</v>
      </c>
      <c r="B1350" s="22" t="s">
        <v>300</v>
      </c>
      <c r="C1350" s="22" t="s">
        <v>66</v>
      </c>
      <c r="D1350" s="22" t="s">
        <v>67</v>
      </c>
      <c r="E1350" s="158">
        <v>18890</v>
      </c>
      <c r="F1350" s="159">
        <v>68500</v>
      </c>
      <c r="G1350" s="159">
        <v>1293965000</v>
      </c>
      <c r="H1350" s="159">
        <v>116456850</v>
      </c>
      <c r="I1350" s="159">
        <v>1410421850</v>
      </c>
      <c r="J1350" s="159" t="e">
        <f>bargiri[[#This Row],[مقدار]]*INDEX(invoice[پیش دریافت به ازای هر کیلوگرم],MATCH(bargiri[[#This Row],[شماره سند مبنا]],invoice[شماره پیش فاکتور],0))</f>
        <v>#N/A</v>
      </c>
      <c r="K1350" s="159" t="e">
        <f>bargiri[[#This Row],[مبلغ خالص]]-bargiri[[#This Row],[میزان استهلاک پیش دریافتی]]</f>
        <v>#N/A</v>
      </c>
      <c r="L1350" s="160" t="s">
        <v>593</v>
      </c>
      <c r="M1350" s="159"/>
      <c r="N1350" s="159" t="e">
        <f>IF(bargiri[[#This Row],[مبلغ واریزی]]&lt;&gt;"",bargiri[[#This Row],[مانده مبلغ]]-bargiri[[#This Row],[مبلغ واریزی]],bargiri[[#This Row],[مانده مبلغ]])</f>
        <v>#N/A</v>
      </c>
      <c r="O1350" s="159" t="s">
        <v>593</v>
      </c>
      <c r="P1350" s="159" t="e">
        <f>VLOOKUP(bargiri[[#This Row],[شماره سند مبنا]],invoice[[شماره پیش فاکتور]:[پیش دریافت به ازای هر کیلوگرم]],14,0)</f>
        <v>#N/A</v>
      </c>
      <c r="Q1350" s="159" t="e">
        <f>IF(bargiri[[#This Row],[مبلغ ناخالص]]-(bargiri[[#This Row],[نرخ استهلاک]]*bargiri[[#This Row],[مقدار]])&lt;0,0,bargiri[[#This Row],[مبلغ ناخالص]]-(bargiri[[#This Row],[نرخ استهلاک]]*bargiri[[#This Row],[مقدار]]))</f>
        <v>#N/A</v>
      </c>
    </row>
    <row r="1351" spans="1:17" s="22" customFormat="1" ht="13.8" x14ac:dyDescent="0.25">
      <c r="A1351" s="22">
        <v>197</v>
      </c>
      <c r="B1351" s="22" t="s">
        <v>300</v>
      </c>
      <c r="C1351" s="22" t="s">
        <v>119</v>
      </c>
      <c r="D1351" s="22" t="s">
        <v>25</v>
      </c>
      <c r="E1351" s="158">
        <v>21055</v>
      </c>
      <c r="F1351" s="159">
        <v>75000</v>
      </c>
      <c r="G1351" s="159">
        <v>1579125000</v>
      </c>
      <c r="H1351" s="159">
        <v>157912500</v>
      </c>
      <c r="I1351" s="159">
        <v>1737037500</v>
      </c>
      <c r="J1351" s="159">
        <f>bargiri[[#This Row],[مقدار]]*INDEX(invoice[پیش دریافت به ازای هر کیلوگرم],MATCH(bargiri[[#This Row],[شماره سند مبنا]],invoice[شماره پیش فاکتور],0))</f>
        <v>260555625</v>
      </c>
      <c r="K1351" s="159">
        <f>bargiri[[#This Row],[مبلغ خالص]]-bargiri[[#This Row],[میزان استهلاک پیش دریافتی]]</f>
        <v>1476481875</v>
      </c>
      <c r="L1351" s="160" t="s">
        <v>593</v>
      </c>
      <c r="M1351" s="159"/>
      <c r="N1351" s="159">
        <f>IF(bargiri[[#This Row],[مبلغ واریزی]]&lt;&gt;"",bargiri[[#This Row],[مانده مبلغ]]-bargiri[[#This Row],[مبلغ واریزی]],bargiri[[#This Row],[مانده مبلغ]])</f>
        <v>1476481875</v>
      </c>
      <c r="O1351" s="159" t="s">
        <v>593</v>
      </c>
      <c r="P1351" s="159">
        <f>VLOOKUP(bargiri[[#This Row],[شماره سند مبنا]],invoice[[شماره پیش فاکتور]:[پیش دریافت به ازای هر کیلوگرم]],14,0)</f>
        <v>12375</v>
      </c>
      <c r="Q1351" s="159">
        <f>IF(bargiri[[#This Row],[مبلغ ناخالص]]-(bargiri[[#This Row],[نرخ استهلاک]]*bargiri[[#This Row],[مقدار]])&lt;0,0,bargiri[[#This Row],[مبلغ ناخالص]]-(bargiri[[#This Row],[نرخ استهلاک]]*bargiri[[#This Row],[مقدار]]))</f>
        <v>1318569375</v>
      </c>
    </row>
    <row r="1352" spans="1:17" s="22" customFormat="1" ht="13.8" x14ac:dyDescent="0.25">
      <c r="A1352" s="22">
        <v>196</v>
      </c>
      <c r="B1352" s="22" t="s">
        <v>300</v>
      </c>
      <c r="C1352" s="22" t="s">
        <v>107</v>
      </c>
      <c r="D1352" s="22" t="s">
        <v>30</v>
      </c>
      <c r="E1352" s="158">
        <v>12030</v>
      </c>
      <c r="F1352" s="159">
        <v>70000</v>
      </c>
      <c r="G1352" s="159">
        <v>842100000</v>
      </c>
      <c r="H1352" s="159">
        <v>84210000</v>
      </c>
      <c r="I1352" s="159">
        <v>926310000</v>
      </c>
      <c r="J1352" s="159">
        <f>bargiri[[#This Row],[مقدار]]*INDEX(invoice[پیش دریافت به ازای هر کیلوگرم],MATCH(bargiri[[#This Row],[شماره سند مبنا]],invoice[شماره پیش فاکتور],0))</f>
        <v>463155000</v>
      </c>
      <c r="K1352" s="159">
        <f>bargiri[[#This Row],[مبلغ خالص]]-bargiri[[#This Row],[میزان استهلاک پیش دریافتی]]</f>
        <v>463155000</v>
      </c>
      <c r="L1352" s="160" t="s">
        <v>593</v>
      </c>
      <c r="M1352" s="159"/>
      <c r="N1352" s="159">
        <f>IF(bargiri[[#This Row],[مبلغ واریزی]]&lt;&gt;"",bargiri[[#This Row],[مانده مبلغ]]-bargiri[[#This Row],[مبلغ واریزی]],bargiri[[#This Row],[مانده مبلغ]])</f>
        <v>463155000</v>
      </c>
      <c r="O1352" s="159" t="s">
        <v>593</v>
      </c>
      <c r="P1352" s="159">
        <f>VLOOKUP(bargiri[[#This Row],[شماره سند مبنا]],invoice[[شماره پیش فاکتور]:[پیش دریافت به ازای هر کیلوگرم]],14,0)</f>
        <v>38500</v>
      </c>
      <c r="Q1352" s="159">
        <f>IF(bargiri[[#This Row],[مبلغ ناخالص]]-(bargiri[[#This Row],[نرخ استهلاک]]*bargiri[[#This Row],[مقدار]])&lt;0,0,bargiri[[#This Row],[مبلغ ناخالص]]-(bargiri[[#This Row],[نرخ استهلاک]]*bargiri[[#This Row],[مقدار]]))</f>
        <v>378945000</v>
      </c>
    </row>
    <row r="1353" spans="1:17" s="22" customFormat="1" ht="13.8" x14ac:dyDescent="0.25">
      <c r="A1353" s="22">
        <v>195</v>
      </c>
      <c r="B1353" s="22" t="s">
        <v>300</v>
      </c>
      <c r="C1353" s="22" t="s">
        <v>176</v>
      </c>
      <c r="D1353" s="22" t="s">
        <v>70</v>
      </c>
      <c r="E1353" s="158">
        <v>20040</v>
      </c>
      <c r="F1353" s="159">
        <v>75000</v>
      </c>
      <c r="G1353" s="159">
        <v>1503000000</v>
      </c>
      <c r="H1353" s="159">
        <v>150300000</v>
      </c>
      <c r="I1353" s="159">
        <v>1653300000</v>
      </c>
      <c r="J1353" s="159" t="e">
        <f>bargiri[[#This Row],[مقدار]]*INDEX(invoice[پیش دریافت به ازای هر کیلوگرم],MATCH(bargiri[[#This Row],[شماره سند مبنا]],invoice[شماره پیش فاکتور],0))</f>
        <v>#N/A</v>
      </c>
      <c r="K1353" s="159" t="e">
        <f>bargiri[[#This Row],[مبلغ خالص]]-bargiri[[#This Row],[میزان استهلاک پیش دریافتی]]</f>
        <v>#N/A</v>
      </c>
      <c r="L1353" s="160" t="s">
        <v>593</v>
      </c>
      <c r="M1353" s="159"/>
      <c r="N1353" s="159" t="e">
        <f>IF(bargiri[[#This Row],[مبلغ واریزی]]&lt;&gt;"",bargiri[[#This Row],[مانده مبلغ]]-bargiri[[#This Row],[مبلغ واریزی]],bargiri[[#This Row],[مانده مبلغ]])</f>
        <v>#N/A</v>
      </c>
      <c r="O1353" s="159" t="s">
        <v>593</v>
      </c>
      <c r="P1353" s="159" t="e">
        <f>VLOOKUP(bargiri[[#This Row],[شماره سند مبنا]],invoice[[شماره پیش فاکتور]:[پیش دریافت به ازای هر کیلوگرم]],14,0)</f>
        <v>#N/A</v>
      </c>
      <c r="Q1353" s="159" t="e">
        <f>IF(bargiri[[#This Row],[مبلغ ناخالص]]-(bargiri[[#This Row],[نرخ استهلاک]]*bargiri[[#This Row],[مقدار]])&lt;0,0,bargiri[[#This Row],[مبلغ ناخالص]]-(bargiri[[#This Row],[نرخ استهلاک]]*bargiri[[#This Row],[مقدار]]))</f>
        <v>#N/A</v>
      </c>
    </row>
    <row r="1354" spans="1:17" s="22" customFormat="1" ht="13.8" x14ac:dyDescent="0.25">
      <c r="A1354" s="22">
        <v>194</v>
      </c>
      <c r="B1354" s="22" t="s">
        <v>270</v>
      </c>
      <c r="C1354" s="22" t="s">
        <v>167</v>
      </c>
      <c r="D1354" s="22" t="s">
        <v>43</v>
      </c>
      <c r="E1354" s="158">
        <v>13320</v>
      </c>
      <c r="F1354" s="159">
        <v>80000</v>
      </c>
      <c r="G1354" s="159">
        <v>1065600000</v>
      </c>
      <c r="H1354" s="159">
        <v>106560000</v>
      </c>
      <c r="I1354" s="159">
        <v>1172160000</v>
      </c>
      <c r="J1354" s="159">
        <f>bargiri[[#This Row],[مقدار]]*INDEX(invoice[پیش دریافت به ازای هر کیلوگرم],MATCH(bargiri[[#This Row],[شماره سند مبنا]],invoice[شماره پیش فاکتور],0))</f>
        <v>234432000</v>
      </c>
      <c r="K1354" s="159">
        <f>bargiri[[#This Row],[مبلغ خالص]]-bargiri[[#This Row],[میزان استهلاک پیش دریافتی]]</f>
        <v>937728000</v>
      </c>
      <c r="L1354" s="160" t="s">
        <v>593</v>
      </c>
      <c r="M1354" s="159"/>
      <c r="N1354" s="159">
        <f>IF(bargiri[[#This Row],[مبلغ واریزی]]&lt;&gt;"",bargiri[[#This Row],[مانده مبلغ]]-bargiri[[#This Row],[مبلغ واریزی]],bargiri[[#This Row],[مانده مبلغ]])</f>
        <v>937728000</v>
      </c>
      <c r="O1354" s="159" t="s">
        <v>593</v>
      </c>
      <c r="P1354" s="159">
        <f>VLOOKUP(bargiri[[#This Row],[شماره سند مبنا]],invoice[[شماره پیش فاکتور]:[پیش دریافت به ازای هر کیلوگرم]],14,0)</f>
        <v>17600</v>
      </c>
      <c r="Q1354" s="159">
        <f>IF(bargiri[[#This Row],[مبلغ ناخالص]]-(bargiri[[#This Row],[نرخ استهلاک]]*bargiri[[#This Row],[مقدار]])&lt;0,0,bargiri[[#This Row],[مبلغ ناخالص]]-(bargiri[[#This Row],[نرخ استهلاک]]*bargiri[[#This Row],[مقدار]]))</f>
        <v>831168000</v>
      </c>
    </row>
    <row r="1355" spans="1:17" s="22" customFormat="1" ht="13.8" x14ac:dyDescent="0.25">
      <c r="A1355" s="22">
        <v>194</v>
      </c>
      <c r="B1355" s="22" t="s">
        <v>270</v>
      </c>
      <c r="C1355" s="22" t="s">
        <v>187</v>
      </c>
      <c r="D1355" s="22" t="s">
        <v>43</v>
      </c>
      <c r="E1355" s="158">
        <v>7705</v>
      </c>
      <c r="F1355" s="159">
        <v>80000</v>
      </c>
      <c r="G1355" s="159">
        <v>616400000</v>
      </c>
      <c r="H1355" s="159">
        <v>61640000</v>
      </c>
      <c r="I1355" s="159">
        <v>678040000</v>
      </c>
      <c r="J1355" s="159">
        <f>bargiri[[#This Row],[مقدار]]*INDEX(invoice[پیش دریافت به ازای هر کیلوگرم],MATCH(bargiri[[#This Row],[شماره سند مبنا]],invoice[شماره پیش فاکتور],0))</f>
        <v>135608000</v>
      </c>
      <c r="K1355" s="159">
        <f>bargiri[[#This Row],[مبلغ خالص]]-bargiri[[#This Row],[میزان استهلاک پیش دریافتی]]</f>
        <v>542432000</v>
      </c>
      <c r="L1355" s="160" t="s">
        <v>593</v>
      </c>
      <c r="M1355" s="159"/>
      <c r="N1355" s="159">
        <f>IF(bargiri[[#This Row],[مبلغ واریزی]]&lt;&gt;"",bargiri[[#This Row],[مانده مبلغ]]-bargiri[[#This Row],[مبلغ واریزی]],bargiri[[#This Row],[مانده مبلغ]])</f>
        <v>542432000</v>
      </c>
      <c r="O1355" s="159" t="s">
        <v>593</v>
      </c>
      <c r="P1355" s="159">
        <f>VLOOKUP(bargiri[[#This Row],[شماره سند مبنا]],invoice[[شماره پیش فاکتور]:[پیش دریافت به ازای هر کیلوگرم]],14,0)</f>
        <v>17600</v>
      </c>
      <c r="Q1355" s="159">
        <f>IF(bargiri[[#This Row],[مبلغ ناخالص]]-(bargiri[[#This Row],[نرخ استهلاک]]*bargiri[[#This Row],[مقدار]])&lt;0,0,bargiri[[#This Row],[مبلغ ناخالص]]-(bargiri[[#This Row],[نرخ استهلاک]]*bargiri[[#This Row],[مقدار]]))</f>
        <v>480792000</v>
      </c>
    </row>
    <row r="1356" spans="1:17" s="22" customFormat="1" ht="13.8" x14ac:dyDescent="0.25">
      <c r="A1356" s="22">
        <v>193</v>
      </c>
      <c r="B1356" s="22" t="s">
        <v>270</v>
      </c>
      <c r="C1356" s="22" t="s">
        <v>212</v>
      </c>
      <c r="D1356" s="22" t="s">
        <v>213</v>
      </c>
      <c r="E1356" s="158">
        <v>7510</v>
      </c>
      <c r="F1356" s="159">
        <v>100000</v>
      </c>
      <c r="G1356" s="159">
        <v>751000000</v>
      </c>
      <c r="H1356" s="159">
        <v>75100000</v>
      </c>
      <c r="I1356" s="159">
        <v>826100000</v>
      </c>
      <c r="J1356" s="159">
        <f>bargiri[[#This Row],[مقدار]]*INDEX(invoice[پیش دریافت به ازای هر کیلوگرم],MATCH(bargiri[[#This Row],[شماره سند مبنا]],invoice[شماره پیش فاکتور],0))</f>
        <v>123915000</v>
      </c>
      <c r="K1356" s="159">
        <f>bargiri[[#This Row],[مبلغ خالص]]-bargiri[[#This Row],[میزان استهلاک پیش دریافتی]]</f>
        <v>702185000</v>
      </c>
      <c r="L1356" s="160" t="s">
        <v>593</v>
      </c>
      <c r="M1356" s="159"/>
      <c r="N1356" s="159">
        <f>IF(bargiri[[#This Row],[مبلغ واریزی]]&lt;&gt;"",bargiri[[#This Row],[مانده مبلغ]]-bargiri[[#This Row],[مبلغ واریزی]],bargiri[[#This Row],[مانده مبلغ]])</f>
        <v>702185000</v>
      </c>
      <c r="O1356" s="159" t="s">
        <v>593</v>
      </c>
      <c r="P1356" s="159">
        <f>VLOOKUP(bargiri[[#This Row],[شماره سند مبنا]],invoice[[شماره پیش فاکتور]:[پیش دریافت به ازای هر کیلوگرم]],14,0)</f>
        <v>16500</v>
      </c>
      <c r="Q1356" s="159">
        <f>IF(bargiri[[#This Row],[مبلغ ناخالص]]-(bargiri[[#This Row],[نرخ استهلاک]]*bargiri[[#This Row],[مقدار]])&lt;0,0,bargiri[[#This Row],[مبلغ ناخالص]]-(bargiri[[#This Row],[نرخ استهلاک]]*bargiri[[#This Row],[مقدار]]))</f>
        <v>627085000</v>
      </c>
    </row>
    <row r="1357" spans="1:17" s="22" customFormat="1" ht="13.8" x14ac:dyDescent="0.25">
      <c r="A1357" s="22">
        <v>192</v>
      </c>
      <c r="B1357" s="22" t="s">
        <v>270</v>
      </c>
      <c r="C1357" s="22" t="s">
        <v>149</v>
      </c>
      <c r="D1357" s="22" t="s">
        <v>35</v>
      </c>
      <c r="E1357" s="158">
        <v>4965</v>
      </c>
      <c r="F1357" s="159">
        <v>75000</v>
      </c>
      <c r="G1357" s="159">
        <v>372375000</v>
      </c>
      <c r="H1357" s="159">
        <v>37237500</v>
      </c>
      <c r="I1357" s="159">
        <v>409612500</v>
      </c>
      <c r="J1357" s="159">
        <f>bargiri[[#This Row],[مقدار]]*INDEX(invoice[پیش دریافت به ازای هر کیلوگرم],MATCH(bargiri[[#This Row],[شماره سند مبنا]],invoice[شماره پیش فاکتور],0))</f>
        <v>61446381.067944981</v>
      </c>
      <c r="K1357" s="159">
        <f>bargiri[[#This Row],[مبلغ خالص]]-bargiri[[#This Row],[میزان استهلاک پیش دریافتی]]</f>
        <v>348166118.932055</v>
      </c>
      <c r="L1357" s="160" t="s">
        <v>593</v>
      </c>
      <c r="M1357" s="159"/>
      <c r="N1357" s="159">
        <f>IF(bargiri[[#This Row],[مبلغ واریزی]]&lt;&gt;"",bargiri[[#This Row],[مانده مبلغ]]-bargiri[[#This Row],[مبلغ واریزی]],bargiri[[#This Row],[مانده مبلغ]])</f>
        <v>348166118.932055</v>
      </c>
      <c r="O1357" s="159" t="s">
        <v>593</v>
      </c>
      <c r="P1357" s="159">
        <f>VLOOKUP(bargiri[[#This Row],[شماره سند مبنا]],invoice[[شماره پیش فاکتور]:[پیش دریافت به ازای هر کیلوگرم]],14,0)</f>
        <v>12375.907566554881</v>
      </c>
      <c r="Q1357" s="159">
        <f>IF(bargiri[[#This Row],[مبلغ ناخالص]]-(bargiri[[#This Row],[نرخ استهلاک]]*bargiri[[#This Row],[مقدار]])&lt;0,0,bargiri[[#This Row],[مبلغ ناخالص]]-(bargiri[[#This Row],[نرخ استهلاک]]*bargiri[[#This Row],[مقدار]]))</f>
        <v>310928618.932055</v>
      </c>
    </row>
    <row r="1358" spans="1:17" s="22" customFormat="1" ht="13.8" x14ac:dyDescent="0.25">
      <c r="A1358" s="22">
        <v>191</v>
      </c>
      <c r="B1358" s="22" t="s">
        <v>270</v>
      </c>
      <c r="C1358" s="22" t="s">
        <v>109</v>
      </c>
      <c r="D1358" s="22" t="s">
        <v>110</v>
      </c>
      <c r="E1358" s="158">
        <v>18765</v>
      </c>
      <c r="F1358" s="159">
        <v>70000</v>
      </c>
      <c r="G1358" s="159">
        <v>1313550000</v>
      </c>
      <c r="H1358" s="159">
        <v>131355000</v>
      </c>
      <c r="I1358" s="159">
        <v>1444905000</v>
      </c>
      <c r="J1358" s="159" t="e">
        <f>bargiri[[#This Row],[مقدار]]*INDEX(invoice[پیش دریافت به ازای هر کیلوگرم],MATCH(bargiri[[#This Row],[شماره سند مبنا]],invoice[شماره پیش فاکتور],0))</f>
        <v>#N/A</v>
      </c>
      <c r="K1358" s="159" t="e">
        <f>bargiri[[#This Row],[مبلغ خالص]]-bargiri[[#This Row],[میزان استهلاک پیش دریافتی]]</f>
        <v>#N/A</v>
      </c>
      <c r="L1358" s="160" t="s">
        <v>593</v>
      </c>
      <c r="M1358" s="159"/>
      <c r="N1358" s="159" t="e">
        <f>IF(bargiri[[#This Row],[مبلغ واریزی]]&lt;&gt;"",bargiri[[#This Row],[مانده مبلغ]]-bargiri[[#This Row],[مبلغ واریزی]],bargiri[[#This Row],[مانده مبلغ]])</f>
        <v>#N/A</v>
      </c>
      <c r="O1358" s="159" t="s">
        <v>593</v>
      </c>
      <c r="P1358" s="159" t="e">
        <f>VLOOKUP(bargiri[[#This Row],[شماره سند مبنا]],invoice[[شماره پیش فاکتور]:[پیش دریافت به ازای هر کیلوگرم]],14,0)</f>
        <v>#N/A</v>
      </c>
      <c r="Q1358" s="159" t="e">
        <f>IF(bargiri[[#This Row],[مبلغ ناخالص]]-(bargiri[[#This Row],[نرخ استهلاک]]*bargiri[[#This Row],[مقدار]])&lt;0,0,bargiri[[#This Row],[مبلغ ناخالص]]-(bargiri[[#This Row],[نرخ استهلاک]]*bargiri[[#This Row],[مقدار]]))</f>
        <v>#N/A</v>
      </c>
    </row>
    <row r="1359" spans="1:17" s="22" customFormat="1" ht="13.8" x14ac:dyDescent="0.25">
      <c r="A1359" s="22">
        <v>190</v>
      </c>
      <c r="B1359" s="22" t="s">
        <v>270</v>
      </c>
      <c r="C1359" s="22" t="s">
        <v>72</v>
      </c>
      <c r="D1359" s="22" t="s">
        <v>73</v>
      </c>
      <c r="E1359" s="158">
        <v>21070</v>
      </c>
      <c r="F1359" s="159">
        <v>57273</v>
      </c>
      <c r="G1359" s="159">
        <v>1206742110</v>
      </c>
      <c r="H1359" s="159">
        <v>120674211</v>
      </c>
      <c r="I1359" s="159">
        <v>1327416321</v>
      </c>
      <c r="J1359" s="159" t="e">
        <f>bargiri[[#This Row],[مقدار]]*INDEX(invoice[پیش دریافت به ازای هر کیلوگرم],MATCH(bargiri[[#This Row],[شماره سند مبنا]],invoice[شماره پیش فاکتور],0))</f>
        <v>#N/A</v>
      </c>
      <c r="K1359" s="159" t="e">
        <f>bargiri[[#This Row],[مبلغ خالص]]-bargiri[[#This Row],[میزان استهلاک پیش دریافتی]]</f>
        <v>#N/A</v>
      </c>
      <c r="L1359" s="160" t="s">
        <v>593</v>
      </c>
      <c r="M1359" s="159"/>
      <c r="N1359" s="159" t="e">
        <f>IF(bargiri[[#This Row],[مبلغ واریزی]]&lt;&gt;"",bargiri[[#This Row],[مانده مبلغ]]-bargiri[[#This Row],[مبلغ واریزی]],bargiri[[#This Row],[مانده مبلغ]])</f>
        <v>#N/A</v>
      </c>
      <c r="O1359" s="159" t="s">
        <v>593</v>
      </c>
      <c r="P1359" s="159" t="e">
        <f>VLOOKUP(bargiri[[#This Row],[شماره سند مبنا]],invoice[[شماره پیش فاکتور]:[پیش دریافت به ازای هر کیلوگرم]],14,0)</f>
        <v>#N/A</v>
      </c>
      <c r="Q1359" s="159" t="e">
        <f>IF(bargiri[[#This Row],[مبلغ ناخالص]]-(bargiri[[#This Row],[نرخ استهلاک]]*bargiri[[#This Row],[مقدار]])&lt;0,0,bargiri[[#This Row],[مبلغ ناخالص]]-(bargiri[[#This Row],[نرخ استهلاک]]*bargiri[[#This Row],[مقدار]]))</f>
        <v>#N/A</v>
      </c>
    </row>
    <row r="1360" spans="1:17" s="22" customFormat="1" ht="13.8" x14ac:dyDescent="0.25">
      <c r="A1360" s="22">
        <v>189</v>
      </c>
      <c r="B1360" s="22" t="s">
        <v>270</v>
      </c>
      <c r="C1360" s="22" t="s">
        <v>72</v>
      </c>
      <c r="D1360" s="22" t="s">
        <v>73</v>
      </c>
      <c r="E1360" s="158">
        <v>20565</v>
      </c>
      <c r="F1360" s="159">
        <v>57273</v>
      </c>
      <c r="G1360" s="159">
        <v>1177819245</v>
      </c>
      <c r="H1360" s="159">
        <v>117781925</v>
      </c>
      <c r="I1360" s="159">
        <v>1295601170</v>
      </c>
      <c r="J1360" s="159" t="e">
        <f>bargiri[[#This Row],[مقدار]]*INDEX(invoice[پیش دریافت به ازای هر کیلوگرم],MATCH(bargiri[[#This Row],[شماره سند مبنا]],invoice[شماره پیش فاکتور],0))</f>
        <v>#N/A</v>
      </c>
      <c r="K1360" s="159" t="e">
        <f>bargiri[[#This Row],[مبلغ خالص]]-bargiri[[#This Row],[میزان استهلاک پیش دریافتی]]</f>
        <v>#N/A</v>
      </c>
      <c r="L1360" s="160" t="s">
        <v>593</v>
      </c>
      <c r="M1360" s="159"/>
      <c r="N1360" s="159" t="e">
        <f>IF(bargiri[[#This Row],[مبلغ واریزی]]&lt;&gt;"",bargiri[[#This Row],[مانده مبلغ]]-bargiri[[#This Row],[مبلغ واریزی]],bargiri[[#This Row],[مانده مبلغ]])</f>
        <v>#N/A</v>
      </c>
      <c r="O1360" s="159" t="s">
        <v>593</v>
      </c>
      <c r="P1360" s="159" t="e">
        <f>VLOOKUP(bargiri[[#This Row],[شماره سند مبنا]],invoice[[شماره پیش فاکتور]:[پیش دریافت به ازای هر کیلوگرم]],14,0)</f>
        <v>#N/A</v>
      </c>
      <c r="Q1360" s="159" t="e">
        <f>IF(bargiri[[#This Row],[مبلغ ناخالص]]-(bargiri[[#This Row],[نرخ استهلاک]]*bargiri[[#This Row],[مقدار]])&lt;0,0,bargiri[[#This Row],[مبلغ ناخالص]]-(bargiri[[#This Row],[نرخ استهلاک]]*bargiri[[#This Row],[مقدار]]))</f>
        <v>#N/A</v>
      </c>
    </row>
    <row r="1361" spans="1:17" s="22" customFormat="1" ht="13.8" x14ac:dyDescent="0.25">
      <c r="A1361" s="22">
        <v>188</v>
      </c>
      <c r="B1361" s="22" t="s">
        <v>270</v>
      </c>
      <c r="C1361" s="22" t="s">
        <v>72</v>
      </c>
      <c r="D1361" s="22" t="s">
        <v>73</v>
      </c>
      <c r="E1361" s="158">
        <v>20780</v>
      </c>
      <c r="F1361" s="159">
        <v>57273</v>
      </c>
      <c r="G1361" s="159">
        <v>1190132940</v>
      </c>
      <c r="H1361" s="159">
        <v>119013294</v>
      </c>
      <c r="I1361" s="159">
        <v>1309146234</v>
      </c>
      <c r="J1361" s="159" t="e">
        <f>bargiri[[#This Row],[مقدار]]*INDEX(invoice[پیش دریافت به ازای هر کیلوگرم],MATCH(bargiri[[#This Row],[شماره سند مبنا]],invoice[شماره پیش فاکتور],0))</f>
        <v>#N/A</v>
      </c>
      <c r="K1361" s="159" t="e">
        <f>bargiri[[#This Row],[مبلغ خالص]]-bargiri[[#This Row],[میزان استهلاک پیش دریافتی]]</f>
        <v>#N/A</v>
      </c>
      <c r="L1361" s="160" t="s">
        <v>593</v>
      </c>
      <c r="M1361" s="159"/>
      <c r="N1361" s="159" t="e">
        <f>IF(bargiri[[#This Row],[مبلغ واریزی]]&lt;&gt;"",bargiri[[#This Row],[مانده مبلغ]]-bargiri[[#This Row],[مبلغ واریزی]],bargiri[[#This Row],[مانده مبلغ]])</f>
        <v>#N/A</v>
      </c>
      <c r="O1361" s="159" t="s">
        <v>593</v>
      </c>
      <c r="P1361" s="159" t="e">
        <f>VLOOKUP(bargiri[[#This Row],[شماره سند مبنا]],invoice[[شماره پیش فاکتور]:[پیش دریافت به ازای هر کیلوگرم]],14,0)</f>
        <v>#N/A</v>
      </c>
      <c r="Q1361" s="159" t="e">
        <f>IF(bargiri[[#This Row],[مبلغ ناخالص]]-(bargiri[[#This Row],[نرخ استهلاک]]*bargiri[[#This Row],[مقدار]])&lt;0,0,bargiri[[#This Row],[مبلغ ناخالص]]-(bargiri[[#This Row],[نرخ استهلاک]]*bargiri[[#This Row],[مقدار]]))</f>
        <v>#N/A</v>
      </c>
    </row>
    <row r="1362" spans="1:17" s="22" customFormat="1" ht="13.8" x14ac:dyDescent="0.25">
      <c r="A1362" s="22">
        <v>187</v>
      </c>
      <c r="B1362" s="22" t="s">
        <v>320</v>
      </c>
      <c r="C1362" s="22" t="s">
        <v>115</v>
      </c>
      <c r="D1362" s="22" t="s">
        <v>116</v>
      </c>
      <c r="E1362" s="158">
        <v>19100</v>
      </c>
      <c r="F1362" s="159">
        <v>75000</v>
      </c>
      <c r="G1362" s="159">
        <v>1432500000</v>
      </c>
      <c r="H1362" s="159">
        <v>143250000</v>
      </c>
      <c r="I1362" s="159">
        <v>1575750000</v>
      </c>
      <c r="J1362" s="159">
        <f>bargiri[[#This Row],[مقدار]]*INDEX(invoice[پیش دریافت به ازای هر کیلوگرم],MATCH(bargiri[[#This Row],[شماره سند مبنا]],invoice[شماره پیش فاکتور],0))</f>
        <v>286694952.56774604</v>
      </c>
      <c r="K1362" s="159">
        <f>bargiri[[#This Row],[مبلغ خالص]]-bargiri[[#This Row],[میزان استهلاک پیش دریافتی]]</f>
        <v>1289055047.4322538</v>
      </c>
      <c r="L1362" s="160" t="s">
        <v>593</v>
      </c>
      <c r="M1362" s="159"/>
      <c r="N1362" s="159">
        <f>IF(bargiri[[#This Row],[مبلغ واریزی]]&lt;&gt;"",bargiri[[#This Row],[مانده مبلغ]]-bargiri[[#This Row],[مبلغ واریزی]],bargiri[[#This Row],[مانده مبلغ]])</f>
        <v>1289055047.4322538</v>
      </c>
      <c r="O1362" s="159" t="s">
        <v>593</v>
      </c>
      <c r="P1362" s="159">
        <f>VLOOKUP(bargiri[[#This Row],[شماره سند مبنا]],invoice[[شماره پیش فاکتور]:[پیش دریافت به ازای هر کیلوگرم]],14,0)</f>
        <v>15010.206940719689</v>
      </c>
      <c r="Q1362" s="159">
        <f>IF(bargiri[[#This Row],[مبلغ ناخالص]]-(bargiri[[#This Row],[نرخ استهلاک]]*bargiri[[#This Row],[مقدار]])&lt;0,0,bargiri[[#This Row],[مبلغ ناخالص]]-(bargiri[[#This Row],[نرخ استهلاک]]*bargiri[[#This Row],[مقدار]]))</f>
        <v>1145805047.4322538</v>
      </c>
    </row>
    <row r="1363" spans="1:17" s="22" customFormat="1" ht="13.8" x14ac:dyDescent="0.25">
      <c r="A1363" s="22">
        <v>186</v>
      </c>
      <c r="B1363" s="22" t="s">
        <v>320</v>
      </c>
      <c r="C1363" s="22" t="s">
        <v>109</v>
      </c>
      <c r="D1363" s="22" t="s">
        <v>110</v>
      </c>
      <c r="E1363" s="158">
        <v>9955</v>
      </c>
      <c r="F1363" s="159">
        <v>70000</v>
      </c>
      <c r="G1363" s="159">
        <v>696850000</v>
      </c>
      <c r="H1363" s="159">
        <v>69685000</v>
      </c>
      <c r="I1363" s="159">
        <v>766535000</v>
      </c>
      <c r="J1363" s="159" t="e">
        <f>bargiri[[#This Row],[مقدار]]*INDEX(invoice[پیش دریافت به ازای هر کیلوگرم],MATCH(bargiri[[#This Row],[شماره سند مبنا]],invoice[شماره پیش فاکتور],0))</f>
        <v>#N/A</v>
      </c>
      <c r="K1363" s="159" t="e">
        <f>bargiri[[#This Row],[مبلغ خالص]]-bargiri[[#This Row],[میزان استهلاک پیش دریافتی]]</f>
        <v>#N/A</v>
      </c>
      <c r="L1363" s="160" t="s">
        <v>593</v>
      </c>
      <c r="M1363" s="159"/>
      <c r="N1363" s="159" t="e">
        <f>IF(bargiri[[#This Row],[مبلغ واریزی]]&lt;&gt;"",bargiri[[#This Row],[مانده مبلغ]]-bargiri[[#This Row],[مبلغ واریزی]],bargiri[[#This Row],[مانده مبلغ]])</f>
        <v>#N/A</v>
      </c>
      <c r="O1363" s="159" t="s">
        <v>593</v>
      </c>
      <c r="P1363" s="159" t="e">
        <f>VLOOKUP(bargiri[[#This Row],[شماره سند مبنا]],invoice[[شماره پیش فاکتور]:[پیش دریافت به ازای هر کیلوگرم]],14,0)</f>
        <v>#N/A</v>
      </c>
      <c r="Q1363" s="159" t="e">
        <f>IF(bargiri[[#This Row],[مبلغ ناخالص]]-(bargiri[[#This Row],[نرخ استهلاک]]*bargiri[[#This Row],[مقدار]])&lt;0,0,bargiri[[#This Row],[مبلغ ناخالص]]-(bargiri[[#This Row],[نرخ استهلاک]]*bargiri[[#This Row],[مقدار]]))</f>
        <v>#N/A</v>
      </c>
    </row>
    <row r="1364" spans="1:17" s="22" customFormat="1" ht="13.8" x14ac:dyDescent="0.25">
      <c r="A1364" s="22">
        <v>185</v>
      </c>
      <c r="B1364" s="22" t="s">
        <v>320</v>
      </c>
      <c r="C1364" s="22" t="s">
        <v>115</v>
      </c>
      <c r="D1364" s="22" t="s">
        <v>116</v>
      </c>
      <c r="E1364" s="158">
        <v>18120</v>
      </c>
      <c r="F1364" s="159">
        <v>75000</v>
      </c>
      <c r="G1364" s="159">
        <v>1359000000</v>
      </c>
      <c r="H1364" s="159">
        <v>135900000</v>
      </c>
      <c r="I1364" s="159">
        <v>1494900000</v>
      </c>
      <c r="J1364" s="159">
        <f>bargiri[[#This Row],[مقدار]]*INDEX(invoice[پیش دریافت به ازای هر کیلوگرم],MATCH(bargiri[[#This Row],[شماره سند مبنا]],invoice[شماره پیش فاکتور],0))</f>
        <v>271984949.76584077</v>
      </c>
      <c r="K1364" s="159">
        <f>bargiri[[#This Row],[مبلغ خالص]]-bargiri[[#This Row],[میزان استهلاک پیش دریافتی]]</f>
        <v>1222915050.2341592</v>
      </c>
      <c r="L1364" s="160" t="s">
        <v>593</v>
      </c>
      <c r="M1364" s="159"/>
      <c r="N1364" s="159">
        <f>IF(bargiri[[#This Row],[مبلغ واریزی]]&lt;&gt;"",bargiri[[#This Row],[مانده مبلغ]]-bargiri[[#This Row],[مبلغ واریزی]],bargiri[[#This Row],[مانده مبلغ]])</f>
        <v>1222915050.2341592</v>
      </c>
      <c r="O1364" s="159" t="s">
        <v>593</v>
      </c>
      <c r="P1364" s="159">
        <f>VLOOKUP(bargiri[[#This Row],[شماره سند مبنا]],invoice[[شماره پیش فاکتور]:[پیش دریافت به ازای هر کیلوگرم]],14,0)</f>
        <v>15010.206940719689</v>
      </c>
      <c r="Q1364" s="159">
        <f>IF(bargiri[[#This Row],[مبلغ ناخالص]]-(bargiri[[#This Row],[نرخ استهلاک]]*bargiri[[#This Row],[مقدار]])&lt;0,0,bargiri[[#This Row],[مبلغ ناخالص]]-(bargiri[[#This Row],[نرخ استهلاک]]*bargiri[[#This Row],[مقدار]]))</f>
        <v>1087015050.2341592</v>
      </c>
    </row>
    <row r="1365" spans="1:17" s="22" customFormat="1" ht="13.8" x14ac:dyDescent="0.25">
      <c r="A1365" s="22">
        <v>184</v>
      </c>
      <c r="B1365" s="22" t="s">
        <v>320</v>
      </c>
      <c r="C1365" s="22" t="s">
        <v>128</v>
      </c>
      <c r="D1365" s="22" t="s">
        <v>129</v>
      </c>
      <c r="E1365" s="158">
        <v>9055</v>
      </c>
      <c r="F1365" s="159">
        <v>80000</v>
      </c>
      <c r="G1365" s="159">
        <v>724400000</v>
      </c>
      <c r="H1365" s="159">
        <v>72440000</v>
      </c>
      <c r="I1365" s="159">
        <v>796840000</v>
      </c>
      <c r="J1365" s="159">
        <f>bargiri[[#This Row],[مقدار]]*INDEX(invoice[پیش دریافت به ازای هر کیلوگرم],MATCH(bargiri[[#This Row],[شماره سند مبنا]],invoice[شماره پیش فاکتور],0))</f>
        <v>120106514.82163791</v>
      </c>
      <c r="K1365" s="159">
        <f>bargiri[[#This Row],[مبلغ خالص]]-bargiri[[#This Row],[میزان استهلاک پیش دریافتی]]</f>
        <v>676733485.17836213</v>
      </c>
      <c r="L1365" s="160" t="s">
        <v>593</v>
      </c>
      <c r="M1365" s="159"/>
      <c r="N1365" s="159">
        <f>IF(bargiri[[#This Row],[مبلغ واریزی]]&lt;&gt;"",bargiri[[#This Row],[مانده مبلغ]]-bargiri[[#This Row],[مبلغ واریزی]],bargiri[[#This Row],[مانده مبلغ]])</f>
        <v>676733485.17836213</v>
      </c>
      <c r="O1365" s="159" t="s">
        <v>593</v>
      </c>
      <c r="P1365" s="159">
        <f>VLOOKUP(bargiri[[#This Row],[شماره سند مبنا]],invoice[[شماره پیش فاکتور]:[پیش دریافت به ازای هر کیلوگرم]],14,0)</f>
        <v>13264.109864344331</v>
      </c>
      <c r="Q1365" s="159">
        <f>IF(bargiri[[#This Row],[مبلغ ناخالص]]-(bargiri[[#This Row],[نرخ استهلاک]]*bargiri[[#This Row],[مقدار]])&lt;0,0,bargiri[[#This Row],[مبلغ ناخالص]]-(bargiri[[#This Row],[نرخ استهلاک]]*bargiri[[#This Row],[مقدار]]))</f>
        <v>604293485.17836213</v>
      </c>
    </row>
    <row r="1366" spans="1:17" s="22" customFormat="1" ht="13.8" x14ac:dyDescent="0.25">
      <c r="A1366" s="22">
        <v>183</v>
      </c>
      <c r="B1366" s="22" t="s">
        <v>351</v>
      </c>
      <c r="C1366" s="22" t="s">
        <v>107</v>
      </c>
      <c r="D1366" s="22" t="s">
        <v>30</v>
      </c>
      <c r="E1366" s="158">
        <v>10495</v>
      </c>
      <c r="F1366" s="159">
        <v>70000</v>
      </c>
      <c r="G1366" s="159">
        <v>734650000</v>
      </c>
      <c r="H1366" s="159">
        <v>73465000</v>
      </c>
      <c r="I1366" s="159">
        <v>808115000</v>
      </c>
      <c r="J1366" s="159">
        <f>bargiri[[#This Row],[مقدار]]*INDEX(invoice[پیش دریافت به ازای هر کیلوگرم],MATCH(bargiri[[#This Row],[شماره سند مبنا]],invoice[شماره پیش فاکتور],0))</f>
        <v>404057500</v>
      </c>
      <c r="K1366" s="159">
        <f>bargiri[[#This Row],[مبلغ خالص]]-bargiri[[#This Row],[میزان استهلاک پیش دریافتی]]</f>
        <v>404057500</v>
      </c>
      <c r="L1366" s="160" t="s">
        <v>593</v>
      </c>
      <c r="M1366" s="159"/>
      <c r="N1366" s="159">
        <f>IF(bargiri[[#This Row],[مبلغ واریزی]]&lt;&gt;"",bargiri[[#This Row],[مانده مبلغ]]-bargiri[[#This Row],[مبلغ واریزی]],bargiri[[#This Row],[مانده مبلغ]])</f>
        <v>404057500</v>
      </c>
      <c r="O1366" s="159" t="s">
        <v>593</v>
      </c>
      <c r="P1366" s="159">
        <f>VLOOKUP(bargiri[[#This Row],[شماره سند مبنا]],invoice[[شماره پیش فاکتور]:[پیش دریافت به ازای هر کیلوگرم]],14,0)</f>
        <v>38500</v>
      </c>
      <c r="Q1366" s="159">
        <f>IF(bargiri[[#This Row],[مبلغ ناخالص]]-(bargiri[[#This Row],[نرخ استهلاک]]*bargiri[[#This Row],[مقدار]])&lt;0,0,bargiri[[#This Row],[مبلغ ناخالص]]-(bargiri[[#This Row],[نرخ استهلاک]]*bargiri[[#This Row],[مقدار]]))</f>
        <v>330592500</v>
      </c>
    </row>
    <row r="1367" spans="1:17" s="22" customFormat="1" ht="13.8" x14ac:dyDescent="0.25">
      <c r="A1367" s="22">
        <v>182</v>
      </c>
      <c r="B1367" s="22" t="s">
        <v>351</v>
      </c>
      <c r="C1367" s="22" t="s">
        <v>109</v>
      </c>
      <c r="D1367" s="22" t="s">
        <v>110</v>
      </c>
      <c r="E1367" s="158">
        <v>17765</v>
      </c>
      <c r="F1367" s="159">
        <v>70000</v>
      </c>
      <c r="G1367" s="159">
        <v>1243550000</v>
      </c>
      <c r="H1367" s="159">
        <v>124355000</v>
      </c>
      <c r="I1367" s="159">
        <v>1367905000</v>
      </c>
      <c r="J1367" s="159" t="e">
        <f>bargiri[[#This Row],[مقدار]]*INDEX(invoice[پیش دریافت به ازای هر کیلوگرم],MATCH(bargiri[[#This Row],[شماره سند مبنا]],invoice[شماره پیش فاکتور],0))</f>
        <v>#N/A</v>
      </c>
      <c r="K1367" s="159" t="e">
        <f>bargiri[[#This Row],[مبلغ خالص]]-bargiri[[#This Row],[میزان استهلاک پیش دریافتی]]</f>
        <v>#N/A</v>
      </c>
      <c r="L1367" s="160" t="s">
        <v>593</v>
      </c>
      <c r="M1367" s="159"/>
      <c r="N1367" s="159" t="e">
        <f>IF(bargiri[[#This Row],[مبلغ واریزی]]&lt;&gt;"",bargiri[[#This Row],[مانده مبلغ]]-bargiri[[#This Row],[مبلغ واریزی]],bargiri[[#This Row],[مانده مبلغ]])</f>
        <v>#N/A</v>
      </c>
      <c r="O1367" s="159" t="s">
        <v>593</v>
      </c>
      <c r="P1367" s="159" t="e">
        <f>VLOOKUP(bargiri[[#This Row],[شماره سند مبنا]],invoice[[شماره پیش فاکتور]:[پیش دریافت به ازای هر کیلوگرم]],14,0)</f>
        <v>#N/A</v>
      </c>
      <c r="Q1367" s="159" t="e">
        <f>IF(bargiri[[#This Row],[مبلغ ناخالص]]-(bargiri[[#This Row],[نرخ استهلاک]]*bargiri[[#This Row],[مقدار]])&lt;0,0,bargiri[[#This Row],[مبلغ ناخالص]]-(bargiri[[#This Row],[نرخ استهلاک]]*bargiri[[#This Row],[مقدار]]))</f>
        <v>#N/A</v>
      </c>
    </row>
    <row r="1368" spans="1:17" s="22" customFormat="1" ht="13.8" x14ac:dyDescent="0.25">
      <c r="A1368" s="22">
        <v>181</v>
      </c>
      <c r="B1368" s="22" t="s">
        <v>351</v>
      </c>
      <c r="C1368" s="22" t="s">
        <v>220</v>
      </c>
      <c r="D1368" s="22" t="s">
        <v>221</v>
      </c>
      <c r="E1368" s="158">
        <v>14400</v>
      </c>
      <c r="F1368" s="159">
        <v>100000</v>
      </c>
      <c r="G1368" s="159">
        <v>1440000000</v>
      </c>
      <c r="H1368" s="159">
        <v>144000000</v>
      </c>
      <c r="I1368" s="159">
        <v>1584000000</v>
      </c>
      <c r="J1368" s="159">
        <f>bargiri[[#This Row],[مقدار]]*INDEX(invoice[پیش دریافت به ازای هر کیلوگرم],MATCH(bargiri[[#This Row],[شماره سند مبنا]],invoice[شماره پیش فاکتور],0))</f>
        <v>237600000</v>
      </c>
      <c r="K1368" s="159">
        <f>bargiri[[#This Row],[مبلغ خالص]]-bargiri[[#This Row],[میزان استهلاک پیش دریافتی]]</f>
        <v>1346400000</v>
      </c>
      <c r="L1368" s="160" t="s">
        <v>593</v>
      </c>
      <c r="M1368" s="159"/>
      <c r="N1368" s="159">
        <f>IF(bargiri[[#This Row],[مبلغ واریزی]]&lt;&gt;"",bargiri[[#This Row],[مانده مبلغ]]-bargiri[[#This Row],[مبلغ واریزی]],bargiri[[#This Row],[مانده مبلغ]])</f>
        <v>1346400000</v>
      </c>
      <c r="O1368" s="159" t="s">
        <v>593</v>
      </c>
      <c r="P1368" s="159">
        <f>VLOOKUP(bargiri[[#This Row],[شماره سند مبنا]],invoice[[شماره پیش فاکتور]:[پیش دریافت به ازای هر کیلوگرم]],14,0)</f>
        <v>16500</v>
      </c>
      <c r="Q1368" s="159">
        <f>IF(bargiri[[#This Row],[مبلغ ناخالص]]-(bargiri[[#This Row],[نرخ استهلاک]]*bargiri[[#This Row],[مقدار]])&lt;0,0,bargiri[[#This Row],[مبلغ ناخالص]]-(bargiri[[#This Row],[نرخ استهلاک]]*bargiri[[#This Row],[مقدار]]))</f>
        <v>1202400000</v>
      </c>
    </row>
    <row r="1369" spans="1:17" s="22" customFormat="1" ht="13.8" x14ac:dyDescent="0.25">
      <c r="A1369" s="22">
        <v>180</v>
      </c>
      <c r="B1369" s="22" t="s">
        <v>351</v>
      </c>
      <c r="C1369" s="22" t="s">
        <v>199</v>
      </c>
      <c r="D1369" s="22" t="s">
        <v>17</v>
      </c>
      <c r="E1369" s="158">
        <v>10065</v>
      </c>
      <c r="F1369" s="159">
        <v>65000</v>
      </c>
      <c r="G1369" s="159">
        <v>654225000</v>
      </c>
      <c r="H1369" s="159">
        <v>65422500</v>
      </c>
      <c r="I1369" s="159">
        <v>719647500</v>
      </c>
      <c r="J1369" s="159">
        <f>bargiri[[#This Row],[مقدار]]*INDEX(invoice[پیش دریافت به ازای هر کیلوگرم],MATCH(bargiri[[#This Row],[شماره سند مبنا]],invoice[شماره پیش فاکتور],0))</f>
        <v>107947125</v>
      </c>
      <c r="K1369" s="159">
        <f>bargiri[[#This Row],[مبلغ خالص]]-bargiri[[#This Row],[میزان استهلاک پیش دریافتی]]</f>
        <v>611700375</v>
      </c>
      <c r="L1369" s="160" t="s">
        <v>593</v>
      </c>
      <c r="M1369" s="159"/>
      <c r="N1369" s="159">
        <f>IF(bargiri[[#This Row],[مبلغ واریزی]]&lt;&gt;"",bargiri[[#This Row],[مانده مبلغ]]-bargiri[[#This Row],[مبلغ واریزی]],bargiri[[#This Row],[مانده مبلغ]])</f>
        <v>611700375</v>
      </c>
      <c r="O1369" s="159" t="s">
        <v>593</v>
      </c>
      <c r="P1369" s="159">
        <f>VLOOKUP(bargiri[[#This Row],[شماره سند مبنا]],invoice[[شماره پیش فاکتور]:[پیش دریافت به ازای هر کیلوگرم]],14,0)</f>
        <v>10725</v>
      </c>
      <c r="Q1369" s="159">
        <f>IF(bargiri[[#This Row],[مبلغ ناخالص]]-(bargiri[[#This Row],[نرخ استهلاک]]*bargiri[[#This Row],[مقدار]])&lt;0,0,bargiri[[#This Row],[مبلغ ناخالص]]-(bargiri[[#This Row],[نرخ استهلاک]]*bargiri[[#This Row],[مقدار]]))</f>
        <v>546277875</v>
      </c>
    </row>
    <row r="1370" spans="1:17" s="22" customFormat="1" ht="13.8" x14ac:dyDescent="0.25">
      <c r="A1370" s="22">
        <v>180</v>
      </c>
      <c r="B1370" s="22" t="s">
        <v>351</v>
      </c>
      <c r="C1370" s="22" t="s">
        <v>203</v>
      </c>
      <c r="D1370" s="22" t="s">
        <v>17</v>
      </c>
      <c r="E1370" s="158">
        <v>10045</v>
      </c>
      <c r="F1370" s="159">
        <v>92180</v>
      </c>
      <c r="G1370" s="159">
        <v>925948100</v>
      </c>
      <c r="H1370" s="159">
        <v>92594810</v>
      </c>
      <c r="I1370" s="159">
        <v>1018542910</v>
      </c>
      <c r="J1370" s="159">
        <f>bargiri[[#This Row],[مقدار]]*INDEX(invoice[پیش دریافت به ازای هر کیلوگرم],MATCH(bargiri[[#This Row],[شماره سند مبنا]],invoice[شماره پیش فاکتور],0))</f>
        <v>152781436.5</v>
      </c>
      <c r="K1370" s="159">
        <f>bargiri[[#This Row],[مبلغ خالص]]-bargiri[[#This Row],[میزان استهلاک پیش دریافتی]]</f>
        <v>865761473.5</v>
      </c>
      <c r="L1370" s="160" t="s">
        <v>593</v>
      </c>
      <c r="M1370" s="159"/>
      <c r="N1370" s="159">
        <f>IF(bargiri[[#This Row],[مبلغ واریزی]]&lt;&gt;"",bargiri[[#This Row],[مانده مبلغ]]-bargiri[[#This Row],[مبلغ واریزی]],bargiri[[#This Row],[مانده مبلغ]])</f>
        <v>865761473.5</v>
      </c>
      <c r="O1370" s="159" t="s">
        <v>593</v>
      </c>
      <c r="P1370" s="159">
        <f>VLOOKUP(bargiri[[#This Row],[شماره سند مبنا]],invoice[[شماره پیش فاکتور]:[پیش دریافت به ازای هر کیلوگرم]],14,0)</f>
        <v>15209.7</v>
      </c>
      <c r="Q1370" s="159">
        <f>IF(bargiri[[#This Row],[مبلغ ناخالص]]-(bargiri[[#This Row],[نرخ استهلاک]]*bargiri[[#This Row],[مقدار]])&lt;0,0,bargiri[[#This Row],[مبلغ ناخالص]]-(bargiri[[#This Row],[نرخ استهلاک]]*bargiri[[#This Row],[مقدار]]))</f>
        <v>773166663.5</v>
      </c>
    </row>
    <row r="1371" spans="1:17" s="22" customFormat="1" ht="13.8" x14ac:dyDescent="0.25">
      <c r="A1371" s="22">
        <v>179</v>
      </c>
      <c r="B1371" s="22" t="s">
        <v>223</v>
      </c>
      <c r="C1371" s="22" t="s">
        <v>72</v>
      </c>
      <c r="D1371" s="22" t="s">
        <v>73</v>
      </c>
      <c r="E1371" s="158">
        <v>20370</v>
      </c>
      <c r="F1371" s="159">
        <v>57273</v>
      </c>
      <c r="G1371" s="159">
        <v>1166651010</v>
      </c>
      <c r="H1371" s="159">
        <v>116665101</v>
      </c>
      <c r="I1371" s="159">
        <v>1283316111</v>
      </c>
      <c r="J1371" s="159" t="e">
        <f>bargiri[[#This Row],[مقدار]]*INDEX(invoice[پیش دریافت به ازای هر کیلوگرم],MATCH(bargiri[[#This Row],[شماره سند مبنا]],invoice[شماره پیش فاکتور],0))</f>
        <v>#N/A</v>
      </c>
      <c r="K1371" s="159" t="e">
        <f>bargiri[[#This Row],[مبلغ خالص]]-bargiri[[#This Row],[میزان استهلاک پیش دریافتی]]</f>
        <v>#N/A</v>
      </c>
      <c r="L1371" s="160" t="s">
        <v>593</v>
      </c>
      <c r="M1371" s="159"/>
      <c r="N1371" s="159" t="e">
        <f>IF(bargiri[[#This Row],[مبلغ واریزی]]&lt;&gt;"",bargiri[[#This Row],[مانده مبلغ]]-bargiri[[#This Row],[مبلغ واریزی]],bargiri[[#This Row],[مانده مبلغ]])</f>
        <v>#N/A</v>
      </c>
      <c r="O1371" s="159" t="s">
        <v>593</v>
      </c>
      <c r="P1371" s="159" t="e">
        <f>VLOOKUP(bargiri[[#This Row],[شماره سند مبنا]],invoice[[شماره پیش فاکتور]:[پیش دریافت به ازای هر کیلوگرم]],14,0)</f>
        <v>#N/A</v>
      </c>
      <c r="Q1371" s="159" t="e">
        <f>IF(bargiri[[#This Row],[مبلغ ناخالص]]-(bargiri[[#This Row],[نرخ استهلاک]]*bargiri[[#This Row],[مقدار]])&lt;0,0,bargiri[[#This Row],[مبلغ ناخالص]]-(bargiri[[#This Row],[نرخ استهلاک]]*bargiri[[#This Row],[مقدار]]))</f>
        <v>#N/A</v>
      </c>
    </row>
    <row r="1372" spans="1:17" s="22" customFormat="1" ht="13.8" x14ac:dyDescent="0.25">
      <c r="A1372" s="22">
        <v>178</v>
      </c>
      <c r="B1372" s="22" t="s">
        <v>223</v>
      </c>
      <c r="C1372" s="22" t="s">
        <v>149</v>
      </c>
      <c r="D1372" s="22" t="s">
        <v>35</v>
      </c>
      <c r="E1372" s="158">
        <v>7285</v>
      </c>
      <c r="F1372" s="159">
        <v>75000</v>
      </c>
      <c r="G1372" s="159">
        <v>546375000</v>
      </c>
      <c r="H1372" s="159">
        <v>54637500</v>
      </c>
      <c r="I1372" s="159">
        <v>601012500</v>
      </c>
      <c r="J1372" s="159">
        <f>bargiri[[#This Row],[مقدار]]*INDEX(invoice[پیش دریافت به ازای هر کیلوگرم],MATCH(bargiri[[#This Row],[شماره سند مبنا]],invoice[شماره پیش فاکتور],0))</f>
        <v>90158486.622352302</v>
      </c>
      <c r="K1372" s="159">
        <f>bargiri[[#This Row],[مبلغ خالص]]-bargiri[[#This Row],[میزان استهلاک پیش دریافتی]]</f>
        <v>510854013.3776477</v>
      </c>
      <c r="L1372" s="160" t="s">
        <v>593</v>
      </c>
      <c r="M1372" s="159"/>
      <c r="N1372" s="159">
        <f>IF(bargiri[[#This Row],[مبلغ واریزی]]&lt;&gt;"",bargiri[[#This Row],[مانده مبلغ]]-bargiri[[#This Row],[مبلغ واریزی]],bargiri[[#This Row],[مانده مبلغ]])</f>
        <v>510854013.3776477</v>
      </c>
      <c r="O1372" s="159" t="s">
        <v>593</v>
      </c>
      <c r="P1372" s="159">
        <f>VLOOKUP(bargiri[[#This Row],[شماره سند مبنا]],invoice[[شماره پیش فاکتور]:[پیش دریافت به ازای هر کیلوگرم]],14,0)</f>
        <v>12375.907566554881</v>
      </c>
      <c r="Q1372" s="159">
        <f>IF(bargiri[[#This Row],[مبلغ ناخالص]]-(bargiri[[#This Row],[نرخ استهلاک]]*bargiri[[#This Row],[مقدار]])&lt;0,0,bargiri[[#This Row],[مبلغ ناخالص]]-(bargiri[[#This Row],[نرخ استهلاک]]*bargiri[[#This Row],[مقدار]]))</f>
        <v>456216513.3776477</v>
      </c>
    </row>
    <row r="1373" spans="1:17" s="22" customFormat="1" ht="13.8" x14ac:dyDescent="0.25">
      <c r="A1373" s="22">
        <v>177</v>
      </c>
      <c r="B1373" s="22" t="s">
        <v>268</v>
      </c>
      <c r="C1373" s="22" t="s">
        <v>218</v>
      </c>
      <c r="D1373" s="22" t="s">
        <v>219</v>
      </c>
      <c r="E1373" s="158">
        <v>17960</v>
      </c>
      <c r="F1373" s="159">
        <v>100000</v>
      </c>
      <c r="G1373" s="159">
        <v>1796000000</v>
      </c>
      <c r="H1373" s="159">
        <v>179600000</v>
      </c>
      <c r="I1373" s="159">
        <v>1975600000</v>
      </c>
      <c r="J1373" s="159">
        <f>bargiri[[#This Row],[مقدار]]*INDEX(invoice[پیش دریافت به ازای هر کیلوگرم],MATCH(bargiri[[#This Row],[شماره سند مبنا]],invoice[شماره پیش فاکتور],0))</f>
        <v>296340000</v>
      </c>
      <c r="K1373" s="159">
        <f>bargiri[[#This Row],[مبلغ خالص]]-bargiri[[#This Row],[میزان استهلاک پیش دریافتی]]</f>
        <v>1679260000</v>
      </c>
      <c r="L1373" s="160" t="s">
        <v>593</v>
      </c>
      <c r="M1373" s="159"/>
      <c r="N1373" s="159">
        <f>IF(bargiri[[#This Row],[مبلغ واریزی]]&lt;&gt;"",bargiri[[#This Row],[مانده مبلغ]]-bargiri[[#This Row],[مبلغ واریزی]],bargiri[[#This Row],[مانده مبلغ]])</f>
        <v>1679260000</v>
      </c>
      <c r="O1373" s="159" t="s">
        <v>593</v>
      </c>
      <c r="P1373" s="159">
        <f>VLOOKUP(bargiri[[#This Row],[شماره سند مبنا]],invoice[[شماره پیش فاکتور]:[پیش دریافت به ازای هر کیلوگرم]],14,0)</f>
        <v>16500</v>
      </c>
      <c r="Q1373" s="159">
        <f>IF(bargiri[[#This Row],[مبلغ ناخالص]]-(bargiri[[#This Row],[نرخ استهلاک]]*bargiri[[#This Row],[مقدار]])&lt;0,0,bargiri[[#This Row],[مبلغ ناخالص]]-(bargiri[[#This Row],[نرخ استهلاک]]*bargiri[[#This Row],[مقدار]]))</f>
        <v>1499660000</v>
      </c>
    </row>
    <row r="1374" spans="1:17" s="22" customFormat="1" ht="13.8" x14ac:dyDescent="0.25">
      <c r="A1374" s="22">
        <v>176</v>
      </c>
      <c r="B1374" s="22" t="s">
        <v>223</v>
      </c>
      <c r="C1374" s="22" t="s">
        <v>149</v>
      </c>
      <c r="D1374" s="22" t="s">
        <v>35</v>
      </c>
      <c r="E1374" s="158">
        <v>7510</v>
      </c>
      <c r="F1374" s="159">
        <v>75000</v>
      </c>
      <c r="G1374" s="159">
        <v>563250000</v>
      </c>
      <c r="H1374" s="159">
        <v>56325000</v>
      </c>
      <c r="I1374" s="159">
        <v>619575000</v>
      </c>
      <c r="J1374" s="159">
        <f>bargiri[[#This Row],[مقدار]]*INDEX(invoice[پیش دریافت به ازای هر کیلوگرم],MATCH(bargiri[[#This Row],[شماره سند مبنا]],invoice[شماره پیش فاکتور],0))</f>
        <v>92943065.82482715</v>
      </c>
      <c r="K1374" s="159">
        <f>bargiri[[#This Row],[مبلغ خالص]]-bargiri[[#This Row],[میزان استهلاک پیش دریافتی]]</f>
        <v>526631934.17517287</v>
      </c>
      <c r="L1374" s="160" t="s">
        <v>593</v>
      </c>
      <c r="M1374" s="159"/>
      <c r="N1374" s="159">
        <f>IF(bargiri[[#This Row],[مبلغ واریزی]]&lt;&gt;"",bargiri[[#This Row],[مانده مبلغ]]-bargiri[[#This Row],[مبلغ واریزی]],bargiri[[#This Row],[مانده مبلغ]])</f>
        <v>526631934.17517287</v>
      </c>
      <c r="O1374" s="159" t="s">
        <v>593</v>
      </c>
      <c r="P1374" s="159">
        <f>VLOOKUP(bargiri[[#This Row],[شماره سند مبنا]],invoice[[شماره پیش فاکتور]:[پیش دریافت به ازای هر کیلوگرم]],14,0)</f>
        <v>12375.907566554881</v>
      </c>
      <c r="Q1374" s="159">
        <f>IF(bargiri[[#This Row],[مبلغ ناخالص]]-(bargiri[[#This Row],[نرخ استهلاک]]*bargiri[[#This Row],[مقدار]])&lt;0,0,bargiri[[#This Row],[مبلغ ناخالص]]-(bargiri[[#This Row],[نرخ استهلاک]]*bargiri[[#This Row],[مقدار]]))</f>
        <v>470306934.17517287</v>
      </c>
    </row>
    <row r="1375" spans="1:17" s="22" customFormat="1" ht="13.8" x14ac:dyDescent="0.25">
      <c r="A1375" s="22">
        <v>175</v>
      </c>
      <c r="B1375" s="22" t="s">
        <v>223</v>
      </c>
      <c r="C1375" s="22" t="s">
        <v>109</v>
      </c>
      <c r="D1375" s="22" t="s">
        <v>110</v>
      </c>
      <c r="E1375" s="158">
        <v>17880</v>
      </c>
      <c r="F1375" s="159">
        <v>70000</v>
      </c>
      <c r="G1375" s="159">
        <v>1251600000</v>
      </c>
      <c r="H1375" s="159">
        <v>125160000</v>
      </c>
      <c r="I1375" s="159">
        <v>1376760000</v>
      </c>
      <c r="J1375" s="159" t="e">
        <f>bargiri[[#This Row],[مقدار]]*INDEX(invoice[پیش دریافت به ازای هر کیلوگرم],MATCH(bargiri[[#This Row],[شماره سند مبنا]],invoice[شماره پیش فاکتور],0))</f>
        <v>#N/A</v>
      </c>
      <c r="K1375" s="159" t="e">
        <f>bargiri[[#This Row],[مبلغ خالص]]-bargiri[[#This Row],[میزان استهلاک پیش دریافتی]]</f>
        <v>#N/A</v>
      </c>
      <c r="L1375" s="160" t="s">
        <v>593</v>
      </c>
      <c r="M1375" s="159"/>
      <c r="N1375" s="159" t="e">
        <f>IF(bargiri[[#This Row],[مبلغ واریزی]]&lt;&gt;"",bargiri[[#This Row],[مانده مبلغ]]-bargiri[[#This Row],[مبلغ واریزی]],bargiri[[#This Row],[مانده مبلغ]])</f>
        <v>#N/A</v>
      </c>
      <c r="O1375" s="159" t="s">
        <v>593</v>
      </c>
      <c r="P1375" s="159" t="e">
        <f>VLOOKUP(bargiri[[#This Row],[شماره سند مبنا]],invoice[[شماره پیش فاکتور]:[پیش دریافت به ازای هر کیلوگرم]],14,0)</f>
        <v>#N/A</v>
      </c>
      <c r="Q1375" s="159" t="e">
        <f>IF(bargiri[[#This Row],[مبلغ ناخالص]]-(bargiri[[#This Row],[نرخ استهلاک]]*bargiri[[#This Row],[مقدار]])&lt;0,0,bargiri[[#This Row],[مبلغ ناخالص]]-(bargiri[[#This Row],[نرخ استهلاک]]*bargiri[[#This Row],[مقدار]]))</f>
        <v>#N/A</v>
      </c>
    </row>
    <row r="1376" spans="1:17" s="22" customFormat="1" ht="13.8" x14ac:dyDescent="0.25">
      <c r="A1376" s="22">
        <v>174</v>
      </c>
      <c r="B1376" s="22" t="s">
        <v>268</v>
      </c>
      <c r="C1376" s="22" t="s">
        <v>115</v>
      </c>
      <c r="D1376" s="22" t="s">
        <v>116</v>
      </c>
      <c r="E1376" s="158">
        <v>17855</v>
      </c>
      <c r="F1376" s="159">
        <v>75000</v>
      </c>
      <c r="G1376" s="159">
        <v>1339125000</v>
      </c>
      <c r="H1376" s="159">
        <v>133912500</v>
      </c>
      <c r="I1376" s="159">
        <v>1473037500</v>
      </c>
      <c r="J1376" s="159">
        <f>bargiri[[#This Row],[مقدار]]*INDEX(invoice[پیش دریافت به ازای هر کیلوگرم],MATCH(bargiri[[#This Row],[شماره سند مبنا]],invoice[شماره پیش فاکتور],0))</f>
        <v>268007244.92655003</v>
      </c>
      <c r="K1376" s="159">
        <f>bargiri[[#This Row],[مبلغ خالص]]-bargiri[[#This Row],[میزان استهلاک پیش دریافتی]]</f>
        <v>1205030255.0734501</v>
      </c>
      <c r="L1376" s="160" t="s">
        <v>593</v>
      </c>
      <c r="M1376" s="159"/>
      <c r="N1376" s="159">
        <f>IF(bargiri[[#This Row],[مبلغ واریزی]]&lt;&gt;"",bargiri[[#This Row],[مانده مبلغ]]-bargiri[[#This Row],[مبلغ واریزی]],bargiri[[#This Row],[مانده مبلغ]])</f>
        <v>1205030255.0734501</v>
      </c>
      <c r="O1376" s="159" t="s">
        <v>593</v>
      </c>
      <c r="P1376" s="159">
        <f>VLOOKUP(bargiri[[#This Row],[شماره سند مبنا]],invoice[[شماره پیش فاکتور]:[پیش دریافت به ازای هر کیلوگرم]],14,0)</f>
        <v>15010.206940719689</v>
      </c>
      <c r="Q1376" s="159">
        <f>IF(bargiri[[#This Row],[مبلغ ناخالص]]-(bargiri[[#This Row],[نرخ استهلاک]]*bargiri[[#This Row],[مقدار]])&lt;0,0,bargiri[[#This Row],[مبلغ ناخالص]]-(bargiri[[#This Row],[نرخ استهلاک]]*bargiri[[#This Row],[مقدار]]))</f>
        <v>1071117755.07345</v>
      </c>
    </row>
    <row r="1377" spans="1:17" s="22" customFormat="1" ht="13.8" x14ac:dyDescent="0.25">
      <c r="A1377" s="22">
        <v>173</v>
      </c>
      <c r="B1377" s="22" t="s">
        <v>268</v>
      </c>
      <c r="C1377" s="22" t="s">
        <v>72</v>
      </c>
      <c r="D1377" s="22" t="s">
        <v>73</v>
      </c>
      <c r="E1377" s="158">
        <v>20475</v>
      </c>
      <c r="F1377" s="159">
        <v>57273</v>
      </c>
      <c r="G1377" s="159">
        <v>1172664675</v>
      </c>
      <c r="H1377" s="159">
        <v>117266468</v>
      </c>
      <c r="I1377" s="159">
        <v>1289931143</v>
      </c>
      <c r="J1377" s="159" t="e">
        <f>bargiri[[#This Row],[مقدار]]*INDEX(invoice[پیش دریافت به ازای هر کیلوگرم],MATCH(bargiri[[#This Row],[شماره سند مبنا]],invoice[شماره پیش فاکتور],0))</f>
        <v>#N/A</v>
      </c>
      <c r="K1377" s="159" t="e">
        <f>bargiri[[#This Row],[مبلغ خالص]]-bargiri[[#This Row],[میزان استهلاک پیش دریافتی]]</f>
        <v>#N/A</v>
      </c>
      <c r="L1377" s="160" t="s">
        <v>593</v>
      </c>
      <c r="M1377" s="159"/>
      <c r="N1377" s="159" t="e">
        <f>IF(bargiri[[#This Row],[مبلغ واریزی]]&lt;&gt;"",bargiri[[#This Row],[مانده مبلغ]]-bargiri[[#This Row],[مبلغ واریزی]],bargiri[[#This Row],[مانده مبلغ]])</f>
        <v>#N/A</v>
      </c>
      <c r="O1377" s="159" t="s">
        <v>593</v>
      </c>
      <c r="P1377" s="159" t="e">
        <f>VLOOKUP(bargiri[[#This Row],[شماره سند مبنا]],invoice[[شماره پیش فاکتور]:[پیش دریافت به ازای هر کیلوگرم]],14,0)</f>
        <v>#N/A</v>
      </c>
      <c r="Q1377" s="159" t="e">
        <f>IF(bargiri[[#This Row],[مبلغ ناخالص]]-(bargiri[[#This Row],[نرخ استهلاک]]*bargiri[[#This Row],[مقدار]])&lt;0,0,bargiri[[#This Row],[مبلغ ناخالص]]-(bargiri[[#This Row],[نرخ استهلاک]]*bargiri[[#This Row],[مقدار]]))</f>
        <v>#N/A</v>
      </c>
    </row>
    <row r="1378" spans="1:17" s="22" customFormat="1" ht="13.8" x14ac:dyDescent="0.25">
      <c r="A1378" s="22">
        <v>172</v>
      </c>
      <c r="B1378" s="22" t="s">
        <v>268</v>
      </c>
      <c r="C1378" s="22" t="s">
        <v>128</v>
      </c>
      <c r="D1378" s="22" t="s">
        <v>129</v>
      </c>
      <c r="E1378" s="158">
        <v>9065</v>
      </c>
      <c r="F1378" s="159">
        <v>80000</v>
      </c>
      <c r="G1378" s="159">
        <v>725200000</v>
      </c>
      <c r="H1378" s="159">
        <v>72520000</v>
      </c>
      <c r="I1378" s="159">
        <v>797720000</v>
      </c>
      <c r="J1378" s="159">
        <f>bargiri[[#This Row],[مقدار]]*INDEX(invoice[پیش دریافت به ازای هر کیلوگرم],MATCH(bargiri[[#This Row],[شماره سند مبنا]],invoice[شماره پیش فاکتور],0))</f>
        <v>120239155.92028137</v>
      </c>
      <c r="K1378" s="159">
        <f>bargiri[[#This Row],[مبلغ خالص]]-bargiri[[#This Row],[میزان استهلاک پیش دریافتی]]</f>
        <v>677480844.07971859</v>
      </c>
      <c r="L1378" s="160" t="s">
        <v>593</v>
      </c>
      <c r="M1378" s="159"/>
      <c r="N1378" s="159">
        <f>IF(bargiri[[#This Row],[مبلغ واریزی]]&lt;&gt;"",bargiri[[#This Row],[مانده مبلغ]]-bargiri[[#This Row],[مبلغ واریزی]],bargiri[[#This Row],[مانده مبلغ]])</f>
        <v>677480844.07971859</v>
      </c>
      <c r="O1378" s="159" t="s">
        <v>593</v>
      </c>
      <c r="P1378" s="159">
        <f>VLOOKUP(bargiri[[#This Row],[شماره سند مبنا]],invoice[[شماره پیش فاکتور]:[پیش دریافت به ازای هر کیلوگرم]],14,0)</f>
        <v>13264.109864344331</v>
      </c>
      <c r="Q1378" s="159">
        <f>IF(bargiri[[#This Row],[مبلغ ناخالص]]-(bargiri[[#This Row],[نرخ استهلاک]]*bargiri[[#This Row],[مقدار]])&lt;0,0,bargiri[[#This Row],[مبلغ ناخالص]]-(bargiri[[#This Row],[نرخ استهلاک]]*bargiri[[#This Row],[مقدار]]))</f>
        <v>604960844.07971859</v>
      </c>
    </row>
    <row r="1379" spans="1:17" s="22" customFormat="1" ht="13.8" x14ac:dyDescent="0.25">
      <c r="A1379" s="22">
        <v>171</v>
      </c>
      <c r="B1379" s="22" t="s">
        <v>265</v>
      </c>
      <c r="C1379" s="22" t="s">
        <v>72</v>
      </c>
      <c r="D1379" s="22" t="s">
        <v>73</v>
      </c>
      <c r="E1379" s="158">
        <v>20490</v>
      </c>
      <c r="F1379" s="159">
        <v>57273</v>
      </c>
      <c r="G1379" s="159">
        <v>1173523770</v>
      </c>
      <c r="H1379" s="159">
        <v>117352377</v>
      </c>
      <c r="I1379" s="159">
        <v>1290876147</v>
      </c>
      <c r="J1379" s="159" t="e">
        <f>bargiri[[#This Row],[مقدار]]*INDEX(invoice[پیش دریافت به ازای هر کیلوگرم],MATCH(bargiri[[#This Row],[شماره سند مبنا]],invoice[شماره پیش فاکتور],0))</f>
        <v>#N/A</v>
      </c>
      <c r="K1379" s="159" t="e">
        <f>bargiri[[#This Row],[مبلغ خالص]]-bargiri[[#This Row],[میزان استهلاک پیش دریافتی]]</f>
        <v>#N/A</v>
      </c>
      <c r="L1379" s="160" t="s">
        <v>593</v>
      </c>
      <c r="M1379" s="159"/>
      <c r="N1379" s="159" t="e">
        <f>IF(bargiri[[#This Row],[مبلغ واریزی]]&lt;&gt;"",bargiri[[#This Row],[مانده مبلغ]]-bargiri[[#This Row],[مبلغ واریزی]],bargiri[[#This Row],[مانده مبلغ]])</f>
        <v>#N/A</v>
      </c>
      <c r="O1379" s="159" t="s">
        <v>593</v>
      </c>
      <c r="P1379" s="159" t="e">
        <f>VLOOKUP(bargiri[[#This Row],[شماره سند مبنا]],invoice[[شماره پیش فاکتور]:[پیش دریافت به ازای هر کیلوگرم]],14,0)</f>
        <v>#N/A</v>
      </c>
      <c r="Q1379" s="159" t="e">
        <f>IF(bargiri[[#This Row],[مبلغ ناخالص]]-(bargiri[[#This Row],[نرخ استهلاک]]*bargiri[[#This Row],[مقدار]])&lt;0,0,bargiri[[#This Row],[مبلغ ناخالص]]-(bargiri[[#This Row],[نرخ استهلاک]]*bargiri[[#This Row],[مقدار]]))</f>
        <v>#N/A</v>
      </c>
    </row>
    <row r="1380" spans="1:17" s="22" customFormat="1" ht="13.8" x14ac:dyDescent="0.25">
      <c r="A1380" s="22">
        <v>170</v>
      </c>
      <c r="B1380" s="22" t="s">
        <v>265</v>
      </c>
      <c r="C1380" s="22" t="s">
        <v>72</v>
      </c>
      <c r="D1380" s="22" t="s">
        <v>73</v>
      </c>
      <c r="E1380" s="158">
        <v>20470</v>
      </c>
      <c r="F1380" s="159">
        <v>57273</v>
      </c>
      <c r="G1380" s="159">
        <v>1172378310</v>
      </c>
      <c r="H1380" s="159">
        <v>117237831</v>
      </c>
      <c r="I1380" s="159">
        <v>1289616141</v>
      </c>
      <c r="J1380" s="159" t="e">
        <f>bargiri[[#This Row],[مقدار]]*INDEX(invoice[پیش دریافت به ازای هر کیلوگرم],MATCH(bargiri[[#This Row],[شماره سند مبنا]],invoice[شماره پیش فاکتور],0))</f>
        <v>#N/A</v>
      </c>
      <c r="K1380" s="159" t="e">
        <f>bargiri[[#This Row],[مبلغ خالص]]-bargiri[[#This Row],[میزان استهلاک پیش دریافتی]]</f>
        <v>#N/A</v>
      </c>
      <c r="L1380" s="160" t="s">
        <v>593</v>
      </c>
      <c r="M1380" s="159"/>
      <c r="N1380" s="159" t="e">
        <f>IF(bargiri[[#This Row],[مبلغ واریزی]]&lt;&gt;"",bargiri[[#This Row],[مانده مبلغ]]-bargiri[[#This Row],[مبلغ واریزی]],bargiri[[#This Row],[مانده مبلغ]])</f>
        <v>#N/A</v>
      </c>
      <c r="O1380" s="159" t="s">
        <v>593</v>
      </c>
      <c r="P1380" s="159" t="e">
        <f>VLOOKUP(bargiri[[#This Row],[شماره سند مبنا]],invoice[[شماره پیش فاکتور]:[پیش دریافت به ازای هر کیلوگرم]],14,0)</f>
        <v>#N/A</v>
      </c>
      <c r="Q1380" s="159" t="e">
        <f>IF(bargiri[[#This Row],[مبلغ ناخالص]]-(bargiri[[#This Row],[نرخ استهلاک]]*bargiri[[#This Row],[مقدار]])&lt;0,0,bargiri[[#This Row],[مبلغ ناخالص]]-(bargiri[[#This Row],[نرخ استهلاک]]*bargiri[[#This Row],[مقدار]]))</f>
        <v>#N/A</v>
      </c>
    </row>
    <row r="1381" spans="1:17" s="22" customFormat="1" ht="13.8" x14ac:dyDescent="0.25">
      <c r="A1381" s="22">
        <v>169</v>
      </c>
      <c r="B1381" s="22" t="s">
        <v>265</v>
      </c>
      <c r="C1381" s="22" t="s">
        <v>172</v>
      </c>
      <c r="D1381" s="22" t="s">
        <v>173</v>
      </c>
      <c r="E1381" s="158">
        <v>945</v>
      </c>
      <c r="F1381" s="159">
        <v>75000</v>
      </c>
      <c r="G1381" s="159">
        <v>70875000</v>
      </c>
      <c r="H1381" s="159">
        <v>7087500</v>
      </c>
      <c r="I1381" s="159">
        <v>77962500</v>
      </c>
      <c r="J1381" s="159">
        <f>bargiri[[#This Row],[مقدار]]*INDEX(invoice[پیش دریافت به ازای هر کیلوگرم],MATCH(bargiri[[#This Row],[شماره سند مبنا]],invoice[شماره پیش فاکتور],0))</f>
        <v>11694375</v>
      </c>
      <c r="K1381" s="159">
        <f>bargiri[[#This Row],[مبلغ خالص]]-bargiri[[#This Row],[میزان استهلاک پیش دریافتی]]</f>
        <v>66268125</v>
      </c>
      <c r="L1381" s="160" t="s">
        <v>593</v>
      </c>
      <c r="M1381" s="159"/>
      <c r="N1381" s="159">
        <f>IF(bargiri[[#This Row],[مبلغ واریزی]]&lt;&gt;"",bargiri[[#This Row],[مانده مبلغ]]-bargiri[[#This Row],[مبلغ واریزی]],bargiri[[#This Row],[مانده مبلغ]])</f>
        <v>66268125</v>
      </c>
      <c r="O1381" s="159" t="s">
        <v>593</v>
      </c>
      <c r="P1381" s="159">
        <f>VLOOKUP(bargiri[[#This Row],[شماره سند مبنا]],invoice[[شماره پیش فاکتور]:[پیش دریافت به ازای هر کیلوگرم]],14,0)</f>
        <v>12375</v>
      </c>
      <c r="Q1381" s="159">
        <f>IF(bargiri[[#This Row],[مبلغ ناخالص]]-(bargiri[[#This Row],[نرخ استهلاک]]*bargiri[[#This Row],[مقدار]])&lt;0,0,bargiri[[#This Row],[مبلغ ناخالص]]-(bargiri[[#This Row],[نرخ استهلاک]]*bargiri[[#This Row],[مقدار]]))</f>
        <v>59180625</v>
      </c>
    </row>
    <row r="1382" spans="1:17" s="22" customFormat="1" ht="13.8" x14ac:dyDescent="0.25">
      <c r="A1382" s="22">
        <v>169</v>
      </c>
      <c r="B1382" s="22" t="s">
        <v>265</v>
      </c>
      <c r="C1382" s="22" t="s">
        <v>189</v>
      </c>
      <c r="D1382" s="22" t="s">
        <v>173</v>
      </c>
      <c r="E1382" s="158">
        <v>20620</v>
      </c>
      <c r="F1382" s="159">
        <v>75000</v>
      </c>
      <c r="G1382" s="159">
        <v>1546500000</v>
      </c>
      <c r="H1382" s="159">
        <v>154650000</v>
      </c>
      <c r="I1382" s="159">
        <v>1701150000</v>
      </c>
      <c r="J1382" s="159">
        <f>bargiri[[#This Row],[مقدار]]*INDEX(invoice[پیش دریافت به ازای هر کیلوگرم],MATCH(bargiri[[#This Row],[شماره سند مبنا]],invoice[شماره پیش فاکتور],0))</f>
        <v>255172500</v>
      </c>
      <c r="K1382" s="159">
        <f>bargiri[[#This Row],[مبلغ خالص]]-bargiri[[#This Row],[میزان استهلاک پیش دریافتی]]</f>
        <v>1445977500</v>
      </c>
      <c r="L1382" s="160" t="s">
        <v>593</v>
      </c>
      <c r="M1382" s="159"/>
      <c r="N1382" s="159">
        <f>IF(bargiri[[#This Row],[مبلغ واریزی]]&lt;&gt;"",bargiri[[#This Row],[مانده مبلغ]]-bargiri[[#This Row],[مبلغ واریزی]],bargiri[[#This Row],[مانده مبلغ]])</f>
        <v>1445977500</v>
      </c>
      <c r="O1382" s="159" t="s">
        <v>593</v>
      </c>
      <c r="P1382" s="159">
        <f>VLOOKUP(bargiri[[#This Row],[شماره سند مبنا]],invoice[[شماره پیش فاکتور]:[پیش دریافت به ازای هر کیلوگرم]],14,0)</f>
        <v>12375</v>
      </c>
      <c r="Q1382" s="159">
        <f>IF(bargiri[[#This Row],[مبلغ ناخالص]]-(bargiri[[#This Row],[نرخ استهلاک]]*bargiri[[#This Row],[مقدار]])&lt;0,0,bargiri[[#This Row],[مبلغ ناخالص]]-(bargiri[[#This Row],[نرخ استهلاک]]*bargiri[[#This Row],[مقدار]]))</f>
        <v>1291327500</v>
      </c>
    </row>
    <row r="1383" spans="1:17" s="22" customFormat="1" ht="13.8" x14ac:dyDescent="0.25">
      <c r="A1383" s="22">
        <v>168</v>
      </c>
      <c r="B1383" s="22" t="s">
        <v>265</v>
      </c>
      <c r="C1383" s="22" t="s">
        <v>109</v>
      </c>
      <c r="D1383" s="22" t="s">
        <v>110</v>
      </c>
      <c r="E1383" s="158">
        <v>18925</v>
      </c>
      <c r="F1383" s="159">
        <v>70000</v>
      </c>
      <c r="G1383" s="159">
        <v>1324750000</v>
      </c>
      <c r="H1383" s="159">
        <v>132475000</v>
      </c>
      <c r="I1383" s="159">
        <v>1457225000</v>
      </c>
      <c r="J1383" s="159" t="e">
        <f>bargiri[[#This Row],[مقدار]]*INDEX(invoice[پیش دریافت به ازای هر کیلوگرم],MATCH(bargiri[[#This Row],[شماره سند مبنا]],invoice[شماره پیش فاکتور],0))</f>
        <v>#N/A</v>
      </c>
      <c r="K1383" s="159" t="e">
        <f>bargiri[[#This Row],[مبلغ خالص]]-bargiri[[#This Row],[میزان استهلاک پیش دریافتی]]</f>
        <v>#N/A</v>
      </c>
      <c r="L1383" s="160" t="s">
        <v>593</v>
      </c>
      <c r="M1383" s="159"/>
      <c r="N1383" s="159" t="e">
        <f>IF(bargiri[[#This Row],[مبلغ واریزی]]&lt;&gt;"",bargiri[[#This Row],[مانده مبلغ]]-bargiri[[#This Row],[مبلغ واریزی]],bargiri[[#This Row],[مانده مبلغ]])</f>
        <v>#N/A</v>
      </c>
      <c r="O1383" s="159" t="s">
        <v>593</v>
      </c>
      <c r="P1383" s="159" t="e">
        <f>VLOOKUP(bargiri[[#This Row],[شماره سند مبنا]],invoice[[شماره پیش فاکتور]:[پیش دریافت به ازای هر کیلوگرم]],14,0)</f>
        <v>#N/A</v>
      </c>
      <c r="Q1383" s="159" t="e">
        <f>IF(bargiri[[#This Row],[مبلغ ناخالص]]-(bargiri[[#This Row],[نرخ استهلاک]]*bargiri[[#This Row],[مقدار]])&lt;0,0,bargiri[[#This Row],[مبلغ ناخالص]]-(bargiri[[#This Row],[نرخ استهلاک]]*bargiri[[#This Row],[مقدار]]))</f>
        <v>#N/A</v>
      </c>
    </row>
    <row r="1384" spans="1:17" s="22" customFormat="1" ht="13.8" x14ac:dyDescent="0.25">
      <c r="A1384" s="22">
        <v>167</v>
      </c>
      <c r="B1384" s="22" t="s">
        <v>265</v>
      </c>
      <c r="C1384" s="22" t="s">
        <v>66</v>
      </c>
      <c r="D1384" s="22" t="s">
        <v>67</v>
      </c>
      <c r="E1384" s="158">
        <v>18145</v>
      </c>
      <c r="F1384" s="159">
        <v>68500</v>
      </c>
      <c r="G1384" s="159">
        <v>1242932500</v>
      </c>
      <c r="H1384" s="159">
        <v>111863925</v>
      </c>
      <c r="I1384" s="159">
        <v>1354796425</v>
      </c>
      <c r="J1384" s="159" t="e">
        <f>bargiri[[#This Row],[مقدار]]*INDEX(invoice[پیش دریافت به ازای هر کیلوگرم],MATCH(bargiri[[#This Row],[شماره سند مبنا]],invoice[شماره پیش فاکتور],0))</f>
        <v>#N/A</v>
      </c>
      <c r="K1384" s="159" t="e">
        <f>bargiri[[#This Row],[مبلغ خالص]]-bargiri[[#This Row],[میزان استهلاک پیش دریافتی]]</f>
        <v>#N/A</v>
      </c>
      <c r="L1384" s="160" t="s">
        <v>593</v>
      </c>
      <c r="M1384" s="159"/>
      <c r="N1384" s="159" t="e">
        <f>IF(bargiri[[#This Row],[مبلغ واریزی]]&lt;&gt;"",bargiri[[#This Row],[مانده مبلغ]]-bargiri[[#This Row],[مبلغ واریزی]],bargiri[[#This Row],[مانده مبلغ]])</f>
        <v>#N/A</v>
      </c>
      <c r="O1384" s="159" t="s">
        <v>593</v>
      </c>
      <c r="P1384" s="159" t="e">
        <f>VLOOKUP(bargiri[[#This Row],[شماره سند مبنا]],invoice[[شماره پیش فاکتور]:[پیش دریافت به ازای هر کیلوگرم]],14,0)</f>
        <v>#N/A</v>
      </c>
      <c r="Q1384" s="159" t="e">
        <f>IF(bargiri[[#This Row],[مبلغ ناخالص]]-(bargiri[[#This Row],[نرخ استهلاک]]*bargiri[[#This Row],[مقدار]])&lt;0,0,bargiri[[#This Row],[مبلغ ناخالص]]-(bargiri[[#This Row],[نرخ استهلاک]]*bargiri[[#This Row],[مقدار]]))</f>
        <v>#N/A</v>
      </c>
    </row>
    <row r="1385" spans="1:17" s="22" customFormat="1" ht="13.8" x14ac:dyDescent="0.25">
      <c r="A1385" s="22">
        <v>166</v>
      </c>
      <c r="B1385" s="22" t="s">
        <v>319</v>
      </c>
      <c r="C1385" s="22" t="s">
        <v>66</v>
      </c>
      <c r="D1385" s="22" t="s">
        <v>67</v>
      </c>
      <c r="E1385" s="158">
        <v>17885</v>
      </c>
      <c r="F1385" s="159">
        <v>68500</v>
      </c>
      <c r="G1385" s="159">
        <v>1225122500</v>
      </c>
      <c r="H1385" s="159">
        <v>110261025</v>
      </c>
      <c r="I1385" s="159">
        <v>1335383525</v>
      </c>
      <c r="J1385" s="159" t="e">
        <f>bargiri[[#This Row],[مقدار]]*INDEX(invoice[پیش دریافت به ازای هر کیلوگرم],MATCH(bargiri[[#This Row],[شماره سند مبنا]],invoice[شماره پیش فاکتور],0))</f>
        <v>#N/A</v>
      </c>
      <c r="K1385" s="159" t="e">
        <f>bargiri[[#This Row],[مبلغ خالص]]-bargiri[[#This Row],[میزان استهلاک پیش دریافتی]]</f>
        <v>#N/A</v>
      </c>
      <c r="L1385" s="160" t="s">
        <v>593</v>
      </c>
      <c r="M1385" s="159"/>
      <c r="N1385" s="159" t="e">
        <f>IF(bargiri[[#This Row],[مبلغ واریزی]]&lt;&gt;"",bargiri[[#This Row],[مانده مبلغ]]-bargiri[[#This Row],[مبلغ واریزی]],bargiri[[#This Row],[مانده مبلغ]])</f>
        <v>#N/A</v>
      </c>
      <c r="O1385" s="159" t="s">
        <v>593</v>
      </c>
      <c r="P1385" s="159" t="e">
        <f>VLOOKUP(bargiri[[#This Row],[شماره سند مبنا]],invoice[[شماره پیش فاکتور]:[پیش دریافت به ازای هر کیلوگرم]],14,0)</f>
        <v>#N/A</v>
      </c>
      <c r="Q1385" s="159" t="e">
        <f>IF(bargiri[[#This Row],[مبلغ ناخالص]]-(bargiri[[#This Row],[نرخ استهلاک]]*bargiri[[#This Row],[مقدار]])&lt;0,0,bargiri[[#This Row],[مبلغ ناخالص]]-(bargiri[[#This Row],[نرخ استهلاک]]*bargiri[[#This Row],[مقدار]]))</f>
        <v>#N/A</v>
      </c>
    </row>
    <row r="1386" spans="1:17" s="22" customFormat="1" ht="13.8" x14ac:dyDescent="0.25">
      <c r="A1386" s="22">
        <v>165</v>
      </c>
      <c r="B1386" s="22" t="s">
        <v>319</v>
      </c>
      <c r="C1386" s="22" t="s">
        <v>167</v>
      </c>
      <c r="D1386" s="22" t="s">
        <v>43</v>
      </c>
      <c r="E1386" s="158">
        <v>19975</v>
      </c>
      <c r="F1386" s="159">
        <v>80000</v>
      </c>
      <c r="G1386" s="159">
        <v>1598000000</v>
      </c>
      <c r="H1386" s="159">
        <v>159800000</v>
      </c>
      <c r="I1386" s="159">
        <v>1757800000</v>
      </c>
      <c r="J1386" s="159">
        <f>bargiri[[#This Row],[مقدار]]*INDEX(invoice[پیش دریافت به ازای هر کیلوگرم],MATCH(bargiri[[#This Row],[شماره سند مبنا]],invoice[شماره پیش فاکتور],0))</f>
        <v>351560000</v>
      </c>
      <c r="K1386" s="159">
        <f>bargiri[[#This Row],[مبلغ خالص]]-bargiri[[#This Row],[میزان استهلاک پیش دریافتی]]</f>
        <v>1406240000</v>
      </c>
      <c r="L1386" s="160" t="s">
        <v>593</v>
      </c>
      <c r="M1386" s="159"/>
      <c r="N1386" s="159">
        <f>IF(bargiri[[#This Row],[مبلغ واریزی]]&lt;&gt;"",bargiri[[#This Row],[مانده مبلغ]]-bargiri[[#This Row],[مبلغ واریزی]],bargiri[[#This Row],[مانده مبلغ]])</f>
        <v>1406240000</v>
      </c>
      <c r="O1386" s="159" t="s">
        <v>593</v>
      </c>
      <c r="P1386" s="159">
        <f>VLOOKUP(bargiri[[#This Row],[شماره سند مبنا]],invoice[[شماره پیش فاکتور]:[پیش دریافت به ازای هر کیلوگرم]],14,0)</f>
        <v>17600</v>
      </c>
      <c r="Q1386" s="159">
        <f>IF(bargiri[[#This Row],[مبلغ ناخالص]]-(bargiri[[#This Row],[نرخ استهلاک]]*bargiri[[#This Row],[مقدار]])&lt;0,0,bargiri[[#This Row],[مبلغ ناخالص]]-(bargiri[[#This Row],[نرخ استهلاک]]*bargiri[[#This Row],[مقدار]]))</f>
        <v>1246440000</v>
      </c>
    </row>
    <row r="1387" spans="1:17" s="22" customFormat="1" ht="13.8" x14ac:dyDescent="0.25">
      <c r="A1387" s="22">
        <v>164</v>
      </c>
      <c r="B1387" s="22" t="s">
        <v>319</v>
      </c>
      <c r="C1387" s="22" t="s">
        <v>155</v>
      </c>
      <c r="D1387" s="22" t="s">
        <v>156</v>
      </c>
      <c r="E1387" s="158">
        <v>19860</v>
      </c>
      <c r="F1387" s="159">
        <v>75000</v>
      </c>
      <c r="G1387" s="159">
        <v>1489500000</v>
      </c>
      <c r="H1387" s="159">
        <v>148950000</v>
      </c>
      <c r="I1387" s="159">
        <v>1638450000</v>
      </c>
      <c r="J1387" s="159">
        <f>bargiri[[#This Row],[مقدار]]*INDEX(invoice[پیش دریافت به ازای هر کیلوگرم],MATCH(bargiri[[#This Row],[شماره سند مبنا]],invoice[شماره پیش فاکتور],0))</f>
        <v>245767500</v>
      </c>
      <c r="K1387" s="159">
        <f>bargiri[[#This Row],[مبلغ خالص]]-bargiri[[#This Row],[میزان استهلاک پیش دریافتی]]</f>
        <v>1392682500</v>
      </c>
      <c r="L1387" s="160" t="s">
        <v>593</v>
      </c>
      <c r="M1387" s="159"/>
      <c r="N1387" s="159">
        <f>IF(bargiri[[#This Row],[مبلغ واریزی]]&lt;&gt;"",bargiri[[#This Row],[مانده مبلغ]]-bargiri[[#This Row],[مبلغ واریزی]],bargiri[[#This Row],[مانده مبلغ]])</f>
        <v>1392682500</v>
      </c>
      <c r="O1387" s="159" t="s">
        <v>593</v>
      </c>
      <c r="P1387" s="159">
        <f>VLOOKUP(bargiri[[#This Row],[شماره سند مبنا]],invoice[[شماره پیش فاکتور]:[پیش دریافت به ازای هر کیلوگرم]],14,0)</f>
        <v>12375</v>
      </c>
      <c r="Q1387" s="159">
        <f>IF(bargiri[[#This Row],[مبلغ ناخالص]]-(bargiri[[#This Row],[نرخ استهلاک]]*bargiri[[#This Row],[مقدار]])&lt;0,0,bargiri[[#This Row],[مبلغ ناخالص]]-(bargiri[[#This Row],[نرخ استهلاک]]*bargiri[[#This Row],[مقدار]]))</f>
        <v>1243732500</v>
      </c>
    </row>
    <row r="1388" spans="1:17" s="22" customFormat="1" ht="13.8" x14ac:dyDescent="0.25">
      <c r="A1388" s="22">
        <v>163</v>
      </c>
      <c r="B1388" s="22" t="s">
        <v>202</v>
      </c>
      <c r="C1388" s="22" t="s">
        <v>115</v>
      </c>
      <c r="D1388" s="22" t="s">
        <v>116</v>
      </c>
      <c r="E1388" s="158">
        <v>18190</v>
      </c>
      <c r="F1388" s="159">
        <v>75000</v>
      </c>
      <c r="G1388" s="159">
        <v>1364250000</v>
      </c>
      <c r="H1388" s="159">
        <v>136425000</v>
      </c>
      <c r="I1388" s="159">
        <v>1500675000</v>
      </c>
      <c r="J1388" s="159">
        <f>bargiri[[#This Row],[مقدار]]*INDEX(invoice[پیش دریافت به ازای هر کیلوگرم],MATCH(bargiri[[#This Row],[شماره سند مبنا]],invoice[شماره پیش فاکتور],0))</f>
        <v>273035664.25169116</v>
      </c>
      <c r="K1388" s="159">
        <f>bargiri[[#This Row],[مبلغ خالص]]-bargiri[[#This Row],[میزان استهلاک پیش دریافتی]]</f>
        <v>1227639335.7483089</v>
      </c>
      <c r="L1388" s="160" t="s">
        <v>593</v>
      </c>
      <c r="M1388" s="159"/>
      <c r="N1388" s="159">
        <f>IF(bargiri[[#This Row],[مبلغ واریزی]]&lt;&gt;"",bargiri[[#This Row],[مانده مبلغ]]-bargiri[[#This Row],[مبلغ واریزی]],bargiri[[#This Row],[مانده مبلغ]])</f>
        <v>1227639335.7483089</v>
      </c>
      <c r="O1388" s="159" t="s">
        <v>593</v>
      </c>
      <c r="P1388" s="159">
        <f>VLOOKUP(bargiri[[#This Row],[شماره سند مبنا]],invoice[[شماره پیش فاکتور]:[پیش دریافت به ازای هر کیلوگرم]],14,0)</f>
        <v>15010.206940719689</v>
      </c>
      <c r="Q1388" s="159">
        <f>IF(bargiri[[#This Row],[مبلغ ناخالص]]-(bargiri[[#This Row],[نرخ استهلاک]]*bargiri[[#This Row],[مقدار]])&lt;0,0,bargiri[[#This Row],[مبلغ ناخالص]]-(bargiri[[#This Row],[نرخ استهلاک]]*bargiri[[#This Row],[مقدار]]))</f>
        <v>1091214335.7483089</v>
      </c>
    </row>
    <row r="1389" spans="1:17" s="22" customFormat="1" ht="13.8" x14ac:dyDescent="0.25">
      <c r="A1389" s="22">
        <v>162</v>
      </c>
      <c r="B1389" s="22" t="s">
        <v>202</v>
      </c>
      <c r="C1389" s="22" t="s">
        <v>107</v>
      </c>
      <c r="D1389" s="22" t="s">
        <v>30</v>
      </c>
      <c r="E1389" s="158">
        <v>11920</v>
      </c>
      <c r="F1389" s="159">
        <v>70000</v>
      </c>
      <c r="G1389" s="159">
        <v>834400000</v>
      </c>
      <c r="H1389" s="159">
        <v>83440000</v>
      </c>
      <c r="I1389" s="159">
        <v>917840000</v>
      </c>
      <c r="J1389" s="159">
        <f>bargiri[[#This Row],[مقدار]]*INDEX(invoice[پیش دریافت به ازای هر کیلوگرم],MATCH(bargiri[[#This Row],[شماره سند مبنا]],invoice[شماره پیش فاکتور],0))</f>
        <v>458920000</v>
      </c>
      <c r="K1389" s="159">
        <f>bargiri[[#This Row],[مبلغ خالص]]-bargiri[[#This Row],[میزان استهلاک پیش دریافتی]]</f>
        <v>458920000</v>
      </c>
      <c r="L1389" s="160" t="s">
        <v>593</v>
      </c>
      <c r="M1389" s="159"/>
      <c r="N1389" s="159">
        <f>IF(bargiri[[#This Row],[مبلغ واریزی]]&lt;&gt;"",bargiri[[#This Row],[مانده مبلغ]]-bargiri[[#This Row],[مبلغ واریزی]],bargiri[[#This Row],[مانده مبلغ]])</f>
        <v>458920000</v>
      </c>
      <c r="O1389" s="159" t="s">
        <v>593</v>
      </c>
      <c r="P1389" s="159">
        <f>VLOOKUP(bargiri[[#This Row],[شماره سند مبنا]],invoice[[شماره پیش فاکتور]:[پیش دریافت به ازای هر کیلوگرم]],14,0)</f>
        <v>38500</v>
      </c>
      <c r="Q1389" s="159">
        <f>IF(bargiri[[#This Row],[مبلغ ناخالص]]-(bargiri[[#This Row],[نرخ استهلاک]]*bargiri[[#This Row],[مقدار]])&lt;0,0,bargiri[[#This Row],[مبلغ ناخالص]]-(bargiri[[#This Row],[نرخ استهلاک]]*bargiri[[#This Row],[مقدار]]))</f>
        <v>375480000</v>
      </c>
    </row>
    <row r="1390" spans="1:17" s="22" customFormat="1" ht="13.8" x14ac:dyDescent="0.25">
      <c r="A1390" s="22">
        <v>161</v>
      </c>
      <c r="B1390" s="22" t="s">
        <v>202</v>
      </c>
      <c r="C1390" s="22" t="s">
        <v>161</v>
      </c>
      <c r="D1390" s="22" t="s">
        <v>40</v>
      </c>
      <c r="E1390" s="158">
        <v>17975</v>
      </c>
      <c r="F1390" s="159">
        <v>65000</v>
      </c>
      <c r="G1390" s="159">
        <v>1168375000</v>
      </c>
      <c r="H1390" s="159">
        <v>116837500</v>
      </c>
      <c r="I1390" s="159">
        <v>1285212500</v>
      </c>
      <c r="J1390" s="159">
        <f>bargiri[[#This Row],[مقدار]]*INDEX(invoice[پیش دریافت به ازای هر کیلوگرم],MATCH(bargiri[[#This Row],[شماره سند مبنا]],invoice[شماره پیش فاکتور],0))</f>
        <v>192781875</v>
      </c>
      <c r="K1390" s="159">
        <f>bargiri[[#This Row],[مبلغ خالص]]-bargiri[[#This Row],[میزان استهلاک پیش دریافتی]]</f>
        <v>1092430625</v>
      </c>
      <c r="L1390" s="160" t="s">
        <v>593</v>
      </c>
      <c r="M1390" s="159"/>
      <c r="N1390" s="159">
        <f>IF(bargiri[[#This Row],[مبلغ واریزی]]&lt;&gt;"",bargiri[[#This Row],[مانده مبلغ]]-bargiri[[#This Row],[مبلغ واریزی]],bargiri[[#This Row],[مانده مبلغ]])</f>
        <v>1092430625</v>
      </c>
      <c r="O1390" s="159" t="s">
        <v>593</v>
      </c>
      <c r="P1390" s="159">
        <f>VLOOKUP(bargiri[[#This Row],[شماره سند مبنا]],invoice[[شماره پیش فاکتور]:[پیش دریافت به ازای هر کیلوگرم]],14,0)</f>
        <v>10725</v>
      </c>
      <c r="Q1390" s="159">
        <f>IF(bargiri[[#This Row],[مبلغ ناخالص]]-(bargiri[[#This Row],[نرخ استهلاک]]*bargiri[[#This Row],[مقدار]])&lt;0,0,bargiri[[#This Row],[مبلغ ناخالص]]-(bargiri[[#This Row],[نرخ استهلاک]]*bargiri[[#This Row],[مقدار]]))</f>
        <v>975593125</v>
      </c>
    </row>
    <row r="1391" spans="1:17" s="22" customFormat="1" ht="13.8" x14ac:dyDescent="0.25">
      <c r="A1391" s="22">
        <v>160</v>
      </c>
      <c r="B1391" s="22" t="s">
        <v>202</v>
      </c>
      <c r="C1391" s="22" t="s">
        <v>119</v>
      </c>
      <c r="D1391" s="22" t="s">
        <v>25</v>
      </c>
      <c r="E1391" s="158">
        <v>20040</v>
      </c>
      <c r="F1391" s="159">
        <v>75000</v>
      </c>
      <c r="G1391" s="159">
        <v>1503000000</v>
      </c>
      <c r="H1391" s="159">
        <v>150300000</v>
      </c>
      <c r="I1391" s="159">
        <v>1653300000</v>
      </c>
      <c r="J1391" s="159">
        <f>bargiri[[#This Row],[مقدار]]*INDEX(invoice[پیش دریافت به ازای هر کیلوگرم],MATCH(bargiri[[#This Row],[شماره سند مبنا]],invoice[شماره پیش فاکتور],0))</f>
        <v>247995000</v>
      </c>
      <c r="K1391" s="159">
        <f>bargiri[[#This Row],[مبلغ خالص]]-bargiri[[#This Row],[میزان استهلاک پیش دریافتی]]</f>
        <v>1405305000</v>
      </c>
      <c r="L1391" s="160" t="s">
        <v>593</v>
      </c>
      <c r="M1391" s="159"/>
      <c r="N1391" s="159">
        <f>IF(bargiri[[#This Row],[مبلغ واریزی]]&lt;&gt;"",bargiri[[#This Row],[مانده مبلغ]]-bargiri[[#This Row],[مبلغ واریزی]],bargiri[[#This Row],[مانده مبلغ]])</f>
        <v>1405305000</v>
      </c>
      <c r="O1391" s="159" t="s">
        <v>593</v>
      </c>
      <c r="P1391" s="159">
        <f>VLOOKUP(bargiri[[#This Row],[شماره سند مبنا]],invoice[[شماره پیش فاکتور]:[پیش دریافت به ازای هر کیلوگرم]],14,0)</f>
        <v>12375</v>
      </c>
      <c r="Q1391" s="159">
        <f>IF(bargiri[[#This Row],[مبلغ ناخالص]]-(bargiri[[#This Row],[نرخ استهلاک]]*bargiri[[#This Row],[مقدار]])&lt;0,0,bargiri[[#This Row],[مبلغ ناخالص]]-(bargiri[[#This Row],[نرخ استهلاک]]*bargiri[[#This Row],[مقدار]]))</f>
        <v>1255005000</v>
      </c>
    </row>
    <row r="1392" spans="1:17" s="22" customFormat="1" ht="13.8" x14ac:dyDescent="0.25">
      <c r="A1392" s="22">
        <v>159</v>
      </c>
      <c r="B1392" s="22" t="s">
        <v>202</v>
      </c>
      <c r="C1392" s="22" t="s">
        <v>72</v>
      </c>
      <c r="D1392" s="22" t="s">
        <v>73</v>
      </c>
      <c r="E1392" s="158">
        <v>21110</v>
      </c>
      <c r="F1392" s="159">
        <v>57273</v>
      </c>
      <c r="G1392" s="159">
        <v>1209033030</v>
      </c>
      <c r="H1392" s="159">
        <v>120903303</v>
      </c>
      <c r="I1392" s="159">
        <v>1329936333</v>
      </c>
      <c r="J1392" s="159" t="e">
        <f>bargiri[[#This Row],[مقدار]]*INDEX(invoice[پیش دریافت به ازای هر کیلوگرم],MATCH(bargiri[[#This Row],[شماره سند مبنا]],invoice[شماره پیش فاکتور],0))</f>
        <v>#N/A</v>
      </c>
      <c r="K1392" s="159" t="e">
        <f>bargiri[[#This Row],[مبلغ خالص]]-bargiri[[#This Row],[میزان استهلاک پیش دریافتی]]</f>
        <v>#N/A</v>
      </c>
      <c r="L1392" s="160" t="s">
        <v>593</v>
      </c>
      <c r="M1392" s="159"/>
      <c r="N1392" s="159" t="e">
        <f>IF(bargiri[[#This Row],[مبلغ واریزی]]&lt;&gt;"",bargiri[[#This Row],[مانده مبلغ]]-bargiri[[#This Row],[مبلغ واریزی]],bargiri[[#This Row],[مانده مبلغ]])</f>
        <v>#N/A</v>
      </c>
      <c r="O1392" s="159" t="s">
        <v>593</v>
      </c>
      <c r="P1392" s="159" t="e">
        <f>VLOOKUP(bargiri[[#This Row],[شماره سند مبنا]],invoice[[شماره پیش فاکتور]:[پیش دریافت به ازای هر کیلوگرم]],14,0)</f>
        <v>#N/A</v>
      </c>
      <c r="Q1392" s="159" t="e">
        <f>IF(bargiri[[#This Row],[مبلغ ناخالص]]-(bargiri[[#This Row],[نرخ استهلاک]]*bargiri[[#This Row],[مقدار]])&lt;0,0,bargiri[[#This Row],[مبلغ ناخالص]]-(bargiri[[#This Row],[نرخ استهلاک]]*bargiri[[#This Row],[مقدار]]))</f>
        <v>#N/A</v>
      </c>
    </row>
    <row r="1393" spans="1:17" s="22" customFormat="1" ht="13.8" x14ac:dyDescent="0.25">
      <c r="A1393" s="22">
        <v>158</v>
      </c>
      <c r="B1393" s="22" t="s">
        <v>202</v>
      </c>
      <c r="C1393" s="22" t="s">
        <v>72</v>
      </c>
      <c r="D1393" s="22" t="s">
        <v>73</v>
      </c>
      <c r="E1393" s="158">
        <v>21230</v>
      </c>
      <c r="F1393" s="159">
        <v>57273</v>
      </c>
      <c r="G1393" s="159">
        <v>1215905790</v>
      </c>
      <c r="H1393" s="159">
        <v>121590579</v>
      </c>
      <c r="I1393" s="159">
        <v>1337496369</v>
      </c>
      <c r="J1393" s="159" t="e">
        <f>bargiri[[#This Row],[مقدار]]*INDEX(invoice[پیش دریافت به ازای هر کیلوگرم],MATCH(bargiri[[#This Row],[شماره سند مبنا]],invoice[شماره پیش فاکتور],0))</f>
        <v>#N/A</v>
      </c>
      <c r="K1393" s="159" t="e">
        <f>bargiri[[#This Row],[مبلغ خالص]]-bargiri[[#This Row],[میزان استهلاک پیش دریافتی]]</f>
        <v>#N/A</v>
      </c>
      <c r="L1393" s="160" t="s">
        <v>593</v>
      </c>
      <c r="M1393" s="159"/>
      <c r="N1393" s="159" t="e">
        <f>IF(bargiri[[#This Row],[مبلغ واریزی]]&lt;&gt;"",bargiri[[#This Row],[مانده مبلغ]]-bargiri[[#This Row],[مبلغ واریزی]],bargiri[[#This Row],[مانده مبلغ]])</f>
        <v>#N/A</v>
      </c>
      <c r="O1393" s="159" t="s">
        <v>593</v>
      </c>
      <c r="P1393" s="159" t="e">
        <f>VLOOKUP(bargiri[[#This Row],[شماره سند مبنا]],invoice[[شماره پیش فاکتور]:[پیش دریافت به ازای هر کیلوگرم]],14,0)</f>
        <v>#N/A</v>
      </c>
      <c r="Q1393" s="159" t="e">
        <f>IF(bargiri[[#This Row],[مبلغ ناخالص]]-(bargiri[[#This Row],[نرخ استهلاک]]*bargiri[[#This Row],[مقدار]])&lt;0,0,bargiri[[#This Row],[مبلغ ناخالص]]-(bargiri[[#This Row],[نرخ استهلاک]]*bargiri[[#This Row],[مقدار]]))</f>
        <v>#N/A</v>
      </c>
    </row>
    <row r="1394" spans="1:17" s="22" customFormat="1" ht="13.8" x14ac:dyDescent="0.25">
      <c r="A1394" s="22">
        <v>157</v>
      </c>
      <c r="B1394" s="22" t="s">
        <v>318</v>
      </c>
      <c r="C1394" s="22" t="s">
        <v>149</v>
      </c>
      <c r="D1394" s="22" t="s">
        <v>35</v>
      </c>
      <c r="E1394" s="158">
        <v>7385</v>
      </c>
      <c r="F1394" s="159">
        <v>75000</v>
      </c>
      <c r="G1394" s="159">
        <v>553875000</v>
      </c>
      <c r="H1394" s="159">
        <v>55387500</v>
      </c>
      <c r="I1394" s="159">
        <v>609262500</v>
      </c>
      <c r="J1394" s="159">
        <f>bargiri[[#This Row],[مقدار]]*INDEX(invoice[پیش دریافت به ازای هر کیلوگرم],MATCH(bargiri[[#This Row],[شماره سند مبنا]],invoice[شماره پیش فاکتور],0))</f>
        <v>91396077.379007801</v>
      </c>
      <c r="K1394" s="159">
        <f>bargiri[[#This Row],[مبلغ خالص]]-bargiri[[#This Row],[میزان استهلاک پیش دریافتی]]</f>
        <v>517866422.62099218</v>
      </c>
      <c r="L1394" s="160" t="s">
        <v>593</v>
      </c>
      <c r="M1394" s="159"/>
      <c r="N1394" s="159">
        <f>IF(bargiri[[#This Row],[مبلغ واریزی]]&lt;&gt;"",bargiri[[#This Row],[مانده مبلغ]]-bargiri[[#This Row],[مبلغ واریزی]],bargiri[[#This Row],[مانده مبلغ]])</f>
        <v>517866422.62099218</v>
      </c>
      <c r="O1394" s="159" t="s">
        <v>593</v>
      </c>
      <c r="P1394" s="159">
        <f>VLOOKUP(bargiri[[#This Row],[شماره سند مبنا]],invoice[[شماره پیش فاکتور]:[پیش دریافت به ازای هر کیلوگرم]],14,0)</f>
        <v>12375.907566554881</v>
      </c>
      <c r="Q1394" s="159">
        <f>IF(bargiri[[#This Row],[مبلغ ناخالص]]-(bargiri[[#This Row],[نرخ استهلاک]]*bargiri[[#This Row],[مقدار]])&lt;0,0,bargiri[[#This Row],[مبلغ ناخالص]]-(bargiri[[#This Row],[نرخ استهلاک]]*bargiri[[#This Row],[مقدار]]))</f>
        <v>462478922.62099218</v>
      </c>
    </row>
    <row r="1395" spans="1:17" s="22" customFormat="1" ht="13.8" x14ac:dyDescent="0.25">
      <c r="A1395" s="22">
        <v>156</v>
      </c>
      <c r="B1395" s="22" t="s">
        <v>318</v>
      </c>
      <c r="C1395" s="22" t="s">
        <v>88</v>
      </c>
      <c r="D1395" s="22" t="s">
        <v>89</v>
      </c>
      <c r="E1395" s="158">
        <v>20100</v>
      </c>
      <c r="F1395" s="159">
        <v>78000</v>
      </c>
      <c r="G1395" s="159">
        <v>1567800000</v>
      </c>
      <c r="H1395" s="159">
        <v>156780000</v>
      </c>
      <c r="I1395" s="159">
        <v>1724580000</v>
      </c>
      <c r="J1395" s="159" t="e">
        <f>bargiri[[#This Row],[مقدار]]*INDEX(invoice[پیش دریافت به ازای هر کیلوگرم],MATCH(bargiri[[#This Row],[شماره سند مبنا]],invoice[شماره پیش فاکتور],0))</f>
        <v>#N/A</v>
      </c>
      <c r="K1395" s="159" t="e">
        <f>bargiri[[#This Row],[مبلغ خالص]]-bargiri[[#This Row],[میزان استهلاک پیش دریافتی]]</f>
        <v>#N/A</v>
      </c>
      <c r="L1395" s="160" t="s">
        <v>593</v>
      </c>
      <c r="M1395" s="159"/>
      <c r="N1395" s="159" t="e">
        <f>IF(bargiri[[#This Row],[مبلغ واریزی]]&lt;&gt;"",bargiri[[#This Row],[مانده مبلغ]]-bargiri[[#This Row],[مبلغ واریزی]],bargiri[[#This Row],[مانده مبلغ]])</f>
        <v>#N/A</v>
      </c>
      <c r="O1395" s="159" t="s">
        <v>593</v>
      </c>
      <c r="P1395" s="159" t="e">
        <f>VLOOKUP(bargiri[[#This Row],[شماره سند مبنا]],invoice[[شماره پیش فاکتور]:[پیش دریافت به ازای هر کیلوگرم]],14,0)</f>
        <v>#N/A</v>
      </c>
      <c r="Q1395" s="159" t="e">
        <f>IF(bargiri[[#This Row],[مبلغ ناخالص]]-(bargiri[[#This Row],[نرخ استهلاک]]*bargiri[[#This Row],[مقدار]])&lt;0,0,bargiri[[#This Row],[مبلغ ناخالص]]-(bargiri[[#This Row],[نرخ استهلاک]]*bargiri[[#This Row],[مقدار]]))</f>
        <v>#N/A</v>
      </c>
    </row>
    <row r="1396" spans="1:17" s="22" customFormat="1" ht="13.8" x14ac:dyDescent="0.25">
      <c r="A1396" s="22">
        <v>155</v>
      </c>
      <c r="B1396" s="22" t="s">
        <v>318</v>
      </c>
      <c r="C1396" s="22" t="s">
        <v>149</v>
      </c>
      <c r="D1396" s="22" t="s">
        <v>35</v>
      </c>
      <c r="E1396" s="158">
        <v>7220</v>
      </c>
      <c r="F1396" s="159">
        <v>75000</v>
      </c>
      <c r="G1396" s="159">
        <v>541500000</v>
      </c>
      <c r="H1396" s="159">
        <v>54150000</v>
      </c>
      <c r="I1396" s="159">
        <v>595650000</v>
      </c>
      <c r="J1396" s="159">
        <f>bargiri[[#This Row],[مقدار]]*INDEX(invoice[پیش دریافت به ازای هر کیلوگرم],MATCH(bargiri[[#This Row],[شماره سند مبنا]],invoice[شماره پیش فاکتور],0))</f>
        <v>89354052.630526245</v>
      </c>
      <c r="K1396" s="159">
        <f>bargiri[[#This Row],[مبلغ خالص]]-bargiri[[#This Row],[میزان استهلاک پیش دریافتی]]</f>
        <v>506295947.36947376</v>
      </c>
      <c r="L1396" s="160" t="s">
        <v>593</v>
      </c>
      <c r="M1396" s="159"/>
      <c r="N1396" s="159">
        <f>IF(bargiri[[#This Row],[مبلغ واریزی]]&lt;&gt;"",bargiri[[#This Row],[مانده مبلغ]]-bargiri[[#This Row],[مبلغ واریزی]],bargiri[[#This Row],[مانده مبلغ]])</f>
        <v>506295947.36947376</v>
      </c>
      <c r="O1396" s="159" t="s">
        <v>593</v>
      </c>
      <c r="P1396" s="159">
        <f>VLOOKUP(bargiri[[#This Row],[شماره سند مبنا]],invoice[[شماره پیش فاکتور]:[پیش دریافت به ازای هر کیلوگرم]],14,0)</f>
        <v>12375.907566554881</v>
      </c>
      <c r="Q1396" s="159">
        <f>IF(bargiri[[#This Row],[مبلغ ناخالص]]-(bargiri[[#This Row],[نرخ استهلاک]]*bargiri[[#This Row],[مقدار]])&lt;0,0,bargiri[[#This Row],[مبلغ ناخالص]]-(bargiri[[#This Row],[نرخ استهلاک]]*bargiri[[#This Row],[مقدار]]))</f>
        <v>452145947.36947376</v>
      </c>
    </row>
    <row r="1397" spans="1:17" s="22" customFormat="1" ht="13.8" x14ac:dyDescent="0.25">
      <c r="A1397" s="22">
        <v>154</v>
      </c>
      <c r="B1397" s="22" t="s">
        <v>393</v>
      </c>
      <c r="C1397" s="22" t="s">
        <v>128</v>
      </c>
      <c r="D1397" s="22" t="s">
        <v>129</v>
      </c>
      <c r="E1397" s="158">
        <v>9065</v>
      </c>
      <c r="F1397" s="159">
        <v>80000</v>
      </c>
      <c r="G1397" s="159">
        <v>725200000</v>
      </c>
      <c r="H1397" s="159">
        <v>72520000</v>
      </c>
      <c r="I1397" s="159">
        <v>797720000</v>
      </c>
      <c r="J1397" s="159">
        <f>bargiri[[#This Row],[مقدار]]*INDEX(invoice[پیش دریافت به ازای هر کیلوگرم],MATCH(bargiri[[#This Row],[شماره سند مبنا]],invoice[شماره پیش فاکتور],0))</f>
        <v>120239155.92028137</v>
      </c>
      <c r="K1397" s="159">
        <f>bargiri[[#This Row],[مبلغ خالص]]-bargiri[[#This Row],[میزان استهلاک پیش دریافتی]]</f>
        <v>677480844.07971859</v>
      </c>
      <c r="L1397" s="160" t="s">
        <v>593</v>
      </c>
      <c r="M1397" s="159"/>
      <c r="N1397" s="159">
        <f>IF(bargiri[[#This Row],[مبلغ واریزی]]&lt;&gt;"",bargiri[[#This Row],[مانده مبلغ]]-bargiri[[#This Row],[مبلغ واریزی]],bargiri[[#This Row],[مانده مبلغ]])</f>
        <v>677480844.07971859</v>
      </c>
      <c r="O1397" s="159" t="s">
        <v>593</v>
      </c>
      <c r="P1397" s="159">
        <f>VLOOKUP(bargiri[[#This Row],[شماره سند مبنا]],invoice[[شماره پیش فاکتور]:[پیش دریافت به ازای هر کیلوگرم]],14,0)</f>
        <v>13264.109864344331</v>
      </c>
      <c r="Q1397" s="159">
        <f>IF(bargiri[[#This Row],[مبلغ ناخالص]]-(bargiri[[#This Row],[نرخ استهلاک]]*bargiri[[#This Row],[مقدار]])&lt;0,0,bargiri[[#This Row],[مبلغ ناخالص]]-(bargiri[[#This Row],[نرخ استهلاک]]*bargiri[[#This Row],[مقدار]]))</f>
        <v>604960844.07971859</v>
      </c>
    </row>
    <row r="1398" spans="1:17" s="22" customFormat="1" ht="13.8" x14ac:dyDescent="0.25">
      <c r="A1398" s="22">
        <v>153</v>
      </c>
      <c r="B1398" s="22" t="s">
        <v>393</v>
      </c>
      <c r="C1398" s="22" t="s">
        <v>179</v>
      </c>
      <c r="D1398" s="22" t="s">
        <v>180</v>
      </c>
      <c r="E1398" s="158">
        <v>7085</v>
      </c>
      <c r="F1398" s="159">
        <v>75000</v>
      </c>
      <c r="G1398" s="159">
        <v>531375000</v>
      </c>
      <c r="H1398" s="159">
        <v>53137500</v>
      </c>
      <c r="I1398" s="159">
        <v>584512500</v>
      </c>
      <c r="J1398" s="159">
        <f>bargiri[[#This Row],[مقدار]]*INDEX(invoice[پیش دریافت به ازای هر کیلوگرم],MATCH(bargiri[[#This Row],[شماره سند مبنا]],invoice[شماره پیش فاکتور],0))</f>
        <v>154474012.62663338</v>
      </c>
      <c r="K1398" s="159">
        <f>bargiri[[#This Row],[مبلغ خالص]]-bargiri[[#This Row],[میزان استهلاک پیش دریافتی]]</f>
        <v>430038487.37336659</v>
      </c>
      <c r="L1398" s="160" t="s">
        <v>593</v>
      </c>
      <c r="M1398" s="159"/>
      <c r="N1398" s="159">
        <f>IF(bargiri[[#This Row],[مبلغ واریزی]]&lt;&gt;"",bargiri[[#This Row],[مانده مبلغ]]-bargiri[[#This Row],[مبلغ واریزی]],bargiri[[#This Row],[مانده مبلغ]])</f>
        <v>430038487.37336659</v>
      </c>
      <c r="O1398" s="159" t="s">
        <v>593</v>
      </c>
      <c r="P1398" s="159">
        <f>VLOOKUP(bargiri[[#This Row],[شماره سند مبنا]],invoice[[شماره پیش فاکتور]:[پیش دریافت به ازای هر کیلوگرم]],14,0)</f>
        <v>21802.965790632799</v>
      </c>
      <c r="Q1398" s="159">
        <f>IF(bargiri[[#This Row],[مبلغ ناخالص]]-(bargiri[[#This Row],[نرخ استهلاک]]*bargiri[[#This Row],[مقدار]])&lt;0,0,bargiri[[#This Row],[مبلغ ناخالص]]-(bargiri[[#This Row],[نرخ استهلاک]]*bargiri[[#This Row],[مقدار]]))</f>
        <v>376900987.37336659</v>
      </c>
    </row>
    <row r="1399" spans="1:17" s="22" customFormat="1" ht="13.8" x14ac:dyDescent="0.25">
      <c r="A1399" s="22">
        <v>152</v>
      </c>
      <c r="B1399" s="22" t="s">
        <v>387</v>
      </c>
      <c r="C1399" s="22" t="s">
        <v>149</v>
      </c>
      <c r="D1399" s="22" t="s">
        <v>35</v>
      </c>
      <c r="E1399" s="158">
        <v>7075</v>
      </c>
      <c r="F1399" s="159">
        <v>75000</v>
      </c>
      <c r="G1399" s="159">
        <v>530625000</v>
      </c>
      <c r="H1399" s="159">
        <v>53062500</v>
      </c>
      <c r="I1399" s="159">
        <v>583687500</v>
      </c>
      <c r="J1399" s="159">
        <f>bargiri[[#This Row],[مقدار]]*INDEX(invoice[پیش دریافت به ازای هر کیلوگرم],MATCH(bargiri[[#This Row],[شماره سند مبنا]],invoice[شماره پیش فاکتور],0))</f>
        <v>87559546.033375785</v>
      </c>
      <c r="K1399" s="159">
        <f>bargiri[[#This Row],[مبلغ خالص]]-bargiri[[#This Row],[میزان استهلاک پیش دریافتی]]</f>
        <v>496127953.9666242</v>
      </c>
      <c r="L1399" s="160" t="s">
        <v>593</v>
      </c>
      <c r="M1399" s="159"/>
      <c r="N1399" s="159">
        <f>IF(bargiri[[#This Row],[مبلغ واریزی]]&lt;&gt;"",bargiri[[#This Row],[مانده مبلغ]]-bargiri[[#This Row],[مبلغ واریزی]],bargiri[[#This Row],[مانده مبلغ]])</f>
        <v>496127953.9666242</v>
      </c>
      <c r="O1399" s="159" t="s">
        <v>593</v>
      </c>
      <c r="P1399" s="159">
        <f>VLOOKUP(bargiri[[#This Row],[شماره سند مبنا]],invoice[[شماره پیش فاکتور]:[پیش دریافت به ازای هر کیلوگرم]],14,0)</f>
        <v>12375.907566554881</v>
      </c>
      <c r="Q1399" s="159">
        <f>IF(bargiri[[#This Row],[مبلغ ناخالص]]-(bargiri[[#This Row],[نرخ استهلاک]]*bargiri[[#This Row],[مقدار]])&lt;0,0,bargiri[[#This Row],[مبلغ ناخالص]]-(bargiri[[#This Row],[نرخ استهلاک]]*bargiri[[#This Row],[مقدار]]))</f>
        <v>443065453.9666242</v>
      </c>
    </row>
    <row r="1400" spans="1:17" s="22" customFormat="1" ht="13.8" x14ac:dyDescent="0.25">
      <c r="A1400" s="22">
        <v>151</v>
      </c>
      <c r="B1400" s="22" t="s">
        <v>387</v>
      </c>
      <c r="C1400" s="22" t="s">
        <v>109</v>
      </c>
      <c r="D1400" s="22" t="s">
        <v>110</v>
      </c>
      <c r="E1400" s="158">
        <v>18040</v>
      </c>
      <c r="F1400" s="159">
        <v>70000</v>
      </c>
      <c r="G1400" s="159">
        <v>1262800000</v>
      </c>
      <c r="H1400" s="159">
        <v>126280000</v>
      </c>
      <c r="I1400" s="159">
        <v>1389080000</v>
      </c>
      <c r="J1400" s="159" t="e">
        <f>bargiri[[#This Row],[مقدار]]*INDEX(invoice[پیش دریافت به ازای هر کیلوگرم],MATCH(bargiri[[#This Row],[شماره سند مبنا]],invoice[شماره پیش فاکتور],0))</f>
        <v>#N/A</v>
      </c>
      <c r="K1400" s="159" t="e">
        <f>bargiri[[#This Row],[مبلغ خالص]]-bargiri[[#This Row],[میزان استهلاک پیش دریافتی]]</f>
        <v>#N/A</v>
      </c>
      <c r="L1400" s="160" t="s">
        <v>593</v>
      </c>
      <c r="M1400" s="159"/>
      <c r="N1400" s="159" t="e">
        <f>IF(bargiri[[#This Row],[مبلغ واریزی]]&lt;&gt;"",bargiri[[#This Row],[مانده مبلغ]]-bargiri[[#This Row],[مبلغ واریزی]],bargiri[[#This Row],[مانده مبلغ]])</f>
        <v>#N/A</v>
      </c>
      <c r="O1400" s="159" t="s">
        <v>593</v>
      </c>
      <c r="P1400" s="159" t="e">
        <f>VLOOKUP(bargiri[[#This Row],[شماره سند مبنا]],invoice[[شماره پیش فاکتور]:[پیش دریافت به ازای هر کیلوگرم]],14,0)</f>
        <v>#N/A</v>
      </c>
      <c r="Q1400" s="159" t="e">
        <f>IF(bargiri[[#This Row],[مبلغ ناخالص]]-(bargiri[[#This Row],[نرخ استهلاک]]*bargiri[[#This Row],[مقدار]])&lt;0,0,bargiri[[#This Row],[مبلغ ناخالص]]-(bargiri[[#This Row],[نرخ استهلاک]]*bargiri[[#This Row],[مقدار]]))</f>
        <v>#N/A</v>
      </c>
    </row>
    <row r="1401" spans="1:17" s="22" customFormat="1" ht="13.8" x14ac:dyDescent="0.25">
      <c r="A1401" s="22">
        <v>150</v>
      </c>
      <c r="B1401" s="22" t="s">
        <v>317</v>
      </c>
      <c r="C1401" s="22" t="s">
        <v>128</v>
      </c>
      <c r="D1401" s="22" t="s">
        <v>129</v>
      </c>
      <c r="E1401" s="158">
        <v>9015</v>
      </c>
      <c r="F1401" s="159">
        <v>80000</v>
      </c>
      <c r="G1401" s="159">
        <v>721200000</v>
      </c>
      <c r="H1401" s="159">
        <v>72120000</v>
      </c>
      <c r="I1401" s="159">
        <v>793320000</v>
      </c>
      <c r="J1401" s="159">
        <f>bargiri[[#This Row],[مقدار]]*INDEX(invoice[پیش دریافت به ازای هر کیلوگرم],MATCH(bargiri[[#This Row],[شماره سند مبنا]],invoice[شماره پیش فاکتور],0))</f>
        <v>119575950.42706415</v>
      </c>
      <c r="K1401" s="159">
        <f>bargiri[[#This Row],[مبلغ خالص]]-bargiri[[#This Row],[میزان استهلاک پیش دریافتی]]</f>
        <v>673744049.57293582</v>
      </c>
      <c r="L1401" s="160" t="s">
        <v>593</v>
      </c>
      <c r="M1401" s="159"/>
      <c r="N1401" s="159">
        <f>IF(bargiri[[#This Row],[مبلغ واریزی]]&lt;&gt;"",bargiri[[#This Row],[مانده مبلغ]]-bargiri[[#This Row],[مبلغ واریزی]],bargiri[[#This Row],[مانده مبلغ]])</f>
        <v>673744049.57293582</v>
      </c>
      <c r="O1401" s="159" t="s">
        <v>593</v>
      </c>
      <c r="P1401" s="159">
        <f>VLOOKUP(bargiri[[#This Row],[شماره سند مبنا]],invoice[[شماره پیش فاکتور]:[پیش دریافت به ازای هر کیلوگرم]],14,0)</f>
        <v>13264.109864344331</v>
      </c>
      <c r="Q1401" s="159">
        <f>IF(bargiri[[#This Row],[مبلغ ناخالص]]-(bargiri[[#This Row],[نرخ استهلاک]]*bargiri[[#This Row],[مقدار]])&lt;0,0,bargiri[[#This Row],[مبلغ ناخالص]]-(bargiri[[#This Row],[نرخ استهلاک]]*bargiri[[#This Row],[مقدار]]))</f>
        <v>601624049.57293582</v>
      </c>
    </row>
    <row r="1402" spans="1:17" s="22" customFormat="1" ht="13.8" x14ac:dyDescent="0.25">
      <c r="A1402" s="22">
        <v>149</v>
      </c>
      <c r="B1402" s="22" t="s">
        <v>317</v>
      </c>
      <c r="C1402" s="22" t="s">
        <v>128</v>
      </c>
      <c r="D1402" s="22" t="s">
        <v>129</v>
      </c>
      <c r="E1402" s="158">
        <v>9000</v>
      </c>
      <c r="F1402" s="159">
        <v>80000</v>
      </c>
      <c r="G1402" s="159">
        <v>720000000</v>
      </c>
      <c r="H1402" s="159">
        <v>72000000</v>
      </c>
      <c r="I1402" s="159">
        <v>792000000</v>
      </c>
      <c r="J1402" s="159">
        <f>bargiri[[#This Row],[مقدار]]*INDEX(invoice[پیش دریافت به ازای هر کیلوگرم],MATCH(bargiri[[#This Row],[شماره سند مبنا]],invoice[شماره پیش فاکتور],0))</f>
        <v>119376988.77909897</v>
      </c>
      <c r="K1402" s="159">
        <f>bargiri[[#This Row],[مبلغ خالص]]-bargiri[[#This Row],[میزان استهلاک پیش دریافتی]]</f>
        <v>672623011.22090101</v>
      </c>
      <c r="L1402" s="160" t="s">
        <v>593</v>
      </c>
      <c r="M1402" s="159"/>
      <c r="N1402" s="159">
        <f>IF(bargiri[[#This Row],[مبلغ واریزی]]&lt;&gt;"",bargiri[[#This Row],[مانده مبلغ]]-bargiri[[#This Row],[مبلغ واریزی]],bargiri[[#This Row],[مانده مبلغ]])</f>
        <v>672623011.22090101</v>
      </c>
      <c r="O1402" s="159" t="s">
        <v>593</v>
      </c>
      <c r="P1402" s="159">
        <f>VLOOKUP(bargiri[[#This Row],[شماره سند مبنا]],invoice[[شماره پیش فاکتور]:[پیش دریافت به ازای هر کیلوگرم]],14,0)</f>
        <v>13264.109864344331</v>
      </c>
      <c r="Q1402" s="159">
        <f>IF(bargiri[[#This Row],[مبلغ ناخالص]]-(bargiri[[#This Row],[نرخ استهلاک]]*bargiri[[#This Row],[مقدار]])&lt;0,0,bargiri[[#This Row],[مبلغ ناخالص]]-(bargiri[[#This Row],[نرخ استهلاک]]*bargiri[[#This Row],[مقدار]]))</f>
        <v>600623011.22090101</v>
      </c>
    </row>
    <row r="1403" spans="1:17" s="22" customFormat="1" ht="13.8" x14ac:dyDescent="0.25">
      <c r="A1403" s="22">
        <v>148</v>
      </c>
      <c r="B1403" s="22" t="s">
        <v>317</v>
      </c>
      <c r="C1403" s="22" t="s">
        <v>115</v>
      </c>
      <c r="D1403" s="22" t="s">
        <v>116</v>
      </c>
      <c r="E1403" s="158">
        <v>17930</v>
      </c>
      <c r="F1403" s="159">
        <v>75000</v>
      </c>
      <c r="G1403" s="159">
        <v>1344750000</v>
      </c>
      <c r="H1403" s="159">
        <v>134475000</v>
      </c>
      <c r="I1403" s="159">
        <v>1479225000</v>
      </c>
      <c r="J1403" s="159">
        <f>bargiri[[#This Row],[مقدار]]*INDEX(invoice[پیش دریافت به ازای هر کیلوگرم],MATCH(bargiri[[#This Row],[شماره سند مبنا]],invoice[شماره پیش فاکتور],0))</f>
        <v>269133010.44710404</v>
      </c>
      <c r="K1403" s="159">
        <f>bargiri[[#This Row],[مبلغ خالص]]-bargiri[[#This Row],[میزان استهلاک پیش دریافتی]]</f>
        <v>1210091989.552896</v>
      </c>
      <c r="L1403" s="160" t="s">
        <v>593</v>
      </c>
      <c r="M1403" s="159"/>
      <c r="N1403" s="159">
        <f>IF(bargiri[[#This Row],[مبلغ واریزی]]&lt;&gt;"",bargiri[[#This Row],[مانده مبلغ]]-bargiri[[#This Row],[مبلغ واریزی]],bargiri[[#This Row],[مانده مبلغ]])</f>
        <v>1210091989.552896</v>
      </c>
      <c r="O1403" s="159" t="s">
        <v>593</v>
      </c>
      <c r="P1403" s="159">
        <f>VLOOKUP(bargiri[[#This Row],[شماره سند مبنا]],invoice[[شماره پیش فاکتور]:[پیش دریافت به ازای هر کیلوگرم]],14,0)</f>
        <v>15010.206940719689</v>
      </c>
      <c r="Q1403" s="159">
        <f>IF(bargiri[[#This Row],[مبلغ ناخالص]]-(bargiri[[#This Row],[نرخ استهلاک]]*bargiri[[#This Row],[مقدار]])&lt;0,0,bargiri[[#This Row],[مبلغ ناخالص]]-(bargiri[[#This Row],[نرخ استهلاک]]*bargiri[[#This Row],[مقدار]]))</f>
        <v>1075616989.552896</v>
      </c>
    </row>
    <row r="1404" spans="1:17" s="22" customFormat="1" ht="13.8" x14ac:dyDescent="0.25">
      <c r="A1404" s="22">
        <v>147</v>
      </c>
      <c r="B1404" s="22" t="s">
        <v>317</v>
      </c>
      <c r="C1404" s="22" t="s">
        <v>199</v>
      </c>
      <c r="D1404" s="22" t="s">
        <v>17</v>
      </c>
      <c r="E1404" s="158">
        <v>20130</v>
      </c>
      <c r="F1404" s="159">
        <v>65000</v>
      </c>
      <c r="G1404" s="159">
        <v>1308450000</v>
      </c>
      <c r="H1404" s="159">
        <v>130845000</v>
      </c>
      <c r="I1404" s="159">
        <v>1439295000</v>
      </c>
      <c r="J1404" s="159">
        <f>bargiri[[#This Row],[مقدار]]*INDEX(invoice[پیش دریافت به ازای هر کیلوگرم],MATCH(bargiri[[#This Row],[شماره سند مبنا]],invoice[شماره پیش فاکتور],0))</f>
        <v>215894250</v>
      </c>
      <c r="K1404" s="159">
        <f>bargiri[[#This Row],[مبلغ خالص]]-bargiri[[#This Row],[میزان استهلاک پیش دریافتی]]</f>
        <v>1223400750</v>
      </c>
      <c r="L1404" s="160" t="s">
        <v>593</v>
      </c>
      <c r="M1404" s="159"/>
      <c r="N1404" s="159">
        <f>IF(bargiri[[#This Row],[مبلغ واریزی]]&lt;&gt;"",bargiri[[#This Row],[مانده مبلغ]]-bargiri[[#This Row],[مبلغ واریزی]],bargiri[[#This Row],[مانده مبلغ]])</f>
        <v>1223400750</v>
      </c>
      <c r="O1404" s="159" t="s">
        <v>593</v>
      </c>
      <c r="P1404" s="159">
        <f>VLOOKUP(bargiri[[#This Row],[شماره سند مبنا]],invoice[[شماره پیش فاکتور]:[پیش دریافت به ازای هر کیلوگرم]],14,0)</f>
        <v>10725</v>
      </c>
      <c r="Q1404" s="159">
        <f>IF(bargiri[[#This Row],[مبلغ ناخالص]]-(bargiri[[#This Row],[نرخ استهلاک]]*bargiri[[#This Row],[مقدار]])&lt;0,0,bargiri[[#This Row],[مبلغ ناخالص]]-(bargiri[[#This Row],[نرخ استهلاک]]*bargiri[[#This Row],[مقدار]]))</f>
        <v>1092555750</v>
      </c>
    </row>
    <row r="1405" spans="1:17" s="22" customFormat="1" ht="13.8" x14ac:dyDescent="0.25">
      <c r="A1405" s="22">
        <v>146</v>
      </c>
      <c r="B1405" s="22" t="s">
        <v>317</v>
      </c>
      <c r="C1405" s="22" t="s">
        <v>167</v>
      </c>
      <c r="D1405" s="22" t="s">
        <v>43</v>
      </c>
      <c r="E1405" s="158">
        <v>12065</v>
      </c>
      <c r="F1405" s="159">
        <v>80000</v>
      </c>
      <c r="G1405" s="159">
        <v>965200000</v>
      </c>
      <c r="H1405" s="159">
        <v>96520000</v>
      </c>
      <c r="I1405" s="159">
        <v>1061720000</v>
      </c>
      <c r="J1405" s="159">
        <f>bargiri[[#This Row],[مقدار]]*INDEX(invoice[پیش دریافت به ازای هر کیلوگرم],MATCH(bargiri[[#This Row],[شماره سند مبنا]],invoice[شماره پیش فاکتور],0))</f>
        <v>212344000</v>
      </c>
      <c r="K1405" s="159">
        <f>bargiri[[#This Row],[مبلغ خالص]]-bargiri[[#This Row],[میزان استهلاک پیش دریافتی]]</f>
        <v>849376000</v>
      </c>
      <c r="L1405" s="160" t="s">
        <v>593</v>
      </c>
      <c r="M1405" s="159"/>
      <c r="N1405" s="159">
        <f>IF(bargiri[[#This Row],[مبلغ واریزی]]&lt;&gt;"",bargiri[[#This Row],[مانده مبلغ]]-bargiri[[#This Row],[مبلغ واریزی]],bargiri[[#This Row],[مانده مبلغ]])</f>
        <v>849376000</v>
      </c>
      <c r="O1405" s="159" t="s">
        <v>593</v>
      </c>
      <c r="P1405" s="159">
        <f>VLOOKUP(bargiri[[#This Row],[شماره سند مبنا]],invoice[[شماره پیش فاکتور]:[پیش دریافت به ازای هر کیلوگرم]],14,0)</f>
        <v>17600</v>
      </c>
      <c r="Q1405" s="159">
        <f>IF(bargiri[[#This Row],[مبلغ ناخالص]]-(bargiri[[#This Row],[نرخ استهلاک]]*bargiri[[#This Row],[مقدار]])&lt;0,0,bargiri[[#This Row],[مبلغ ناخالص]]-(bargiri[[#This Row],[نرخ استهلاک]]*bargiri[[#This Row],[مقدار]]))</f>
        <v>752856000</v>
      </c>
    </row>
    <row r="1406" spans="1:17" s="22" customFormat="1" ht="13.8" x14ac:dyDescent="0.25">
      <c r="A1406" s="22">
        <v>145</v>
      </c>
      <c r="B1406" s="22" t="s">
        <v>264</v>
      </c>
      <c r="C1406" s="22" t="s">
        <v>179</v>
      </c>
      <c r="D1406" s="22" t="s">
        <v>180</v>
      </c>
      <c r="E1406" s="158">
        <v>7655</v>
      </c>
      <c r="F1406" s="159">
        <v>75000</v>
      </c>
      <c r="G1406" s="159">
        <v>574125000</v>
      </c>
      <c r="H1406" s="159">
        <v>57412500</v>
      </c>
      <c r="I1406" s="159">
        <v>631537500</v>
      </c>
      <c r="J1406" s="159">
        <f>bargiri[[#This Row],[مقدار]]*INDEX(invoice[پیش دریافت به ازای هر کیلوگرم],MATCH(bargiri[[#This Row],[شماره سند مبنا]],invoice[شماره پیش فاکتور],0))</f>
        <v>166901703.12729409</v>
      </c>
      <c r="K1406" s="159">
        <f>bargiri[[#This Row],[مبلغ خالص]]-bargiri[[#This Row],[میزان استهلاک پیش دریافتی]]</f>
        <v>464635796.87270594</v>
      </c>
      <c r="L1406" s="160" t="s">
        <v>593</v>
      </c>
      <c r="M1406" s="159"/>
      <c r="N1406" s="159">
        <f>IF(bargiri[[#This Row],[مبلغ واریزی]]&lt;&gt;"",bargiri[[#This Row],[مانده مبلغ]]-bargiri[[#This Row],[مبلغ واریزی]],bargiri[[#This Row],[مانده مبلغ]])</f>
        <v>464635796.87270594</v>
      </c>
      <c r="O1406" s="159" t="s">
        <v>593</v>
      </c>
      <c r="P1406" s="159">
        <f>VLOOKUP(bargiri[[#This Row],[شماره سند مبنا]],invoice[[شماره پیش فاکتور]:[پیش دریافت به ازای هر کیلوگرم]],14,0)</f>
        <v>21802.965790632799</v>
      </c>
      <c r="Q1406" s="159">
        <f>IF(bargiri[[#This Row],[مبلغ ناخالص]]-(bargiri[[#This Row],[نرخ استهلاک]]*bargiri[[#This Row],[مقدار]])&lt;0,0,bargiri[[#This Row],[مبلغ ناخالص]]-(bargiri[[#This Row],[نرخ استهلاک]]*bargiri[[#This Row],[مقدار]]))</f>
        <v>407223296.87270594</v>
      </c>
    </row>
    <row r="1407" spans="1:17" s="22" customFormat="1" ht="13.8" x14ac:dyDescent="0.25">
      <c r="A1407" s="22">
        <v>144</v>
      </c>
      <c r="B1407" s="22" t="s">
        <v>264</v>
      </c>
      <c r="C1407" s="22" t="s">
        <v>72</v>
      </c>
      <c r="D1407" s="22" t="s">
        <v>73</v>
      </c>
      <c r="E1407" s="158">
        <v>20505</v>
      </c>
      <c r="F1407" s="159">
        <v>57273</v>
      </c>
      <c r="G1407" s="159">
        <v>1174382865</v>
      </c>
      <c r="H1407" s="159">
        <v>117438287</v>
      </c>
      <c r="I1407" s="159">
        <v>1291821152</v>
      </c>
      <c r="J1407" s="159" t="e">
        <f>bargiri[[#This Row],[مقدار]]*INDEX(invoice[پیش دریافت به ازای هر کیلوگرم],MATCH(bargiri[[#This Row],[شماره سند مبنا]],invoice[شماره پیش فاکتور],0))</f>
        <v>#N/A</v>
      </c>
      <c r="K1407" s="159" t="e">
        <f>bargiri[[#This Row],[مبلغ خالص]]-bargiri[[#This Row],[میزان استهلاک پیش دریافتی]]</f>
        <v>#N/A</v>
      </c>
      <c r="L1407" s="160" t="s">
        <v>593</v>
      </c>
      <c r="M1407" s="159"/>
      <c r="N1407" s="159" t="e">
        <f>IF(bargiri[[#This Row],[مبلغ واریزی]]&lt;&gt;"",bargiri[[#This Row],[مانده مبلغ]]-bargiri[[#This Row],[مبلغ واریزی]],bargiri[[#This Row],[مانده مبلغ]])</f>
        <v>#N/A</v>
      </c>
      <c r="O1407" s="159" t="s">
        <v>593</v>
      </c>
      <c r="P1407" s="159" t="e">
        <f>VLOOKUP(bargiri[[#This Row],[شماره سند مبنا]],invoice[[شماره پیش فاکتور]:[پیش دریافت به ازای هر کیلوگرم]],14,0)</f>
        <v>#N/A</v>
      </c>
      <c r="Q1407" s="159" t="e">
        <f>IF(bargiri[[#This Row],[مبلغ ناخالص]]-(bargiri[[#This Row],[نرخ استهلاک]]*bargiri[[#This Row],[مقدار]])&lt;0,0,bargiri[[#This Row],[مبلغ ناخالص]]-(bargiri[[#This Row],[نرخ استهلاک]]*bargiri[[#This Row],[مقدار]]))</f>
        <v>#N/A</v>
      </c>
    </row>
    <row r="1408" spans="1:17" s="22" customFormat="1" ht="13.8" x14ac:dyDescent="0.25">
      <c r="A1408" s="22">
        <v>143</v>
      </c>
      <c r="B1408" s="22" t="s">
        <v>264</v>
      </c>
      <c r="C1408" s="22" t="s">
        <v>72</v>
      </c>
      <c r="D1408" s="22" t="s">
        <v>73</v>
      </c>
      <c r="E1408" s="158">
        <v>20495</v>
      </c>
      <c r="F1408" s="159">
        <v>57273</v>
      </c>
      <c r="G1408" s="159">
        <v>1173810135</v>
      </c>
      <c r="H1408" s="159">
        <v>117381014</v>
      </c>
      <c r="I1408" s="159">
        <v>1291191149</v>
      </c>
      <c r="J1408" s="159" t="e">
        <f>bargiri[[#This Row],[مقدار]]*INDEX(invoice[پیش دریافت به ازای هر کیلوگرم],MATCH(bargiri[[#This Row],[شماره سند مبنا]],invoice[شماره پیش فاکتور],0))</f>
        <v>#N/A</v>
      </c>
      <c r="K1408" s="159" t="e">
        <f>bargiri[[#This Row],[مبلغ خالص]]-bargiri[[#This Row],[میزان استهلاک پیش دریافتی]]</f>
        <v>#N/A</v>
      </c>
      <c r="L1408" s="160" t="s">
        <v>593</v>
      </c>
      <c r="M1408" s="159"/>
      <c r="N1408" s="159" t="e">
        <f>IF(bargiri[[#This Row],[مبلغ واریزی]]&lt;&gt;"",bargiri[[#This Row],[مانده مبلغ]]-bargiri[[#This Row],[مبلغ واریزی]],bargiri[[#This Row],[مانده مبلغ]])</f>
        <v>#N/A</v>
      </c>
      <c r="O1408" s="159" t="s">
        <v>593</v>
      </c>
      <c r="P1408" s="159" t="e">
        <f>VLOOKUP(bargiri[[#This Row],[شماره سند مبنا]],invoice[[شماره پیش فاکتور]:[پیش دریافت به ازای هر کیلوگرم]],14,0)</f>
        <v>#N/A</v>
      </c>
      <c r="Q1408" s="159" t="e">
        <f>IF(bargiri[[#This Row],[مبلغ ناخالص]]-(bargiri[[#This Row],[نرخ استهلاک]]*bargiri[[#This Row],[مقدار]])&lt;0,0,bargiri[[#This Row],[مبلغ ناخالص]]-(bargiri[[#This Row],[نرخ استهلاک]]*bargiri[[#This Row],[مقدار]]))</f>
        <v>#N/A</v>
      </c>
    </row>
    <row r="1409" spans="1:17" s="22" customFormat="1" ht="13.8" x14ac:dyDescent="0.25">
      <c r="A1409" s="22">
        <v>142</v>
      </c>
      <c r="B1409" s="22" t="s">
        <v>264</v>
      </c>
      <c r="C1409" s="22" t="s">
        <v>66</v>
      </c>
      <c r="D1409" s="22" t="s">
        <v>67</v>
      </c>
      <c r="E1409" s="158">
        <v>18020</v>
      </c>
      <c r="F1409" s="159">
        <v>68500</v>
      </c>
      <c r="G1409" s="159">
        <v>1234370000</v>
      </c>
      <c r="H1409" s="159">
        <v>111093300</v>
      </c>
      <c r="I1409" s="159">
        <v>1345463300</v>
      </c>
      <c r="J1409" s="159" t="e">
        <f>bargiri[[#This Row],[مقدار]]*INDEX(invoice[پیش دریافت به ازای هر کیلوگرم],MATCH(bargiri[[#This Row],[شماره سند مبنا]],invoice[شماره پیش فاکتور],0))</f>
        <v>#N/A</v>
      </c>
      <c r="K1409" s="159" t="e">
        <f>bargiri[[#This Row],[مبلغ خالص]]-bargiri[[#This Row],[میزان استهلاک پیش دریافتی]]</f>
        <v>#N/A</v>
      </c>
      <c r="L1409" s="160" t="s">
        <v>593</v>
      </c>
      <c r="M1409" s="159"/>
      <c r="N1409" s="159" t="e">
        <f>IF(bargiri[[#This Row],[مبلغ واریزی]]&lt;&gt;"",bargiri[[#This Row],[مانده مبلغ]]-bargiri[[#This Row],[مبلغ واریزی]],bargiri[[#This Row],[مانده مبلغ]])</f>
        <v>#N/A</v>
      </c>
      <c r="O1409" s="159" t="s">
        <v>593</v>
      </c>
      <c r="P1409" s="159" t="e">
        <f>VLOOKUP(bargiri[[#This Row],[شماره سند مبنا]],invoice[[شماره پیش فاکتور]:[پیش دریافت به ازای هر کیلوگرم]],14,0)</f>
        <v>#N/A</v>
      </c>
      <c r="Q1409" s="159" t="e">
        <f>IF(bargiri[[#This Row],[مبلغ ناخالص]]-(bargiri[[#This Row],[نرخ استهلاک]]*bargiri[[#This Row],[مقدار]])&lt;0,0,bargiri[[#This Row],[مبلغ ناخالص]]-(bargiri[[#This Row],[نرخ استهلاک]]*bargiri[[#This Row],[مقدار]]))</f>
        <v>#N/A</v>
      </c>
    </row>
    <row r="1410" spans="1:17" s="22" customFormat="1" ht="13.8" x14ac:dyDescent="0.25">
      <c r="A1410" s="22">
        <v>141</v>
      </c>
      <c r="B1410" s="22" t="s">
        <v>299</v>
      </c>
      <c r="C1410" s="22" t="s">
        <v>167</v>
      </c>
      <c r="D1410" s="22" t="s">
        <v>43</v>
      </c>
      <c r="E1410" s="158">
        <v>5050</v>
      </c>
      <c r="F1410" s="159">
        <v>80000</v>
      </c>
      <c r="G1410" s="159">
        <v>404000000</v>
      </c>
      <c r="H1410" s="159">
        <v>40400000</v>
      </c>
      <c r="I1410" s="159">
        <v>444400000</v>
      </c>
      <c r="J1410" s="159">
        <f>bargiri[[#This Row],[مقدار]]*INDEX(invoice[پیش دریافت به ازای هر کیلوگرم],MATCH(bargiri[[#This Row],[شماره سند مبنا]],invoice[شماره پیش فاکتور],0))</f>
        <v>88880000</v>
      </c>
      <c r="K1410" s="159">
        <f>bargiri[[#This Row],[مبلغ خالص]]-bargiri[[#This Row],[میزان استهلاک پیش دریافتی]]</f>
        <v>355520000</v>
      </c>
      <c r="L1410" s="160" t="s">
        <v>593</v>
      </c>
      <c r="M1410" s="159"/>
      <c r="N1410" s="159">
        <f>IF(bargiri[[#This Row],[مبلغ واریزی]]&lt;&gt;"",bargiri[[#This Row],[مانده مبلغ]]-bargiri[[#This Row],[مبلغ واریزی]],bargiri[[#This Row],[مانده مبلغ]])</f>
        <v>355520000</v>
      </c>
      <c r="O1410" s="159" t="s">
        <v>593</v>
      </c>
      <c r="P1410" s="159">
        <f>VLOOKUP(bargiri[[#This Row],[شماره سند مبنا]],invoice[[شماره پیش فاکتور]:[پیش دریافت به ازای هر کیلوگرم]],14,0)</f>
        <v>17600</v>
      </c>
      <c r="Q1410" s="159">
        <f>IF(bargiri[[#This Row],[مبلغ ناخالص]]-(bargiri[[#This Row],[نرخ استهلاک]]*bargiri[[#This Row],[مقدار]])&lt;0,0,bargiri[[#This Row],[مبلغ ناخالص]]-(bargiri[[#This Row],[نرخ استهلاک]]*bargiri[[#This Row],[مقدار]]))</f>
        <v>315120000</v>
      </c>
    </row>
    <row r="1411" spans="1:17" s="22" customFormat="1" ht="13.8" x14ac:dyDescent="0.25">
      <c r="A1411" s="22">
        <v>140</v>
      </c>
      <c r="B1411" s="22" t="s">
        <v>299</v>
      </c>
      <c r="C1411" s="22" t="s">
        <v>176</v>
      </c>
      <c r="D1411" s="22" t="s">
        <v>70</v>
      </c>
      <c r="E1411" s="158">
        <v>18040</v>
      </c>
      <c r="F1411" s="159">
        <v>75000</v>
      </c>
      <c r="G1411" s="159">
        <v>1353000000</v>
      </c>
      <c r="H1411" s="159">
        <v>135300000</v>
      </c>
      <c r="I1411" s="159">
        <v>1488300000</v>
      </c>
      <c r="J1411" s="159" t="e">
        <f>bargiri[[#This Row],[مقدار]]*INDEX(invoice[پیش دریافت به ازای هر کیلوگرم],MATCH(bargiri[[#This Row],[شماره سند مبنا]],invoice[شماره پیش فاکتور],0))</f>
        <v>#N/A</v>
      </c>
      <c r="K1411" s="159" t="e">
        <f>bargiri[[#This Row],[مبلغ خالص]]-bargiri[[#This Row],[میزان استهلاک پیش دریافتی]]</f>
        <v>#N/A</v>
      </c>
      <c r="L1411" s="160" t="s">
        <v>593</v>
      </c>
      <c r="M1411" s="159"/>
      <c r="N1411" s="159" t="e">
        <f>IF(bargiri[[#This Row],[مبلغ واریزی]]&lt;&gt;"",bargiri[[#This Row],[مانده مبلغ]]-bargiri[[#This Row],[مبلغ واریزی]],bargiri[[#This Row],[مانده مبلغ]])</f>
        <v>#N/A</v>
      </c>
      <c r="O1411" s="159" t="s">
        <v>593</v>
      </c>
      <c r="P1411" s="159" t="e">
        <f>VLOOKUP(bargiri[[#This Row],[شماره سند مبنا]],invoice[[شماره پیش فاکتور]:[پیش دریافت به ازای هر کیلوگرم]],14,0)</f>
        <v>#N/A</v>
      </c>
      <c r="Q1411" s="159" t="e">
        <f>IF(bargiri[[#This Row],[مبلغ ناخالص]]-(bargiri[[#This Row],[نرخ استهلاک]]*bargiri[[#This Row],[مقدار]])&lt;0,0,bargiri[[#This Row],[مبلغ ناخالص]]-(bargiri[[#This Row],[نرخ استهلاک]]*bargiri[[#This Row],[مقدار]]))</f>
        <v>#N/A</v>
      </c>
    </row>
    <row r="1412" spans="1:17" s="22" customFormat="1" ht="13.8" x14ac:dyDescent="0.25">
      <c r="A1412" s="22">
        <v>139</v>
      </c>
      <c r="B1412" s="22" t="s">
        <v>299</v>
      </c>
      <c r="C1412" s="22" t="s">
        <v>66</v>
      </c>
      <c r="D1412" s="22" t="s">
        <v>67</v>
      </c>
      <c r="E1412" s="158">
        <v>18135</v>
      </c>
      <c r="F1412" s="159">
        <v>68500</v>
      </c>
      <c r="G1412" s="159">
        <v>1242247500</v>
      </c>
      <c r="H1412" s="159">
        <v>111802275</v>
      </c>
      <c r="I1412" s="159">
        <v>1354049775</v>
      </c>
      <c r="J1412" s="159" t="e">
        <f>bargiri[[#This Row],[مقدار]]*INDEX(invoice[پیش دریافت به ازای هر کیلوگرم],MATCH(bargiri[[#This Row],[شماره سند مبنا]],invoice[شماره پیش فاکتور],0))</f>
        <v>#N/A</v>
      </c>
      <c r="K1412" s="159" t="e">
        <f>bargiri[[#This Row],[مبلغ خالص]]-bargiri[[#This Row],[میزان استهلاک پیش دریافتی]]</f>
        <v>#N/A</v>
      </c>
      <c r="L1412" s="160" t="s">
        <v>593</v>
      </c>
      <c r="M1412" s="159"/>
      <c r="N1412" s="159" t="e">
        <f>IF(bargiri[[#This Row],[مبلغ واریزی]]&lt;&gt;"",bargiri[[#This Row],[مانده مبلغ]]-bargiri[[#This Row],[مبلغ واریزی]],bargiri[[#This Row],[مانده مبلغ]])</f>
        <v>#N/A</v>
      </c>
      <c r="O1412" s="159" t="s">
        <v>593</v>
      </c>
      <c r="P1412" s="159" t="e">
        <f>VLOOKUP(bargiri[[#This Row],[شماره سند مبنا]],invoice[[شماره پیش فاکتور]:[پیش دریافت به ازای هر کیلوگرم]],14,0)</f>
        <v>#N/A</v>
      </c>
      <c r="Q1412" s="159" t="e">
        <f>IF(bargiri[[#This Row],[مبلغ ناخالص]]-(bargiri[[#This Row],[نرخ استهلاک]]*bargiri[[#This Row],[مقدار]])&lt;0,0,bargiri[[#This Row],[مبلغ ناخالص]]-(bargiri[[#This Row],[نرخ استهلاک]]*bargiri[[#This Row],[مقدار]]))</f>
        <v>#N/A</v>
      </c>
    </row>
    <row r="1413" spans="1:17" s="22" customFormat="1" ht="13.8" x14ac:dyDescent="0.25">
      <c r="A1413" s="22">
        <v>138</v>
      </c>
      <c r="B1413" s="22" t="s">
        <v>299</v>
      </c>
      <c r="C1413" s="22" t="s">
        <v>109</v>
      </c>
      <c r="D1413" s="22" t="s">
        <v>110</v>
      </c>
      <c r="E1413" s="158">
        <v>17920</v>
      </c>
      <c r="F1413" s="159">
        <v>70000</v>
      </c>
      <c r="G1413" s="159">
        <v>1254400000</v>
      </c>
      <c r="H1413" s="159">
        <v>125440000</v>
      </c>
      <c r="I1413" s="159">
        <v>1379840000</v>
      </c>
      <c r="J1413" s="159" t="e">
        <f>bargiri[[#This Row],[مقدار]]*INDEX(invoice[پیش دریافت به ازای هر کیلوگرم],MATCH(bargiri[[#This Row],[شماره سند مبنا]],invoice[شماره پیش فاکتور],0))</f>
        <v>#N/A</v>
      </c>
      <c r="K1413" s="159" t="e">
        <f>bargiri[[#This Row],[مبلغ خالص]]-bargiri[[#This Row],[میزان استهلاک پیش دریافتی]]</f>
        <v>#N/A</v>
      </c>
      <c r="L1413" s="160" t="s">
        <v>593</v>
      </c>
      <c r="M1413" s="159"/>
      <c r="N1413" s="159" t="e">
        <f>IF(bargiri[[#This Row],[مبلغ واریزی]]&lt;&gt;"",bargiri[[#This Row],[مانده مبلغ]]-bargiri[[#This Row],[مبلغ واریزی]],bargiri[[#This Row],[مانده مبلغ]])</f>
        <v>#N/A</v>
      </c>
      <c r="O1413" s="159" t="s">
        <v>593</v>
      </c>
      <c r="P1413" s="159" t="e">
        <f>VLOOKUP(bargiri[[#This Row],[شماره سند مبنا]],invoice[[شماره پیش فاکتور]:[پیش دریافت به ازای هر کیلوگرم]],14,0)</f>
        <v>#N/A</v>
      </c>
      <c r="Q1413" s="159" t="e">
        <f>IF(bargiri[[#This Row],[مبلغ ناخالص]]-(bargiri[[#This Row],[نرخ استهلاک]]*bargiri[[#This Row],[مقدار]])&lt;0,0,bargiri[[#This Row],[مبلغ ناخالص]]-(bargiri[[#This Row],[نرخ استهلاک]]*bargiri[[#This Row],[مقدار]]))</f>
        <v>#N/A</v>
      </c>
    </row>
    <row r="1414" spans="1:17" s="22" customFormat="1" ht="13.8" x14ac:dyDescent="0.25">
      <c r="A1414" s="22">
        <v>137</v>
      </c>
      <c r="B1414" s="22" t="s">
        <v>263</v>
      </c>
      <c r="C1414" s="22" t="s">
        <v>172</v>
      </c>
      <c r="D1414" s="22" t="s">
        <v>173</v>
      </c>
      <c r="E1414" s="158">
        <v>17985</v>
      </c>
      <c r="F1414" s="159">
        <v>75000</v>
      </c>
      <c r="G1414" s="159">
        <v>1348875000</v>
      </c>
      <c r="H1414" s="159">
        <v>134887500</v>
      </c>
      <c r="I1414" s="159">
        <v>1483762500</v>
      </c>
      <c r="J1414" s="159">
        <f>bargiri[[#This Row],[مقدار]]*INDEX(invoice[پیش دریافت به ازای هر کیلوگرم],MATCH(bargiri[[#This Row],[شماره سند مبنا]],invoice[شماره پیش فاکتور],0))</f>
        <v>222564375</v>
      </c>
      <c r="K1414" s="159">
        <f>bargiri[[#This Row],[مبلغ خالص]]-bargiri[[#This Row],[میزان استهلاک پیش دریافتی]]</f>
        <v>1261198125</v>
      </c>
      <c r="L1414" s="160" t="s">
        <v>593</v>
      </c>
      <c r="M1414" s="159"/>
      <c r="N1414" s="159">
        <f>IF(bargiri[[#This Row],[مبلغ واریزی]]&lt;&gt;"",bargiri[[#This Row],[مانده مبلغ]]-bargiri[[#This Row],[مبلغ واریزی]],bargiri[[#This Row],[مانده مبلغ]])</f>
        <v>1261198125</v>
      </c>
      <c r="O1414" s="159" t="s">
        <v>593</v>
      </c>
      <c r="P1414" s="159">
        <f>VLOOKUP(bargiri[[#This Row],[شماره سند مبنا]],invoice[[شماره پیش فاکتور]:[پیش دریافت به ازای هر کیلوگرم]],14,0)</f>
        <v>12375</v>
      </c>
      <c r="Q1414" s="159">
        <f>IF(bargiri[[#This Row],[مبلغ ناخالص]]-(bargiri[[#This Row],[نرخ استهلاک]]*bargiri[[#This Row],[مقدار]])&lt;0,0,bargiri[[#This Row],[مبلغ ناخالص]]-(bargiri[[#This Row],[نرخ استهلاک]]*bargiri[[#This Row],[مقدار]]))</f>
        <v>1126310625</v>
      </c>
    </row>
    <row r="1415" spans="1:17" s="22" customFormat="1" ht="13.8" x14ac:dyDescent="0.25">
      <c r="A1415" s="22">
        <v>136</v>
      </c>
      <c r="B1415" s="22" t="s">
        <v>263</v>
      </c>
      <c r="C1415" s="22" t="s">
        <v>72</v>
      </c>
      <c r="D1415" s="22" t="s">
        <v>73</v>
      </c>
      <c r="E1415" s="158">
        <v>20925</v>
      </c>
      <c r="F1415" s="159">
        <v>57273</v>
      </c>
      <c r="G1415" s="159">
        <v>1198437525</v>
      </c>
      <c r="H1415" s="159">
        <v>119843753</v>
      </c>
      <c r="I1415" s="159">
        <v>1318281278</v>
      </c>
      <c r="J1415" s="159" t="e">
        <f>bargiri[[#This Row],[مقدار]]*INDEX(invoice[پیش دریافت به ازای هر کیلوگرم],MATCH(bargiri[[#This Row],[شماره سند مبنا]],invoice[شماره پیش فاکتور],0))</f>
        <v>#N/A</v>
      </c>
      <c r="K1415" s="159" t="e">
        <f>bargiri[[#This Row],[مبلغ خالص]]-bargiri[[#This Row],[میزان استهلاک پیش دریافتی]]</f>
        <v>#N/A</v>
      </c>
      <c r="L1415" s="160" t="s">
        <v>593</v>
      </c>
      <c r="M1415" s="159"/>
      <c r="N1415" s="159" t="e">
        <f>IF(bargiri[[#This Row],[مبلغ واریزی]]&lt;&gt;"",bargiri[[#This Row],[مانده مبلغ]]-bargiri[[#This Row],[مبلغ واریزی]],bargiri[[#This Row],[مانده مبلغ]])</f>
        <v>#N/A</v>
      </c>
      <c r="O1415" s="159" t="s">
        <v>593</v>
      </c>
      <c r="P1415" s="159" t="e">
        <f>VLOOKUP(bargiri[[#This Row],[شماره سند مبنا]],invoice[[شماره پیش فاکتور]:[پیش دریافت به ازای هر کیلوگرم]],14,0)</f>
        <v>#N/A</v>
      </c>
      <c r="Q1415" s="159" t="e">
        <f>IF(bargiri[[#This Row],[مبلغ ناخالص]]-(bargiri[[#This Row],[نرخ استهلاک]]*bargiri[[#This Row],[مقدار]])&lt;0,0,bargiri[[#This Row],[مبلغ ناخالص]]-(bargiri[[#This Row],[نرخ استهلاک]]*bargiri[[#This Row],[مقدار]]))</f>
        <v>#N/A</v>
      </c>
    </row>
    <row r="1416" spans="1:17" s="22" customFormat="1" ht="13.8" x14ac:dyDescent="0.25">
      <c r="A1416" s="22">
        <v>135</v>
      </c>
      <c r="B1416" s="22" t="s">
        <v>263</v>
      </c>
      <c r="C1416" s="22" t="s">
        <v>72</v>
      </c>
      <c r="D1416" s="22" t="s">
        <v>73</v>
      </c>
      <c r="E1416" s="158">
        <v>20655</v>
      </c>
      <c r="F1416" s="159">
        <v>57273</v>
      </c>
      <c r="G1416" s="159">
        <v>1182973815</v>
      </c>
      <c r="H1416" s="159">
        <v>118297382</v>
      </c>
      <c r="I1416" s="159">
        <v>1301271197</v>
      </c>
      <c r="J1416" s="159" t="e">
        <f>bargiri[[#This Row],[مقدار]]*INDEX(invoice[پیش دریافت به ازای هر کیلوگرم],MATCH(bargiri[[#This Row],[شماره سند مبنا]],invoice[شماره پیش فاکتور],0))</f>
        <v>#N/A</v>
      </c>
      <c r="K1416" s="159" t="e">
        <f>bargiri[[#This Row],[مبلغ خالص]]-bargiri[[#This Row],[میزان استهلاک پیش دریافتی]]</f>
        <v>#N/A</v>
      </c>
      <c r="L1416" s="160" t="s">
        <v>593</v>
      </c>
      <c r="M1416" s="159"/>
      <c r="N1416" s="159" t="e">
        <f>IF(bargiri[[#This Row],[مبلغ واریزی]]&lt;&gt;"",bargiri[[#This Row],[مانده مبلغ]]-bargiri[[#This Row],[مبلغ واریزی]],bargiri[[#This Row],[مانده مبلغ]])</f>
        <v>#N/A</v>
      </c>
      <c r="O1416" s="159" t="s">
        <v>593</v>
      </c>
      <c r="P1416" s="159" t="e">
        <f>VLOOKUP(bargiri[[#This Row],[شماره سند مبنا]],invoice[[شماره پیش فاکتور]:[پیش دریافت به ازای هر کیلوگرم]],14,0)</f>
        <v>#N/A</v>
      </c>
      <c r="Q1416" s="159" t="e">
        <f>IF(bargiri[[#This Row],[مبلغ ناخالص]]-(bargiri[[#This Row],[نرخ استهلاک]]*bargiri[[#This Row],[مقدار]])&lt;0,0,bargiri[[#This Row],[مبلغ ناخالص]]-(bargiri[[#This Row],[نرخ استهلاک]]*bargiri[[#This Row],[مقدار]]))</f>
        <v>#N/A</v>
      </c>
    </row>
    <row r="1417" spans="1:17" s="22" customFormat="1" ht="13.8" x14ac:dyDescent="0.25">
      <c r="A1417" s="22">
        <v>134</v>
      </c>
      <c r="B1417" s="22" t="s">
        <v>336</v>
      </c>
      <c r="C1417" s="22" t="s">
        <v>107</v>
      </c>
      <c r="D1417" s="22" t="s">
        <v>30</v>
      </c>
      <c r="E1417" s="158">
        <v>11490</v>
      </c>
      <c r="F1417" s="159">
        <v>70000</v>
      </c>
      <c r="G1417" s="159">
        <v>804300000</v>
      </c>
      <c r="H1417" s="159">
        <v>80430000</v>
      </c>
      <c r="I1417" s="159">
        <v>884730000</v>
      </c>
      <c r="J1417" s="159">
        <f>bargiri[[#This Row],[مقدار]]*INDEX(invoice[پیش دریافت به ازای هر کیلوگرم],MATCH(bargiri[[#This Row],[شماره سند مبنا]],invoice[شماره پیش فاکتور],0))</f>
        <v>442365000</v>
      </c>
      <c r="K1417" s="159">
        <f>bargiri[[#This Row],[مبلغ خالص]]-bargiri[[#This Row],[میزان استهلاک پیش دریافتی]]</f>
        <v>442365000</v>
      </c>
      <c r="L1417" s="160" t="s">
        <v>593</v>
      </c>
      <c r="M1417" s="159"/>
      <c r="N1417" s="159">
        <f>IF(bargiri[[#This Row],[مبلغ واریزی]]&lt;&gt;"",bargiri[[#This Row],[مانده مبلغ]]-bargiri[[#This Row],[مبلغ واریزی]],bargiri[[#This Row],[مانده مبلغ]])</f>
        <v>442365000</v>
      </c>
      <c r="O1417" s="159" t="s">
        <v>593</v>
      </c>
      <c r="P1417" s="159">
        <f>VLOOKUP(bargiri[[#This Row],[شماره سند مبنا]],invoice[[شماره پیش فاکتور]:[پیش دریافت به ازای هر کیلوگرم]],14,0)</f>
        <v>38500</v>
      </c>
      <c r="Q1417" s="159">
        <f>IF(bargiri[[#This Row],[مبلغ ناخالص]]-(bargiri[[#This Row],[نرخ استهلاک]]*bargiri[[#This Row],[مقدار]])&lt;0,0,bargiri[[#This Row],[مبلغ ناخالص]]-(bargiri[[#This Row],[نرخ استهلاک]]*bargiri[[#This Row],[مقدار]]))</f>
        <v>361935000</v>
      </c>
    </row>
    <row r="1418" spans="1:17" s="22" customFormat="1" ht="13.8" x14ac:dyDescent="0.25">
      <c r="A1418" s="22">
        <v>133</v>
      </c>
      <c r="B1418" s="22" t="s">
        <v>336</v>
      </c>
      <c r="C1418" s="22" t="s">
        <v>128</v>
      </c>
      <c r="D1418" s="22" t="s">
        <v>129</v>
      </c>
      <c r="E1418" s="158">
        <v>9100</v>
      </c>
      <c r="F1418" s="159">
        <v>80000</v>
      </c>
      <c r="G1418" s="159">
        <v>728000000</v>
      </c>
      <c r="H1418" s="159">
        <v>72800000</v>
      </c>
      <c r="I1418" s="159">
        <v>800800000</v>
      </c>
      <c r="J1418" s="159">
        <f>bargiri[[#This Row],[مقدار]]*INDEX(invoice[پیش دریافت به ازای هر کیلوگرم],MATCH(bargiri[[#This Row],[شماره سند مبنا]],invoice[شماره پیش فاکتور],0))</f>
        <v>120703399.76553342</v>
      </c>
      <c r="K1418" s="159">
        <f>bargiri[[#This Row],[مبلغ خالص]]-bargiri[[#This Row],[میزان استهلاک پیش دریافتی]]</f>
        <v>680096600.23446655</v>
      </c>
      <c r="L1418" s="160" t="s">
        <v>593</v>
      </c>
      <c r="M1418" s="159"/>
      <c r="N1418" s="159">
        <f>IF(bargiri[[#This Row],[مبلغ واریزی]]&lt;&gt;"",bargiri[[#This Row],[مانده مبلغ]]-bargiri[[#This Row],[مبلغ واریزی]],bargiri[[#This Row],[مانده مبلغ]])</f>
        <v>680096600.23446655</v>
      </c>
      <c r="O1418" s="159" t="s">
        <v>593</v>
      </c>
      <c r="P1418" s="159">
        <f>VLOOKUP(bargiri[[#This Row],[شماره سند مبنا]],invoice[[شماره پیش فاکتور]:[پیش دریافت به ازای هر کیلوگرم]],14,0)</f>
        <v>13264.109864344331</v>
      </c>
      <c r="Q1418" s="159">
        <f>IF(bargiri[[#This Row],[مبلغ ناخالص]]-(bargiri[[#This Row],[نرخ استهلاک]]*bargiri[[#This Row],[مقدار]])&lt;0,0,bargiri[[#This Row],[مبلغ ناخالص]]-(bargiri[[#This Row],[نرخ استهلاک]]*bargiri[[#This Row],[مقدار]]))</f>
        <v>607296600.23446655</v>
      </c>
    </row>
    <row r="1419" spans="1:17" s="22" customFormat="1" ht="13.8" x14ac:dyDescent="0.25">
      <c r="A1419" s="22">
        <v>132</v>
      </c>
      <c r="B1419" s="22" t="s">
        <v>262</v>
      </c>
      <c r="C1419" s="22" t="s">
        <v>128</v>
      </c>
      <c r="D1419" s="22" t="s">
        <v>129</v>
      </c>
      <c r="E1419" s="158">
        <v>9055</v>
      </c>
      <c r="F1419" s="159">
        <v>80000</v>
      </c>
      <c r="G1419" s="159">
        <v>724400000</v>
      </c>
      <c r="H1419" s="159">
        <v>72440000</v>
      </c>
      <c r="I1419" s="159">
        <v>796840000</v>
      </c>
      <c r="J1419" s="159">
        <f>bargiri[[#This Row],[مقدار]]*INDEX(invoice[پیش دریافت به ازای هر کیلوگرم],MATCH(bargiri[[#This Row],[شماره سند مبنا]],invoice[شماره پیش فاکتور],0))</f>
        <v>120106514.82163791</v>
      </c>
      <c r="K1419" s="159">
        <f>bargiri[[#This Row],[مبلغ خالص]]-bargiri[[#This Row],[میزان استهلاک پیش دریافتی]]</f>
        <v>676733485.17836213</v>
      </c>
      <c r="L1419" s="160" t="s">
        <v>593</v>
      </c>
      <c r="M1419" s="159"/>
      <c r="N1419" s="159">
        <f>IF(bargiri[[#This Row],[مبلغ واریزی]]&lt;&gt;"",bargiri[[#This Row],[مانده مبلغ]]-bargiri[[#This Row],[مبلغ واریزی]],bargiri[[#This Row],[مانده مبلغ]])</f>
        <v>676733485.17836213</v>
      </c>
      <c r="O1419" s="159" t="s">
        <v>593</v>
      </c>
      <c r="P1419" s="159">
        <f>VLOOKUP(bargiri[[#This Row],[شماره سند مبنا]],invoice[[شماره پیش فاکتور]:[پیش دریافت به ازای هر کیلوگرم]],14,0)</f>
        <v>13264.109864344331</v>
      </c>
      <c r="Q1419" s="159">
        <f>IF(bargiri[[#This Row],[مبلغ ناخالص]]-(bargiri[[#This Row],[نرخ استهلاک]]*bargiri[[#This Row],[مقدار]])&lt;0,0,bargiri[[#This Row],[مبلغ ناخالص]]-(bargiri[[#This Row],[نرخ استهلاک]]*bargiri[[#This Row],[مقدار]]))</f>
        <v>604293485.17836213</v>
      </c>
    </row>
    <row r="1420" spans="1:17" s="22" customFormat="1" ht="13.8" x14ac:dyDescent="0.25">
      <c r="A1420" s="22">
        <v>131</v>
      </c>
      <c r="B1420" s="22" t="s">
        <v>262</v>
      </c>
      <c r="C1420" s="22" t="s">
        <v>72</v>
      </c>
      <c r="D1420" s="22" t="s">
        <v>73</v>
      </c>
      <c r="E1420" s="158">
        <v>20840</v>
      </c>
      <c r="F1420" s="159">
        <v>57273</v>
      </c>
      <c r="G1420" s="159">
        <v>1193569320</v>
      </c>
      <c r="H1420" s="159">
        <v>119356932</v>
      </c>
      <c r="I1420" s="159">
        <v>1312926252</v>
      </c>
      <c r="J1420" s="159" t="e">
        <f>bargiri[[#This Row],[مقدار]]*INDEX(invoice[پیش دریافت به ازای هر کیلوگرم],MATCH(bargiri[[#This Row],[شماره سند مبنا]],invoice[شماره پیش فاکتور],0))</f>
        <v>#N/A</v>
      </c>
      <c r="K1420" s="159" t="e">
        <f>bargiri[[#This Row],[مبلغ خالص]]-bargiri[[#This Row],[میزان استهلاک پیش دریافتی]]</f>
        <v>#N/A</v>
      </c>
      <c r="L1420" s="160" t="s">
        <v>593</v>
      </c>
      <c r="M1420" s="159"/>
      <c r="N1420" s="159" t="e">
        <f>IF(bargiri[[#This Row],[مبلغ واریزی]]&lt;&gt;"",bargiri[[#This Row],[مانده مبلغ]]-bargiri[[#This Row],[مبلغ واریزی]],bargiri[[#This Row],[مانده مبلغ]])</f>
        <v>#N/A</v>
      </c>
      <c r="O1420" s="159" t="s">
        <v>593</v>
      </c>
      <c r="P1420" s="159" t="e">
        <f>VLOOKUP(bargiri[[#This Row],[شماره سند مبنا]],invoice[[شماره پیش فاکتور]:[پیش دریافت به ازای هر کیلوگرم]],14,0)</f>
        <v>#N/A</v>
      </c>
      <c r="Q1420" s="159" t="e">
        <f>IF(bargiri[[#This Row],[مبلغ ناخالص]]-(bargiri[[#This Row],[نرخ استهلاک]]*bargiri[[#This Row],[مقدار]])&lt;0,0,bargiri[[#This Row],[مبلغ ناخالص]]-(bargiri[[#This Row],[نرخ استهلاک]]*bargiri[[#This Row],[مقدار]]))</f>
        <v>#N/A</v>
      </c>
    </row>
    <row r="1421" spans="1:17" s="22" customFormat="1" ht="13.8" x14ac:dyDescent="0.25">
      <c r="A1421" s="22">
        <v>130</v>
      </c>
      <c r="B1421" s="22" t="s">
        <v>262</v>
      </c>
      <c r="C1421" s="22" t="s">
        <v>115</v>
      </c>
      <c r="D1421" s="22" t="s">
        <v>116</v>
      </c>
      <c r="E1421" s="158">
        <v>18125</v>
      </c>
      <c r="F1421" s="159">
        <v>75000</v>
      </c>
      <c r="G1421" s="159">
        <v>1359375000</v>
      </c>
      <c r="H1421" s="159">
        <v>135937500</v>
      </c>
      <c r="I1421" s="159">
        <v>1495312500</v>
      </c>
      <c r="J1421" s="159">
        <f>bargiri[[#This Row],[مقدار]]*INDEX(invoice[پیش دریافت به ازای هر کیلوگرم],MATCH(bargiri[[#This Row],[شماره سند مبنا]],invoice[شماره پیش فاکتور],0))</f>
        <v>272060000.80054438</v>
      </c>
      <c r="K1421" s="159">
        <f>bargiri[[#This Row],[مبلغ خالص]]-bargiri[[#This Row],[میزان استهلاک پیش دریافتی]]</f>
        <v>1223252499.1994557</v>
      </c>
      <c r="L1421" s="160" t="s">
        <v>593</v>
      </c>
      <c r="M1421" s="159"/>
      <c r="N1421" s="159">
        <f>IF(bargiri[[#This Row],[مبلغ واریزی]]&lt;&gt;"",bargiri[[#This Row],[مانده مبلغ]]-bargiri[[#This Row],[مبلغ واریزی]],bargiri[[#This Row],[مانده مبلغ]])</f>
        <v>1223252499.1994557</v>
      </c>
      <c r="O1421" s="159" t="s">
        <v>593</v>
      </c>
      <c r="P1421" s="159">
        <f>VLOOKUP(bargiri[[#This Row],[شماره سند مبنا]],invoice[[شماره پیش فاکتور]:[پیش دریافت به ازای هر کیلوگرم]],14,0)</f>
        <v>15010.206940719689</v>
      </c>
      <c r="Q1421" s="159">
        <f>IF(bargiri[[#This Row],[مبلغ ناخالص]]-(bargiri[[#This Row],[نرخ استهلاک]]*bargiri[[#This Row],[مقدار]])&lt;0,0,bargiri[[#This Row],[مبلغ ناخالص]]-(bargiri[[#This Row],[نرخ استهلاک]]*bargiri[[#This Row],[مقدار]]))</f>
        <v>1087314999.1994557</v>
      </c>
    </row>
    <row r="1422" spans="1:17" s="22" customFormat="1" ht="13.8" x14ac:dyDescent="0.25">
      <c r="A1422" s="22">
        <v>129</v>
      </c>
      <c r="B1422" s="22" t="s">
        <v>388</v>
      </c>
      <c r="C1422" s="22" t="s">
        <v>109</v>
      </c>
      <c r="D1422" s="22" t="s">
        <v>110</v>
      </c>
      <c r="E1422" s="158">
        <v>18895</v>
      </c>
      <c r="F1422" s="159">
        <v>70000</v>
      </c>
      <c r="G1422" s="159">
        <v>1322650000</v>
      </c>
      <c r="H1422" s="159">
        <v>132265000</v>
      </c>
      <c r="I1422" s="159">
        <v>1454915000</v>
      </c>
      <c r="J1422" s="159" t="e">
        <f>bargiri[[#This Row],[مقدار]]*INDEX(invoice[پیش دریافت به ازای هر کیلوگرم],MATCH(bargiri[[#This Row],[شماره سند مبنا]],invoice[شماره پیش فاکتور],0))</f>
        <v>#N/A</v>
      </c>
      <c r="K1422" s="159" t="e">
        <f>bargiri[[#This Row],[مبلغ خالص]]-bargiri[[#This Row],[میزان استهلاک پیش دریافتی]]</f>
        <v>#N/A</v>
      </c>
      <c r="L1422" s="160" t="s">
        <v>593</v>
      </c>
      <c r="M1422" s="159"/>
      <c r="N1422" s="159" t="e">
        <f>IF(bargiri[[#This Row],[مبلغ واریزی]]&lt;&gt;"",bargiri[[#This Row],[مانده مبلغ]]-bargiri[[#This Row],[مبلغ واریزی]],bargiri[[#This Row],[مانده مبلغ]])</f>
        <v>#N/A</v>
      </c>
      <c r="O1422" s="159" t="s">
        <v>593</v>
      </c>
      <c r="P1422" s="159" t="e">
        <f>VLOOKUP(bargiri[[#This Row],[شماره سند مبنا]],invoice[[شماره پیش فاکتور]:[پیش دریافت به ازای هر کیلوگرم]],14,0)</f>
        <v>#N/A</v>
      </c>
      <c r="Q1422" s="159" t="e">
        <f>IF(bargiri[[#This Row],[مبلغ ناخالص]]-(bargiri[[#This Row],[نرخ استهلاک]]*bargiri[[#This Row],[مقدار]])&lt;0,0,bargiri[[#This Row],[مبلغ ناخالص]]-(bargiri[[#This Row],[نرخ استهلاک]]*bargiri[[#This Row],[مقدار]]))</f>
        <v>#N/A</v>
      </c>
    </row>
    <row r="1423" spans="1:17" s="22" customFormat="1" ht="13.8" x14ac:dyDescent="0.25">
      <c r="A1423" s="22">
        <v>128</v>
      </c>
      <c r="B1423" s="22" t="s">
        <v>337</v>
      </c>
      <c r="C1423" s="22" t="s">
        <v>66</v>
      </c>
      <c r="D1423" s="22" t="s">
        <v>67</v>
      </c>
      <c r="E1423" s="158">
        <v>19925</v>
      </c>
      <c r="F1423" s="159">
        <v>68500</v>
      </c>
      <c r="G1423" s="159">
        <v>1364862500</v>
      </c>
      <c r="H1423" s="159">
        <v>122837625</v>
      </c>
      <c r="I1423" s="159">
        <v>1487700125</v>
      </c>
      <c r="J1423" s="159" t="e">
        <f>bargiri[[#This Row],[مقدار]]*INDEX(invoice[پیش دریافت به ازای هر کیلوگرم],MATCH(bargiri[[#This Row],[شماره سند مبنا]],invoice[شماره پیش فاکتور],0))</f>
        <v>#N/A</v>
      </c>
      <c r="K1423" s="159" t="e">
        <f>bargiri[[#This Row],[مبلغ خالص]]-bargiri[[#This Row],[میزان استهلاک پیش دریافتی]]</f>
        <v>#N/A</v>
      </c>
      <c r="L1423" s="160" t="s">
        <v>593</v>
      </c>
      <c r="M1423" s="159"/>
      <c r="N1423" s="159" t="e">
        <f>IF(bargiri[[#This Row],[مبلغ واریزی]]&lt;&gt;"",bargiri[[#This Row],[مانده مبلغ]]-bargiri[[#This Row],[مبلغ واریزی]],bargiri[[#This Row],[مانده مبلغ]])</f>
        <v>#N/A</v>
      </c>
      <c r="O1423" s="159" t="s">
        <v>593</v>
      </c>
      <c r="P1423" s="159" t="e">
        <f>VLOOKUP(bargiri[[#This Row],[شماره سند مبنا]],invoice[[شماره پیش فاکتور]:[پیش دریافت به ازای هر کیلوگرم]],14,0)</f>
        <v>#N/A</v>
      </c>
      <c r="Q1423" s="159" t="e">
        <f>IF(bargiri[[#This Row],[مبلغ ناخالص]]-(bargiri[[#This Row],[نرخ استهلاک]]*bargiri[[#This Row],[مقدار]])&lt;0,0,bargiri[[#This Row],[مبلغ ناخالص]]-(bargiri[[#This Row],[نرخ استهلاک]]*bargiri[[#This Row],[مقدار]]))</f>
        <v>#N/A</v>
      </c>
    </row>
    <row r="1424" spans="1:17" s="22" customFormat="1" ht="13.8" x14ac:dyDescent="0.25">
      <c r="A1424" s="22">
        <v>127</v>
      </c>
      <c r="B1424" s="22" t="s">
        <v>337</v>
      </c>
      <c r="C1424" s="22" t="s">
        <v>109</v>
      </c>
      <c r="D1424" s="22" t="s">
        <v>110</v>
      </c>
      <c r="E1424" s="158">
        <v>18895</v>
      </c>
      <c r="F1424" s="159">
        <v>70000</v>
      </c>
      <c r="G1424" s="159">
        <v>1322650000</v>
      </c>
      <c r="H1424" s="159">
        <v>132265000</v>
      </c>
      <c r="I1424" s="159">
        <v>1454915000</v>
      </c>
      <c r="J1424" s="159" t="e">
        <f>bargiri[[#This Row],[مقدار]]*INDEX(invoice[پیش دریافت به ازای هر کیلوگرم],MATCH(bargiri[[#This Row],[شماره سند مبنا]],invoice[شماره پیش فاکتور],0))</f>
        <v>#N/A</v>
      </c>
      <c r="K1424" s="159" t="e">
        <f>bargiri[[#This Row],[مبلغ خالص]]-bargiri[[#This Row],[میزان استهلاک پیش دریافتی]]</f>
        <v>#N/A</v>
      </c>
      <c r="L1424" s="160" t="s">
        <v>593</v>
      </c>
      <c r="M1424" s="159"/>
      <c r="N1424" s="159" t="e">
        <f>IF(bargiri[[#This Row],[مبلغ واریزی]]&lt;&gt;"",bargiri[[#This Row],[مانده مبلغ]]-bargiri[[#This Row],[مبلغ واریزی]],bargiri[[#This Row],[مانده مبلغ]])</f>
        <v>#N/A</v>
      </c>
      <c r="O1424" s="159" t="s">
        <v>593</v>
      </c>
      <c r="P1424" s="159" t="e">
        <f>VLOOKUP(bargiri[[#This Row],[شماره سند مبنا]],invoice[[شماره پیش فاکتور]:[پیش دریافت به ازای هر کیلوگرم]],14,0)</f>
        <v>#N/A</v>
      </c>
      <c r="Q1424" s="159" t="e">
        <f>IF(bargiri[[#This Row],[مبلغ ناخالص]]-(bargiri[[#This Row],[نرخ استهلاک]]*bargiri[[#This Row],[مقدار]])&lt;0,0,bargiri[[#This Row],[مبلغ ناخالص]]-(bargiri[[#This Row],[نرخ استهلاک]]*bargiri[[#This Row],[مقدار]]))</f>
        <v>#N/A</v>
      </c>
    </row>
    <row r="1425" spans="1:17" s="22" customFormat="1" ht="13.8" x14ac:dyDescent="0.25">
      <c r="A1425" s="22">
        <v>126</v>
      </c>
      <c r="B1425" s="22" t="s">
        <v>337</v>
      </c>
      <c r="C1425" s="22" t="s">
        <v>199</v>
      </c>
      <c r="D1425" s="22" t="s">
        <v>17</v>
      </c>
      <c r="E1425" s="158">
        <v>22055</v>
      </c>
      <c r="F1425" s="159">
        <v>65000</v>
      </c>
      <c r="G1425" s="159">
        <v>1433575000</v>
      </c>
      <c r="H1425" s="159">
        <v>143357500</v>
      </c>
      <c r="I1425" s="159">
        <v>1576932500</v>
      </c>
      <c r="J1425" s="159">
        <f>bargiri[[#This Row],[مقدار]]*INDEX(invoice[پیش دریافت به ازای هر کیلوگرم],MATCH(bargiri[[#This Row],[شماره سند مبنا]],invoice[شماره پیش فاکتور],0))</f>
        <v>236539875</v>
      </c>
      <c r="K1425" s="159">
        <f>bargiri[[#This Row],[مبلغ خالص]]-bargiri[[#This Row],[میزان استهلاک پیش دریافتی]]</f>
        <v>1340392625</v>
      </c>
      <c r="L1425" s="160" t="s">
        <v>593</v>
      </c>
      <c r="M1425" s="159"/>
      <c r="N1425" s="159">
        <f>IF(bargiri[[#This Row],[مبلغ واریزی]]&lt;&gt;"",bargiri[[#This Row],[مانده مبلغ]]-bargiri[[#This Row],[مبلغ واریزی]],bargiri[[#This Row],[مانده مبلغ]])</f>
        <v>1340392625</v>
      </c>
      <c r="O1425" s="159" t="s">
        <v>593</v>
      </c>
      <c r="P1425" s="159">
        <f>VLOOKUP(bargiri[[#This Row],[شماره سند مبنا]],invoice[[شماره پیش فاکتور]:[پیش دریافت به ازای هر کیلوگرم]],14,0)</f>
        <v>10725</v>
      </c>
      <c r="Q1425" s="159">
        <f>IF(bargiri[[#This Row],[مبلغ ناخالص]]-(bargiri[[#This Row],[نرخ استهلاک]]*bargiri[[#This Row],[مقدار]])&lt;0,0,bargiri[[#This Row],[مبلغ ناخالص]]-(bargiri[[#This Row],[نرخ استهلاک]]*bargiri[[#This Row],[مقدار]]))</f>
        <v>1197035125</v>
      </c>
    </row>
    <row r="1426" spans="1:17" s="22" customFormat="1" ht="13.8" x14ac:dyDescent="0.25">
      <c r="A1426" s="22">
        <v>125</v>
      </c>
      <c r="B1426" s="22" t="s">
        <v>337</v>
      </c>
      <c r="C1426" s="22" t="s">
        <v>115</v>
      </c>
      <c r="D1426" s="22" t="s">
        <v>116</v>
      </c>
      <c r="E1426" s="158">
        <v>18830</v>
      </c>
      <c r="F1426" s="159">
        <v>75000</v>
      </c>
      <c r="G1426" s="159">
        <v>1412250000</v>
      </c>
      <c r="H1426" s="159">
        <v>141225000</v>
      </c>
      <c r="I1426" s="159">
        <v>1553475000</v>
      </c>
      <c r="J1426" s="159">
        <f>bargiri[[#This Row],[مقدار]]*INDEX(invoice[پیش دریافت به ازای هر کیلوگرم],MATCH(bargiri[[#This Row],[شماره سند مبنا]],invoice[شماره پیش فاکتور],0))</f>
        <v>282642196.69375175</v>
      </c>
      <c r="K1426" s="159">
        <f>bargiri[[#This Row],[مبلغ خالص]]-bargiri[[#This Row],[میزان استهلاک پیش دریافتی]]</f>
        <v>1270832803.3062482</v>
      </c>
      <c r="L1426" s="160" t="s">
        <v>593</v>
      </c>
      <c r="M1426" s="159"/>
      <c r="N1426" s="159">
        <f>IF(bargiri[[#This Row],[مبلغ واریزی]]&lt;&gt;"",bargiri[[#This Row],[مانده مبلغ]]-bargiri[[#This Row],[مبلغ واریزی]],bargiri[[#This Row],[مانده مبلغ]])</f>
        <v>1270832803.3062482</v>
      </c>
      <c r="O1426" s="159" t="s">
        <v>593</v>
      </c>
      <c r="P1426" s="159">
        <f>VLOOKUP(bargiri[[#This Row],[شماره سند مبنا]],invoice[[شماره پیش فاکتور]:[پیش دریافت به ازای هر کیلوگرم]],14,0)</f>
        <v>15010.206940719689</v>
      </c>
      <c r="Q1426" s="159">
        <f>IF(bargiri[[#This Row],[مبلغ ناخالص]]-(bargiri[[#This Row],[نرخ استهلاک]]*bargiri[[#This Row],[مقدار]])&lt;0,0,bargiri[[#This Row],[مبلغ ناخالص]]-(bargiri[[#This Row],[نرخ استهلاک]]*bargiri[[#This Row],[مقدار]]))</f>
        <v>1129607803.3062482</v>
      </c>
    </row>
    <row r="1427" spans="1:17" s="22" customFormat="1" ht="13.8" x14ac:dyDescent="0.25">
      <c r="A1427" s="22">
        <v>124</v>
      </c>
      <c r="B1427" s="22" t="s">
        <v>316</v>
      </c>
      <c r="C1427" s="22" t="s">
        <v>167</v>
      </c>
      <c r="D1427" s="22" t="s">
        <v>43</v>
      </c>
      <c r="E1427" s="158">
        <v>5240</v>
      </c>
      <c r="F1427" s="159">
        <v>80000</v>
      </c>
      <c r="G1427" s="159">
        <v>419200000</v>
      </c>
      <c r="H1427" s="159">
        <v>41920000</v>
      </c>
      <c r="I1427" s="159">
        <v>461120000</v>
      </c>
      <c r="J1427" s="159">
        <f>bargiri[[#This Row],[مقدار]]*INDEX(invoice[پیش دریافت به ازای هر کیلوگرم],MATCH(bargiri[[#This Row],[شماره سند مبنا]],invoice[شماره پیش فاکتور],0))</f>
        <v>92224000</v>
      </c>
      <c r="K1427" s="159">
        <f>bargiri[[#This Row],[مبلغ خالص]]-bargiri[[#This Row],[میزان استهلاک پیش دریافتی]]</f>
        <v>368896000</v>
      </c>
      <c r="L1427" s="160" t="s">
        <v>593</v>
      </c>
      <c r="M1427" s="159"/>
      <c r="N1427" s="159">
        <f>IF(bargiri[[#This Row],[مبلغ واریزی]]&lt;&gt;"",bargiri[[#This Row],[مانده مبلغ]]-bargiri[[#This Row],[مبلغ واریزی]],bargiri[[#This Row],[مانده مبلغ]])</f>
        <v>368896000</v>
      </c>
      <c r="O1427" s="159" t="s">
        <v>593</v>
      </c>
      <c r="P1427" s="159">
        <f>VLOOKUP(bargiri[[#This Row],[شماره سند مبنا]],invoice[[شماره پیش فاکتور]:[پیش دریافت به ازای هر کیلوگرم]],14,0)</f>
        <v>17600</v>
      </c>
      <c r="Q1427" s="159">
        <f>IF(bargiri[[#This Row],[مبلغ ناخالص]]-(bargiri[[#This Row],[نرخ استهلاک]]*bargiri[[#This Row],[مقدار]])&lt;0,0,bargiri[[#This Row],[مبلغ ناخالص]]-(bargiri[[#This Row],[نرخ استهلاک]]*bargiri[[#This Row],[مقدار]]))</f>
        <v>326976000</v>
      </c>
    </row>
    <row r="1428" spans="1:17" s="22" customFormat="1" ht="13.8" x14ac:dyDescent="0.25">
      <c r="A1428" s="22">
        <v>123</v>
      </c>
      <c r="B1428" s="22" t="s">
        <v>316</v>
      </c>
      <c r="C1428" s="22" t="s">
        <v>107</v>
      </c>
      <c r="D1428" s="22" t="s">
        <v>30</v>
      </c>
      <c r="E1428" s="158">
        <v>11710</v>
      </c>
      <c r="F1428" s="159">
        <v>70000</v>
      </c>
      <c r="G1428" s="159">
        <v>819700000</v>
      </c>
      <c r="H1428" s="159">
        <v>81970000</v>
      </c>
      <c r="I1428" s="159">
        <v>901670000</v>
      </c>
      <c r="J1428" s="159">
        <f>bargiri[[#This Row],[مقدار]]*INDEX(invoice[پیش دریافت به ازای هر کیلوگرم],MATCH(bargiri[[#This Row],[شماره سند مبنا]],invoice[شماره پیش فاکتور],0))</f>
        <v>450835000</v>
      </c>
      <c r="K1428" s="159">
        <f>bargiri[[#This Row],[مبلغ خالص]]-bargiri[[#This Row],[میزان استهلاک پیش دریافتی]]</f>
        <v>450835000</v>
      </c>
      <c r="L1428" s="160" t="s">
        <v>593</v>
      </c>
      <c r="M1428" s="159"/>
      <c r="N1428" s="159">
        <f>IF(bargiri[[#This Row],[مبلغ واریزی]]&lt;&gt;"",bargiri[[#This Row],[مانده مبلغ]]-bargiri[[#This Row],[مبلغ واریزی]],bargiri[[#This Row],[مانده مبلغ]])</f>
        <v>450835000</v>
      </c>
      <c r="O1428" s="159" t="s">
        <v>593</v>
      </c>
      <c r="P1428" s="159">
        <f>VLOOKUP(bargiri[[#This Row],[شماره سند مبنا]],invoice[[شماره پیش فاکتور]:[پیش دریافت به ازای هر کیلوگرم]],14,0)</f>
        <v>38500</v>
      </c>
      <c r="Q1428" s="159">
        <f>IF(bargiri[[#This Row],[مبلغ ناخالص]]-(bargiri[[#This Row],[نرخ استهلاک]]*bargiri[[#This Row],[مقدار]])&lt;0,0,bargiri[[#This Row],[مبلغ ناخالص]]-(bargiri[[#This Row],[نرخ استهلاک]]*bargiri[[#This Row],[مقدار]]))</f>
        <v>368865000</v>
      </c>
    </row>
    <row r="1429" spans="1:17" s="22" customFormat="1" ht="13.8" x14ac:dyDescent="0.25">
      <c r="A1429" s="22">
        <v>122</v>
      </c>
      <c r="B1429" s="22" t="s">
        <v>261</v>
      </c>
      <c r="C1429" s="22" t="s">
        <v>72</v>
      </c>
      <c r="D1429" s="22" t="s">
        <v>73</v>
      </c>
      <c r="E1429" s="158">
        <v>20575</v>
      </c>
      <c r="F1429" s="159">
        <v>57273</v>
      </c>
      <c r="G1429" s="159">
        <v>1178391975</v>
      </c>
      <c r="H1429" s="159">
        <v>117839198</v>
      </c>
      <c r="I1429" s="159">
        <v>1296231173</v>
      </c>
      <c r="J1429" s="159" t="e">
        <f>bargiri[[#This Row],[مقدار]]*INDEX(invoice[پیش دریافت به ازای هر کیلوگرم],MATCH(bargiri[[#This Row],[شماره سند مبنا]],invoice[شماره پیش فاکتور],0))</f>
        <v>#N/A</v>
      </c>
      <c r="K1429" s="159" t="e">
        <f>bargiri[[#This Row],[مبلغ خالص]]-bargiri[[#This Row],[میزان استهلاک پیش دریافتی]]</f>
        <v>#N/A</v>
      </c>
      <c r="L1429" s="160" t="s">
        <v>593</v>
      </c>
      <c r="M1429" s="159"/>
      <c r="N1429" s="159" t="e">
        <f>IF(bargiri[[#This Row],[مبلغ واریزی]]&lt;&gt;"",bargiri[[#This Row],[مانده مبلغ]]-bargiri[[#This Row],[مبلغ واریزی]],bargiri[[#This Row],[مانده مبلغ]])</f>
        <v>#N/A</v>
      </c>
      <c r="O1429" s="159" t="s">
        <v>593</v>
      </c>
      <c r="P1429" s="159" t="e">
        <f>VLOOKUP(bargiri[[#This Row],[شماره سند مبنا]],invoice[[شماره پیش فاکتور]:[پیش دریافت به ازای هر کیلوگرم]],14,0)</f>
        <v>#N/A</v>
      </c>
      <c r="Q1429" s="159" t="e">
        <f>IF(bargiri[[#This Row],[مبلغ ناخالص]]-(bargiri[[#This Row],[نرخ استهلاک]]*bargiri[[#This Row],[مقدار]])&lt;0,0,bargiri[[#This Row],[مبلغ ناخالص]]-(bargiri[[#This Row],[نرخ استهلاک]]*bargiri[[#This Row],[مقدار]]))</f>
        <v>#N/A</v>
      </c>
    </row>
    <row r="1430" spans="1:17" s="22" customFormat="1" ht="13.8" x14ac:dyDescent="0.25">
      <c r="A1430" s="22">
        <v>121</v>
      </c>
      <c r="B1430" s="22" t="s">
        <v>261</v>
      </c>
      <c r="C1430" s="22" t="s">
        <v>72</v>
      </c>
      <c r="D1430" s="22" t="s">
        <v>73</v>
      </c>
      <c r="E1430" s="158">
        <v>20455</v>
      </c>
      <c r="F1430" s="159">
        <v>57273</v>
      </c>
      <c r="G1430" s="159">
        <v>1171519215</v>
      </c>
      <c r="H1430" s="159">
        <v>117151922</v>
      </c>
      <c r="I1430" s="159">
        <v>1288671137</v>
      </c>
      <c r="J1430" s="159" t="e">
        <f>bargiri[[#This Row],[مقدار]]*INDEX(invoice[پیش دریافت به ازای هر کیلوگرم],MATCH(bargiri[[#This Row],[شماره سند مبنا]],invoice[شماره پیش فاکتور],0))</f>
        <v>#N/A</v>
      </c>
      <c r="K1430" s="159" t="e">
        <f>bargiri[[#This Row],[مبلغ خالص]]-bargiri[[#This Row],[میزان استهلاک پیش دریافتی]]</f>
        <v>#N/A</v>
      </c>
      <c r="L1430" s="160" t="s">
        <v>593</v>
      </c>
      <c r="M1430" s="159"/>
      <c r="N1430" s="159" t="e">
        <f>IF(bargiri[[#This Row],[مبلغ واریزی]]&lt;&gt;"",bargiri[[#This Row],[مانده مبلغ]]-bargiri[[#This Row],[مبلغ واریزی]],bargiri[[#This Row],[مانده مبلغ]])</f>
        <v>#N/A</v>
      </c>
      <c r="O1430" s="159" t="s">
        <v>593</v>
      </c>
      <c r="P1430" s="159" t="e">
        <f>VLOOKUP(bargiri[[#This Row],[شماره سند مبنا]],invoice[[شماره پیش فاکتور]:[پیش دریافت به ازای هر کیلوگرم]],14,0)</f>
        <v>#N/A</v>
      </c>
      <c r="Q1430" s="159" t="e">
        <f>IF(bargiri[[#This Row],[مبلغ ناخالص]]-(bargiri[[#This Row],[نرخ استهلاک]]*bargiri[[#This Row],[مقدار]])&lt;0,0,bargiri[[#This Row],[مبلغ ناخالص]]-(bargiri[[#This Row],[نرخ استهلاک]]*bargiri[[#This Row],[مقدار]]))</f>
        <v>#N/A</v>
      </c>
    </row>
    <row r="1431" spans="1:17" s="22" customFormat="1" ht="13.8" x14ac:dyDescent="0.25">
      <c r="A1431" s="22">
        <v>120</v>
      </c>
      <c r="B1431" s="22" t="s">
        <v>261</v>
      </c>
      <c r="C1431" s="22" t="s">
        <v>72</v>
      </c>
      <c r="D1431" s="22" t="s">
        <v>73</v>
      </c>
      <c r="E1431" s="158">
        <v>20460</v>
      </c>
      <c r="F1431" s="159">
        <v>57273</v>
      </c>
      <c r="G1431" s="159">
        <v>1171805580</v>
      </c>
      <c r="H1431" s="159">
        <v>117180558</v>
      </c>
      <c r="I1431" s="159">
        <v>1288986138</v>
      </c>
      <c r="J1431" s="159" t="e">
        <f>bargiri[[#This Row],[مقدار]]*INDEX(invoice[پیش دریافت به ازای هر کیلوگرم],MATCH(bargiri[[#This Row],[شماره سند مبنا]],invoice[شماره پیش فاکتور],0))</f>
        <v>#N/A</v>
      </c>
      <c r="K1431" s="159" t="e">
        <f>bargiri[[#This Row],[مبلغ خالص]]-bargiri[[#This Row],[میزان استهلاک پیش دریافتی]]</f>
        <v>#N/A</v>
      </c>
      <c r="L1431" s="160" t="s">
        <v>593</v>
      </c>
      <c r="M1431" s="159"/>
      <c r="N1431" s="159" t="e">
        <f>IF(bargiri[[#This Row],[مبلغ واریزی]]&lt;&gt;"",bargiri[[#This Row],[مانده مبلغ]]-bargiri[[#This Row],[مبلغ واریزی]],bargiri[[#This Row],[مانده مبلغ]])</f>
        <v>#N/A</v>
      </c>
      <c r="O1431" s="159" t="s">
        <v>593</v>
      </c>
      <c r="P1431" s="159" t="e">
        <f>VLOOKUP(bargiri[[#This Row],[شماره سند مبنا]],invoice[[شماره پیش فاکتور]:[پیش دریافت به ازای هر کیلوگرم]],14,0)</f>
        <v>#N/A</v>
      </c>
      <c r="Q1431" s="159" t="e">
        <f>IF(bargiri[[#This Row],[مبلغ ناخالص]]-(bargiri[[#This Row],[نرخ استهلاک]]*bargiri[[#This Row],[مقدار]])&lt;0,0,bargiri[[#This Row],[مبلغ ناخالص]]-(bargiri[[#This Row],[نرخ استهلاک]]*bargiri[[#This Row],[مقدار]]))</f>
        <v>#N/A</v>
      </c>
    </row>
    <row r="1432" spans="1:17" s="22" customFormat="1" ht="13.8" x14ac:dyDescent="0.25">
      <c r="A1432" s="22">
        <v>119</v>
      </c>
      <c r="B1432" s="22" t="s">
        <v>261</v>
      </c>
      <c r="C1432" s="22" t="s">
        <v>72</v>
      </c>
      <c r="D1432" s="22" t="s">
        <v>73</v>
      </c>
      <c r="E1432" s="158">
        <v>20290</v>
      </c>
      <c r="F1432" s="159">
        <v>57273</v>
      </c>
      <c r="G1432" s="159">
        <v>1162069170</v>
      </c>
      <c r="H1432" s="159">
        <v>116206917</v>
      </c>
      <c r="I1432" s="159">
        <v>1278276087</v>
      </c>
      <c r="J1432" s="159" t="e">
        <f>bargiri[[#This Row],[مقدار]]*INDEX(invoice[پیش دریافت به ازای هر کیلوگرم],MATCH(bargiri[[#This Row],[شماره سند مبنا]],invoice[شماره پیش فاکتور],0))</f>
        <v>#N/A</v>
      </c>
      <c r="K1432" s="159" t="e">
        <f>bargiri[[#This Row],[مبلغ خالص]]-bargiri[[#This Row],[میزان استهلاک پیش دریافتی]]</f>
        <v>#N/A</v>
      </c>
      <c r="L1432" s="160" t="s">
        <v>593</v>
      </c>
      <c r="M1432" s="159"/>
      <c r="N1432" s="159" t="e">
        <f>IF(bargiri[[#This Row],[مبلغ واریزی]]&lt;&gt;"",bargiri[[#This Row],[مانده مبلغ]]-bargiri[[#This Row],[مبلغ واریزی]],bargiri[[#This Row],[مانده مبلغ]])</f>
        <v>#N/A</v>
      </c>
      <c r="O1432" s="159" t="s">
        <v>593</v>
      </c>
      <c r="P1432" s="159" t="e">
        <f>VLOOKUP(bargiri[[#This Row],[شماره سند مبنا]],invoice[[شماره پیش فاکتور]:[پیش دریافت به ازای هر کیلوگرم]],14,0)</f>
        <v>#N/A</v>
      </c>
      <c r="Q1432" s="159" t="e">
        <f>IF(bargiri[[#This Row],[مبلغ ناخالص]]-(bargiri[[#This Row],[نرخ استهلاک]]*bargiri[[#This Row],[مقدار]])&lt;0,0,bargiri[[#This Row],[مبلغ ناخالص]]-(bargiri[[#This Row],[نرخ استهلاک]]*bargiri[[#This Row],[مقدار]]))</f>
        <v>#N/A</v>
      </c>
    </row>
    <row r="1433" spans="1:17" s="22" customFormat="1" ht="13.8" x14ac:dyDescent="0.25">
      <c r="A1433" s="22">
        <v>118</v>
      </c>
      <c r="B1433" s="22" t="s">
        <v>261</v>
      </c>
      <c r="C1433" s="22" t="s">
        <v>128</v>
      </c>
      <c r="D1433" s="22" t="s">
        <v>129</v>
      </c>
      <c r="E1433" s="158">
        <v>9005</v>
      </c>
      <c r="F1433" s="159">
        <v>80000</v>
      </c>
      <c r="G1433" s="159">
        <v>720400000</v>
      </c>
      <c r="H1433" s="159">
        <v>72040000</v>
      </c>
      <c r="I1433" s="159">
        <v>792440000</v>
      </c>
      <c r="J1433" s="159">
        <f>bargiri[[#This Row],[مقدار]]*INDEX(invoice[پیش دریافت به ازای هر کیلوگرم],MATCH(bargiri[[#This Row],[شماره سند مبنا]],invoice[شماره پیش فاکتور],0))</f>
        <v>119443309.3284207</v>
      </c>
      <c r="K1433" s="159">
        <f>bargiri[[#This Row],[مبلغ خالص]]-bargiri[[#This Row],[میزان استهلاک پیش دریافتی]]</f>
        <v>672996690.67157936</v>
      </c>
      <c r="L1433" s="160" t="s">
        <v>593</v>
      </c>
      <c r="M1433" s="159"/>
      <c r="N1433" s="159">
        <f>IF(bargiri[[#This Row],[مبلغ واریزی]]&lt;&gt;"",bargiri[[#This Row],[مانده مبلغ]]-bargiri[[#This Row],[مبلغ واریزی]],bargiri[[#This Row],[مانده مبلغ]])</f>
        <v>672996690.67157936</v>
      </c>
      <c r="O1433" s="159" t="s">
        <v>593</v>
      </c>
      <c r="P1433" s="159">
        <f>VLOOKUP(bargiri[[#This Row],[شماره سند مبنا]],invoice[[شماره پیش فاکتور]:[پیش دریافت به ازای هر کیلوگرم]],14,0)</f>
        <v>13264.109864344331</v>
      </c>
      <c r="Q1433" s="159">
        <f>IF(bargiri[[#This Row],[مبلغ ناخالص]]-(bargiri[[#This Row],[نرخ استهلاک]]*bargiri[[#This Row],[مقدار]])&lt;0,0,bargiri[[#This Row],[مبلغ ناخالص]]-(bargiri[[#This Row],[نرخ استهلاک]]*bargiri[[#This Row],[مقدار]]))</f>
        <v>600956690.67157936</v>
      </c>
    </row>
    <row r="1434" spans="1:17" s="22" customFormat="1" ht="13.8" x14ac:dyDescent="0.25">
      <c r="A1434" s="22">
        <v>117</v>
      </c>
      <c r="B1434" s="22" t="s">
        <v>261</v>
      </c>
      <c r="C1434" s="22" t="s">
        <v>109</v>
      </c>
      <c r="D1434" s="22" t="s">
        <v>110</v>
      </c>
      <c r="E1434" s="158">
        <v>18995</v>
      </c>
      <c r="F1434" s="159">
        <v>70000</v>
      </c>
      <c r="G1434" s="159">
        <v>1329650000</v>
      </c>
      <c r="H1434" s="159">
        <v>132965000</v>
      </c>
      <c r="I1434" s="159">
        <v>1462615000</v>
      </c>
      <c r="J1434" s="159" t="e">
        <f>bargiri[[#This Row],[مقدار]]*INDEX(invoice[پیش دریافت به ازای هر کیلوگرم],MATCH(bargiri[[#This Row],[شماره سند مبنا]],invoice[شماره پیش فاکتور],0))</f>
        <v>#N/A</v>
      </c>
      <c r="K1434" s="159" t="e">
        <f>bargiri[[#This Row],[مبلغ خالص]]-bargiri[[#This Row],[میزان استهلاک پیش دریافتی]]</f>
        <v>#N/A</v>
      </c>
      <c r="L1434" s="160" t="s">
        <v>593</v>
      </c>
      <c r="M1434" s="159"/>
      <c r="N1434" s="159" t="e">
        <f>IF(bargiri[[#This Row],[مبلغ واریزی]]&lt;&gt;"",bargiri[[#This Row],[مانده مبلغ]]-bargiri[[#This Row],[مبلغ واریزی]],bargiri[[#This Row],[مانده مبلغ]])</f>
        <v>#N/A</v>
      </c>
      <c r="O1434" s="159" t="s">
        <v>593</v>
      </c>
      <c r="P1434" s="159" t="e">
        <f>VLOOKUP(bargiri[[#This Row],[شماره سند مبنا]],invoice[[شماره پیش فاکتور]:[پیش دریافت به ازای هر کیلوگرم]],14,0)</f>
        <v>#N/A</v>
      </c>
      <c r="Q1434" s="159" t="e">
        <f>IF(bargiri[[#This Row],[مبلغ ناخالص]]-(bargiri[[#This Row],[نرخ استهلاک]]*bargiri[[#This Row],[مقدار]])&lt;0,0,bargiri[[#This Row],[مبلغ ناخالص]]-(bargiri[[#This Row],[نرخ استهلاک]]*bargiri[[#This Row],[مقدار]]))</f>
        <v>#N/A</v>
      </c>
    </row>
    <row r="1435" spans="1:17" s="22" customFormat="1" ht="13.8" x14ac:dyDescent="0.25">
      <c r="A1435" s="22">
        <v>116</v>
      </c>
      <c r="B1435" s="22" t="s">
        <v>261</v>
      </c>
      <c r="C1435" s="22" t="s">
        <v>169</v>
      </c>
      <c r="D1435" s="22" t="s">
        <v>51</v>
      </c>
      <c r="E1435" s="158">
        <v>13605</v>
      </c>
      <c r="F1435" s="159">
        <v>90000</v>
      </c>
      <c r="G1435" s="159">
        <v>1224450000</v>
      </c>
      <c r="H1435" s="159">
        <v>122445000</v>
      </c>
      <c r="I1435" s="159">
        <v>1346895000</v>
      </c>
      <c r="J1435" s="159">
        <f>bargiri[[#This Row],[مقدار]]*INDEX(invoice[پیش دریافت به ازای هر کیلوگرم],MATCH(bargiri[[#This Row],[شماره سند مبنا]],invoice[شماره پیش فاکتور],0))</f>
        <v>202464487.03494927</v>
      </c>
      <c r="K1435" s="159">
        <f>bargiri[[#This Row],[مبلغ خالص]]-bargiri[[#This Row],[میزان استهلاک پیش دریافتی]]</f>
        <v>1144430512.9650507</v>
      </c>
      <c r="L1435" s="160" t="s">
        <v>593</v>
      </c>
      <c r="M1435" s="159"/>
      <c r="N1435" s="159">
        <f>IF(bargiri[[#This Row],[مبلغ واریزی]]&lt;&gt;"",bargiri[[#This Row],[مانده مبلغ]]-bargiri[[#This Row],[مبلغ واریزی]],bargiri[[#This Row],[مانده مبلغ]])</f>
        <v>1144430512.9650507</v>
      </c>
      <c r="O1435" s="159" t="s">
        <v>593</v>
      </c>
      <c r="P1435" s="159">
        <f>VLOOKUP(bargiri[[#This Row],[شماره سند مبنا]],invoice[[شماره پیش فاکتور]:[پیش دریافت به ازای هر کیلوگرم]],14,0)</f>
        <v>14881.623449830891</v>
      </c>
      <c r="Q1435" s="159">
        <f>IF(bargiri[[#This Row],[مبلغ ناخالص]]-(bargiri[[#This Row],[نرخ استهلاک]]*bargiri[[#This Row],[مقدار]])&lt;0,0,bargiri[[#This Row],[مبلغ ناخالص]]-(bargiri[[#This Row],[نرخ استهلاک]]*bargiri[[#This Row],[مقدار]]))</f>
        <v>1021985512.9650507</v>
      </c>
    </row>
    <row r="1436" spans="1:17" s="22" customFormat="1" ht="13.8" x14ac:dyDescent="0.25">
      <c r="A1436" s="22">
        <v>114</v>
      </c>
      <c r="B1436" s="22" t="s">
        <v>260</v>
      </c>
      <c r="C1436" s="22" t="s">
        <v>66</v>
      </c>
      <c r="D1436" s="22" t="s">
        <v>67</v>
      </c>
      <c r="E1436" s="158">
        <v>17900</v>
      </c>
      <c r="F1436" s="159">
        <v>68500</v>
      </c>
      <c r="G1436" s="159">
        <v>1226150000</v>
      </c>
      <c r="H1436" s="159">
        <v>110353500</v>
      </c>
      <c r="I1436" s="159">
        <v>1336503500</v>
      </c>
      <c r="J1436" s="159" t="e">
        <f>bargiri[[#This Row],[مقدار]]*INDEX(invoice[پیش دریافت به ازای هر کیلوگرم],MATCH(bargiri[[#This Row],[شماره سند مبنا]],invoice[شماره پیش فاکتور],0))</f>
        <v>#N/A</v>
      </c>
      <c r="K1436" s="159" t="e">
        <f>bargiri[[#This Row],[مبلغ خالص]]-bargiri[[#This Row],[میزان استهلاک پیش دریافتی]]</f>
        <v>#N/A</v>
      </c>
      <c r="L1436" s="160" t="s">
        <v>593</v>
      </c>
      <c r="M1436" s="159"/>
      <c r="N1436" s="159" t="e">
        <f>IF(bargiri[[#This Row],[مبلغ واریزی]]&lt;&gt;"",bargiri[[#This Row],[مانده مبلغ]]-bargiri[[#This Row],[مبلغ واریزی]],bargiri[[#This Row],[مانده مبلغ]])</f>
        <v>#N/A</v>
      </c>
      <c r="O1436" s="159" t="s">
        <v>593</v>
      </c>
      <c r="P1436" s="159" t="e">
        <f>VLOOKUP(bargiri[[#This Row],[شماره سند مبنا]],invoice[[شماره پیش فاکتور]:[پیش دریافت به ازای هر کیلوگرم]],14,0)</f>
        <v>#N/A</v>
      </c>
      <c r="Q1436" s="159" t="e">
        <f>IF(bargiri[[#This Row],[مبلغ ناخالص]]-(bargiri[[#This Row],[نرخ استهلاک]]*bargiri[[#This Row],[مقدار]])&lt;0,0,bargiri[[#This Row],[مبلغ ناخالص]]-(bargiri[[#This Row],[نرخ استهلاک]]*bargiri[[#This Row],[مقدار]]))</f>
        <v>#N/A</v>
      </c>
    </row>
    <row r="1437" spans="1:17" s="22" customFormat="1" ht="13.8" x14ac:dyDescent="0.25">
      <c r="A1437" s="22">
        <v>113</v>
      </c>
      <c r="B1437" s="22" t="s">
        <v>260</v>
      </c>
      <c r="C1437" s="22" t="s">
        <v>107</v>
      </c>
      <c r="D1437" s="22" t="s">
        <v>30</v>
      </c>
      <c r="E1437" s="158">
        <v>11795</v>
      </c>
      <c r="F1437" s="159">
        <v>70000</v>
      </c>
      <c r="G1437" s="159">
        <v>825650000</v>
      </c>
      <c r="H1437" s="159">
        <v>82565000</v>
      </c>
      <c r="I1437" s="159">
        <v>908215000</v>
      </c>
      <c r="J1437" s="159">
        <f>bargiri[[#This Row],[مقدار]]*INDEX(invoice[پیش دریافت به ازای هر کیلوگرم],MATCH(bargiri[[#This Row],[شماره سند مبنا]],invoice[شماره پیش فاکتور],0))</f>
        <v>454107500</v>
      </c>
      <c r="K1437" s="159">
        <f>bargiri[[#This Row],[مبلغ خالص]]-bargiri[[#This Row],[میزان استهلاک پیش دریافتی]]</f>
        <v>454107500</v>
      </c>
      <c r="L1437" s="160" t="s">
        <v>593</v>
      </c>
      <c r="M1437" s="159"/>
      <c r="N1437" s="159">
        <f>IF(bargiri[[#This Row],[مبلغ واریزی]]&lt;&gt;"",bargiri[[#This Row],[مانده مبلغ]]-bargiri[[#This Row],[مبلغ واریزی]],bargiri[[#This Row],[مانده مبلغ]])</f>
        <v>454107500</v>
      </c>
      <c r="O1437" s="159" t="s">
        <v>593</v>
      </c>
      <c r="P1437" s="159">
        <f>VLOOKUP(bargiri[[#This Row],[شماره سند مبنا]],invoice[[شماره پیش فاکتور]:[پیش دریافت به ازای هر کیلوگرم]],14,0)</f>
        <v>38500</v>
      </c>
      <c r="Q1437" s="159">
        <f>IF(bargiri[[#This Row],[مبلغ ناخالص]]-(bargiri[[#This Row],[نرخ استهلاک]]*bargiri[[#This Row],[مقدار]])&lt;0,0,bargiri[[#This Row],[مبلغ ناخالص]]-(bargiri[[#This Row],[نرخ استهلاک]]*bargiri[[#This Row],[مقدار]]))</f>
        <v>371542500</v>
      </c>
    </row>
    <row r="1438" spans="1:17" s="22" customFormat="1" ht="13.8" x14ac:dyDescent="0.25">
      <c r="A1438" s="22">
        <v>112</v>
      </c>
      <c r="B1438" s="22" t="s">
        <v>260</v>
      </c>
      <c r="C1438" s="22" t="s">
        <v>72</v>
      </c>
      <c r="D1438" s="22" t="s">
        <v>73</v>
      </c>
      <c r="E1438" s="158">
        <v>20560</v>
      </c>
      <c r="F1438" s="159">
        <v>57273</v>
      </c>
      <c r="G1438" s="159">
        <v>1177532880</v>
      </c>
      <c r="H1438" s="159">
        <v>117753288</v>
      </c>
      <c r="I1438" s="159">
        <v>1295286168</v>
      </c>
      <c r="J1438" s="159" t="e">
        <f>bargiri[[#This Row],[مقدار]]*INDEX(invoice[پیش دریافت به ازای هر کیلوگرم],MATCH(bargiri[[#This Row],[شماره سند مبنا]],invoice[شماره پیش فاکتور],0))</f>
        <v>#N/A</v>
      </c>
      <c r="K1438" s="159" t="e">
        <f>bargiri[[#This Row],[مبلغ خالص]]-bargiri[[#This Row],[میزان استهلاک پیش دریافتی]]</f>
        <v>#N/A</v>
      </c>
      <c r="L1438" s="160" t="s">
        <v>593</v>
      </c>
      <c r="M1438" s="159"/>
      <c r="N1438" s="159" t="e">
        <f>IF(bargiri[[#This Row],[مبلغ واریزی]]&lt;&gt;"",bargiri[[#This Row],[مانده مبلغ]]-bargiri[[#This Row],[مبلغ واریزی]],bargiri[[#This Row],[مانده مبلغ]])</f>
        <v>#N/A</v>
      </c>
      <c r="O1438" s="159" t="s">
        <v>593</v>
      </c>
      <c r="P1438" s="159" t="e">
        <f>VLOOKUP(bargiri[[#This Row],[شماره سند مبنا]],invoice[[شماره پیش فاکتور]:[پیش دریافت به ازای هر کیلوگرم]],14,0)</f>
        <v>#N/A</v>
      </c>
      <c r="Q1438" s="159" t="e">
        <f>IF(bargiri[[#This Row],[مبلغ ناخالص]]-(bargiri[[#This Row],[نرخ استهلاک]]*bargiri[[#This Row],[مقدار]])&lt;0,0,bargiri[[#This Row],[مبلغ ناخالص]]-(bargiri[[#This Row],[نرخ استهلاک]]*bargiri[[#This Row],[مقدار]]))</f>
        <v>#N/A</v>
      </c>
    </row>
    <row r="1439" spans="1:17" s="22" customFormat="1" ht="13.8" x14ac:dyDescent="0.25">
      <c r="A1439" s="22">
        <v>111</v>
      </c>
      <c r="B1439" s="22" t="s">
        <v>260</v>
      </c>
      <c r="C1439" s="22" t="s">
        <v>72</v>
      </c>
      <c r="D1439" s="22" t="s">
        <v>73</v>
      </c>
      <c r="E1439" s="158">
        <v>20455</v>
      </c>
      <c r="F1439" s="159">
        <v>57273</v>
      </c>
      <c r="G1439" s="159">
        <v>1171519215</v>
      </c>
      <c r="H1439" s="159">
        <v>117151922</v>
      </c>
      <c r="I1439" s="159">
        <v>1288671137</v>
      </c>
      <c r="J1439" s="159" t="e">
        <f>bargiri[[#This Row],[مقدار]]*INDEX(invoice[پیش دریافت به ازای هر کیلوگرم],MATCH(bargiri[[#This Row],[شماره سند مبنا]],invoice[شماره پیش فاکتور],0))</f>
        <v>#N/A</v>
      </c>
      <c r="K1439" s="159" t="e">
        <f>bargiri[[#This Row],[مبلغ خالص]]-bargiri[[#This Row],[میزان استهلاک پیش دریافتی]]</f>
        <v>#N/A</v>
      </c>
      <c r="L1439" s="160" t="s">
        <v>593</v>
      </c>
      <c r="M1439" s="159"/>
      <c r="N1439" s="159" t="e">
        <f>IF(bargiri[[#This Row],[مبلغ واریزی]]&lt;&gt;"",bargiri[[#This Row],[مانده مبلغ]]-bargiri[[#This Row],[مبلغ واریزی]],bargiri[[#This Row],[مانده مبلغ]])</f>
        <v>#N/A</v>
      </c>
      <c r="O1439" s="159" t="s">
        <v>593</v>
      </c>
      <c r="P1439" s="159" t="e">
        <f>VLOOKUP(bargiri[[#This Row],[شماره سند مبنا]],invoice[[شماره پیش فاکتور]:[پیش دریافت به ازای هر کیلوگرم]],14,0)</f>
        <v>#N/A</v>
      </c>
      <c r="Q1439" s="159" t="e">
        <f>IF(bargiri[[#This Row],[مبلغ ناخالص]]-(bargiri[[#This Row],[نرخ استهلاک]]*bargiri[[#This Row],[مقدار]])&lt;0,0,bargiri[[#This Row],[مبلغ ناخالص]]-(bargiri[[#This Row],[نرخ استهلاک]]*bargiri[[#This Row],[مقدار]]))</f>
        <v>#N/A</v>
      </c>
    </row>
    <row r="1440" spans="1:17" s="22" customFormat="1" ht="13.8" x14ac:dyDescent="0.25">
      <c r="A1440" s="22">
        <v>110</v>
      </c>
      <c r="B1440" s="22" t="s">
        <v>260</v>
      </c>
      <c r="C1440" s="22" t="s">
        <v>72</v>
      </c>
      <c r="D1440" s="22" t="s">
        <v>73</v>
      </c>
      <c r="E1440" s="158">
        <v>20635</v>
      </c>
      <c r="F1440" s="159">
        <v>57273</v>
      </c>
      <c r="G1440" s="159">
        <v>1181828355</v>
      </c>
      <c r="H1440" s="159">
        <v>118182836</v>
      </c>
      <c r="I1440" s="159">
        <v>1300011191</v>
      </c>
      <c r="J1440" s="159" t="e">
        <f>bargiri[[#This Row],[مقدار]]*INDEX(invoice[پیش دریافت به ازای هر کیلوگرم],MATCH(bargiri[[#This Row],[شماره سند مبنا]],invoice[شماره پیش فاکتور],0))</f>
        <v>#N/A</v>
      </c>
      <c r="K1440" s="159" t="e">
        <f>bargiri[[#This Row],[مبلغ خالص]]-bargiri[[#This Row],[میزان استهلاک پیش دریافتی]]</f>
        <v>#N/A</v>
      </c>
      <c r="L1440" s="160" t="s">
        <v>593</v>
      </c>
      <c r="M1440" s="159"/>
      <c r="N1440" s="159" t="e">
        <f>IF(bargiri[[#This Row],[مبلغ واریزی]]&lt;&gt;"",bargiri[[#This Row],[مانده مبلغ]]-bargiri[[#This Row],[مبلغ واریزی]],bargiri[[#This Row],[مانده مبلغ]])</f>
        <v>#N/A</v>
      </c>
      <c r="O1440" s="159" t="s">
        <v>593</v>
      </c>
      <c r="P1440" s="159" t="e">
        <f>VLOOKUP(bargiri[[#This Row],[شماره سند مبنا]],invoice[[شماره پیش فاکتور]:[پیش دریافت به ازای هر کیلوگرم]],14,0)</f>
        <v>#N/A</v>
      </c>
      <c r="Q1440" s="159" t="e">
        <f>IF(bargiri[[#This Row],[مبلغ ناخالص]]-(bargiri[[#This Row],[نرخ استهلاک]]*bargiri[[#This Row],[مقدار]])&lt;0,0,bargiri[[#This Row],[مبلغ ناخالص]]-(bargiri[[#This Row],[نرخ استهلاک]]*bargiri[[#This Row],[مقدار]]))</f>
        <v>#N/A</v>
      </c>
    </row>
    <row r="1441" spans="1:17" s="22" customFormat="1" ht="13.8" x14ac:dyDescent="0.25">
      <c r="A1441" s="22">
        <v>109</v>
      </c>
      <c r="B1441" s="22" t="s">
        <v>62</v>
      </c>
      <c r="C1441" s="22" t="s">
        <v>167</v>
      </c>
      <c r="D1441" s="22" t="s">
        <v>43</v>
      </c>
      <c r="E1441" s="158">
        <v>5440</v>
      </c>
      <c r="F1441" s="159">
        <v>80000</v>
      </c>
      <c r="G1441" s="159">
        <v>435200000</v>
      </c>
      <c r="H1441" s="159">
        <v>43520000</v>
      </c>
      <c r="I1441" s="159">
        <v>478720000</v>
      </c>
      <c r="J1441" s="159">
        <f>bargiri[[#This Row],[مقدار]]*INDEX(invoice[پیش دریافت به ازای هر کیلوگرم],MATCH(bargiri[[#This Row],[شماره سند مبنا]],invoice[شماره پیش فاکتور],0))</f>
        <v>95744000</v>
      </c>
      <c r="K1441" s="159">
        <f>bargiri[[#This Row],[مبلغ خالص]]-bargiri[[#This Row],[میزان استهلاک پیش دریافتی]]</f>
        <v>382976000</v>
      </c>
      <c r="L1441" s="160" t="s">
        <v>593</v>
      </c>
      <c r="M1441" s="159"/>
      <c r="N1441" s="159">
        <f>IF(bargiri[[#This Row],[مبلغ واریزی]]&lt;&gt;"",bargiri[[#This Row],[مانده مبلغ]]-bargiri[[#This Row],[مبلغ واریزی]],bargiri[[#This Row],[مانده مبلغ]])</f>
        <v>382976000</v>
      </c>
      <c r="O1441" s="159" t="s">
        <v>593</v>
      </c>
      <c r="P1441" s="159">
        <f>VLOOKUP(bargiri[[#This Row],[شماره سند مبنا]],invoice[[شماره پیش فاکتور]:[پیش دریافت به ازای هر کیلوگرم]],14,0)</f>
        <v>17600</v>
      </c>
      <c r="Q1441" s="159">
        <f>IF(bargiri[[#This Row],[مبلغ ناخالص]]-(bargiri[[#This Row],[نرخ استهلاک]]*bargiri[[#This Row],[مقدار]])&lt;0,0,bargiri[[#This Row],[مبلغ ناخالص]]-(bargiri[[#This Row],[نرخ استهلاک]]*bargiri[[#This Row],[مقدار]]))</f>
        <v>339456000</v>
      </c>
    </row>
    <row r="1442" spans="1:17" s="22" customFormat="1" ht="13.8" x14ac:dyDescent="0.25">
      <c r="A1442" s="22">
        <v>108</v>
      </c>
      <c r="B1442" s="22" t="s">
        <v>62</v>
      </c>
      <c r="C1442" s="22" t="s">
        <v>88</v>
      </c>
      <c r="D1442" s="22" t="s">
        <v>89</v>
      </c>
      <c r="E1442" s="158">
        <v>9430</v>
      </c>
      <c r="F1442" s="159">
        <v>78000</v>
      </c>
      <c r="G1442" s="159">
        <v>735540000</v>
      </c>
      <c r="H1442" s="159">
        <v>73554000</v>
      </c>
      <c r="I1442" s="159">
        <v>809094000</v>
      </c>
      <c r="J1442" s="159" t="e">
        <f>bargiri[[#This Row],[مقدار]]*INDEX(invoice[پیش دریافت به ازای هر کیلوگرم],MATCH(bargiri[[#This Row],[شماره سند مبنا]],invoice[شماره پیش فاکتور],0))</f>
        <v>#N/A</v>
      </c>
      <c r="K1442" s="159" t="e">
        <f>bargiri[[#This Row],[مبلغ خالص]]-bargiri[[#This Row],[میزان استهلاک پیش دریافتی]]</f>
        <v>#N/A</v>
      </c>
      <c r="L1442" s="160" t="s">
        <v>593</v>
      </c>
      <c r="M1442" s="159"/>
      <c r="N1442" s="159" t="e">
        <f>IF(bargiri[[#This Row],[مبلغ واریزی]]&lt;&gt;"",bargiri[[#This Row],[مانده مبلغ]]-bargiri[[#This Row],[مبلغ واریزی]],bargiri[[#This Row],[مانده مبلغ]])</f>
        <v>#N/A</v>
      </c>
      <c r="O1442" s="159" t="s">
        <v>593</v>
      </c>
      <c r="P1442" s="159" t="e">
        <f>VLOOKUP(bargiri[[#This Row],[شماره سند مبنا]],invoice[[شماره پیش فاکتور]:[پیش دریافت به ازای هر کیلوگرم]],14,0)</f>
        <v>#N/A</v>
      </c>
      <c r="Q1442" s="159" t="e">
        <f>IF(bargiri[[#This Row],[مبلغ ناخالص]]-(bargiri[[#This Row],[نرخ استهلاک]]*bargiri[[#This Row],[مقدار]])&lt;0,0,bargiri[[#This Row],[مبلغ ناخالص]]-(bargiri[[#This Row],[نرخ استهلاک]]*bargiri[[#This Row],[مقدار]]))</f>
        <v>#N/A</v>
      </c>
    </row>
    <row r="1443" spans="1:17" s="22" customFormat="1" ht="13.8" x14ac:dyDescent="0.25">
      <c r="A1443" s="22">
        <v>107</v>
      </c>
      <c r="B1443" s="22" t="s">
        <v>62</v>
      </c>
      <c r="C1443" s="22" t="s">
        <v>149</v>
      </c>
      <c r="D1443" s="22" t="s">
        <v>35</v>
      </c>
      <c r="E1443" s="158">
        <v>7405</v>
      </c>
      <c r="F1443" s="159">
        <v>75000</v>
      </c>
      <c r="G1443" s="159">
        <v>555375000</v>
      </c>
      <c r="H1443" s="159">
        <v>55537500</v>
      </c>
      <c r="I1443" s="159">
        <v>610912500</v>
      </c>
      <c r="J1443" s="159">
        <f>bargiri[[#This Row],[مقدار]]*INDEX(invoice[پیش دریافت به ازای هر کیلوگرم],MATCH(bargiri[[#This Row],[شماره سند مبنا]],invoice[شماره پیش فاکتور],0))</f>
        <v>91643595.530338898</v>
      </c>
      <c r="K1443" s="159">
        <f>bargiri[[#This Row],[مبلغ خالص]]-bargiri[[#This Row],[میزان استهلاک پیش دریافتی]]</f>
        <v>519268904.46966112</v>
      </c>
      <c r="L1443" s="160" t="s">
        <v>593</v>
      </c>
      <c r="M1443" s="159"/>
      <c r="N1443" s="159">
        <f>IF(bargiri[[#This Row],[مبلغ واریزی]]&lt;&gt;"",bargiri[[#This Row],[مانده مبلغ]]-bargiri[[#This Row],[مبلغ واریزی]],bargiri[[#This Row],[مانده مبلغ]])</f>
        <v>519268904.46966112</v>
      </c>
      <c r="O1443" s="159" t="s">
        <v>593</v>
      </c>
      <c r="P1443" s="159">
        <f>VLOOKUP(bargiri[[#This Row],[شماره سند مبنا]],invoice[[شماره پیش فاکتور]:[پیش دریافت به ازای هر کیلوگرم]],14,0)</f>
        <v>12375.907566554881</v>
      </c>
      <c r="Q1443" s="159">
        <f>IF(bargiri[[#This Row],[مبلغ ناخالص]]-(bargiri[[#This Row],[نرخ استهلاک]]*bargiri[[#This Row],[مقدار]])&lt;0,0,bargiri[[#This Row],[مبلغ ناخالص]]-(bargiri[[#This Row],[نرخ استهلاک]]*bargiri[[#This Row],[مقدار]]))</f>
        <v>463731404.46966112</v>
      </c>
    </row>
    <row r="1444" spans="1:17" s="22" customFormat="1" ht="13.8" x14ac:dyDescent="0.25">
      <c r="A1444" s="22">
        <v>106</v>
      </c>
      <c r="B1444" s="22" t="s">
        <v>62</v>
      </c>
      <c r="C1444" s="22" t="s">
        <v>167</v>
      </c>
      <c r="D1444" s="22" t="s">
        <v>43</v>
      </c>
      <c r="E1444" s="158">
        <v>5410</v>
      </c>
      <c r="F1444" s="159">
        <v>80000</v>
      </c>
      <c r="G1444" s="159">
        <v>432800000</v>
      </c>
      <c r="H1444" s="159">
        <v>43280000</v>
      </c>
      <c r="I1444" s="159">
        <v>476080000</v>
      </c>
      <c r="J1444" s="159">
        <f>bargiri[[#This Row],[مقدار]]*INDEX(invoice[پیش دریافت به ازای هر کیلوگرم],MATCH(bargiri[[#This Row],[شماره سند مبنا]],invoice[شماره پیش فاکتور],0))</f>
        <v>95216000</v>
      </c>
      <c r="K1444" s="159">
        <f>bargiri[[#This Row],[مبلغ خالص]]-bargiri[[#This Row],[میزان استهلاک پیش دریافتی]]</f>
        <v>380864000</v>
      </c>
      <c r="L1444" s="160" t="s">
        <v>593</v>
      </c>
      <c r="M1444" s="159"/>
      <c r="N1444" s="159">
        <f>IF(bargiri[[#This Row],[مبلغ واریزی]]&lt;&gt;"",bargiri[[#This Row],[مانده مبلغ]]-bargiri[[#This Row],[مبلغ واریزی]],bargiri[[#This Row],[مانده مبلغ]])</f>
        <v>380864000</v>
      </c>
      <c r="O1444" s="159" t="s">
        <v>593</v>
      </c>
      <c r="P1444" s="159">
        <f>VLOOKUP(bargiri[[#This Row],[شماره سند مبنا]],invoice[[شماره پیش فاکتور]:[پیش دریافت به ازای هر کیلوگرم]],14,0)</f>
        <v>17600</v>
      </c>
      <c r="Q1444" s="159">
        <f>IF(bargiri[[#This Row],[مبلغ ناخالص]]-(bargiri[[#This Row],[نرخ استهلاک]]*bargiri[[#This Row],[مقدار]])&lt;0,0,bargiri[[#This Row],[مبلغ ناخالص]]-(bargiri[[#This Row],[نرخ استهلاک]]*bargiri[[#This Row],[مقدار]]))</f>
        <v>337584000</v>
      </c>
    </row>
    <row r="1445" spans="1:17" s="22" customFormat="1" ht="13.8" x14ac:dyDescent="0.25">
      <c r="A1445" s="22">
        <v>105</v>
      </c>
      <c r="B1445" s="22" t="s">
        <v>62</v>
      </c>
      <c r="C1445" s="22" t="s">
        <v>149</v>
      </c>
      <c r="D1445" s="22" t="s">
        <v>35</v>
      </c>
      <c r="E1445" s="158">
        <v>7370</v>
      </c>
      <c r="F1445" s="159">
        <v>75000</v>
      </c>
      <c r="G1445" s="159">
        <v>552750000</v>
      </c>
      <c r="H1445" s="159">
        <v>55275000</v>
      </c>
      <c r="I1445" s="159">
        <v>608025000</v>
      </c>
      <c r="J1445" s="159">
        <f>bargiri[[#This Row],[مقدار]]*INDEX(invoice[پیش دریافت به ازای هر کیلوگرم],MATCH(bargiri[[#This Row],[شماره سند مبنا]],invoice[شماره پیش فاکتور],0))</f>
        <v>91210438.765509471</v>
      </c>
      <c r="K1445" s="159">
        <f>bargiri[[#This Row],[مبلغ خالص]]-bargiri[[#This Row],[میزان استهلاک پیش دریافتی]]</f>
        <v>516814561.23449051</v>
      </c>
      <c r="L1445" s="160" t="s">
        <v>593</v>
      </c>
      <c r="M1445" s="159"/>
      <c r="N1445" s="159">
        <f>IF(bargiri[[#This Row],[مبلغ واریزی]]&lt;&gt;"",bargiri[[#This Row],[مانده مبلغ]]-bargiri[[#This Row],[مبلغ واریزی]],bargiri[[#This Row],[مانده مبلغ]])</f>
        <v>516814561.23449051</v>
      </c>
      <c r="O1445" s="159" t="s">
        <v>593</v>
      </c>
      <c r="P1445" s="159">
        <f>VLOOKUP(bargiri[[#This Row],[شماره سند مبنا]],invoice[[شماره پیش فاکتور]:[پیش دریافت به ازای هر کیلوگرم]],14,0)</f>
        <v>12375.907566554881</v>
      </c>
      <c r="Q1445" s="159">
        <f>IF(bargiri[[#This Row],[مبلغ ناخالص]]-(bargiri[[#This Row],[نرخ استهلاک]]*bargiri[[#This Row],[مقدار]])&lt;0,0,bargiri[[#This Row],[مبلغ ناخالص]]-(bargiri[[#This Row],[نرخ استهلاک]]*bargiri[[#This Row],[مقدار]]))</f>
        <v>461539561.23449051</v>
      </c>
    </row>
    <row r="1446" spans="1:17" s="22" customFormat="1" ht="13.8" x14ac:dyDescent="0.25">
      <c r="A1446" s="22">
        <v>104</v>
      </c>
      <c r="B1446" s="22" t="s">
        <v>62</v>
      </c>
      <c r="C1446" s="22" t="s">
        <v>59</v>
      </c>
      <c r="D1446" s="22" t="s">
        <v>57</v>
      </c>
      <c r="E1446" s="158">
        <v>4620</v>
      </c>
      <c r="F1446" s="159">
        <v>80000</v>
      </c>
      <c r="G1446" s="159">
        <v>369600000</v>
      </c>
      <c r="H1446" s="159">
        <v>33264000</v>
      </c>
      <c r="I1446" s="159">
        <v>402864000</v>
      </c>
      <c r="J1446" s="159" t="e">
        <f>bargiri[[#This Row],[مقدار]]*INDEX(invoice[پیش دریافت به ازای هر کیلوگرم],MATCH(bargiri[[#This Row],[شماره سند مبنا]],invoice[شماره پیش فاکتور],0))</f>
        <v>#N/A</v>
      </c>
      <c r="K1446" s="159" t="e">
        <f>bargiri[[#This Row],[مبلغ خالص]]-bargiri[[#This Row],[میزان استهلاک پیش دریافتی]]</f>
        <v>#N/A</v>
      </c>
      <c r="L1446" s="160" t="s">
        <v>593</v>
      </c>
      <c r="M1446" s="159"/>
      <c r="N1446" s="159" t="e">
        <f>IF(bargiri[[#This Row],[مبلغ واریزی]]&lt;&gt;"",bargiri[[#This Row],[مانده مبلغ]]-bargiri[[#This Row],[مبلغ واریزی]],bargiri[[#This Row],[مانده مبلغ]])</f>
        <v>#N/A</v>
      </c>
      <c r="O1446" s="159" t="s">
        <v>593</v>
      </c>
      <c r="P1446" s="159" t="e">
        <f>VLOOKUP(bargiri[[#This Row],[شماره سند مبنا]],invoice[[شماره پیش فاکتور]:[پیش دریافت به ازای هر کیلوگرم]],14,0)</f>
        <v>#N/A</v>
      </c>
      <c r="Q1446" s="159" t="e">
        <f>IF(bargiri[[#This Row],[مبلغ ناخالص]]-(bargiri[[#This Row],[نرخ استهلاک]]*bargiri[[#This Row],[مقدار]])&lt;0,0,bargiri[[#This Row],[مبلغ ناخالص]]-(bargiri[[#This Row],[نرخ استهلاک]]*bargiri[[#This Row],[مقدار]]))</f>
        <v>#N/A</v>
      </c>
    </row>
    <row r="1447" spans="1:17" s="22" customFormat="1" ht="13.8" x14ac:dyDescent="0.25">
      <c r="A1447" s="22">
        <v>104</v>
      </c>
      <c r="B1447" s="22" t="s">
        <v>62</v>
      </c>
      <c r="C1447" s="22" t="s">
        <v>60</v>
      </c>
      <c r="D1447" s="22" t="s">
        <v>57</v>
      </c>
      <c r="E1447" s="158">
        <v>5330</v>
      </c>
      <c r="F1447" s="159">
        <v>120000</v>
      </c>
      <c r="G1447" s="159">
        <v>639600000</v>
      </c>
      <c r="H1447" s="159">
        <v>63960000</v>
      </c>
      <c r="I1447" s="159">
        <v>703560000</v>
      </c>
      <c r="J1447" s="159" t="e">
        <f>bargiri[[#This Row],[مقدار]]*INDEX(invoice[پیش دریافت به ازای هر کیلوگرم],MATCH(bargiri[[#This Row],[شماره سند مبنا]],invoice[شماره پیش فاکتور],0))</f>
        <v>#N/A</v>
      </c>
      <c r="K1447" s="159" t="e">
        <f>bargiri[[#This Row],[مبلغ خالص]]-bargiri[[#This Row],[میزان استهلاک پیش دریافتی]]</f>
        <v>#N/A</v>
      </c>
      <c r="L1447" s="160" t="s">
        <v>593</v>
      </c>
      <c r="M1447" s="159"/>
      <c r="N1447" s="159" t="e">
        <f>IF(bargiri[[#This Row],[مبلغ واریزی]]&lt;&gt;"",bargiri[[#This Row],[مانده مبلغ]]-bargiri[[#This Row],[مبلغ واریزی]],bargiri[[#This Row],[مانده مبلغ]])</f>
        <v>#N/A</v>
      </c>
      <c r="O1447" s="159" t="s">
        <v>593</v>
      </c>
      <c r="P1447" s="159" t="e">
        <f>VLOOKUP(bargiri[[#This Row],[شماره سند مبنا]],invoice[[شماره پیش فاکتور]:[پیش دریافت به ازای هر کیلوگرم]],14,0)</f>
        <v>#N/A</v>
      </c>
      <c r="Q1447" s="159" t="e">
        <f>IF(bargiri[[#This Row],[مبلغ ناخالص]]-(bargiri[[#This Row],[نرخ استهلاک]]*bargiri[[#This Row],[مقدار]])&lt;0,0,bargiri[[#This Row],[مبلغ ناخالص]]-(bargiri[[#This Row],[نرخ استهلاک]]*bargiri[[#This Row],[مقدار]]))</f>
        <v>#N/A</v>
      </c>
    </row>
    <row r="1448" spans="1:17" s="22" customFormat="1" ht="13.8" x14ac:dyDescent="0.25">
      <c r="A1448" s="22">
        <v>103</v>
      </c>
      <c r="B1448" s="22" t="s">
        <v>62</v>
      </c>
      <c r="C1448" s="22" t="s">
        <v>172</v>
      </c>
      <c r="D1448" s="22" t="s">
        <v>173</v>
      </c>
      <c r="E1448" s="158">
        <v>21135</v>
      </c>
      <c r="F1448" s="159">
        <v>75000</v>
      </c>
      <c r="G1448" s="159">
        <v>1585125000</v>
      </c>
      <c r="H1448" s="159">
        <v>158512500</v>
      </c>
      <c r="I1448" s="159">
        <v>1743637500</v>
      </c>
      <c r="J1448" s="159">
        <f>bargiri[[#This Row],[مقدار]]*INDEX(invoice[پیش دریافت به ازای هر کیلوگرم],MATCH(bargiri[[#This Row],[شماره سند مبنا]],invoice[شماره پیش فاکتور],0))</f>
        <v>261545625</v>
      </c>
      <c r="K1448" s="159">
        <f>bargiri[[#This Row],[مبلغ خالص]]-bargiri[[#This Row],[میزان استهلاک پیش دریافتی]]</f>
        <v>1482091875</v>
      </c>
      <c r="L1448" s="160" t="s">
        <v>593</v>
      </c>
      <c r="M1448" s="159"/>
      <c r="N1448" s="159">
        <f>IF(bargiri[[#This Row],[مبلغ واریزی]]&lt;&gt;"",bargiri[[#This Row],[مانده مبلغ]]-bargiri[[#This Row],[مبلغ واریزی]],bargiri[[#This Row],[مانده مبلغ]])</f>
        <v>1482091875</v>
      </c>
      <c r="O1448" s="159" t="s">
        <v>593</v>
      </c>
      <c r="P1448" s="159">
        <f>VLOOKUP(bargiri[[#This Row],[شماره سند مبنا]],invoice[[شماره پیش فاکتور]:[پیش دریافت به ازای هر کیلوگرم]],14,0)</f>
        <v>12375</v>
      </c>
      <c r="Q1448" s="159">
        <f>IF(bargiri[[#This Row],[مبلغ ناخالص]]-(bargiri[[#This Row],[نرخ استهلاک]]*bargiri[[#This Row],[مقدار]])&lt;0,0,bargiri[[#This Row],[مبلغ ناخالص]]-(bargiri[[#This Row],[نرخ استهلاک]]*bargiri[[#This Row],[مقدار]]))</f>
        <v>1323579375</v>
      </c>
    </row>
    <row r="1449" spans="1:17" s="22" customFormat="1" ht="13.8" x14ac:dyDescent="0.25">
      <c r="A1449" s="22">
        <v>102</v>
      </c>
      <c r="B1449" s="22" t="s">
        <v>62</v>
      </c>
      <c r="C1449" s="22" t="s">
        <v>167</v>
      </c>
      <c r="D1449" s="22" t="s">
        <v>43</v>
      </c>
      <c r="E1449" s="158">
        <v>5405</v>
      </c>
      <c r="F1449" s="159">
        <v>80000</v>
      </c>
      <c r="G1449" s="159">
        <v>432400000</v>
      </c>
      <c r="H1449" s="159">
        <v>43240000</v>
      </c>
      <c r="I1449" s="159">
        <v>475640000</v>
      </c>
      <c r="J1449" s="159">
        <f>bargiri[[#This Row],[مقدار]]*INDEX(invoice[پیش دریافت به ازای هر کیلوگرم],MATCH(bargiri[[#This Row],[شماره سند مبنا]],invoice[شماره پیش فاکتور],0))</f>
        <v>95128000</v>
      </c>
      <c r="K1449" s="159">
        <f>bargiri[[#This Row],[مبلغ خالص]]-bargiri[[#This Row],[میزان استهلاک پیش دریافتی]]</f>
        <v>380512000</v>
      </c>
      <c r="L1449" s="160" t="s">
        <v>593</v>
      </c>
      <c r="M1449" s="159"/>
      <c r="N1449" s="159">
        <f>IF(bargiri[[#This Row],[مبلغ واریزی]]&lt;&gt;"",bargiri[[#This Row],[مانده مبلغ]]-bargiri[[#This Row],[مبلغ واریزی]],bargiri[[#This Row],[مانده مبلغ]])</f>
        <v>380512000</v>
      </c>
      <c r="O1449" s="159" t="s">
        <v>593</v>
      </c>
      <c r="P1449" s="159">
        <f>VLOOKUP(bargiri[[#This Row],[شماره سند مبنا]],invoice[[شماره پیش فاکتور]:[پیش دریافت به ازای هر کیلوگرم]],14,0)</f>
        <v>17600</v>
      </c>
      <c r="Q1449" s="159">
        <f>IF(bargiri[[#This Row],[مبلغ ناخالص]]-(bargiri[[#This Row],[نرخ استهلاک]]*bargiri[[#This Row],[مقدار]])&lt;0,0,bargiri[[#This Row],[مبلغ ناخالص]]-(bargiri[[#This Row],[نرخ استهلاک]]*bargiri[[#This Row],[مقدار]]))</f>
        <v>337272000</v>
      </c>
    </row>
    <row r="1450" spans="1:17" s="22" customFormat="1" ht="13.8" x14ac:dyDescent="0.25">
      <c r="A1450" s="22">
        <v>101</v>
      </c>
      <c r="B1450" s="22" t="s">
        <v>61</v>
      </c>
      <c r="C1450" s="22" t="s">
        <v>167</v>
      </c>
      <c r="D1450" s="22" t="s">
        <v>43</v>
      </c>
      <c r="E1450" s="158">
        <v>5445</v>
      </c>
      <c r="F1450" s="159">
        <v>80000</v>
      </c>
      <c r="G1450" s="159">
        <v>435600000</v>
      </c>
      <c r="H1450" s="159">
        <v>43560000</v>
      </c>
      <c r="I1450" s="159">
        <v>479160000</v>
      </c>
      <c r="J1450" s="159">
        <f>bargiri[[#This Row],[مقدار]]*INDEX(invoice[پیش دریافت به ازای هر کیلوگرم],MATCH(bargiri[[#This Row],[شماره سند مبنا]],invoice[شماره پیش فاکتور],0))</f>
        <v>95832000</v>
      </c>
      <c r="K1450" s="159">
        <f>bargiri[[#This Row],[مبلغ خالص]]-bargiri[[#This Row],[میزان استهلاک پیش دریافتی]]</f>
        <v>383328000</v>
      </c>
      <c r="L1450" s="160" t="s">
        <v>593</v>
      </c>
      <c r="M1450" s="159"/>
      <c r="N1450" s="159">
        <f>IF(bargiri[[#This Row],[مبلغ واریزی]]&lt;&gt;"",bargiri[[#This Row],[مانده مبلغ]]-bargiri[[#This Row],[مبلغ واریزی]],bargiri[[#This Row],[مانده مبلغ]])</f>
        <v>383328000</v>
      </c>
      <c r="O1450" s="159" t="s">
        <v>593</v>
      </c>
      <c r="P1450" s="159">
        <f>VLOOKUP(bargiri[[#This Row],[شماره سند مبنا]],invoice[[شماره پیش فاکتور]:[پیش دریافت به ازای هر کیلوگرم]],14,0)</f>
        <v>17600</v>
      </c>
      <c r="Q1450" s="159">
        <f>IF(bargiri[[#This Row],[مبلغ ناخالص]]-(bargiri[[#This Row],[نرخ استهلاک]]*bargiri[[#This Row],[مقدار]])&lt;0,0,bargiri[[#This Row],[مبلغ ناخالص]]-(bargiri[[#This Row],[نرخ استهلاک]]*bargiri[[#This Row],[مقدار]]))</f>
        <v>339768000</v>
      </c>
    </row>
    <row r="1451" spans="1:17" s="22" customFormat="1" ht="13.8" x14ac:dyDescent="0.25">
      <c r="A1451" s="22">
        <v>100</v>
      </c>
      <c r="B1451" s="22" t="s">
        <v>61</v>
      </c>
      <c r="C1451" s="22" t="s">
        <v>66</v>
      </c>
      <c r="D1451" s="22" t="s">
        <v>67</v>
      </c>
      <c r="E1451" s="158">
        <v>19990</v>
      </c>
      <c r="F1451" s="159">
        <v>68500</v>
      </c>
      <c r="G1451" s="159">
        <v>1369315000</v>
      </c>
      <c r="H1451" s="159">
        <v>123238350</v>
      </c>
      <c r="I1451" s="159">
        <v>1492553350</v>
      </c>
      <c r="J1451" s="159" t="e">
        <f>bargiri[[#This Row],[مقدار]]*INDEX(invoice[پیش دریافت به ازای هر کیلوگرم],MATCH(bargiri[[#This Row],[شماره سند مبنا]],invoice[شماره پیش فاکتور],0))</f>
        <v>#N/A</v>
      </c>
      <c r="K1451" s="159" t="e">
        <f>bargiri[[#This Row],[مبلغ خالص]]-bargiri[[#This Row],[میزان استهلاک پیش دریافتی]]</f>
        <v>#N/A</v>
      </c>
      <c r="L1451" s="160"/>
      <c r="M1451" s="159"/>
      <c r="N1451" s="159" t="e">
        <f>IF(bargiri[[#This Row],[مبلغ واریزی]]&lt;&gt;"",bargiri[[#This Row],[مانده مبلغ]]-bargiri[[#This Row],[مبلغ واریزی]],bargiri[[#This Row],[مانده مبلغ]])</f>
        <v>#N/A</v>
      </c>
      <c r="O1451" s="159"/>
      <c r="P1451" s="159" t="e">
        <f>VLOOKUP(bargiri[[#This Row],[شماره سند مبنا]],invoice[[شماره پیش فاکتور]:[پیش دریافت به ازای هر کیلوگرم]],14,0)</f>
        <v>#N/A</v>
      </c>
      <c r="Q1451" s="159" t="e">
        <f>IF(bargiri[[#This Row],[مبلغ ناخالص]]-(bargiri[[#This Row],[نرخ استهلاک]]*bargiri[[#This Row],[مقدار]])&lt;0,0,bargiri[[#This Row],[مبلغ ناخالص]]-(bargiri[[#This Row],[نرخ استهلاک]]*bargiri[[#This Row],[مقدار]]))</f>
        <v>#N/A</v>
      </c>
    </row>
    <row r="1452" spans="1:17" s="22" customFormat="1" ht="13.8" x14ac:dyDescent="0.25">
      <c r="A1452" s="22">
        <v>99</v>
      </c>
      <c r="B1452" s="22" t="s">
        <v>61</v>
      </c>
      <c r="C1452" s="22" t="s">
        <v>172</v>
      </c>
      <c r="D1452" s="22" t="s">
        <v>173</v>
      </c>
      <c r="E1452" s="158">
        <v>21985</v>
      </c>
      <c r="F1452" s="159">
        <v>75000</v>
      </c>
      <c r="G1452" s="159">
        <v>1648875000</v>
      </c>
      <c r="H1452" s="159">
        <v>164887500</v>
      </c>
      <c r="I1452" s="159">
        <v>1813762500</v>
      </c>
      <c r="J1452" s="159">
        <f>bargiri[[#This Row],[مقدار]]*INDEX(invoice[پیش دریافت به ازای هر کیلوگرم],MATCH(bargiri[[#This Row],[شماره سند مبنا]],invoice[شماره پیش فاکتور],0))</f>
        <v>272064375</v>
      </c>
      <c r="K1452" s="159">
        <f>bargiri[[#This Row],[مبلغ خالص]]-bargiri[[#This Row],[میزان استهلاک پیش دریافتی]]</f>
        <v>1541698125</v>
      </c>
      <c r="L1452" s="160"/>
      <c r="M1452" s="159"/>
      <c r="N1452" s="159">
        <f>IF(bargiri[[#This Row],[مبلغ واریزی]]&lt;&gt;"",bargiri[[#This Row],[مانده مبلغ]]-bargiri[[#This Row],[مبلغ واریزی]],bargiri[[#This Row],[مانده مبلغ]])</f>
        <v>1541698125</v>
      </c>
      <c r="O1452" s="159"/>
      <c r="P1452" s="159">
        <f>VLOOKUP(bargiri[[#This Row],[شماره سند مبنا]],invoice[[شماره پیش فاکتور]:[پیش دریافت به ازای هر کیلوگرم]],14,0)</f>
        <v>12375</v>
      </c>
      <c r="Q1452" s="159">
        <f>IF(bargiri[[#This Row],[مبلغ ناخالص]]-(bargiri[[#This Row],[نرخ استهلاک]]*bargiri[[#This Row],[مقدار]])&lt;0,0,bargiri[[#This Row],[مبلغ ناخالص]]-(bargiri[[#This Row],[نرخ استهلاک]]*bargiri[[#This Row],[مقدار]]))</f>
        <v>1376810625</v>
      </c>
    </row>
    <row r="1453" spans="1:17" s="22" customFormat="1" ht="13.8" x14ac:dyDescent="0.25">
      <c r="A1453" s="22">
        <v>98</v>
      </c>
      <c r="B1453" s="22" t="s">
        <v>61</v>
      </c>
      <c r="C1453" s="22" t="s">
        <v>107</v>
      </c>
      <c r="D1453" s="22" t="s">
        <v>30</v>
      </c>
      <c r="E1453" s="158">
        <v>11835</v>
      </c>
      <c r="F1453" s="159">
        <v>70000</v>
      </c>
      <c r="G1453" s="159">
        <v>828450000</v>
      </c>
      <c r="H1453" s="159">
        <v>82845000</v>
      </c>
      <c r="I1453" s="159">
        <v>911295000</v>
      </c>
      <c r="J1453" s="159">
        <f>bargiri[[#This Row],[مقدار]]*INDEX(invoice[پیش دریافت به ازای هر کیلوگرم],MATCH(bargiri[[#This Row],[شماره سند مبنا]],invoice[شماره پیش فاکتور],0))</f>
        <v>455647500</v>
      </c>
      <c r="K1453" s="159">
        <f>bargiri[[#This Row],[مبلغ خالص]]-bargiri[[#This Row],[میزان استهلاک پیش دریافتی]]</f>
        <v>455647500</v>
      </c>
      <c r="L1453" s="160"/>
      <c r="M1453" s="159"/>
      <c r="N1453" s="159">
        <f>IF(bargiri[[#This Row],[مبلغ واریزی]]&lt;&gt;"",bargiri[[#This Row],[مانده مبلغ]]-bargiri[[#This Row],[مبلغ واریزی]],bargiri[[#This Row],[مانده مبلغ]])</f>
        <v>455647500</v>
      </c>
      <c r="O1453" s="159"/>
      <c r="P1453" s="159">
        <f>VLOOKUP(bargiri[[#This Row],[شماره سند مبنا]],invoice[[شماره پیش فاکتور]:[پیش دریافت به ازای هر کیلوگرم]],14,0)</f>
        <v>38500</v>
      </c>
      <c r="Q1453" s="159">
        <f>IF(bargiri[[#This Row],[مبلغ ناخالص]]-(bargiri[[#This Row],[نرخ استهلاک]]*bargiri[[#This Row],[مقدار]])&lt;0,0,bargiri[[#This Row],[مبلغ ناخالص]]-(bargiri[[#This Row],[نرخ استهلاک]]*bargiri[[#This Row],[مقدار]]))</f>
        <v>372802500</v>
      </c>
    </row>
    <row r="1454" spans="1:17" s="22" customFormat="1" ht="13.8" x14ac:dyDescent="0.25">
      <c r="A1454" s="22">
        <v>97</v>
      </c>
      <c r="B1454" s="22" t="s">
        <v>61</v>
      </c>
      <c r="C1454" s="22" t="s">
        <v>199</v>
      </c>
      <c r="D1454" s="22" t="s">
        <v>17</v>
      </c>
      <c r="E1454" s="158">
        <v>22240</v>
      </c>
      <c r="F1454" s="159">
        <v>65000</v>
      </c>
      <c r="G1454" s="159">
        <v>1445600000</v>
      </c>
      <c r="H1454" s="159">
        <v>144560000</v>
      </c>
      <c r="I1454" s="159">
        <v>1590160000</v>
      </c>
      <c r="J1454" s="159">
        <f>bargiri[[#This Row],[مقدار]]*INDEX(invoice[پیش دریافت به ازای هر کیلوگرم],MATCH(bargiri[[#This Row],[شماره سند مبنا]],invoice[شماره پیش فاکتور],0))</f>
        <v>238524000</v>
      </c>
      <c r="K1454" s="159">
        <f>bargiri[[#This Row],[مبلغ خالص]]-bargiri[[#This Row],[میزان استهلاک پیش دریافتی]]</f>
        <v>1351636000</v>
      </c>
      <c r="L1454" s="160"/>
      <c r="M1454" s="159"/>
      <c r="N1454" s="159">
        <f>IF(bargiri[[#This Row],[مبلغ واریزی]]&lt;&gt;"",bargiri[[#This Row],[مانده مبلغ]]-bargiri[[#This Row],[مبلغ واریزی]],bargiri[[#This Row],[مانده مبلغ]])</f>
        <v>1351636000</v>
      </c>
      <c r="O1454" s="159"/>
      <c r="P1454" s="159">
        <f>VLOOKUP(bargiri[[#This Row],[شماره سند مبنا]],invoice[[شماره پیش فاکتور]:[پیش دریافت به ازای هر کیلوگرم]],14,0)</f>
        <v>10725</v>
      </c>
      <c r="Q1454" s="159">
        <f>IF(bargiri[[#This Row],[مبلغ ناخالص]]-(bargiri[[#This Row],[نرخ استهلاک]]*bargiri[[#This Row],[مقدار]])&lt;0,0,bargiri[[#This Row],[مبلغ ناخالص]]-(bargiri[[#This Row],[نرخ استهلاک]]*bargiri[[#This Row],[مقدار]]))</f>
        <v>1207076000</v>
      </c>
    </row>
    <row r="1455" spans="1:17" s="22" customFormat="1" ht="13.8" x14ac:dyDescent="0.25">
      <c r="A1455" s="22">
        <v>96</v>
      </c>
      <c r="B1455" s="22" t="s">
        <v>61</v>
      </c>
      <c r="C1455" s="22" t="s">
        <v>59</v>
      </c>
      <c r="D1455" s="22" t="s">
        <v>57</v>
      </c>
      <c r="E1455" s="158">
        <v>9930</v>
      </c>
      <c r="F1455" s="159">
        <v>80000</v>
      </c>
      <c r="G1455" s="159">
        <v>794400000</v>
      </c>
      <c r="H1455" s="159">
        <v>71496000</v>
      </c>
      <c r="I1455" s="159">
        <v>865896000</v>
      </c>
      <c r="J1455" s="159" t="e">
        <f>bargiri[[#This Row],[مقدار]]*INDEX(invoice[پیش دریافت به ازای هر کیلوگرم],MATCH(bargiri[[#This Row],[شماره سند مبنا]],invoice[شماره پیش فاکتور],0))</f>
        <v>#N/A</v>
      </c>
      <c r="K1455" s="159" t="e">
        <f>bargiri[[#This Row],[مبلغ خالص]]-bargiri[[#This Row],[میزان استهلاک پیش دریافتی]]</f>
        <v>#N/A</v>
      </c>
      <c r="L1455" s="160"/>
      <c r="M1455" s="159"/>
      <c r="N1455" s="159" t="e">
        <f>IF(bargiri[[#This Row],[مبلغ واریزی]]&lt;&gt;"",bargiri[[#This Row],[مانده مبلغ]]-bargiri[[#This Row],[مبلغ واریزی]],bargiri[[#This Row],[مانده مبلغ]])</f>
        <v>#N/A</v>
      </c>
      <c r="O1455" s="159"/>
      <c r="P1455" s="159" t="e">
        <f>VLOOKUP(bargiri[[#This Row],[شماره سند مبنا]],invoice[[شماره پیش فاکتور]:[پیش دریافت به ازای هر کیلوگرم]],14,0)</f>
        <v>#N/A</v>
      </c>
      <c r="Q1455" s="159" t="e">
        <f>IF(bargiri[[#This Row],[مبلغ ناخالص]]-(bargiri[[#This Row],[نرخ استهلاک]]*bargiri[[#This Row],[مقدار]])&lt;0,0,bargiri[[#This Row],[مبلغ ناخالص]]-(bargiri[[#This Row],[نرخ استهلاک]]*bargiri[[#This Row],[مقدار]]))</f>
        <v>#N/A</v>
      </c>
    </row>
    <row r="1456" spans="1:17" s="22" customFormat="1" ht="13.8" x14ac:dyDescent="0.25">
      <c r="A1456" s="22">
        <v>95</v>
      </c>
      <c r="B1456" s="22" t="s">
        <v>61</v>
      </c>
      <c r="C1456" s="22" t="s">
        <v>88</v>
      </c>
      <c r="D1456" s="22" t="s">
        <v>89</v>
      </c>
      <c r="E1456" s="158">
        <v>14955</v>
      </c>
      <c r="F1456" s="159">
        <v>78000</v>
      </c>
      <c r="G1456" s="159">
        <v>1166490000</v>
      </c>
      <c r="H1456" s="159">
        <v>116649000</v>
      </c>
      <c r="I1456" s="159">
        <v>1283139000</v>
      </c>
      <c r="J1456" s="159" t="e">
        <f>bargiri[[#This Row],[مقدار]]*INDEX(invoice[پیش دریافت به ازای هر کیلوگرم],MATCH(bargiri[[#This Row],[شماره سند مبنا]],invoice[شماره پیش فاکتور],0))</f>
        <v>#N/A</v>
      </c>
      <c r="K1456" s="159" t="e">
        <f>bargiri[[#This Row],[مبلغ خالص]]-bargiri[[#This Row],[میزان استهلاک پیش دریافتی]]</f>
        <v>#N/A</v>
      </c>
      <c r="L1456" s="160"/>
      <c r="M1456" s="159"/>
      <c r="N1456" s="159" t="e">
        <f>IF(bargiri[[#This Row],[مبلغ واریزی]]&lt;&gt;"",bargiri[[#This Row],[مانده مبلغ]]-bargiri[[#This Row],[مبلغ واریزی]],bargiri[[#This Row],[مانده مبلغ]])</f>
        <v>#N/A</v>
      </c>
      <c r="O1456" s="159"/>
      <c r="P1456" s="159" t="e">
        <f>VLOOKUP(bargiri[[#This Row],[شماره سند مبنا]],invoice[[شماره پیش فاکتور]:[پیش دریافت به ازای هر کیلوگرم]],14,0)</f>
        <v>#N/A</v>
      </c>
      <c r="Q1456" s="159" t="e">
        <f>IF(bargiri[[#This Row],[مبلغ ناخالص]]-(bargiri[[#This Row],[نرخ استهلاک]]*bargiri[[#This Row],[مقدار]])&lt;0,0,bargiri[[#This Row],[مبلغ ناخالص]]-(bargiri[[#This Row],[نرخ استهلاک]]*bargiri[[#This Row],[مقدار]]))</f>
        <v>#N/A</v>
      </c>
    </row>
    <row r="1457" spans="1:17" s="22" customFormat="1" ht="13.8" x14ac:dyDescent="0.25">
      <c r="A1457" s="22">
        <v>94</v>
      </c>
      <c r="B1457" s="22" t="s">
        <v>61</v>
      </c>
      <c r="C1457" s="22" t="s">
        <v>72</v>
      </c>
      <c r="D1457" s="22" t="s">
        <v>73</v>
      </c>
      <c r="E1457" s="158">
        <v>20790</v>
      </c>
      <c r="F1457" s="159">
        <v>57273</v>
      </c>
      <c r="G1457" s="159">
        <v>1190705670</v>
      </c>
      <c r="H1457" s="159">
        <v>119070567</v>
      </c>
      <c r="I1457" s="159">
        <v>1309776237</v>
      </c>
      <c r="J1457" s="159" t="e">
        <f>bargiri[[#This Row],[مقدار]]*INDEX(invoice[پیش دریافت به ازای هر کیلوگرم],MATCH(bargiri[[#This Row],[شماره سند مبنا]],invoice[شماره پیش فاکتور],0))</f>
        <v>#N/A</v>
      </c>
      <c r="K1457" s="159" t="e">
        <f>bargiri[[#This Row],[مبلغ خالص]]-bargiri[[#This Row],[میزان استهلاک پیش دریافتی]]</f>
        <v>#N/A</v>
      </c>
      <c r="L1457" s="160"/>
      <c r="M1457" s="159"/>
      <c r="N1457" s="159" t="e">
        <f>IF(bargiri[[#This Row],[مبلغ واریزی]]&lt;&gt;"",bargiri[[#This Row],[مانده مبلغ]]-bargiri[[#This Row],[مبلغ واریزی]],bargiri[[#This Row],[مانده مبلغ]])</f>
        <v>#N/A</v>
      </c>
      <c r="O1457" s="159"/>
      <c r="P1457" s="159" t="e">
        <f>VLOOKUP(bargiri[[#This Row],[شماره سند مبنا]],invoice[[شماره پیش فاکتور]:[پیش دریافت به ازای هر کیلوگرم]],14,0)</f>
        <v>#N/A</v>
      </c>
      <c r="Q1457" s="159" t="e">
        <f>IF(bargiri[[#This Row],[مبلغ ناخالص]]-(bargiri[[#This Row],[نرخ استهلاک]]*bargiri[[#This Row],[مقدار]])&lt;0,0,bargiri[[#This Row],[مبلغ ناخالص]]-(bargiri[[#This Row],[نرخ استهلاک]]*bargiri[[#This Row],[مقدار]]))</f>
        <v>#N/A</v>
      </c>
    </row>
    <row r="1458" spans="1:17" s="22" customFormat="1" ht="13.8" x14ac:dyDescent="0.25">
      <c r="A1458" s="22">
        <v>93</v>
      </c>
      <c r="B1458" s="22" t="s">
        <v>61</v>
      </c>
      <c r="C1458" s="22" t="s">
        <v>72</v>
      </c>
      <c r="D1458" s="22" t="s">
        <v>73</v>
      </c>
      <c r="E1458" s="158">
        <v>20795</v>
      </c>
      <c r="F1458" s="159">
        <v>57273</v>
      </c>
      <c r="G1458" s="159">
        <v>1190992035</v>
      </c>
      <c r="H1458" s="159">
        <v>119099204</v>
      </c>
      <c r="I1458" s="159">
        <v>1310091239</v>
      </c>
      <c r="J1458" s="159" t="e">
        <f>bargiri[[#This Row],[مقدار]]*INDEX(invoice[پیش دریافت به ازای هر کیلوگرم],MATCH(bargiri[[#This Row],[شماره سند مبنا]],invoice[شماره پیش فاکتور],0))</f>
        <v>#N/A</v>
      </c>
      <c r="K1458" s="159" t="e">
        <f>bargiri[[#This Row],[مبلغ خالص]]-bargiri[[#This Row],[میزان استهلاک پیش دریافتی]]</f>
        <v>#N/A</v>
      </c>
      <c r="L1458" s="160"/>
      <c r="M1458" s="159"/>
      <c r="N1458" s="159" t="e">
        <f>IF(bargiri[[#This Row],[مبلغ واریزی]]&lt;&gt;"",bargiri[[#This Row],[مانده مبلغ]]-bargiri[[#This Row],[مبلغ واریزی]],bargiri[[#This Row],[مانده مبلغ]])</f>
        <v>#N/A</v>
      </c>
      <c r="O1458" s="159"/>
      <c r="P1458" s="159" t="e">
        <f>VLOOKUP(bargiri[[#This Row],[شماره سند مبنا]],invoice[[شماره پیش فاکتور]:[پیش دریافت به ازای هر کیلوگرم]],14,0)</f>
        <v>#N/A</v>
      </c>
      <c r="Q1458" s="159" t="e">
        <f>IF(bargiri[[#This Row],[مبلغ ناخالص]]-(bargiri[[#This Row],[نرخ استهلاک]]*bargiri[[#This Row],[مقدار]])&lt;0,0,bargiri[[#This Row],[مبلغ ناخالص]]-(bargiri[[#This Row],[نرخ استهلاک]]*bargiri[[#This Row],[مقدار]]))</f>
        <v>#N/A</v>
      </c>
    </row>
    <row r="1459" spans="1:17" s="22" customFormat="1" ht="13.8" x14ac:dyDescent="0.25">
      <c r="A1459" s="22">
        <v>92</v>
      </c>
      <c r="B1459" s="22" t="s">
        <v>61</v>
      </c>
      <c r="C1459" s="22" t="s">
        <v>109</v>
      </c>
      <c r="D1459" s="22" t="s">
        <v>110</v>
      </c>
      <c r="E1459" s="158">
        <v>19205</v>
      </c>
      <c r="F1459" s="159">
        <v>70000</v>
      </c>
      <c r="G1459" s="159">
        <v>1344350000</v>
      </c>
      <c r="H1459" s="159">
        <v>134435000</v>
      </c>
      <c r="I1459" s="159">
        <v>1478785000</v>
      </c>
      <c r="J1459" s="159" t="e">
        <f>bargiri[[#This Row],[مقدار]]*INDEX(invoice[پیش دریافت به ازای هر کیلوگرم],MATCH(bargiri[[#This Row],[شماره سند مبنا]],invoice[شماره پیش فاکتور],0))</f>
        <v>#N/A</v>
      </c>
      <c r="K1459" s="159" t="e">
        <f>bargiri[[#This Row],[مبلغ خالص]]-bargiri[[#This Row],[میزان استهلاک پیش دریافتی]]</f>
        <v>#N/A</v>
      </c>
      <c r="L1459" s="160"/>
      <c r="M1459" s="159"/>
      <c r="N1459" s="159" t="e">
        <f>IF(bargiri[[#This Row],[مبلغ واریزی]]&lt;&gt;"",bargiri[[#This Row],[مانده مبلغ]]-bargiri[[#This Row],[مبلغ واریزی]],bargiri[[#This Row],[مانده مبلغ]])</f>
        <v>#N/A</v>
      </c>
      <c r="O1459" s="159"/>
      <c r="P1459" s="159" t="e">
        <f>VLOOKUP(bargiri[[#This Row],[شماره سند مبنا]],invoice[[شماره پیش فاکتور]:[پیش دریافت به ازای هر کیلوگرم]],14,0)</f>
        <v>#N/A</v>
      </c>
      <c r="Q1459" s="159" t="e">
        <f>IF(bargiri[[#This Row],[مبلغ ناخالص]]-(bargiri[[#This Row],[نرخ استهلاک]]*bargiri[[#This Row],[مقدار]])&lt;0,0,bargiri[[#This Row],[مبلغ ناخالص]]-(bargiri[[#This Row],[نرخ استهلاک]]*bargiri[[#This Row],[مقدار]]))</f>
        <v>#N/A</v>
      </c>
    </row>
    <row r="1460" spans="1:17" s="22" customFormat="1" ht="13.8" x14ac:dyDescent="0.25">
      <c r="A1460" s="22">
        <v>91</v>
      </c>
      <c r="B1460" s="22" t="s">
        <v>61</v>
      </c>
      <c r="C1460" s="22" t="s">
        <v>172</v>
      </c>
      <c r="D1460" s="22" t="s">
        <v>173</v>
      </c>
      <c r="E1460" s="158">
        <v>22160</v>
      </c>
      <c r="F1460" s="159">
        <v>75000</v>
      </c>
      <c r="G1460" s="159">
        <v>1662000000</v>
      </c>
      <c r="H1460" s="159">
        <v>166200000</v>
      </c>
      <c r="I1460" s="159">
        <v>1828200000</v>
      </c>
      <c r="J1460" s="159">
        <f>bargiri[[#This Row],[مقدار]]*INDEX(invoice[پیش دریافت به ازای هر کیلوگرم],MATCH(bargiri[[#This Row],[شماره سند مبنا]],invoice[شماره پیش فاکتور],0))</f>
        <v>274230000</v>
      </c>
      <c r="K1460" s="159">
        <f>bargiri[[#This Row],[مبلغ خالص]]-bargiri[[#This Row],[میزان استهلاک پیش دریافتی]]</f>
        <v>1553970000</v>
      </c>
      <c r="L1460" s="160"/>
      <c r="M1460" s="159"/>
      <c r="N1460" s="159">
        <f>IF(bargiri[[#This Row],[مبلغ واریزی]]&lt;&gt;"",bargiri[[#This Row],[مانده مبلغ]]-bargiri[[#This Row],[مبلغ واریزی]],bargiri[[#This Row],[مانده مبلغ]])</f>
        <v>1553970000</v>
      </c>
      <c r="O1460" s="159"/>
      <c r="P1460" s="159">
        <f>VLOOKUP(bargiri[[#This Row],[شماره سند مبنا]],invoice[[شماره پیش فاکتور]:[پیش دریافت به ازای هر کیلوگرم]],14,0)</f>
        <v>12375</v>
      </c>
      <c r="Q1460" s="159">
        <f>IF(bargiri[[#This Row],[مبلغ ناخالص]]-(bargiri[[#This Row],[نرخ استهلاک]]*bargiri[[#This Row],[مقدار]])&lt;0,0,bargiri[[#This Row],[مبلغ ناخالص]]-(bargiri[[#This Row],[نرخ استهلاک]]*bargiri[[#This Row],[مقدار]]))</f>
        <v>1387770000</v>
      </c>
    </row>
    <row r="1461" spans="1:17" s="22" customFormat="1" ht="13.8" x14ac:dyDescent="0.25">
      <c r="A1461" s="22">
        <v>90</v>
      </c>
      <c r="B1461" s="22" t="s">
        <v>61</v>
      </c>
      <c r="C1461" s="22" t="s">
        <v>128</v>
      </c>
      <c r="D1461" s="22" t="s">
        <v>129</v>
      </c>
      <c r="E1461" s="158">
        <v>8970</v>
      </c>
      <c r="F1461" s="159">
        <v>80000</v>
      </c>
      <c r="G1461" s="159">
        <v>717600000</v>
      </c>
      <c r="H1461" s="159">
        <v>71760000</v>
      </c>
      <c r="I1461" s="159">
        <v>789360000</v>
      </c>
      <c r="J1461" s="159">
        <f>bargiri[[#This Row],[مقدار]]*INDEX(invoice[پیش دریافت به ازای هر کیلوگرم],MATCH(bargiri[[#This Row],[شماره سند مبنا]],invoice[شماره پیش فاکتور],0))</f>
        <v>118979065.48316865</v>
      </c>
      <c r="K1461" s="159">
        <f>bargiri[[#This Row],[مبلغ خالص]]-bargiri[[#This Row],[میزان استهلاک پیش دریافتی]]</f>
        <v>670380934.5168314</v>
      </c>
      <c r="L1461" s="160"/>
      <c r="M1461" s="159"/>
      <c r="N1461" s="159">
        <f>IF(bargiri[[#This Row],[مبلغ واریزی]]&lt;&gt;"",bargiri[[#This Row],[مانده مبلغ]]-bargiri[[#This Row],[مبلغ واریزی]],bargiri[[#This Row],[مانده مبلغ]])</f>
        <v>670380934.5168314</v>
      </c>
      <c r="O1461" s="159"/>
      <c r="P1461" s="159">
        <f>VLOOKUP(bargiri[[#This Row],[شماره سند مبنا]],invoice[[شماره پیش فاکتور]:[پیش دریافت به ازای هر کیلوگرم]],14,0)</f>
        <v>13264.109864344331</v>
      </c>
      <c r="Q1461" s="159">
        <f>IF(bargiri[[#This Row],[مبلغ ناخالص]]-(bargiri[[#This Row],[نرخ استهلاک]]*bargiri[[#This Row],[مقدار]])&lt;0,0,bargiri[[#This Row],[مبلغ ناخالص]]-(bargiri[[#This Row],[نرخ استهلاک]]*bargiri[[#This Row],[مقدار]]))</f>
        <v>598620934.5168314</v>
      </c>
    </row>
    <row r="1462" spans="1:17" s="22" customFormat="1" ht="13.8" x14ac:dyDescent="0.25">
      <c r="A1462" s="22">
        <v>89</v>
      </c>
      <c r="B1462" s="22" t="s">
        <v>61</v>
      </c>
      <c r="C1462" s="22" t="s">
        <v>167</v>
      </c>
      <c r="D1462" s="22" t="s">
        <v>43</v>
      </c>
      <c r="E1462" s="158">
        <v>5405</v>
      </c>
      <c r="F1462" s="159">
        <v>80000</v>
      </c>
      <c r="G1462" s="159">
        <v>432400000</v>
      </c>
      <c r="H1462" s="159">
        <v>43240000</v>
      </c>
      <c r="I1462" s="159">
        <v>475640000</v>
      </c>
      <c r="J1462" s="159">
        <f>bargiri[[#This Row],[مقدار]]*INDEX(invoice[پیش دریافت به ازای هر کیلوگرم],MATCH(bargiri[[#This Row],[شماره سند مبنا]],invoice[شماره پیش فاکتور],0))</f>
        <v>95128000</v>
      </c>
      <c r="K1462" s="159">
        <f>bargiri[[#This Row],[مبلغ خالص]]-bargiri[[#This Row],[میزان استهلاک پیش دریافتی]]</f>
        <v>380512000</v>
      </c>
      <c r="L1462" s="160"/>
      <c r="M1462" s="159"/>
      <c r="N1462" s="159">
        <f>IF(bargiri[[#This Row],[مبلغ واریزی]]&lt;&gt;"",bargiri[[#This Row],[مانده مبلغ]]-bargiri[[#This Row],[مبلغ واریزی]],bargiri[[#This Row],[مانده مبلغ]])</f>
        <v>380512000</v>
      </c>
      <c r="O1462" s="159"/>
      <c r="P1462" s="159">
        <f>VLOOKUP(bargiri[[#This Row],[شماره سند مبنا]],invoice[[شماره پیش فاکتور]:[پیش دریافت به ازای هر کیلوگرم]],14,0)</f>
        <v>17600</v>
      </c>
      <c r="Q1462" s="159">
        <f>IF(bargiri[[#This Row],[مبلغ ناخالص]]-(bargiri[[#This Row],[نرخ استهلاک]]*bargiri[[#This Row],[مقدار]])&lt;0,0,bargiri[[#This Row],[مبلغ ناخالص]]-(bargiri[[#This Row],[نرخ استهلاک]]*bargiri[[#This Row],[مقدار]]))</f>
        <v>337272000</v>
      </c>
    </row>
    <row r="1463" spans="1:17" s="22" customFormat="1" ht="13.8" x14ac:dyDescent="0.25">
      <c r="A1463" s="22">
        <v>88</v>
      </c>
      <c r="B1463" s="22" t="s">
        <v>61</v>
      </c>
      <c r="C1463" s="22" t="s">
        <v>128</v>
      </c>
      <c r="D1463" s="22" t="s">
        <v>129</v>
      </c>
      <c r="E1463" s="158">
        <v>9085</v>
      </c>
      <c r="F1463" s="159">
        <v>80000</v>
      </c>
      <c r="G1463" s="159">
        <v>726800000</v>
      </c>
      <c r="H1463" s="159">
        <v>72680000</v>
      </c>
      <c r="I1463" s="159">
        <v>799480000</v>
      </c>
      <c r="J1463" s="159">
        <f>bargiri[[#This Row],[مقدار]]*INDEX(invoice[پیش دریافت به ازای هر کیلوگرم],MATCH(bargiri[[#This Row],[شماره سند مبنا]],invoice[شماره پیش فاکتور],0))</f>
        <v>120504438.11756825</v>
      </c>
      <c r="K1463" s="159">
        <f>bargiri[[#This Row],[مبلغ خالص]]-bargiri[[#This Row],[میزان استهلاک پیش دریافتی]]</f>
        <v>678975561.88243175</v>
      </c>
      <c r="L1463" s="160"/>
      <c r="M1463" s="159"/>
      <c r="N1463" s="159">
        <f>IF(bargiri[[#This Row],[مبلغ واریزی]]&lt;&gt;"",bargiri[[#This Row],[مانده مبلغ]]-bargiri[[#This Row],[مبلغ واریزی]],bargiri[[#This Row],[مانده مبلغ]])</f>
        <v>678975561.88243175</v>
      </c>
      <c r="O1463" s="159"/>
      <c r="P1463" s="159">
        <f>VLOOKUP(bargiri[[#This Row],[شماره سند مبنا]],invoice[[شماره پیش فاکتور]:[پیش دریافت به ازای هر کیلوگرم]],14,0)</f>
        <v>13264.109864344331</v>
      </c>
      <c r="Q1463" s="159">
        <f>IF(bargiri[[#This Row],[مبلغ ناخالص]]-(bargiri[[#This Row],[نرخ استهلاک]]*bargiri[[#This Row],[مقدار]])&lt;0,0,bargiri[[#This Row],[مبلغ ناخالص]]-(bargiri[[#This Row],[نرخ استهلاک]]*bargiri[[#This Row],[مقدار]]))</f>
        <v>606295561.88243175</v>
      </c>
    </row>
    <row r="1464" spans="1:17" s="22" customFormat="1" ht="13.8" x14ac:dyDescent="0.25">
      <c r="A1464" s="22">
        <v>87</v>
      </c>
      <c r="B1464" s="22" t="s">
        <v>61</v>
      </c>
      <c r="C1464" s="22" t="s">
        <v>167</v>
      </c>
      <c r="D1464" s="22" t="s">
        <v>43</v>
      </c>
      <c r="E1464" s="158">
        <v>5435</v>
      </c>
      <c r="F1464" s="159">
        <v>80000</v>
      </c>
      <c r="G1464" s="159">
        <v>434800000</v>
      </c>
      <c r="H1464" s="159">
        <v>43480000</v>
      </c>
      <c r="I1464" s="159">
        <v>478280000</v>
      </c>
      <c r="J1464" s="159">
        <f>bargiri[[#This Row],[مقدار]]*INDEX(invoice[پیش دریافت به ازای هر کیلوگرم],MATCH(bargiri[[#This Row],[شماره سند مبنا]],invoice[شماره پیش فاکتور],0))</f>
        <v>95656000</v>
      </c>
      <c r="K1464" s="159">
        <f>bargiri[[#This Row],[مبلغ خالص]]-bargiri[[#This Row],[میزان استهلاک پیش دریافتی]]</f>
        <v>382624000</v>
      </c>
      <c r="L1464" s="160"/>
      <c r="M1464" s="159"/>
      <c r="N1464" s="159">
        <f>IF(bargiri[[#This Row],[مبلغ واریزی]]&lt;&gt;"",bargiri[[#This Row],[مانده مبلغ]]-bargiri[[#This Row],[مبلغ واریزی]],bargiri[[#This Row],[مانده مبلغ]])</f>
        <v>382624000</v>
      </c>
      <c r="O1464" s="159"/>
      <c r="P1464" s="159">
        <f>VLOOKUP(bargiri[[#This Row],[شماره سند مبنا]],invoice[[شماره پیش فاکتور]:[پیش دریافت به ازای هر کیلوگرم]],14,0)</f>
        <v>17600</v>
      </c>
      <c r="Q1464" s="159">
        <f>IF(bargiri[[#This Row],[مبلغ ناخالص]]-(bargiri[[#This Row],[نرخ استهلاک]]*bargiri[[#This Row],[مقدار]])&lt;0,0,bargiri[[#This Row],[مبلغ ناخالص]]-(bargiri[[#This Row],[نرخ استهلاک]]*bargiri[[#This Row],[مقدار]]))</f>
        <v>339144000</v>
      </c>
    </row>
    <row r="1465" spans="1:17" s="22" customFormat="1" ht="13.8" x14ac:dyDescent="0.25">
      <c r="A1465" s="22">
        <v>86</v>
      </c>
      <c r="B1465" s="22" t="s">
        <v>61</v>
      </c>
      <c r="C1465" s="22" t="s">
        <v>167</v>
      </c>
      <c r="D1465" s="22" t="s">
        <v>43</v>
      </c>
      <c r="E1465" s="158">
        <v>5390</v>
      </c>
      <c r="F1465" s="159">
        <v>80000</v>
      </c>
      <c r="G1465" s="159">
        <v>431200000</v>
      </c>
      <c r="H1465" s="159">
        <v>43120000</v>
      </c>
      <c r="I1465" s="159">
        <v>474320000</v>
      </c>
      <c r="J1465" s="159">
        <f>bargiri[[#This Row],[مقدار]]*INDEX(invoice[پیش دریافت به ازای هر کیلوگرم],MATCH(bargiri[[#This Row],[شماره سند مبنا]],invoice[شماره پیش فاکتور],0))</f>
        <v>94864000</v>
      </c>
      <c r="K1465" s="159">
        <f>bargiri[[#This Row],[مبلغ خالص]]-bargiri[[#This Row],[میزان استهلاک پیش دریافتی]]</f>
        <v>379456000</v>
      </c>
      <c r="L1465" s="160"/>
      <c r="M1465" s="159"/>
      <c r="N1465" s="159">
        <f>IF(bargiri[[#This Row],[مبلغ واریزی]]&lt;&gt;"",bargiri[[#This Row],[مانده مبلغ]]-bargiri[[#This Row],[مبلغ واریزی]],bargiri[[#This Row],[مانده مبلغ]])</f>
        <v>379456000</v>
      </c>
      <c r="O1465" s="159"/>
      <c r="P1465" s="159">
        <f>VLOOKUP(bargiri[[#This Row],[شماره سند مبنا]],invoice[[شماره پیش فاکتور]:[پیش دریافت به ازای هر کیلوگرم]],14,0)</f>
        <v>17600</v>
      </c>
      <c r="Q1465" s="159">
        <f>IF(bargiri[[#This Row],[مبلغ ناخالص]]-(bargiri[[#This Row],[نرخ استهلاک]]*bargiri[[#This Row],[مقدار]])&lt;0,0,bargiri[[#This Row],[مبلغ ناخالص]]-(bargiri[[#This Row],[نرخ استهلاک]]*bargiri[[#This Row],[مقدار]]))</f>
        <v>336336000</v>
      </c>
    </row>
    <row r="1466" spans="1:17" s="22" customFormat="1" ht="13.8" x14ac:dyDescent="0.25">
      <c r="A1466" s="22">
        <v>85</v>
      </c>
      <c r="B1466" s="22" t="s">
        <v>61</v>
      </c>
      <c r="C1466" s="22" t="s">
        <v>167</v>
      </c>
      <c r="D1466" s="22" t="s">
        <v>43</v>
      </c>
      <c r="E1466" s="158">
        <v>5405</v>
      </c>
      <c r="F1466" s="159">
        <v>80000</v>
      </c>
      <c r="G1466" s="159">
        <v>432400000</v>
      </c>
      <c r="H1466" s="159">
        <v>43240000</v>
      </c>
      <c r="I1466" s="159">
        <v>475640000</v>
      </c>
      <c r="J1466" s="159">
        <f>bargiri[[#This Row],[مقدار]]*INDEX(invoice[پیش دریافت به ازای هر کیلوگرم],MATCH(bargiri[[#This Row],[شماره سند مبنا]],invoice[شماره پیش فاکتور],0))</f>
        <v>95128000</v>
      </c>
      <c r="K1466" s="159">
        <f>bargiri[[#This Row],[مبلغ خالص]]-bargiri[[#This Row],[میزان استهلاک پیش دریافتی]]</f>
        <v>380512000</v>
      </c>
      <c r="L1466" s="160"/>
      <c r="M1466" s="159"/>
      <c r="N1466" s="159">
        <f>IF(bargiri[[#This Row],[مبلغ واریزی]]&lt;&gt;"",bargiri[[#This Row],[مانده مبلغ]]-bargiri[[#This Row],[مبلغ واریزی]],bargiri[[#This Row],[مانده مبلغ]])</f>
        <v>380512000</v>
      </c>
      <c r="O1466" s="159"/>
      <c r="P1466" s="159">
        <f>VLOOKUP(bargiri[[#This Row],[شماره سند مبنا]],invoice[[شماره پیش فاکتور]:[پیش دریافت به ازای هر کیلوگرم]],14,0)</f>
        <v>17600</v>
      </c>
      <c r="Q1466" s="159">
        <f>IF(bargiri[[#This Row],[مبلغ ناخالص]]-(bargiri[[#This Row],[نرخ استهلاک]]*bargiri[[#This Row],[مقدار]])&lt;0,0,bargiri[[#This Row],[مبلغ ناخالص]]-(bargiri[[#This Row],[نرخ استهلاک]]*bargiri[[#This Row],[مقدار]]))</f>
        <v>337272000</v>
      </c>
    </row>
    <row r="1467" spans="1:17" s="22" customFormat="1" ht="13.8" x14ac:dyDescent="0.25">
      <c r="A1467" s="22">
        <v>84</v>
      </c>
      <c r="B1467" s="22" t="s">
        <v>61</v>
      </c>
      <c r="C1467" s="22" t="s">
        <v>149</v>
      </c>
      <c r="D1467" s="22" t="s">
        <v>35</v>
      </c>
      <c r="E1467" s="158">
        <v>7390</v>
      </c>
      <c r="F1467" s="159">
        <v>75000</v>
      </c>
      <c r="G1467" s="159">
        <v>554250000</v>
      </c>
      <c r="H1467" s="159">
        <v>55425000</v>
      </c>
      <c r="I1467" s="159">
        <v>609675000</v>
      </c>
      <c r="J1467" s="159">
        <f>bargiri[[#This Row],[مقدار]]*INDEX(invoice[پیش دریافت به ازای هر کیلوگرم],MATCH(bargiri[[#This Row],[شماره سند مبنا]],invoice[شماره پیش فاکتور],0))</f>
        <v>91457956.916840568</v>
      </c>
      <c r="K1467" s="159">
        <f>bargiri[[#This Row],[مبلغ خالص]]-bargiri[[#This Row],[میزان استهلاک پیش دریافتی]]</f>
        <v>518217043.08315945</v>
      </c>
      <c r="L1467" s="160"/>
      <c r="M1467" s="159"/>
      <c r="N1467" s="159">
        <f>IF(bargiri[[#This Row],[مبلغ واریزی]]&lt;&gt;"",bargiri[[#This Row],[مانده مبلغ]]-bargiri[[#This Row],[مبلغ واریزی]],bargiri[[#This Row],[مانده مبلغ]])</f>
        <v>518217043.08315945</v>
      </c>
      <c r="O1467" s="159"/>
      <c r="P1467" s="159">
        <f>VLOOKUP(bargiri[[#This Row],[شماره سند مبنا]],invoice[[شماره پیش فاکتور]:[پیش دریافت به ازای هر کیلوگرم]],14,0)</f>
        <v>12375.907566554881</v>
      </c>
      <c r="Q1467" s="159">
        <f>IF(bargiri[[#This Row],[مبلغ ناخالص]]-(bargiri[[#This Row],[نرخ استهلاک]]*bargiri[[#This Row],[مقدار]])&lt;0,0,bargiri[[#This Row],[مبلغ ناخالص]]-(bargiri[[#This Row],[نرخ استهلاک]]*bargiri[[#This Row],[مقدار]]))</f>
        <v>462792043.08315945</v>
      </c>
    </row>
    <row r="1468" spans="1:17" s="22" customFormat="1" ht="13.8" x14ac:dyDescent="0.25">
      <c r="A1468" s="22">
        <v>83</v>
      </c>
      <c r="B1468" s="22" t="s">
        <v>61</v>
      </c>
      <c r="C1468" s="22" t="s">
        <v>149</v>
      </c>
      <c r="D1468" s="22" t="s">
        <v>35</v>
      </c>
      <c r="E1468" s="158">
        <v>7365</v>
      </c>
      <c r="F1468" s="159">
        <v>75000</v>
      </c>
      <c r="G1468" s="159">
        <v>552375000</v>
      </c>
      <c r="H1468" s="159">
        <v>55237500</v>
      </c>
      <c r="I1468" s="159">
        <v>607612500</v>
      </c>
      <c r="J1468" s="159">
        <f>bargiri[[#This Row],[مقدار]]*INDEX(invoice[پیش دریافت به ازای هر کیلوگرم],MATCH(bargiri[[#This Row],[شماره سند مبنا]],invoice[شماره پیش فاکتور],0))</f>
        <v>91148559.22767669</v>
      </c>
      <c r="K1468" s="159">
        <f>bargiri[[#This Row],[مبلغ خالص]]-bargiri[[#This Row],[میزان استهلاک پیش دریافتی]]</f>
        <v>516463940.77232331</v>
      </c>
      <c r="L1468" s="160"/>
      <c r="M1468" s="159"/>
      <c r="N1468" s="159">
        <f>IF(bargiri[[#This Row],[مبلغ واریزی]]&lt;&gt;"",bargiri[[#This Row],[مانده مبلغ]]-bargiri[[#This Row],[مبلغ واریزی]],bargiri[[#This Row],[مانده مبلغ]])</f>
        <v>516463940.77232331</v>
      </c>
      <c r="O1468" s="159"/>
      <c r="P1468" s="159">
        <f>VLOOKUP(bargiri[[#This Row],[شماره سند مبنا]],invoice[[شماره پیش فاکتور]:[پیش دریافت به ازای هر کیلوگرم]],14,0)</f>
        <v>12375.907566554881</v>
      </c>
      <c r="Q1468" s="159">
        <f>IF(bargiri[[#This Row],[مبلغ ناخالص]]-(bargiri[[#This Row],[نرخ استهلاک]]*bargiri[[#This Row],[مقدار]])&lt;0,0,bargiri[[#This Row],[مبلغ ناخالص]]-(bargiri[[#This Row],[نرخ استهلاک]]*bargiri[[#This Row],[مقدار]]))</f>
        <v>461226440.77232331</v>
      </c>
    </row>
    <row r="1469" spans="1:17" s="22" customFormat="1" ht="13.8" x14ac:dyDescent="0.25">
      <c r="A1469" s="22">
        <v>82</v>
      </c>
      <c r="B1469" s="22" t="s">
        <v>61</v>
      </c>
      <c r="C1469" s="22" t="s">
        <v>109</v>
      </c>
      <c r="D1469" s="22" t="s">
        <v>110</v>
      </c>
      <c r="E1469" s="158">
        <v>18840</v>
      </c>
      <c r="F1469" s="159">
        <v>70000</v>
      </c>
      <c r="G1469" s="159">
        <v>1318800000</v>
      </c>
      <c r="H1469" s="159">
        <v>131880000</v>
      </c>
      <c r="I1469" s="159">
        <v>1450680000</v>
      </c>
      <c r="J1469" s="159" t="e">
        <f>bargiri[[#This Row],[مقدار]]*INDEX(invoice[پیش دریافت به ازای هر کیلوگرم],MATCH(bargiri[[#This Row],[شماره سند مبنا]],invoice[شماره پیش فاکتور],0))</f>
        <v>#N/A</v>
      </c>
      <c r="K1469" s="159" t="e">
        <f>bargiri[[#This Row],[مبلغ خالص]]-bargiri[[#This Row],[میزان استهلاک پیش دریافتی]]</f>
        <v>#N/A</v>
      </c>
      <c r="L1469" s="160"/>
      <c r="M1469" s="159"/>
      <c r="N1469" s="159" t="e">
        <f>IF(bargiri[[#This Row],[مبلغ واریزی]]&lt;&gt;"",bargiri[[#This Row],[مانده مبلغ]]-bargiri[[#This Row],[مبلغ واریزی]],bargiri[[#This Row],[مانده مبلغ]])</f>
        <v>#N/A</v>
      </c>
      <c r="O1469" s="159"/>
      <c r="P1469" s="159" t="e">
        <f>VLOOKUP(bargiri[[#This Row],[شماره سند مبنا]],invoice[[شماره پیش فاکتور]:[پیش دریافت به ازای هر کیلوگرم]],14,0)</f>
        <v>#N/A</v>
      </c>
      <c r="Q1469" s="159" t="e">
        <f>IF(bargiri[[#This Row],[مبلغ ناخالص]]-(bargiri[[#This Row],[نرخ استهلاک]]*bargiri[[#This Row],[مقدار]])&lt;0,0,bargiri[[#This Row],[مبلغ ناخالص]]-(bargiri[[#This Row],[نرخ استهلاک]]*bargiri[[#This Row],[مقدار]]))</f>
        <v>#N/A</v>
      </c>
    </row>
    <row r="1470" spans="1:17" s="22" customFormat="1" ht="13.8" x14ac:dyDescent="0.25">
      <c r="A1470" s="22">
        <v>81</v>
      </c>
      <c r="B1470" s="22" t="s">
        <v>61</v>
      </c>
      <c r="C1470" s="22" t="s">
        <v>66</v>
      </c>
      <c r="D1470" s="22" t="s">
        <v>67</v>
      </c>
      <c r="E1470" s="158">
        <v>14040</v>
      </c>
      <c r="F1470" s="159">
        <v>68500</v>
      </c>
      <c r="G1470" s="159">
        <v>961740000</v>
      </c>
      <c r="H1470" s="159">
        <v>86556600</v>
      </c>
      <c r="I1470" s="159">
        <v>1048296600</v>
      </c>
      <c r="J1470" s="159" t="e">
        <f>bargiri[[#This Row],[مقدار]]*INDEX(invoice[پیش دریافت به ازای هر کیلوگرم],MATCH(bargiri[[#This Row],[شماره سند مبنا]],invoice[شماره پیش فاکتور],0))</f>
        <v>#N/A</v>
      </c>
      <c r="K1470" s="159" t="e">
        <f>bargiri[[#This Row],[مبلغ خالص]]-bargiri[[#This Row],[میزان استهلاک پیش دریافتی]]</f>
        <v>#N/A</v>
      </c>
      <c r="L1470" s="160"/>
      <c r="M1470" s="159"/>
      <c r="N1470" s="159" t="e">
        <f>IF(bargiri[[#This Row],[مبلغ واریزی]]&lt;&gt;"",bargiri[[#This Row],[مانده مبلغ]]-bargiri[[#This Row],[مبلغ واریزی]],bargiri[[#This Row],[مانده مبلغ]])</f>
        <v>#N/A</v>
      </c>
      <c r="O1470" s="159"/>
      <c r="P1470" s="159" t="e">
        <f>VLOOKUP(bargiri[[#This Row],[شماره سند مبنا]],invoice[[شماره پیش فاکتور]:[پیش دریافت به ازای هر کیلوگرم]],14,0)</f>
        <v>#N/A</v>
      </c>
      <c r="Q1470" s="159" t="e">
        <f>IF(bargiri[[#This Row],[مبلغ ناخالص]]-(bargiri[[#This Row],[نرخ استهلاک]]*bargiri[[#This Row],[مقدار]])&lt;0,0,bargiri[[#This Row],[مبلغ ناخالص]]-(bargiri[[#This Row],[نرخ استهلاک]]*bargiri[[#This Row],[مقدار]]))</f>
        <v>#N/A</v>
      </c>
    </row>
    <row r="1471" spans="1:17" s="22" customFormat="1" ht="13.8" x14ac:dyDescent="0.25">
      <c r="A1471" s="22">
        <v>80</v>
      </c>
      <c r="B1471" s="22" t="s">
        <v>61</v>
      </c>
      <c r="C1471" s="22" t="s">
        <v>167</v>
      </c>
      <c r="D1471" s="22" t="s">
        <v>43</v>
      </c>
      <c r="E1471" s="158">
        <v>5290</v>
      </c>
      <c r="F1471" s="159">
        <v>80000</v>
      </c>
      <c r="G1471" s="159">
        <v>423200000</v>
      </c>
      <c r="H1471" s="159">
        <v>42320000</v>
      </c>
      <c r="I1471" s="159">
        <v>465520000</v>
      </c>
      <c r="J1471" s="159">
        <f>bargiri[[#This Row],[مقدار]]*INDEX(invoice[پیش دریافت به ازای هر کیلوگرم],MATCH(bargiri[[#This Row],[شماره سند مبنا]],invoice[شماره پیش فاکتور],0))</f>
        <v>93104000</v>
      </c>
      <c r="K1471" s="159">
        <f>bargiri[[#This Row],[مبلغ خالص]]-bargiri[[#This Row],[میزان استهلاک پیش دریافتی]]</f>
        <v>372416000</v>
      </c>
      <c r="L1471" s="160"/>
      <c r="M1471" s="159"/>
      <c r="N1471" s="159">
        <f>IF(bargiri[[#This Row],[مبلغ واریزی]]&lt;&gt;"",bargiri[[#This Row],[مانده مبلغ]]-bargiri[[#This Row],[مبلغ واریزی]],bargiri[[#This Row],[مانده مبلغ]])</f>
        <v>372416000</v>
      </c>
      <c r="O1471" s="159"/>
      <c r="P1471" s="159">
        <f>VLOOKUP(bargiri[[#This Row],[شماره سند مبنا]],invoice[[شماره پیش فاکتور]:[پیش دریافت به ازای هر کیلوگرم]],14,0)</f>
        <v>17600</v>
      </c>
      <c r="Q1471" s="159">
        <f>IF(bargiri[[#This Row],[مبلغ ناخالص]]-(bargiri[[#This Row],[نرخ استهلاک]]*bargiri[[#This Row],[مقدار]])&lt;0,0,bargiri[[#This Row],[مبلغ ناخالص]]-(bargiri[[#This Row],[نرخ استهلاک]]*bargiri[[#This Row],[مقدار]]))</f>
        <v>330096000</v>
      </c>
    </row>
    <row r="1472" spans="1:17" s="22" customFormat="1" ht="13.8" x14ac:dyDescent="0.25">
      <c r="A1472" s="22">
        <v>79</v>
      </c>
      <c r="B1472" s="22" t="s">
        <v>61</v>
      </c>
      <c r="C1472" s="22" t="s">
        <v>167</v>
      </c>
      <c r="D1472" s="22" t="s">
        <v>43</v>
      </c>
      <c r="E1472" s="158">
        <v>5355</v>
      </c>
      <c r="F1472" s="159">
        <v>80000</v>
      </c>
      <c r="G1472" s="159">
        <v>428400000</v>
      </c>
      <c r="H1472" s="159">
        <v>42840000</v>
      </c>
      <c r="I1472" s="159">
        <v>471240000</v>
      </c>
      <c r="J1472" s="159">
        <f>bargiri[[#This Row],[مقدار]]*INDEX(invoice[پیش دریافت به ازای هر کیلوگرم],MATCH(bargiri[[#This Row],[شماره سند مبنا]],invoice[شماره پیش فاکتور],0))</f>
        <v>94248000</v>
      </c>
      <c r="K1472" s="159">
        <f>bargiri[[#This Row],[مبلغ خالص]]-bargiri[[#This Row],[میزان استهلاک پیش دریافتی]]</f>
        <v>376992000</v>
      </c>
      <c r="L1472" s="160"/>
      <c r="M1472" s="159"/>
      <c r="N1472" s="159">
        <f>IF(bargiri[[#This Row],[مبلغ واریزی]]&lt;&gt;"",bargiri[[#This Row],[مانده مبلغ]]-bargiri[[#This Row],[مبلغ واریزی]],bargiri[[#This Row],[مانده مبلغ]])</f>
        <v>376992000</v>
      </c>
      <c r="O1472" s="159"/>
      <c r="P1472" s="159">
        <f>VLOOKUP(bargiri[[#This Row],[شماره سند مبنا]],invoice[[شماره پیش فاکتور]:[پیش دریافت به ازای هر کیلوگرم]],14,0)</f>
        <v>17600</v>
      </c>
      <c r="Q1472" s="159">
        <f>IF(bargiri[[#This Row],[مبلغ ناخالص]]-(bargiri[[#This Row],[نرخ استهلاک]]*bargiri[[#This Row],[مقدار]])&lt;0,0,bargiri[[#This Row],[مبلغ ناخالص]]-(bargiri[[#This Row],[نرخ استهلاک]]*bargiri[[#This Row],[مقدار]]))</f>
        <v>334152000</v>
      </c>
    </row>
    <row r="1473" spans="1:17" s="22" customFormat="1" ht="13.8" x14ac:dyDescent="0.25">
      <c r="A1473" s="22">
        <v>78</v>
      </c>
      <c r="B1473" s="22" t="s">
        <v>61</v>
      </c>
      <c r="C1473" s="22" t="s">
        <v>149</v>
      </c>
      <c r="D1473" s="22" t="s">
        <v>35</v>
      </c>
      <c r="E1473" s="158">
        <v>7505</v>
      </c>
      <c r="F1473" s="159">
        <v>75000</v>
      </c>
      <c r="G1473" s="159">
        <v>562875000</v>
      </c>
      <c r="H1473" s="159">
        <v>56287500</v>
      </c>
      <c r="I1473" s="159">
        <v>619162500</v>
      </c>
      <c r="J1473" s="159">
        <f>bargiri[[#This Row],[مقدار]]*INDEX(invoice[پیش دریافت به ازای هر کیلوگرم],MATCH(bargiri[[#This Row],[شماره سند مبنا]],invoice[شماره پیش فاکتور],0))</f>
        <v>92881186.286994383</v>
      </c>
      <c r="K1473" s="159">
        <f>bargiri[[#This Row],[مبلغ خالص]]-bargiri[[#This Row],[میزان استهلاک پیش دریافتی]]</f>
        <v>526281313.7130056</v>
      </c>
      <c r="L1473" s="160"/>
      <c r="M1473" s="159"/>
      <c r="N1473" s="159">
        <f>IF(bargiri[[#This Row],[مبلغ واریزی]]&lt;&gt;"",bargiri[[#This Row],[مانده مبلغ]]-bargiri[[#This Row],[مبلغ واریزی]],bargiri[[#This Row],[مانده مبلغ]])</f>
        <v>526281313.7130056</v>
      </c>
      <c r="O1473" s="159"/>
      <c r="P1473" s="159">
        <f>VLOOKUP(bargiri[[#This Row],[شماره سند مبنا]],invoice[[شماره پیش فاکتور]:[پیش دریافت به ازای هر کیلوگرم]],14,0)</f>
        <v>12375.907566554881</v>
      </c>
      <c r="Q1473" s="159">
        <f>IF(bargiri[[#This Row],[مبلغ ناخالص]]-(bargiri[[#This Row],[نرخ استهلاک]]*bargiri[[#This Row],[مقدار]])&lt;0,0,bargiri[[#This Row],[مبلغ ناخالص]]-(bargiri[[#This Row],[نرخ استهلاک]]*bargiri[[#This Row],[مقدار]]))</f>
        <v>469993813.7130056</v>
      </c>
    </row>
    <row r="1474" spans="1:17" s="22" customFormat="1" ht="13.8" x14ac:dyDescent="0.25">
      <c r="A1474" s="22">
        <v>77</v>
      </c>
      <c r="B1474" s="22" t="s">
        <v>61</v>
      </c>
      <c r="C1474" s="22" t="s">
        <v>66</v>
      </c>
      <c r="D1474" s="22" t="s">
        <v>67</v>
      </c>
      <c r="E1474" s="158">
        <v>19655</v>
      </c>
      <c r="F1474" s="159">
        <v>68500</v>
      </c>
      <c r="G1474" s="159">
        <v>1346367500</v>
      </c>
      <c r="H1474" s="159">
        <v>121173075</v>
      </c>
      <c r="I1474" s="159">
        <v>1467540575</v>
      </c>
      <c r="J1474" s="159" t="e">
        <f>bargiri[[#This Row],[مقدار]]*INDEX(invoice[پیش دریافت به ازای هر کیلوگرم],MATCH(bargiri[[#This Row],[شماره سند مبنا]],invoice[شماره پیش فاکتور],0))</f>
        <v>#N/A</v>
      </c>
      <c r="K1474" s="159" t="e">
        <f>bargiri[[#This Row],[مبلغ خالص]]-bargiri[[#This Row],[میزان استهلاک پیش دریافتی]]</f>
        <v>#N/A</v>
      </c>
      <c r="L1474" s="160"/>
      <c r="M1474" s="159"/>
      <c r="N1474" s="159" t="e">
        <f>IF(bargiri[[#This Row],[مبلغ واریزی]]&lt;&gt;"",bargiri[[#This Row],[مانده مبلغ]]-bargiri[[#This Row],[مبلغ واریزی]],bargiri[[#This Row],[مانده مبلغ]])</f>
        <v>#N/A</v>
      </c>
      <c r="O1474" s="159"/>
      <c r="P1474" s="159" t="e">
        <f>VLOOKUP(bargiri[[#This Row],[شماره سند مبنا]],invoice[[شماره پیش فاکتور]:[پیش دریافت به ازای هر کیلوگرم]],14,0)</f>
        <v>#N/A</v>
      </c>
      <c r="Q1474" s="159" t="e">
        <f>IF(bargiri[[#This Row],[مبلغ ناخالص]]-(bargiri[[#This Row],[نرخ استهلاک]]*bargiri[[#This Row],[مقدار]])&lt;0,0,bargiri[[#This Row],[مبلغ ناخالص]]-(bargiri[[#This Row],[نرخ استهلاک]]*bargiri[[#This Row],[مقدار]]))</f>
        <v>#N/A</v>
      </c>
    </row>
    <row r="1475" spans="1:17" s="22" customFormat="1" ht="13.8" x14ac:dyDescent="0.25">
      <c r="A1475" s="22">
        <v>76</v>
      </c>
      <c r="B1475" s="22" t="s">
        <v>61</v>
      </c>
      <c r="C1475" s="22" t="s">
        <v>149</v>
      </c>
      <c r="D1475" s="22" t="s">
        <v>35</v>
      </c>
      <c r="E1475" s="158">
        <v>7440</v>
      </c>
      <c r="F1475" s="159">
        <v>75000</v>
      </c>
      <c r="G1475" s="159">
        <v>558000000</v>
      </c>
      <c r="H1475" s="159">
        <v>55800000</v>
      </c>
      <c r="I1475" s="159">
        <v>613800000</v>
      </c>
      <c r="J1475" s="159">
        <f>bargiri[[#This Row],[مقدار]]*INDEX(invoice[پیش دریافت به ازای هر کیلوگرم],MATCH(bargiri[[#This Row],[شماره سند مبنا]],invoice[شماره پیش فاکتور],0))</f>
        <v>92076752.29516831</v>
      </c>
      <c r="K1475" s="159">
        <f>bargiri[[#This Row],[مبلغ خالص]]-bargiri[[#This Row],[میزان استهلاک پیش دریافتی]]</f>
        <v>521723247.70483172</v>
      </c>
      <c r="L1475" s="160"/>
      <c r="M1475" s="159"/>
      <c r="N1475" s="159">
        <f>IF(bargiri[[#This Row],[مبلغ واریزی]]&lt;&gt;"",bargiri[[#This Row],[مانده مبلغ]]-bargiri[[#This Row],[مبلغ واریزی]],bargiri[[#This Row],[مانده مبلغ]])</f>
        <v>521723247.70483172</v>
      </c>
      <c r="O1475" s="159"/>
      <c r="P1475" s="159">
        <f>VLOOKUP(bargiri[[#This Row],[شماره سند مبنا]],invoice[[شماره پیش فاکتور]:[پیش دریافت به ازای هر کیلوگرم]],14,0)</f>
        <v>12375.907566554881</v>
      </c>
      <c r="Q1475" s="159">
        <f>IF(bargiri[[#This Row],[مبلغ ناخالص]]-(bargiri[[#This Row],[نرخ استهلاک]]*bargiri[[#This Row],[مقدار]])&lt;0,0,bargiri[[#This Row],[مبلغ ناخالص]]-(bargiri[[#This Row],[نرخ استهلاک]]*bargiri[[#This Row],[مقدار]]))</f>
        <v>465923247.70483172</v>
      </c>
    </row>
    <row r="1476" spans="1:17" s="22" customFormat="1" ht="13.8" x14ac:dyDescent="0.25">
      <c r="A1476" s="22">
        <v>75</v>
      </c>
      <c r="B1476" s="22" t="s">
        <v>61</v>
      </c>
      <c r="C1476" s="22" t="s">
        <v>176</v>
      </c>
      <c r="D1476" s="22" t="s">
        <v>70</v>
      </c>
      <c r="E1476" s="158">
        <v>20140</v>
      </c>
      <c r="F1476" s="159">
        <v>75000</v>
      </c>
      <c r="G1476" s="159">
        <v>1510500000</v>
      </c>
      <c r="H1476" s="159">
        <v>151050000</v>
      </c>
      <c r="I1476" s="159">
        <v>1661550000</v>
      </c>
      <c r="J1476" s="159" t="e">
        <f>bargiri[[#This Row],[مقدار]]*INDEX(invoice[پیش دریافت به ازای هر کیلوگرم],MATCH(bargiri[[#This Row],[شماره سند مبنا]],invoice[شماره پیش فاکتور],0))</f>
        <v>#N/A</v>
      </c>
      <c r="K1476" s="159" t="e">
        <f>bargiri[[#This Row],[مبلغ خالص]]-bargiri[[#This Row],[میزان استهلاک پیش دریافتی]]</f>
        <v>#N/A</v>
      </c>
      <c r="L1476" s="160"/>
      <c r="M1476" s="159"/>
      <c r="N1476" s="159" t="e">
        <f>IF(bargiri[[#This Row],[مبلغ واریزی]]&lt;&gt;"",bargiri[[#This Row],[مانده مبلغ]]-bargiri[[#This Row],[مبلغ واریزی]],bargiri[[#This Row],[مانده مبلغ]])</f>
        <v>#N/A</v>
      </c>
      <c r="O1476" s="159"/>
      <c r="P1476" s="159" t="e">
        <f>VLOOKUP(bargiri[[#This Row],[شماره سند مبنا]],invoice[[شماره پیش فاکتور]:[پیش دریافت به ازای هر کیلوگرم]],14,0)</f>
        <v>#N/A</v>
      </c>
      <c r="Q1476" s="159" t="e">
        <f>IF(bargiri[[#This Row],[مبلغ ناخالص]]-(bargiri[[#This Row],[نرخ استهلاک]]*bargiri[[#This Row],[مقدار]])&lt;0,0,bargiri[[#This Row],[مبلغ ناخالص]]-(bargiri[[#This Row],[نرخ استهلاک]]*bargiri[[#This Row],[مقدار]]))</f>
        <v>#N/A</v>
      </c>
    </row>
    <row r="1477" spans="1:17" s="22" customFormat="1" ht="13.8" x14ac:dyDescent="0.25">
      <c r="A1477" s="22">
        <v>74</v>
      </c>
      <c r="B1477" s="22" t="s">
        <v>61</v>
      </c>
      <c r="C1477" s="22" t="s">
        <v>167</v>
      </c>
      <c r="D1477" s="22" t="s">
        <v>43</v>
      </c>
      <c r="E1477" s="158">
        <v>5420</v>
      </c>
      <c r="F1477" s="159">
        <v>80000</v>
      </c>
      <c r="G1477" s="159">
        <v>433600000</v>
      </c>
      <c r="H1477" s="159">
        <v>43360000</v>
      </c>
      <c r="I1477" s="159">
        <v>476960000</v>
      </c>
      <c r="J1477" s="159">
        <f>bargiri[[#This Row],[مقدار]]*INDEX(invoice[پیش دریافت به ازای هر کیلوگرم],MATCH(bargiri[[#This Row],[شماره سند مبنا]],invoice[شماره پیش فاکتور],0))</f>
        <v>95392000</v>
      </c>
      <c r="K1477" s="159">
        <f>bargiri[[#This Row],[مبلغ خالص]]-bargiri[[#This Row],[میزان استهلاک پیش دریافتی]]</f>
        <v>381568000</v>
      </c>
      <c r="L1477" s="160"/>
      <c r="M1477" s="159"/>
      <c r="N1477" s="159">
        <f>IF(bargiri[[#This Row],[مبلغ واریزی]]&lt;&gt;"",bargiri[[#This Row],[مانده مبلغ]]-bargiri[[#This Row],[مبلغ واریزی]],bargiri[[#This Row],[مانده مبلغ]])</f>
        <v>381568000</v>
      </c>
      <c r="O1477" s="159"/>
      <c r="P1477" s="159">
        <f>VLOOKUP(bargiri[[#This Row],[شماره سند مبنا]],invoice[[شماره پیش فاکتور]:[پیش دریافت به ازای هر کیلوگرم]],14,0)</f>
        <v>17600</v>
      </c>
      <c r="Q1477" s="159">
        <f>IF(bargiri[[#This Row],[مبلغ ناخالص]]-(bargiri[[#This Row],[نرخ استهلاک]]*bargiri[[#This Row],[مقدار]])&lt;0,0,bargiri[[#This Row],[مبلغ ناخالص]]-(bargiri[[#This Row],[نرخ استهلاک]]*bargiri[[#This Row],[مقدار]]))</f>
        <v>338208000</v>
      </c>
    </row>
    <row r="1478" spans="1:17" s="22" customFormat="1" ht="13.8" x14ac:dyDescent="0.25">
      <c r="A1478" s="22">
        <v>73</v>
      </c>
      <c r="B1478" s="22" t="s">
        <v>61</v>
      </c>
      <c r="C1478" s="22" t="s">
        <v>167</v>
      </c>
      <c r="D1478" s="22" t="s">
        <v>43</v>
      </c>
      <c r="E1478" s="158">
        <v>5440</v>
      </c>
      <c r="F1478" s="159">
        <v>80000</v>
      </c>
      <c r="G1478" s="159">
        <v>435200000</v>
      </c>
      <c r="H1478" s="159">
        <v>43520000</v>
      </c>
      <c r="I1478" s="159">
        <v>478720000</v>
      </c>
      <c r="J1478" s="159">
        <f>bargiri[[#This Row],[مقدار]]*INDEX(invoice[پیش دریافت به ازای هر کیلوگرم],MATCH(bargiri[[#This Row],[شماره سند مبنا]],invoice[شماره پیش فاکتور],0))</f>
        <v>95744000</v>
      </c>
      <c r="K1478" s="159">
        <f>bargiri[[#This Row],[مبلغ خالص]]-bargiri[[#This Row],[میزان استهلاک پیش دریافتی]]</f>
        <v>382976000</v>
      </c>
      <c r="L1478" s="160"/>
      <c r="M1478" s="159"/>
      <c r="N1478" s="159">
        <f>IF(bargiri[[#This Row],[مبلغ واریزی]]&lt;&gt;"",bargiri[[#This Row],[مانده مبلغ]]-bargiri[[#This Row],[مبلغ واریزی]],bargiri[[#This Row],[مانده مبلغ]])</f>
        <v>382976000</v>
      </c>
      <c r="O1478" s="159"/>
      <c r="P1478" s="159">
        <f>VLOOKUP(bargiri[[#This Row],[شماره سند مبنا]],invoice[[شماره پیش فاکتور]:[پیش دریافت به ازای هر کیلوگرم]],14,0)</f>
        <v>17600</v>
      </c>
      <c r="Q1478" s="159">
        <f>IF(bargiri[[#This Row],[مبلغ ناخالص]]-(bargiri[[#This Row],[نرخ استهلاک]]*bargiri[[#This Row],[مقدار]])&lt;0,0,bargiri[[#This Row],[مبلغ ناخالص]]-(bargiri[[#This Row],[نرخ استهلاک]]*bargiri[[#This Row],[مقدار]]))</f>
        <v>339456000</v>
      </c>
    </row>
    <row r="1479" spans="1:17" s="22" customFormat="1" ht="13.8" x14ac:dyDescent="0.25">
      <c r="A1479" s="22">
        <v>72</v>
      </c>
      <c r="B1479" s="22" t="s">
        <v>61</v>
      </c>
      <c r="C1479" s="22" t="s">
        <v>149</v>
      </c>
      <c r="D1479" s="22" t="s">
        <v>35</v>
      </c>
      <c r="E1479" s="158">
        <v>7390</v>
      </c>
      <c r="F1479" s="159">
        <v>75000</v>
      </c>
      <c r="G1479" s="159">
        <v>554250000</v>
      </c>
      <c r="H1479" s="159">
        <v>55425000</v>
      </c>
      <c r="I1479" s="159">
        <v>609675000</v>
      </c>
      <c r="J1479" s="159">
        <f>bargiri[[#This Row],[مقدار]]*INDEX(invoice[پیش دریافت به ازای هر کیلوگرم],MATCH(bargiri[[#This Row],[شماره سند مبنا]],invoice[شماره پیش فاکتور],0))</f>
        <v>91457956.916840568</v>
      </c>
      <c r="K1479" s="159">
        <f>bargiri[[#This Row],[مبلغ خالص]]-bargiri[[#This Row],[میزان استهلاک پیش دریافتی]]</f>
        <v>518217043.08315945</v>
      </c>
      <c r="L1479" s="160"/>
      <c r="M1479" s="159"/>
      <c r="N1479" s="159">
        <f>IF(bargiri[[#This Row],[مبلغ واریزی]]&lt;&gt;"",bargiri[[#This Row],[مانده مبلغ]]-bargiri[[#This Row],[مبلغ واریزی]],bargiri[[#This Row],[مانده مبلغ]])</f>
        <v>518217043.08315945</v>
      </c>
      <c r="O1479" s="159"/>
      <c r="P1479" s="159">
        <f>VLOOKUP(bargiri[[#This Row],[شماره سند مبنا]],invoice[[شماره پیش فاکتور]:[پیش دریافت به ازای هر کیلوگرم]],14,0)</f>
        <v>12375.907566554881</v>
      </c>
      <c r="Q1479" s="159">
        <f>IF(bargiri[[#This Row],[مبلغ ناخالص]]-(bargiri[[#This Row],[نرخ استهلاک]]*bargiri[[#This Row],[مقدار]])&lt;0,0,bargiri[[#This Row],[مبلغ ناخالص]]-(bargiri[[#This Row],[نرخ استهلاک]]*bargiri[[#This Row],[مقدار]]))</f>
        <v>462792043.08315945</v>
      </c>
    </row>
    <row r="1480" spans="1:17" s="22" customFormat="1" ht="13.8" x14ac:dyDescent="0.25">
      <c r="A1480" s="22">
        <v>71</v>
      </c>
      <c r="B1480" s="22" t="s">
        <v>61</v>
      </c>
      <c r="C1480" s="22" t="s">
        <v>167</v>
      </c>
      <c r="D1480" s="22" t="s">
        <v>43</v>
      </c>
      <c r="E1480" s="158">
        <v>5305</v>
      </c>
      <c r="F1480" s="159">
        <v>80000</v>
      </c>
      <c r="G1480" s="159">
        <v>424400000</v>
      </c>
      <c r="H1480" s="159">
        <v>42440000</v>
      </c>
      <c r="I1480" s="159">
        <v>466840000</v>
      </c>
      <c r="J1480" s="159">
        <f>bargiri[[#This Row],[مقدار]]*INDEX(invoice[پیش دریافت به ازای هر کیلوگرم],MATCH(bargiri[[#This Row],[شماره سند مبنا]],invoice[شماره پیش فاکتور],0))</f>
        <v>93368000</v>
      </c>
      <c r="K1480" s="159">
        <f>bargiri[[#This Row],[مبلغ خالص]]-bargiri[[#This Row],[میزان استهلاک پیش دریافتی]]</f>
        <v>373472000</v>
      </c>
      <c r="L1480" s="160"/>
      <c r="M1480" s="159"/>
      <c r="N1480" s="159">
        <f>IF(bargiri[[#This Row],[مبلغ واریزی]]&lt;&gt;"",bargiri[[#This Row],[مانده مبلغ]]-bargiri[[#This Row],[مبلغ واریزی]],bargiri[[#This Row],[مانده مبلغ]])</f>
        <v>373472000</v>
      </c>
      <c r="O1480" s="159"/>
      <c r="P1480" s="159">
        <f>VLOOKUP(bargiri[[#This Row],[شماره سند مبنا]],invoice[[شماره پیش فاکتور]:[پیش دریافت به ازای هر کیلوگرم]],14,0)</f>
        <v>17600</v>
      </c>
      <c r="Q1480" s="159">
        <f>IF(bargiri[[#This Row],[مبلغ ناخالص]]-(bargiri[[#This Row],[نرخ استهلاک]]*bargiri[[#This Row],[مقدار]])&lt;0,0,bargiri[[#This Row],[مبلغ ناخالص]]-(bargiri[[#This Row],[نرخ استهلاک]]*bargiri[[#This Row],[مقدار]]))</f>
        <v>331032000</v>
      </c>
    </row>
    <row r="1481" spans="1:17" s="22" customFormat="1" ht="13.8" x14ac:dyDescent="0.25">
      <c r="A1481" s="22">
        <v>70</v>
      </c>
      <c r="B1481" s="22" t="s">
        <v>61</v>
      </c>
      <c r="C1481" s="22" t="s">
        <v>167</v>
      </c>
      <c r="D1481" s="22" t="s">
        <v>43</v>
      </c>
      <c r="E1481" s="158">
        <v>5465</v>
      </c>
      <c r="F1481" s="159">
        <v>80000</v>
      </c>
      <c r="G1481" s="159">
        <v>437200000</v>
      </c>
      <c r="H1481" s="159">
        <v>43720000</v>
      </c>
      <c r="I1481" s="159">
        <v>480920000</v>
      </c>
      <c r="J1481" s="159">
        <f>bargiri[[#This Row],[مقدار]]*INDEX(invoice[پیش دریافت به ازای هر کیلوگرم],MATCH(bargiri[[#This Row],[شماره سند مبنا]],invoice[شماره پیش فاکتور],0))</f>
        <v>96184000</v>
      </c>
      <c r="K1481" s="159">
        <f>bargiri[[#This Row],[مبلغ خالص]]-bargiri[[#This Row],[میزان استهلاک پیش دریافتی]]</f>
        <v>384736000</v>
      </c>
      <c r="L1481" s="160"/>
      <c r="M1481" s="159"/>
      <c r="N1481" s="159">
        <f>IF(bargiri[[#This Row],[مبلغ واریزی]]&lt;&gt;"",bargiri[[#This Row],[مانده مبلغ]]-bargiri[[#This Row],[مبلغ واریزی]],bargiri[[#This Row],[مانده مبلغ]])</f>
        <v>384736000</v>
      </c>
      <c r="O1481" s="159"/>
      <c r="P1481" s="159">
        <f>VLOOKUP(bargiri[[#This Row],[شماره سند مبنا]],invoice[[شماره پیش فاکتور]:[پیش دریافت به ازای هر کیلوگرم]],14,0)</f>
        <v>17600</v>
      </c>
      <c r="Q1481" s="159">
        <f>IF(bargiri[[#This Row],[مبلغ ناخالص]]-(bargiri[[#This Row],[نرخ استهلاک]]*bargiri[[#This Row],[مقدار]])&lt;0,0,bargiri[[#This Row],[مبلغ ناخالص]]-(bargiri[[#This Row],[نرخ استهلاک]]*bargiri[[#This Row],[مقدار]]))</f>
        <v>341016000</v>
      </c>
    </row>
    <row r="1482" spans="1:17" s="22" customFormat="1" ht="13.8" x14ac:dyDescent="0.25">
      <c r="A1482" s="22">
        <v>69</v>
      </c>
      <c r="B1482" s="22" t="s">
        <v>61</v>
      </c>
      <c r="C1482" s="22" t="s">
        <v>115</v>
      </c>
      <c r="D1482" s="22" t="s">
        <v>116</v>
      </c>
      <c r="E1482" s="158">
        <v>15575</v>
      </c>
      <c r="F1482" s="159">
        <v>75000</v>
      </c>
      <c r="G1482" s="159">
        <v>1168125000</v>
      </c>
      <c r="H1482" s="159">
        <v>116812500</v>
      </c>
      <c r="I1482" s="159">
        <v>1284937500</v>
      </c>
      <c r="J1482" s="159">
        <f>bargiri[[#This Row],[مقدار]]*INDEX(invoice[پیش دریافت به ازای هر کیلوگرم],MATCH(bargiri[[#This Row],[شماره سند مبنا]],invoice[شماره پیش فاکتور],0))</f>
        <v>233783973.10170916</v>
      </c>
      <c r="K1482" s="159">
        <f>bargiri[[#This Row],[مبلغ خالص]]-bargiri[[#This Row],[میزان استهلاک پیش دریافتی]]</f>
        <v>1051153526.8982909</v>
      </c>
      <c r="L1482" s="160"/>
      <c r="M1482" s="159"/>
      <c r="N1482" s="159">
        <f>IF(bargiri[[#This Row],[مبلغ واریزی]]&lt;&gt;"",bargiri[[#This Row],[مانده مبلغ]]-bargiri[[#This Row],[مبلغ واریزی]],bargiri[[#This Row],[مانده مبلغ]])</f>
        <v>1051153526.8982909</v>
      </c>
      <c r="O1482" s="159"/>
      <c r="P1482" s="159">
        <f>VLOOKUP(bargiri[[#This Row],[شماره سند مبنا]],invoice[[شماره پیش فاکتور]:[پیش دریافت به ازای هر کیلوگرم]],14,0)</f>
        <v>15010.206940719689</v>
      </c>
      <c r="Q1482" s="159">
        <f>IF(bargiri[[#This Row],[مبلغ ناخالص]]-(bargiri[[#This Row],[نرخ استهلاک]]*bargiri[[#This Row],[مقدار]])&lt;0,0,bargiri[[#This Row],[مبلغ ناخالص]]-(bargiri[[#This Row],[نرخ استهلاک]]*bargiri[[#This Row],[مقدار]]))</f>
        <v>934341026.89829087</v>
      </c>
    </row>
    <row r="1483" spans="1:17" s="22" customFormat="1" ht="13.8" x14ac:dyDescent="0.25">
      <c r="A1483" s="22">
        <v>68</v>
      </c>
      <c r="B1483" s="22" t="s">
        <v>61</v>
      </c>
      <c r="C1483" s="22" t="s">
        <v>167</v>
      </c>
      <c r="D1483" s="22" t="s">
        <v>43</v>
      </c>
      <c r="E1483" s="158">
        <v>5325</v>
      </c>
      <c r="F1483" s="159">
        <v>80000</v>
      </c>
      <c r="G1483" s="159">
        <v>426000000</v>
      </c>
      <c r="H1483" s="159">
        <v>42600000</v>
      </c>
      <c r="I1483" s="159">
        <v>468600000</v>
      </c>
      <c r="J1483" s="159">
        <f>bargiri[[#This Row],[مقدار]]*INDEX(invoice[پیش دریافت به ازای هر کیلوگرم],MATCH(bargiri[[#This Row],[شماره سند مبنا]],invoice[شماره پیش فاکتور],0))</f>
        <v>93720000</v>
      </c>
      <c r="K1483" s="159">
        <f>bargiri[[#This Row],[مبلغ خالص]]-bargiri[[#This Row],[میزان استهلاک پیش دریافتی]]</f>
        <v>374880000</v>
      </c>
      <c r="L1483" s="160"/>
      <c r="M1483" s="159"/>
      <c r="N1483" s="159">
        <f>IF(bargiri[[#This Row],[مبلغ واریزی]]&lt;&gt;"",bargiri[[#This Row],[مانده مبلغ]]-bargiri[[#This Row],[مبلغ واریزی]],bargiri[[#This Row],[مانده مبلغ]])</f>
        <v>374880000</v>
      </c>
      <c r="O1483" s="159"/>
      <c r="P1483" s="159">
        <f>VLOOKUP(bargiri[[#This Row],[شماره سند مبنا]],invoice[[شماره پیش فاکتور]:[پیش دریافت به ازای هر کیلوگرم]],14,0)</f>
        <v>17600</v>
      </c>
      <c r="Q1483" s="159">
        <f>IF(bargiri[[#This Row],[مبلغ ناخالص]]-(bargiri[[#This Row],[نرخ استهلاک]]*bargiri[[#This Row],[مقدار]])&lt;0,0,bargiri[[#This Row],[مبلغ ناخالص]]-(bargiri[[#This Row],[نرخ استهلاک]]*bargiri[[#This Row],[مقدار]]))</f>
        <v>332280000</v>
      </c>
    </row>
    <row r="1484" spans="1:17" s="22" customFormat="1" ht="13.8" x14ac:dyDescent="0.25">
      <c r="A1484" s="22">
        <v>67</v>
      </c>
      <c r="B1484" s="22" t="s">
        <v>61</v>
      </c>
      <c r="C1484" s="22" t="s">
        <v>109</v>
      </c>
      <c r="D1484" s="22" t="s">
        <v>110</v>
      </c>
      <c r="E1484" s="158">
        <v>19000</v>
      </c>
      <c r="F1484" s="159">
        <v>70000</v>
      </c>
      <c r="G1484" s="159">
        <v>1330000000</v>
      </c>
      <c r="H1484" s="159">
        <v>133000000</v>
      </c>
      <c r="I1484" s="159">
        <v>1463000000</v>
      </c>
      <c r="J1484" s="159" t="e">
        <f>bargiri[[#This Row],[مقدار]]*INDEX(invoice[پیش دریافت به ازای هر کیلوگرم],MATCH(bargiri[[#This Row],[شماره سند مبنا]],invoice[شماره پیش فاکتور],0))</f>
        <v>#N/A</v>
      </c>
      <c r="K1484" s="159" t="e">
        <f>bargiri[[#This Row],[مبلغ خالص]]-bargiri[[#This Row],[میزان استهلاک پیش دریافتی]]</f>
        <v>#N/A</v>
      </c>
      <c r="L1484" s="160"/>
      <c r="M1484" s="159"/>
      <c r="N1484" s="159" t="e">
        <f>IF(bargiri[[#This Row],[مبلغ واریزی]]&lt;&gt;"",bargiri[[#This Row],[مانده مبلغ]]-bargiri[[#This Row],[مبلغ واریزی]],bargiri[[#This Row],[مانده مبلغ]])</f>
        <v>#N/A</v>
      </c>
      <c r="O1484" s="159"/>
      <c r="P1484" s="159" t="e">
        <f>VLOOKUP(bargiri[[#This Row],[شماره سند مبنا]],invoice[[شماره پیش فاکتور]:[پیش دریافت به ازای هر کیلوگرم]],14,0)</f>
        <v>#N/A</v>
      </c>
      <c r="Q1484" s="159" t="e">
        <f>IF(bargiri[[#This Row],[مبلغ ناخالص]]-(bargiri[[#This Row],[نرخ استهلاک]]*bargiri[[#This Row],[مقدار]])&lt;0,0,bargiri[[#This Row],[مبلغ ناخالص]]-(bargiri[[#This Row],[نرخ استهلاک]]*bargiri[[#This Row],[مقدار]]))</f>
        <v>#N/A</v>
      </c>
    </row>
    <row r="1485" spans="1:17" s="22" customFormat="1" ht="13.8" x14ac:dyDescent="0.25">
      <c r="A1485" s="22">
        <v>66</v>
      </c>
      <c r="B1485" s="22" t="s">
        <v>61</v>
      </c>
      <c r="C1485" s="22" t="s">
        <v>167</v>
      </c>
      <c r="D1485" s="22" t="s">
        <v>43</v>
      </c>
      <c r="E1485" s="158">
        <v>5380</v>
      </c>
      <c r="F1485" s="159">
        <v>80000</v>
      </c>
      <c r="G1485" s="159">
        <v>430400000</v>
      </c>
      <c r="H1485" s="159">
        <v>43040000</v>
      </c>
      <c r="I1485" s="159">
        <v>473440000</v>
      </c>
      <c r="J1485" s="159">
        <f>bargiri[[#This Row],[مقدار]]*INDEX(invoice[پیش دریافت به ازای هر کیلوگرم],MATCH(bargiri[[#This Row],[شماره سند مبنا]],invoice[شماره پیش فاکتور],0))</f>
        <v>94688000</v>
      </c>
      <c r="K1485" s="159">
        <f>bargiri[[#This Row],[مبلغ خالص]]-bargiri[[#This Row],[میزان استهلاک پیش دریافتی]]</f>
        <v>378752000</v>
      </c>
      <c r="L1485" s="160"/>
      <c r="M1485" s="159"/>
      <c r="N1485" s="159">
        <f>IF(bargiri[[#This Row],[مبلغ واریزی]]&lt;&gt;"",bargiri[[#This Row],[مانده مبلغ]]-bargiri[[#This Row],[مبلغ واریزی]],bargiri[[#This Row],[مانده مبلغ]])</f>
        <v>378752000</v>
      </c>
      <c r="O1485" s="159"/>
      <c r="P1485" s="159">
        <f>VLOOKUP(bargiri[[#This Row],[شماره سند مبنا]],invoice[[شماره پیش فاکتور]:[پیش دریافت به ازای هر کیلوگرم]],14,0)</f>
        <v>17600</v>
      </c>
      <c r="Q1485" s="159">
        <f>IF(bargiri[[#This Row],[مبلغ ناخالص]]-(bargiri[[#This Row],[نرخ استهلاک]]*bargiri[[#This Row],[مقدار]])&lt;0,0,bargiri[[#This Row],[مبلغ ناخالص]]-(bargiri[[#This Row],[نرخ استهلاک]]*bargiri[[#This Row],[مقدار]]))</f>
        <v>335712000</v>
      </c>
    </row>
    <row r="1486" spans="1:17" s="22" customFormat="1" ht="13.8" x14ac:dyDescent="0.25">
      <c r="A1486" s="22">
        <v>65</v>
      </c>
      <c r="B1486" s="22" t="s">
        <v>61</v>
      </c>
      <c r="C1486" s="22" t="s">
        <v>167</v>
      </c>
      <c r="D1486" s="22" t="s">
        <v>43</v>
      </c>
      <c r="E1486" s="158">
        <v>5290</v>
      </c>
      <c r="F1486" s="159">
        <v>80000</v>
      </c>
      <c r="G1486" s="159">
        <v>423200000</v>
      </c>
      <c r="H1486" s="159">
        <v>42320000</v>
      </c>
      <c r="I1486" s="159">
        <v>465520000</v>
      </c>
      <c r="J1486" s="159">
        <f>bargiri[[#This Row],[مقدار]]*INDEX(invoice[پیش دریافت به ازای هر کیلوگرم],MATCH(bargiri[[#This Row],[شماره سند مبنا]],invoice[شماره پیش فاکتور],0))</f>
        <v>93104000</v>
      </c>
      <c r="K1486" s="159">
        <f>bargiri[[#This Row],[مبلغ خالص]]-bargiri[[#This Row],[میزان استهلاک پیش دریافتی]]</f>
        <v>372416000</v>
      </c>
      <c r="L1486" s="160"/>
      <c r="M1486" s="159"/>
      <c r="N1486" s="159">
        <f>IF(bargiri[[#This Row],[مبلغ واریزی]]&lt;&gt;"",bargiri[[#This Row],[مانده مبلغ]]-bargiri[[#This Row],[مبلغ واریزی]],bargiri[[#This Row],[مانده مبلغ]])</f>
        <v>372416000</v>
      </c>
      <c r="O1486" s="159"/>
      <c r="P1486" s="159">
        <f>VLOOKUP(bargiri[[#This Row],[شماره سند مبنا]],invoice[[شماره پیش فاکتور]:[پیش دریافت به ازای هر کیلوگرم]],14,0)</f>
        <v>17600</v>
      </c>
      <c r="Q1486" s="159">
        <f>IF(bargiri[[#This Row],[مبلغ ناخالص]]-(bargiri[[#This Row],[نرخ استهلاک]]*bargiri[[#This Row],[مقدار]])&lt;0,0,bargiri[[#This Row],[مبلغ ناخالص]]-(bargiri[[#This Row],[نرخ استهلاک]]*bargiri[[#This Row],[مقدار]]))</f>
        <v>330096000</v>
      </c>
    </row>
    <row r="1487" spans="1:17" s="22" customFormat="1" ht="13.8" x14ac:dyDescent="0.25">
      <c r="A1487" s="22">
        <v>64</v>
      </c>
      <c r="B1487" s="22" t="s">
        <v>61</v>
      </c>
      <c r="C1487" s="22" t="s">
        <v>115</v>
      </c>
      <c r="D1487" s="22" t="s">
        <v>116</v>
      </c>
      <c r="E1487" s="158">
        <v>18945</v>
      </c>
      <c r="F1487" s="159">
        <v>75000</v>
      </c>
      <c r="G1487" s="159">
        <v>1420875000</v>
      </c>
      <c r="H1487" s="159">
        <v>142087500</v>
      </c>
      <c r="I1487" s="159">
        <v>1562962500</v>
      </c>
      <c r="J1487" s="159">
        <f>bargiri[[#This Row],[مقدار]]*INDEX(invoice[پیش دریافت به ازای هر کیلوگرم],MATCH(bargiri[[#This Row],[شماره سند مبنا]],invoice[شماره پیش فاکتور],0))</f>
        <v>284368370.49193448</v>
      </c>
      <c r="K1487" s="159">
        <f>bargiri[[#This Row],[مبلغ خالص]]-bargiri[[#This Row],[میزان استهلاک پیش دریافتی]]</f>
        <v>1278594129.5080655</v>
      </c>
      <c r="L1487" s="160"/>
      <c r="M1487" s="159"/>
      <c r="N1487" s="159">
        <f>IF(bargiri[[#This Row],[مبلغ واریزی]]&lt;&gt;"",bargiri[[#This Row],[مانده مبلغ]]-bargiri[[#This Row],[مبلغ واریزی]],bargiri[[#This Row],[مانده مبلغ]])</f>
        <v>1278594129.5080655</v>
      </c>
      <c r="O1487" s="159"/>
      <c r="P1487" s="159">
        <f>VLOOKUP(bargiri[[#This Row],[شماره سند مبنا]],invoice[[شماره پیش فاکتور]:[پیش دریافت به ازای هر کیلوگرم]],14,0)</f>
        <v>15010.206940719689</v>
      </c>
      <c r="Q1487" s="159">
        <f>IF(bargiri[[#This Row],[مبلغ ناخالص]]-(bargiri[[#This Row],[نرخ استهلاک]]*bargiri[[#This Row],[مقدار]])&lt;0,0,bargiri[[#This Row],[مبلغ ناخالص]]-(bargiri[[#This Row],[نرخ استهلاک]]*bargiri[[#This Row],[مقدار]]))</f>
        <v>1136506629.5080655</v>
      </c>
    </row>
    <row r="1488" spans="1:17" s="22" customFormat="1" ht="13.8" x14ac:dyDescent="0.25">
      <c r="A1488" s="22">
        <v>63</v>
      </c>
      <c r="B1488" s="22" t="s">
        <v>61</v>
      </c>
      <c r="C1488" s="22" t="s">
        <v>119</v>
      </c>
      <c r="D1488" s="22" t="s">
        <v>25</v>
      </c>
      <c r="E1488" s="158">
        <v>22080</v>
      </c>
      <c r="F1488" s="159">
        <v>75000</v>
      </c>
      <c r="G1488" s="159">
        <v>1656000000</v>
      </c>
      <c r="H1488" s="159">
        <v>165600000</v>
      </c>
      <c r="I1488" s="159">
        <v>1821600000</v>
      </c>
      <c r="J1488" s="159">
        <f>bargiri[[#This Row],[مقدار]]*INDEX(invoice[پیش دریافت به ازای هر کیلوگرم],MATCH(bargiri[[#This Row],[شماره سند مبنا]],invoice[شماره پیش فاکتور],0))</f>
        <v>273240000</v>
      </c>
      <c r="K1488" s="159">
        <f>bargiri[[#This Row],[مبلغ خالص]]-bargiri[[#This Row],[میزان استهلاک پیش دریافتی]]</f>
        <v>1548360000</v>
      </c>
      <c r="L1488" s="160"/>
      <c r="M1488" s="159"/>
      <c r="N1488" s="159">
        <f>IF(bargiri[[#This Row],[مبلغ واریزی]]&lt;&gt;"",bargiri[[#This Row],[مانده مبلغ]]-bargiri[[#This Row],[مبلغ واریزی]],bargiri[[#This Row],[مانده مبلغ]])</f>
        <v>1548360000</v>
      </c>
      <c r="O1488" s="159"/>
      <c r="P1488" s="159">
        <f>VLOOKUP(bargiri[[#This Row],[شماره سند مبنا]],invoice[[شماره پیش فاکتور]:[پیش دریافت به ازای هر کیلوگرم]],14,0)</f>
        <v>12375</v>
      </c>
      <c r="Q1488" s="159">
        <f>IF(bargiri[[#This Row],[مبلغ ناخالص]]-(bargiri[[#This Row],[نرخ استهلاک]]*bargiri[[#This Row],[مقدار]])&lt;0,0,bargiri[[#This Row],[مبلغ ناخالص]]-(bargiri[[#This Row],[نرخ استهلاک]]*bargiri[[#This Row],[مقدار]]))</f>
        <v>1382760000</v>
      </c>
    </row>
    <row r="1489" spans="1:17" s="22" customFormat="1" ht="13.8" x14ac:dyDescent="0.25">
      <c r="A1489" s="22">
        <v>62</v>
      </c>
      <c r="B1489" s="22" t="s">
        <v>61</v>
      </c>
      <c r="C1489" s="22" t="s">
        <v>149</v>
      </c>
      <c r="D1489" s="22" t="s">
        <v>35</v>
      </c>
      <c r="E1489" s="158">
        <v>7250</v>
      </c>
      <c r="F1489" s="159">
        <v>75000</v>
      </c>
      <c r="G1489" s="159">
        <v>543750000</v>
      </c>
      <c r="H1489" s="159">
        <v>54375000</v>
      </c>
      <c r="I1489" s="159">
        <v>598125000</v>
      </c>
      <c r="J1489" s="159">
        <f>bargiri[[#This Row],[مقدار]]*INDEX(invoice[پیش دریافت به ازای هر کیلوگرم],MATCH(bargiri[[#This Row],[شماره سند مبنا]],invoice[شماره پیش فاکتور],0))</f>
        <v>89725329.85752289</v>
      </c>
      <c r="K1489" s="159">
        <f>bargiri[[#This Row],[مبلغ خالص]]-bargiri[[#This Row],[میزان استهلاک پیش دریافتی]]</f>
        <v>508399670.1424771</v>
      </c>
      <c r="L1489" s="160"/>
      <c r="M1489" s="159"/>
      <c r="N1489" s="159">
        <f>IF(bargiri[[#This Row],[مبلغ واریزی]]&lt;&gt;"",bargiri[[#This Row],[مانده مبلغ]]-bargiri[[#This Row],[مبلغ واریزی]],bargiri[[#This Row],[مانده مبلغ]])</f>
        <v>508399670.1424771</v>
      </c>
      <c r="O1489" s="159"/>
      <c r="P1489" s="159">
        <f>VLOOKUP(bargiri[[#This Row],[شماره سند مبنا]],invoice[[شماره پیش فاکتور]:[پیش دریافت به ازای هر کیلوگرم]],14,0)</f>
        <v>12375.907566554881</v>
      </c>
      <c r="Q1489" s="159">
        <f>IF(bargiri[[#This Row],[مبلغ ناخالص]]-(bargiri[[#This Row],[نرخ استهلاک]]*bargiri[[#This Row],[مقدار]])&lt;0,0,bargiri[[#This Row],[مبلغ ناخالص]]-(bargiri[[#This Row],[نرخ استهلاک]]*bargiri[[#This Row],[مقدار]]))</f>
        <v>454024670.1424771</v>
      </c>
    </row>
    <row r="1490" spans="1:17" s="22" customFormat="1" ht="13.8" x14ac:dyDescent="0.25">
      <c r="A1490" s="22">
        <v>61</v>
      </c>
      <c r="B1490" s="22" t="s">
        <v>61</v>
      </c>
      <c r="C1490" s="22" t="s">
        <v>109</v>
      </c>
      <c r="D1490" s="22" t="s">
        <v>110</v>
      </c>
      <c r="E1490" s="158">
        <v>19045</v>
      </c>
      <c r="F1490" s="159">
        <v>70000</v>
      </c>
      <c r="G1490" s="159">
        <v>1333150000</v>
      </c>
      <c r="H1490" s="159">
        <v>133315000</v>
      </c>
      <c r="I1490" s="159">
        <v>1466465000</v>
      </c>
      <c r="J1490" s="159" t="e">
        <f>bargiri[[#This Row],[مقدار]]*INDEX(invoice[پیش دریافت به ازای هر کیلوگرم],MATCH(bargiri[[#This Row],[شماره سند مبنا]],invoice[شماره پیش فاکتور],0))</f>
        <v>#N/A</v>
      </c>
      <c r="K1490" s="159" t="e">
        <f>bargiri[[#This Row],[مبلغ خالص]]-bargiri[[#This Row],[میزان استهلاک پیش دریافتی]]</f>
        <v>#N/A</v>
      </c>
      <c r="L1490" s="160"/>
      <c r="M1490" s="159"/>
      <c r="N1490" s="159" t="e">
        <f>IF(bargiri[[#This Row],[مبلغ واریزی]]&lt;&gt;"",bargiri[[#This Row],[مانده مبلغ]]-bargiri[[#This Row],[مبلغ واریزی]],bargiri[[#This Row],[مانده مبلغ]])</f>
        <v>#N/A</v>
      </c>
      <c r="O1490" s="159"/>
      <c r="P1490" s="159" t="e">
        <f>VLOOKUP(bargiri[[#This Row],[شماره سند مبنا]],invoice[[شماره پیش فاکتور]:[پیش دریافت به ازای هر کیلوگرم]],14,0)</f>
        <v>#N/A</v>
      </c>
      <c r="Q1490" s="159" t="e">
        <f>IF(bargiri[[#This Row],[مبلغ ناخالص]]-(bargiri[[#This Row],[نرخ استهلاک]]*bargiri[[#This Row],[مقدار]])&lt;0,0,bargiri[[#This Row],[مبلغ ناخالص]]-(bargiri[[#This Row],[نرخ استهلاک]]*bargiri[[#This Row],[مقدار]]))</f>
        <v>#N/A</v>
      </c>
    </row>
    <row r="1491" spans="1:17" s="22" customFormat="1" ht="13.8" x14ac:dyDescent="0.25">
      <c r="A1491" s="22">
        <v>60</v>
      </c>
      <c r="B1491" s="22" t="s">
        <v>61</v>
      </c>
      <c r="C1491" s="22" t="s">
        <v>72</v>
      </c>
      <c r="D1491" s="22" t="s">
        <v>73</v>
      </c>
      <c r="E1491" s="158">
        <v>20925</v>
      </c>
      <c r="F1491" s="159">
        <v>57273</v>
      </c>
      <c r="G1491" s="159">
        <v>1198437525</v>
      </c>
      <c r="H1491" s="159">
        <v>119843753</v>
      </c>
      <c r="I1491" s="159">
        <v>1318281278</v>
      </c>
      <c r="J1491" s="159" t="e">
        <f>bargiri[[#This Row],[مقدار]]*INDEX(invoice[پیش دریافت به ازای هر کیلوگرم],MATCH(bargiri[[#This Row],[شماره سند مبنا]],invoice[شماره پیش فاکتور],0))</f>
        <v>#N/A</v>
      </c>
      <c r="K1491" s="159" t="e">
        <f>bargiri[[#This Row],[مبلغ خالص]]-bargiri[[#This Row],[میزان استهلاک پیش دریافتی]]</f>
        <v>#N/A</v>
      </c>
      <c r="L1491" s="160"/>
      <c r="M1491" s="159"/>
      <c r="N1491" s="159" t="e">
        <f>IF(bargiri[[#This Row],[مبلغ واریزی]]&lt;&gt;"",bargiri[[#This Row],[مانده مبلغ]]-bargiri[[#This Row],[مبلغ واریزی]],bargiri[[#This Row],[مانده مبلغ]])</f>
        <v>#N/A</v>
      </c>
      <c r="O1491" s="159"/>
      <c r="P1491" s="159" t="e">
        <f>VLOOKUP(bargiri[[#This Row],[شماره سند مبنا]],invoice[[شماره پیش فاکتور]:[پیش دریافت به ازای هر کیلوگرم]],14,0)</f>
        <v>#N/A</v>
      </c>
      <c r="Q1491" s="159" t="e">
        <f>IF(bargiri[[#This Row],[مبلغ ناخالص]]-(bargiri[[#This Row],[نرخ استهلاک]]*bargiri[[#This Row],[مقدار]])&lt;0,0,bargiri[[#This Row],[مبلغ ناخالص]]-(bargiri[[#This Row],[نرخ استهلاک]]*bargiri[[#This Row],[مقدار]]))</f>
        <v>#N/A</v>
      </c>
    </row>
    <row r="1492" spans="1:17" s="22" customFormat="1" ht="13.8" x14ac:dyDescent="0.25">
      <c r="A1492" s="22">
        <v>59</v>
      </c>
      <c r="B1492" s="22" t="s">
        <v>61</v>
      </c>
      <c r="C1492" s="22" t="s">
        <v>72</v>
      </c>
      <c r="D1492" s="22" t="s">
        <v>73</v>
      </c>
      <c r="E1492" s="158">
        <v>21020</v>
      </c>
      <c r="F1492" s="159">
        <v>57273</v>
      </c>
      <c r="G1492" s="159">
        <v>1203878460</v>
      </c>
      <c r="H1492" s="159">
        <v>120387846</v>
      </c>
      <c r="I1492" s="159">
        <v>1324266306</v>
      </c>
      <c r="J1492" s="159" t="e">
        <f>bargiri[[#This Row],[مقدار]]*INDEX(invoice[پیش دریافت به ازای هر کیلوگرم],MATCH(bargiri[[#This Row],[شماره سند مبنا]],invoice[شماره پیش فاکتور],0))</f>
        <v>#N/A</v>
      </c>
      <c r="K1492" s="159" t="e">
        <f>bargiri[[#This Row],[مبلغ خالص]]-bargiri[[#This Row],[میزان استهلاک پیش دریافتی]]</f>
        <v>#N/A</v>
      </c>
      <c r="L1492" s="160"/>
      <c r="M1492" s="159"/>
      <c r="N1492" s="159" t="e">
        <f>IF(bargiri[[#This Row],[مبلغ واریزی]]&lt;&gt;"",bargiri[[#This Row],[مانده مبلغ]]-bargiri[[#This Row],[مبلغ واریزی]],bargiri[[#This Row],[مانده مبلغ]])</f>
        <v>#N/A</v>
      </c>
      <c r="O1492" s="159"/>
      <c r="P1492" s="159" t="e">
        <f>VLOOKUP(bargiri[[#This Row],[شماره سند مبنا]],invoice[[شماره پیش فاکتور]:[پیش دریافت به ازای هر کیلوگرم]],14,0)</f>
        <v>#N/A</v>
      </c>
      <c r="Q1492" s="159" t="e">
        <f>IF(bargiri[[#This Row],[مبلغ ناخالص]]-(bargiri[[#This Row],[نرخ استهلاک]]*bargiri[[#This Row],[مقدار]])&lt;0,0,bargiri[[#This Row],[مبلغ ناخالص]]-(bargiri[[#This Row],[نرخ استهلاک]]*bargiri[[#This Row],[مقدار]]))</f>
        <v>#N/A</v>
      </c>
    </row>
    <row r="1493" spans="1:17" s="22" customFormat="1" ht="13.8" x14ac:dyDescent="0.25">
      <c r="A1493" s="22">
        <v>58</v>
      </c>
      <c r="B1493" s="22" t="s">
        <v>61</v>
      </c>
      <c r="C1493" s="22" t="s">
        <v>109</v>
      </c>
      <c r="D1493" s="22" t="s">
        <v>110</v>
      </c>
      <c r="E1493" s="158">
        <v>18700</v>
      </c>
      <c r="F1493" s="159">
        <v>70000</v>
      </c>
      <c r="G1493" s="159">
        <v>1309000000</v>
      </c>
      <c r="H1493" s="159">
        <v>130900000</v>
      </c>
      <c r="I1493" s="159">
        <v>1439900000</v>
      </c>
      <c r="J1493" s="159" t="e">
        <f>bargiri[[#This Row],[مقدار]]*INDEX(invoice[پیش دریافت به ازای هر کیلوگرم],MATCH(bargiri[[#This Row],[شماره سند مبنا]],invoice[شماره پیش فاکتور],0))</f>
        <v>#N/A</v>
      </c>
      <c r="K1493" s="159" t="e">
        <f>bargiri[[#This Row],[مبلغ خالص]]-bargiri[[#This Row],[میزان استهلاک پیش دریافتی]]</f>
        <v>#N/A</v>
      </c>
      <c r="L1493" s="160"/>
      <c r="M1493" s="159"/>
      <c r="N1493" s="159" t="e">
        <f>IF(bargiri[[#This Row],[مبلغ واریزی]]&lt;&gt;"",bargiri[[#This Row],[مانده مبلغ]]-bargiri[[#This Row],[مبلغ واریزی]],bargiri[[#This Row],[مانده مبلغ]])</f>
        <v>#N/A</v>
      </c>
      <c r="O1493" s="159"/>
      <c r="P1493" s="159" t="e">
        <f>VLOOKUP(bargiri[[#This Row],[شماره سند مبنا]],invoice[[شماره پیش فاکتور]:[پیش دریافت به ازای هر کیلوگرم]],14,0)</f>
        <v>#N/A</v>
      </c>
      <c r="Q1493" s="159" t="e">
        <f>IF(bargiri[[#This Row],[مبلغ ناخالص]]-(bargiri[[#This Row],[نرخ استهلاک]]*bargiri[[#This Row],[مقدار]])&lt;0,0,bargiri[[#This Row],[مبلغ ناخالص]]-(bargiri[[#This Row],[نرخ استهلاک]]*bargiri[[#This Row],[مقدار]]))</f>
        <v>#N/A</v>
      </c>
    </row>
    <row r="1494" spans="1:17" s="22" customFormat="1" ht="13.8" x14ac:dyDescent="0.25">
      <c r="A1494" s="22">
        <v>1381</v>
      </c>
      <c r="B1494" s="22" t="s">
        <v>257</v>
      </c>
      <c r="C1494" s="22" t="s">
        <v>107</v>
      </c>
      <c r="D1494" s="22" t="s">
        <v>30</v>
      </c>
      <c r="E1494" s="158">
        <v>9805</v>
      </c>
      <c r="F1494" s="159">
        <v>70000</v>
      </c>
      <c r="G1494" s="159">
        <v>686350000</v>
      </c>
      <c r="H1494" s="159">
        <v>68635000</v>
      </c>
      <c r="I1494" s="159">
        <v>754985000</v>
      </c>
      <c r="J1494" s="159">
        <f>bargiri[[#This Row],[مقدار]]*INDEX(invoice[پیش دریافت به ازای هر کیلوگرم],MATCH(bargiri[[#This Row],[شماره سند مبنا]],invoice[شماره پیش فاکتور],0))</f>
        <v>377492500</v>
      </c>
      <c r="K1494" s="159">
        <f>bargiri[[#This Row],[مبلغ خالص]]-bargiri[[#This Row],[میزان استهلاک پیش دریافتی]]</f>
        <v>377492500</v>
      </c>
      <c r="L1494" s="160"/>
      <c r="M1494" s="159"/>
      <c r="N1494" s="159">
        <f>IF(bargiri[[#This Row],[مبلغ واریزی]]&lt;&gt;"",bargiri[[#This Row],[مانده مبلغ]]-bargiri[[#This Row],[مبلغ واریزی]],bargiri[[#This Row],[مانده مبلغ]])</f>
        <v>377492500</v>
      </c>
      <c r="O1494" s="159"/>
      <c r="P1494" s="159">
        <f>VLOOKUP(bargiri[[#This Row],[شماره سند مبنا]],invoice[[شماره پیش فاکتور]:[پیش دریافت به ازای هر کیلوگرم]],14,0)</f>
        <v>38500</v>
      </c>
      <c r="Q1494" s="159">
        <f>IF(bargiri[[#This Row],[مبلغ ناخالص]]-(bargiri[[#This Row],[نرخ استهلاک]]*bargiri[[#This Row],[مقدار]])&lt;0,0,bargiri[[#This Row],[مبلغ ناخالص]]-(bargiri[[#This Row],[نرخ استهلاک]]*bargiri[[#This Row],[مقدار]]))</f>
        <v>308857500</v>
      </c>
    </row>
    <row r="1495" spans="1:17" s="22" customFormat="1" ht="13.8" x14ac:dyDescent="0.25">
      <c r="A1495" s="22">
        <v>1380</v>
      </c>
      <c r="B1495" s="22" t="s">
        <v>257</v>
      </c>
      <c r="C1495" s="22" t="s">
        <v>109</v>
      </c>
      <c r="D1495" s="22" t="s">
        <v>110</v>
      </c>
      <c r="E1495" s="158">
        <v>19030</v>
      </c>
      <c r="F1495" s="159">
        <v>70000</v>
      </c>
      <c r="G1495" s="159">
        <v>1332100000</v>
      </c>
      <c r="H1495" s="159">
        <v>133210000</v>
      </c>
      <c r="I1495" s="159">
        <v>1465310000</v>
      </c>
      <c r="J1495" s="159" t="e">
        <f>bargiri[[#This Row],[مقدار]]*INDEX(invoice[پیش دریافت به ازای هر کیلوگرم],MATCH(bargiri[[#This Row],[شماره سند مبنا]],invoice[شماره پیش فاکتور],0))</f>
        <v>#N/A</v>
      </c>
      <c r="K1495" s="159" t="e">
        <f>bargiri[[#This Row],[مبلغ خالص]]-bargiri[[#This Row],[میزان استهلاک پیش دریافتی]]</f>
        <v>#N/A</v>
      </c>
      <c r="L1495" s="160"/>
      <c r="M1495" s="159"/>
      <c r="N1495" s="159" t="e">
        <f>IF(bargiri[[#This Row],[مبلغ واریزی]]&lt;&gt;"",bargiri[[#This Row],[مانده مبلغ]]-bargiri[[#This Row],[مبلغ واریزی]],bargiri[[#This Row],[مانده مبلغ]])</f>
        <v>#N/A</v>
      </c>
      <c r="O1495" s="159"/>
      <c r="P1495" s="159" t="e">
        <f>VLOOKUP(bargiri[[#This Row],[شماره سند مبنا]],invoice[[شماره پیش فاکتور]:[پیش دریافت به ازای هر کیلوگرم]],14,0)</f>
        <v>#N/A</v>
      </c>
      <c r="Q1495" s="159" t="e">
        <f>IF(bargiri[[#This Row],[مبلغ ناخالص]]-(bargiri[[#This Row],[نرخ استهلاک]]*bargiri[[#This Row],[مقدار]])&lt;0,0,bargiri[[#This Row],[مبلغ ناخالص]]-(bargiri[[#This Row],[نرخ استهلاک]]*bargiri[[#This Row],[مقدار]]))</f>
        <v>#N/A</v>
      </c>
    </row>
    <row r="1496" spans="1:17" s="22" customFormat="1" ht="13.8" x14ac:dyDescent="0.25">
      <c r="A1496" s="22">
        <v>1379</v>
      </c>
      <c r="B1496" s="22" t="s">
        <v>257</v>
      </c>
      <c r="C1496" s="22" t="s">
        <v>72</v>
      </c>
      <c r="D1496" s="22" t="s">
        <v>73</v>
      </c>
      <c r="E1496" s="158">
        <v>20410</v>
      </c>
      <c r="F1496" s="159">
        <v>57273</v>
      </c>
      <c r="G1496" s="159">
        <v>1168941930</v>
      </c>
      <c r="H1496" s="159">
        <v>116894193</v>
      </c>
      <c r="I1496" s="159">
        <v>1285836123</v>
      </c>
      <c r="J1496" s="159" t="e">
        <f>bargiri[[#This Row],[مقدار]]*INDEX(invoice[پیش دریافت به ازای هر کیلوگرم],MATCH(bargiri[[#This Row],[شماره سند مبنا]],invoice[شماره پیش فاکتور],0))</f>
        <v>#N/A</v>
      </c>
      <c r="K1496" s="159" t="e">
        <f>bargiri[[#This Row],[مبلغ خالص]]-bargiri[[#This Row],[میزان استهلاک پیش دریافتی]]</f>
        <v>#N/A</v>
      </c>
      <c r="L1496" s="160"/>
      <c r="M1496" s="159"/>
      <c r="N1496" s="159" t="e">
        <f>IF(bargiri[[#This Row],[مبلغ واریزی]]&lt;&gt;"",bargiri[[#This Row],[مانده مبلغ]]-bargiri[[#This Row],[مبلغ واریزی]],bargiri[[#This Row],[مانده مبلغ]])</f>
        <v>#N/A</v>
      </c>
      <c r="O1496" s="159"/>
      <c r="P1496" s="159" t="e">
        <f>VLOOKUP(bargiri[[#This Row],[شماره سند مبنا]],invoice[[شماره پیش فاکتور]:[پیش دریافت به ازای هر کیلوگرم]],14,0)</f>
        <v>#N/A</v>
      </c>
      <c r="Q1496" s="159" t="e">
        <f>IF(bargiri[[#This Row],[مبلغ ناخالص]]-(bargiri[[#This Row],[نرخ استهلاک]]*bargiri[[#This Row],[مقدار]])&lt;0,0,bargiri[[#This Row],[مبلغ ناخالص]]-(bargiri[[#This Row],[نرخ استهلاک]]*bargiri[[#This Row],[مقدار]]))</f>
        <v>#N/A</v>
      </c>
    </row>
    <row r="1497" spans="1:17" s="22" customFormat="1" ht="13.8" x14ac:dyDescent="0.25">
      <c r="A1497" s="22">
        <v>1378</v>
      </c>
      <c r="B1497" s="22" t="s">
        <v>257</v>
      </c>
      <c r="C1497" s="22" t="s">
        <v>72</v>
      </c>
      <c r="D1497" s="22" t="s">
        <v>73</v>
      </c>
      <c r="E1497" s="158">
        <v>20505</v>
      </c>
      <c r="F1497" s="159">
        <v>57273</v>
      </c>
      <c r="G1497" s="159">
        <v>1174382865</v>
      </c>
      <c r="H1497" s="159">
        <v>117438287</v>
      </c>
      <c r="I1497" s="159">
        <v>1291821152</v>
      </c>
      <c r="J1497" s="159" t="e">
        <f>bargiri[[#This Row],[مقدار]]*INDEX(invoice[پیش دریافت به ازای هر کیلوگرم],MATCH(bargiri[[#This Row],[شماره سند مبنا]],invoice[شماره پیش فاکتور],0))</f>
        <v>#N/A</v>
      </c>
      <c r="K1497" s="159" t="e">
        <f>bargiri[[#This Row],[مبلغ خالص]]-bargiri[[#This Row],[میزان استهلاک پیش دریافتی]]</f>
        <v>#N/A</v>
      </c>
      <c r="L1497" s="160"/>
      <c r="M1497" s="159"/>
      <c r="N1497" s="159" t="e">
        <f>IF(bargiri[[#This Row],[مبلغ واریزی]]&lt;&gt;"",bargiri[[#This Row],[مانده مبلغ]]-bargiri[[#This Row],[مبلغ واریزی]],bargiri[[#This Row],[مانده مبلغ]])</f>
        <v>#N/A</v>
      </c>
      <c r="O1497" s="159"/>
      <c r="P1497" s="159" t="e">
        <f>VLOOKUP(bargiri[[#This Row],[شماره سند مبنا]],invoice[[شماره پیش فاکتور]:[پیش دریافت به ازای هر کیلوگرم]],14,0)</f>
        <v>#N/A</v>
      </c>
      <c r="Q1497" s="159" t="e">
        <f>IF(bargiri[[#This Row],[مبلغ ناخالص]]-(bargiri[[#This Row],[نرخ استهلاک]]*bargiri[[#This Row],[مقدار]])&lt;0,0,bargiri[[#This Row],[مبلغ ناخالص]]-(bargiri[[#This Row],[نرخ استهلاک]]*bargiri[[#This Row],[مقدار]]))</f>
        <v>#N/A</v>
      </c>
    </row>
    <row r="1498" spans="1:17" s="22" customFormat="1" ht="13.8" x14ac:dyDescent="0.25">
      <c r="A1498" s="22">
        <v>1377</v>
      </c>
      <c r="B1498" s="22" t="s">
        <v>296</v>
      </c>
      <c r="C1498" s="22" t="s">
        <v>109</v>
      </c>
      <c r="D1498" s="22" t="s">
        <v>110</v>
      </c>
      <c r="E1498" s="158">
        <v>19115</v>
      </c>
      <c r="F1498" s="159">
        <v>70000</v>
      </c>
      <c r="G1498" s="159">
        <v>1338050000</v>
      </c>
      <c r="H1498" s="159">
        <v>133805000</v>
      </c>
      <c r="I1498" s="159">
        <v>1471855000</v>
      </c>
      <c r="J1498" s="159" t="e">
        <f>bargiri[[#This Row],[مقدار]]*INDEX(invoice[پیش دریافت به ازای هر کیلوگرم],MATCH(bargiri[[#This Row],[شماره سند مبنا]],invoice[شماره پیش فاکتور],0))</f>
        <v>#N/A</v>
      </c>
      <c r="K1498" s="159" t="e">
        <f>bargiri[[#This Row],[مبلغ خالص]]-bargiri[[#This Row],[میزان استهلاک پیش دریافتی]]</f>
        <v>#N/A</v>
      </c>
      <c r="L1498" s="160"/>
      <c r="M1498" s="159"/>
      <c r="N1498" s="159" t="e">
        <f>IF(bargiri[[#This Row],[مبلغ واریزی]]&lt;&gt;"",bargiri[[#This Row],[مانده مبلغ]]-bargiri[[#This Row],[مبلغ واریزی]],bargiri[[#This Row],[مانده مبلغ]])</f>
        <v>#N/A</v>
      </c>
      <c r="O1498" s="159"/>
      <c r="P1498" s="159" t="e">
        <f>VLOOKUP(bargiri[[#This Row],[شماره سند مبنا]],invoice[[شماره پیش فاکتور]:[پیش دریافت به ازای هر کیلوگرم]],14,0)</f>
        <v>#N/A</v>
      </c>
      <c r="Q1498" s="159" t="e">
        <f>IF(bargiri[[#This Row],[مبلغ ناخالص]]-(bargiri[[#This Row],[نرخ استهلاک]]*bargiri[[#This Row],[مقدار]])&lt;0,0,bargiri[[#This Row],[مبلغ ناخالص]]-(bargiri[[#This Row],[نرخ استهلاک]]*bargiri[[#This Row],[مقدار]]))</f>
        <v>#N/A</v>
      </c>
    </row>
    <row r="1499" spans="1:17" s="22" customFormat="1" ht="13.8" x14ac:dyDescent="0.25">
      <c r="A1499" s="22">
        <v>1376</v>
      </c>
      <c r="B1499" s="22" t="s">
        <v>296</v>
      </c>
      <c r="C1499" s="22" t="s">
        <v>115</v>
      </c>
      <c r="D1499" s="22" t="s">
        <v>116</v>
      </c>
      <c r="E1499" s="158">
        <v>18925</v>
      </c>
      <c r="F1499" s="159">
        <v>75000</v>
      </c>
      <c r="G1499" s="159">
        <v>1419375000</v>
      </c>
      <c r="H1499" s="159">
        <v>141937500</v>
      </c>
      <c r="I1499" s="159">
        <v>1561312500</v>
      </c>
      <c r="J1499" s="159">
        <f>bargiri[[#This Row],[مقدار]]*INDEX(invoice[پیش دریافت به ازای هر کیلوگرم],MATCH(bargiri[[#This Row],[شماره سند مبنا]],invoice[شماره پیش فاکتور],0))</f>
        <v>284068166.35312009</v>
      </c>
      <c r="K1499" s="159">
        <f>bargiri[[#This Row],[مبلغ خالص]]-bargiri[[#This Row],[میزان استهلاک پیش دریافتی]]</f>
        <v>1277244333.6468799</v>
      </c>
      <c r="L1499" s="160"/>
      <c r="M1499" s="159"/>
      <c r="N1499" s="159">
        <f>IF(bargiri[[#This Row],[مبلغ واریزی]]&lt;&gt;"",bargiri[[#This Row],[مانده مبلغ]]-bargiri[[#This Row],[مبلغ واریزی]],bargiri[[#This Row],[مانده مبلغ]])</f>
        <v>1277244333.6468799</v>
      </c>
      <c r="O1499" s="159"/>
      <c r="P1499" s="159">
        <f>VLOOKUP(bargiri[[#This Row],[شماره سند مبنا]],invoice[[شماره پیش فاکتور]:[پیش دریافت به ازای هر کیلوگرم]],14,0)</f>
        <v>15010.206940719689</v>
      </c>
      <c r="Q1499" s="159">
        <f>IF(bargiri[[#This Row],[مبلغ ناخالص]]-(bargiri[[#This Row],[نرخ استهلاک]]*bargiri[[#This Row],[مقدار]])&lt;0,0,bargiri[[#This Row],[مبلغ ناخالص]]-(bargiri[[#This Row],[نرخ استهلاک]]*bargiri[[#This Row],[مقدار]]))</f>
        <v>1135306833.6468799</v>
      </c>
    </row>
    <row r="1500" spans="1:17" s="22" customFormat="1" ht="13.8" x14ac:dyDescent="0.25">
      <c r="A1500" s="22">
        <v>1375</v>
      </c>
      <c r="B1500" s="22" t="s">
        <v>201</v>
      </c>
      <c r="C1500" s="22" t="s">
        <v>107</v>
      </c>
      <c r="D1500" s="22" t="s">
        <v>30</v>
      </c>
      <c r="E1500" s="158">
        <v>11490</v>
      </c>
      <c r="F1500" s="159">
        <v>70000</v>
      </c>
      <c r="G1500" s="159">
        <v>804300000</v>
      </c>
      <c r="H1500" s="159">
        <v>80430000</v>
      </c>
      <c r="I1500" s="159">
        <v>884730000</v>
      </c>
      <c r="J1500" s="159">
        <f>bargiri[[#This Row],[مقدار]]*INDEX(invoice[پیش دریافت به ازای هر کیلوگرم],MATCH(bargiri[[#This Row],[شماره سند مبنا]],invoice[شماره پیش فاکتور],0))</f>
        <v>442365000</v>
      </c>
      <c r="K1500" s="159">
        <f>bargiri[[#This Row],[مبلغ خالص]]-bargiri[[#This Row],[میزان استهلاک پیش دریافتی]]</f>
        <v>442365000</v>
      </c>
      <c r="L1500" s="160"/>
      <c r="M1500" s="159"/>
      <c r="N1500" s="159">
        <f>IF(bargiri[[#This Row],[مبلغ واریزی]]&lt;&gt;"",bargiri[[#This Row],[مانده مبلغ]]-bargiri[[#This Row],[مبلغ واریزی]],bargiri[[#This Row],[مانده مبلغ]])</f>
        <v>442365000</v>
      </c>
      <c r="O1500" s="159"/>
      <c r="P1500" s="159">
        <f>VLOOKUP(bargiri[[#This Row],[شماره سند مبنا]],invoice[[شماره پیش فاکتور]:[پیش دریافت به ازای هر کیلوگرم]],14,0)</f>
        <v>38500</v>
      </c>
      <c r="Q1500" s="159">
        <f>IF(bargiri[[#This Row],[مبلغ ناخالص]]-(bargiri[[#This Row],[نرخ استهلاک]]*bargiri[[#This Row],[مقدار]])&lt;0,0,bargiri[[#This Row],[مبلغ ناخالص]]-(bargiri[[#This Row],[نرخ استهلاک]]*bargiri[[#This Row],[مقدار]]))</f>
        <v>361935000</v>
      </c>
    </row>
    <row r="1501" spans="1:17" s="22" customFormat="1" ht="13.8" x14ac:dyDescent="0.25">
      <c r="A1501" s="22">
        <v>1374</v>
      </c>
      <c r="B1501" s="22" t="s">
        <v>296</v>
      </c>
      <c r="C1501" s="22" t="s">
        <v>115</v>
      </c>
      <c r="D1501" s="22" t="s">
        <v>116</v>
      </c>
      <c r="E1501" s="158">
        <v>19430</v>
      </c>
      <c r="F1501" s="159">
        <v>75000</v>
      </c>
      <c r="G1501" s="159">
        <v>1457250000</v>
      </c>
      <c r="H1501" s="159">
        <v>145725000</v>
      </c>
      <c r="I1501" s="159">
        <v>1602975000</v>
      </c>
      <c r="J1501" s="159">
        <f>bargiri[[#This Row],[مقدار]]*INDEX(invoice[پیش دریافت به ازای هر کیلوگرم],MATCH(bargiri[[#This Row],[شماره سند مبنا]],invoice[شماره پیش فاکتور],0))</f>
        <v>291648320.85818356</v>
      </c>
      <c r="K1501" s="159">
        <f>bargiri[[#This Row],[مبلغ خالص]]-bargiri[[#This Row],[میزان استهلاک پیش دریافتی]]</f>
        <v>1311326679.1418164</v>
      </c>
      <c r="L1501" s="160"/>
      <c r="M1501" s="159"/>
      <c r="N1501" s="159">
        <f>IF(bargiri[[#This Row],[مبلغ واریزی]]&lt;&gt;"",bargiri[[#This Row],[مانده مبلغ]]-bargiri[[#This Row],[مبلغ واریزی]],bargiri[[#This Row],[مانده مبلغ]])</f>
        <v>1311326679.1418164</v>
      </c>
      <c r="O1501" s="159"/>
      <c r="P1501" s="159">
        <f>VLOOKUP(bargiri[[#This Row],[شماره سند مبنا]],invoice[[شماره پیش فاکتور]:[پیش دریافت به ازای هر کیلوگرم]],14,0)</f>
        <v>15010.206940719689</v>
      </c>
      <c r="Q1501" s="159">
        <f>IF(bargiri[[#This Row],[مبلغ ناخالص]]-(bargiri[[#This Row],[نرخ استهلاک]]*bargiri[[#This Row],[مقدار]])&lt;0,0,bargiri[[#This Row],[مبلغ ناخالص]]-(bargiri[[#This Row],[نرخ استهلاک]]*bargiri[[#This Row],[مقدار]]))</f>
        <v>1165601679.1418164</v>
      </c>
    </row>
    <row r="1502" spans="1:17" s="22" customFormat="1" ht="13.8" x14ac:dyDescent="0.25">
      <c r="A1502" s="22">
        <v>1373</v>
      </c>
      <c r="B1502" s="22" t="s">
        <v>201</v>
      </c>
      <c r="C1502" s="22" t="s">
        <v>158</v>
      </c>
      <c r="D1502" s="22" t="s">
        <v>17</v>
      </c>
      <c r="E1502" s="158">
        <v>8625</v>
      </c>
      <c r="F1502" s="159">
        <v>92180</v>
      </c>
      <c r="G1502" s="159">
        <v>795052500</v>
      </c>
      <c r="H1502" s="159">
        <v>79505250</v>
      </c>
      <c r="I1502" s="159">
        <v>874557750</v>
      </c>
      <c r="J1502" s="159" t="e">
        <f>bargiri[[#This Row],[مقدار]]*INDEX(invoice[پیش دریافت به ازای هر کیلوگرم],MATCH(bargiri[[#This Row],[شماره سند مبنا]],invoice[شماره پیش فاکتور],0))</f>
        <v>#N/A</v>
      </c>
      <c r="K1502" s="159" t="e">
        <f>bargiri[[#This Row],[مبلغ خالص]]-bargiri[[#This Row],[میزان استهلاک پیش دریافتی]]</f>
        <v>#N/A</v>
      </c>
      <c r="L1502" s="160"/>
      <c r="M1502" s="159"/>
      <c r="N1502" s="159" t="e">
        <f>IF(bargiri[[#This Row],[مبلغ واریزی]]&lt;&gt;"",bargiri[[#This Row],[مانده مبلغ]]-bargiri[[#This Row],[مبلغ واریزی]],bargiri[[#This Row],[مانده مبلغ]])</f>
        <v>#N/A</v>
      </c>
      <c r="O1502" s="159"/>
      <c r="P1502" s="159" t="e">
        <f>VLOOKUP(bargiri[[#This Row],[شماره سند مبنا]],invoice[[شماره پیش فاکتور]:[پیش دریافت به ازای هر کیلوگرم]],14,0)</f>
        <v>#N/A</v>
      </c>
      <c r="Q1502" s="159" t="e">
        <f>IF(bargiri[[#This Row],[مبلغ ناخالص]]-(bargiri[[#This Row],[نرخ استهلاک]]*bargiri[[#This Row],[مقدار]])&lt;0,0,bargiri[[#This Row],[مبلغ ناخالص]]-(bargiri[[#This Row],[نرخ استهلاک]]*bargiri[[#This Row],[مقدار]]))</f>
        <v>#N/A</v>
      </c>
    </row>
    <row r="1503" spans="1:17" s="22" customFormat="1" ht="13.8" x14ac:dyDescent="0.25">
      <c r="A1503" s="22">
        <v>1373</v>
      </c>
      <c r="B1503" s="22" t="s">
        <v>201</v>
      </c>
      <c r="C1503" s="22" t="s">
        <v>199</v>
      </c>
      <c r="D1503" s="22" t="s">
        <v>17</v>
      </c>
      <c r="E1503" s="158">
        <v>11410</v>
      </c>
      <c r="F1503" s="159">
        <v>65000</v>
      </c>
      <c r="G1503" s="159">
        <v>741650000</v>
      </c>
      <c r="H1503" s="159">
        <v>74165000</v>
      </c>
      <c r="I1503" s="159">
        <v>815815000</v>
      </c>
      <c r="J1503" s="159">
        <f>bargiri[[#This Row],[مقدار]]*INDEX(invoice[پیش دریافت به ازای هر کیلوگرم],MATCH(bargiri[[#This Row],[شماره سند مبنا]],invoice[شماره پیش فاکتور],0))</f>
        <v>122372250</v>
      </c>
      <c r="K1503" s="159">
        <f>bargiri[[#This Row],[مبلغ خالص]]-bargiri[[#This Row],[میزان استهلاک پیش دریافتی]]</f>
        <v>693442750</v>
      </c>
      <c r="L1503" s="160"/>
      <c r="M1503" s="159"/>
      <c r="N1503" s="159">
        <f>IF(bargiri[[#This Row],[مبلغ واریزی]]&lt;&gt;"",bargiri[[#This Row],[مانده مبلغ]]-bargiri[[#This Row],[مبلغ واریزی]],bargiri[[#This Row],[مانده مبلغ]])</f>
        <v>693442750</v>
      </c>
      <c r="O1503" s="159"/>
      <c r="P1503" s="159">
        <f>VLOOKUP(bargiri[[#This Row],[شماره سند مبنا]],invoice[[شماره پیش فاکتور]:[پیش دریافت به ازای هر کیلوگرم]],14,0)</f>
        <v>10725</v>
      </c>
      <c r="Q1503" s="159">
        <f>IF(bargiri[[#This Row],[مبلغ ناخالص]]-(bargiri[[#This Row],[نرخ استهلاک]]*bargiri[[#This Row],[مقدار]])&lt;0,0,bargiri[[#This Row],[مبلغ ناخالص]]-(bargiri[[#This Row],[نرخ استهلاک]]*bargiri[[#This Row],[مقدار]]))</f>
        <v>619277750</v>
      </c>
    </row>
    <row r="1504" spans="1:17" s="22" customFormat="1" ht="13.8" x14ac:dyDescent="0.25">
      <c r="A1504" s="22">
        <v>1372</v>
      </c>
      <c r="B1504" s="22" t="s">
        <v>201</v>
      </c>
      <c r="C1504" s="22" t="s">
        <v>176</v>
      </c>
      <c r="D1504" s="22" t="s">
        <v>70</v>
      </c>
      <c r="E1504" s="158">
        <v>19910</v>
      </c>
      <c r="F1504" s="159">
        <v>75000</v>
      </c>
      <c r="G1504" s="159">
        <v>1493250000</v>
      </c>
      <c r="H1504" s="159">
        <v>149325000</v>
      </c>
      <c r="I1504" s="159">
        <v>1642575000</v>
      </c>
      <c r="J1504" s="159" t="e">
        <f>bargiri[[#This Row],[مقدار]]*INDEX(invoice[پیش دریافت به ازای هر کیلوگرم],MATCH(bargiri[[#This Row],[شماره سند مبنا]],invoice[شماره پیش فاکتور],0))</f>
        <v>#N/A</v>
      </c>
      <c r="K1504" s="159" t="e">
        <f>bargiri[[#This Row],[مبلغ خالص]]-bargiri[[#This Row],[میزان استهلاک پیش دریافتی]]</f>
        <v>#N/A</v>
      </c>
      <c r="L1504" s="160"/>
      <c r="M1504" s="159"/>
      <c r="N1504" s="159" t="e">
        <f>IF(bargiri[[#This Row],[مبلغ واریزی]]&lt;&gt;"",bargiri[[#This Row],[مانده مبلغ]]-bargiri[[#This Row],[مبلغ واریزی]],bargiri[[#This Row],[مانده مبلغ]])</f>
        <v>#N/A</v>
      </c>
      <c r="O1504" s="159"/>
      <c r="P1504" s="159" t="e">
        <f>VLOOKUP(bargiri[[#This Row],[شماره سند مبنا]],invoice[[شماره پیش فاکتور]:[پیش دریافت به ازای هر کیلوگرم]],14,0)</f>
        <v>#N/A</v>
      </c>
      <c r="Q1504" s="159" t="e">
        <f>IF(bargiri[[#This Row],[مبلغ ناخالص]]-(bargiri[[#This Row],[نرخ استهلاک]]*bargiri[[#This Row],[مقدار]])&lt;0,0,bargiri[[#This Row],[مبلغ ناخالص]]-(bargiri[[#This Row],[نرخ استهلاک]]*bargiri[[#This Row],[مقدار]]))</f>
        <v>#N/A</v>
      </c>
    </row>
    <row r="1505" spans="1:17" s="22" customFormat="1" ht="13.8" x14ac:dyDescent="0.25">
      <c r="A1505" s="22">
        <v>1371</v>
      </c>
      <c r="B1505" s="22" t="s">
        <v>201</v>
      </c>
      <c r="C1505" s="22" t="s">
        <v>72</v>
      </c>
      <c r="D1505" s="22" t="s">
        <v>73</v>
      </c>
      <c r="E1505" s="158">
        <v>20855</v>
      </c>
      <c r="F1505" s="159">
        <v>57273</v>
      </c>
      <c r="G1505" s="159">
        <v>1194428415</v>
      </c>
      <c r="H1505" s="159">
        <v>119442842</v>
      </c>
      <c r="I1505" s="159">
        <v>1313871257</v>
      </c>
      <c r="J1505" s="159" t="e">
        <f>bargiri[[#This Row],[مقدار]]*INDEX(invoice[پیش دریافت به ازای هر کیلوگرم],MATCH(bargiri[[#This Row],[شماره سند مبنا]],invoice[شماره پیش فاکتور],0))</f>
        <v>#N/A</v>
      </c>
      <c r="K1505" s="159" t="e">
        <f>bargiri[[#This Row],[مبلغ خالص]]-bargiri[[#This Row],[میزان استهلاک پیش دریافتی]]</f>
        <v>#N/A</v>
      </c>
      <c r="L1505" s="160"/>
      <c r="M1505" s="159"/>
      <c r="N1505" s="159" t="e">
        <f>IF(bargiri[[#This Row],[مبلغ واریزی]]&lt;&gt;"",bargiri[[#This Row],[مانده مبلغ]]-bargiri[[#This Row],[مبلغ واریزی]],bargiri[[#This Row],[مانده مبلغ]])</f>
        <v>#N/A</v>
      </c>
      <c r="O1505" s="159"/>
      <c r="P1505" s="159" t="e">
        <f>VLOOKUP(bargiri[[#This Row],[شماره سند مبنا]],invoice[[شماره پیش فاکتور]:[پیش دریافت به ازای هر کیلوگرم]],14,0)</f>
        <v>#N/A</v>
      </c>
      <c r="Q1505" s="159" t="e">
        <f>IF(bargiri[[#This Row],[مبلغ ناخالص]]-(bargiri[[#This Row],[نرخ استهلاک]]*bargiri[[#This Row],[مقدار]])&lt;0,0,bargiri[[#This Row],[مبلغ ناخالص]]-(bargiri[[#This Row],[نرخ استهلاک]]*bargiri[[#This Row],[مقدار]]))</f>
        <v>#N/A</v>
      </c>
    </row>
    <row r="1506" spans="1:17" s="22" customFormat="1" ht="13.8" x14ac:dyDescent="0.25">
      <c r="A1506" s="22">
        <v>1370</v>
      </c>
      <c r="B1506" s="22" t="s">
        <v>201</v>
      </c>
      <c r="C1506" s="22" t="s">
        <v>72</v>
      </c>
      <c r="D1506" s="22" t="s">
        <v>73</v>
      </c>
      <c r="E1506" s="158">
        <v>20975</v>
      </c>
      <c r="F1506" s="159">
        <v>57273</v>
      </c>
      <c r="G1506" s="159">
        <v>1201301175</v>
      </c>
      <c r="H1506" s="159">
        <v>120130118</v>
      </c>
      <c r="I1506" s="159">
        <v>1321431293</v>
      </c>
      <c r="J1506" s="159" t="e">
        <f>bargiri[[#This Row],[مقدار]]*INDEX(invoice[پیش دریافت به ازای هر کیلوگرم],MATCH(bargiri[[#This Row],[شماره سند مبنا]],invoice[شماره پیش فاکتور],0))</f>
        <v>#N/A</v>
      </c>
      <c r="K1506" s="159" t="e">
        <f>bargiri[[#This Row],[مبلغ خالص]]-bargiri[[#This Row],[میزان استهلاک پیش دریافتی]]</f>
        <v>#N/A</v>
      </c>
      <c r="L1506" s="160"/>
      <c r="M1506" s="159"/>
      <c r="N1506" s="159" t="e">
        <f>IF(bargiri[[#This Row],[مبلغ واریزی]]&lt;&gt;"",bargiri[[#This Row],[مانده مبلغ]]-bargiri[[#This Row],[مبلغ واریزی]],bargiri[[#This Row],[مانده مبلغ]])</f>
        <v>#N/A</v>
      </c>
      <c r="O1506" s="159"/>
      <c r="P1506" s="159" t="e">
        <f>VLOOKUP(bargiri[[#This Row],[شماره سند مبنا]],invoice[[شماره پیش فاکتور]:[پیش دریافت به ازای هر کیلوگرم]],14,0)</f>
        <v>#N/A</v>
      </c>
      <c r="Q1506" s="159" t="e">
        <f>IF(bargiri[[#This Row],[مبلغ ناخالص]]-(bargiri[[#This Row],[نرخ استهلاک]]*bargiri[[#This Row],[مقدار]])&lt;0,0,bargiri[[#This Row],[مبلغ ناخالص]]-(bargiri[[#This Row],[نرخ استهلاک]]*bargiri[[#This Row],[مقدار]]))</f>
        <v>#N/A</v>
      </c>
    </row>
    <row r="1507" spans="1:17" s="22" customFormat="1" ht="13.8" x14ac:dyDescent="0.25">
      <c r="A1507" s="22">
        <v>1369</v>
      </c>
      <c r="B1507" s="22" t="s">
        <v>201</v>
      </c>
      <c r="C1507" s="22" t="s">
        <v>72</v>
      </c>
      <c r="D1507" s="22" t="s">
        <v>73</v>
      </c>
      <c r="E1507" s="158">
        <v>21160</v>
      </c>
      <c r="F1507" s="159">
        <v>57273</v>
      </c>
      <c r="G1507" s="159">
        <v>1211896680</v>
      </c>
      <c r="H1507" s="159">
        <v>121189668</v>
      </c>
      <c r="I1507" s="159">
        <v>1333086348</v>
      </c>
      <c r="J1507" s="159" t="e">
        <f>bargiri[[#This Row],[مقدار]]*INDEX(invoice[پیش دریافت به ازای هر کیلوگرم],MATCH(bargiri[[#This Row],[شماره سند مبنا]],invoice[شماره پیش فاکتور],0))</f>
        <v>#N/A</v>
      </c>
      <c r="K1507" s="159" t="e">
        <f>bargiri[[#This Row],[مبلغ خالص]]-bargiri[[#This Row],[میزان استهلاک پیش دریافتی]]</f>
        <v>#N/A</v>
      </c>
      <c r="L1507" s="160"/>
      <c r="M1507" s="159"/>
      <c r="N1507" s="159" t="e">
        <f>IF(bargiri[[#This Row],[مبلغ واریزی]]&lt;&gt;"",bargiri[[#This Row],[مانده مبلغ]]-bargiri[[#This Row],[مبلغ واریزی]],bargiri[[#This Row],[مانده مبلغ]])</f>
        <v>#N/A</v>
      </c>
      <c r="O1507" s="159"/>
      <c r="P1507" s="159" t="e">
        <f>VLOOKUP(bargiri[[#This Row],[شماره سند مبنا]],invoice[[شماره پیش فاکتور]:[پیش دریافت به ازای هر کیلوگرم]],14,0)</f>
        <v>#N/A</v>
      </c>
      <c r="Q1507" s="159" t="e">
        <f>IF(bargiri[[#This Row],[مبلغ ناخالص]]-(bargiri[[#This Row],[نرخ استهلاک]]*bargiri[[#This Row],[مقدار]])&lt;0,0,bargiri[[#This Row],[مبلغ ناخالص]]-(bargiri[[#This Row],[نرخ استهلاک]]*bargiri[[#This Row],[مقدار]]))</f>
        <v>#N/A</v>
      </c>
    </row>
    <row r="1508" spans="1:17" s="22" customFormat="1" ht="13.8" x14ac:dyDescent="0.25">
      <c r="A1508" s="22">
        <v>1368</v>
      </c>
      <c r="B1508" s="22" t="s">
        <v>201</v>
      </c>
      <c r="C1508" s="22" t="s">
        <v>72</v>
      </c>
      <c r="D1508" s="22" t="s">
        <v>73</v>
      </c>
      <c r="E1508" s="158">
        <v>20980</v>
      </c>
      <c r="F1508" s="159">
        <v>57273</v>
      </c>
      <c r="G1508" s="159">
        <v>1201587540</v>
      </c>
      <c r="H1508" s="159">
        <v>120158754</v>
      </c>
      <c r="I1508" s="159">
        <v>1321746294</v>
      </c>
      <c r="J1508" s="159" t="e">
        <f>bargiri[[#This Row],[مقدار]]*INDEX(invoice[پیش دریافت به ازای هر کیلوگرم],MATCH(bargiri[[#This Row],[شماره سند مبنا]],invoice[شماره پیش فاکتور],0))</f>
        <v>#N/A</v>
      </c>
      <c r="K1508" s="159" t="e">
        <f>bargiri[[#This Row],[مبلغ خالص]]-bargiri[[#This Row],[میزان استهلاک پیش دریافتی]]</f>
        <v>#N/A</v>
      </c>
      <c r="L1508" s="160"/>
      <c r="M1508" s="159"/>
      <c r="N1508" s="159" t="e">
        <f>IF(bargiri[[#This Row],[مبلغ واریزی]]&lt;&gt;"",bargiri[[#This Row],[مانده مبلغ]]-bargiri[[#This Row],[مبلغ واریزی]],bargiri[[#This Row],[مانده مبلغ]])</f>
        <v>#N/A</v>
      </c>
      <c r="O1508" s="159"/>
      <c r="P1508" s="159" t="e">
        <f>VLOOKUP(bargiri[[#This Row],[شماره سند مبنا]],invoice[[شماره پیش فاکتور]:[پیش دریافت به ازای هر کیلوگرم]],14,0)</f>
        <v>#N/A</v>
      </c>
      <c r="Q1508" s="159" t="e">
        <f>IF(bargiri[[#This Row],[مبلغ ناخالص]]-(bargiri[[#This Row],[نرخ استهلاک]]*bargiri[[#This Row],[مقدار]])&lt;0,0,bargiri[[#This Row],[مبلغ ناخالص]]-(bargiri[[#This Row],[نرخ استهلاک]]*bargiri[[#This Row],[مقدار]]))</f>
        <v>#N/A</v>
      </c>
    </row>
    <row r="1509" spans="1:17" s="22" customFormat="1" ht="13.8" x14ac:dyDescent="0.25">
      <c r="A1509" s="22">
        <v>1367</v>
      </c>
      <c r="B1509" s="22" t="s">
        <v>198</v>
      </c>
      <c r="C1509" s="22" t="s">
        <v>66</v>
      </c>
      <c r="D1509" s="22" t="s">
        <v>67</v>
      </c>
      <c r="E1509" s="158">
        <v>19100</v>
      </c>
      <c r="F1509" s="159">
        <v>68500</v>
      </c>
      <c r="G1509" s="159">
        <v>1308350000</v>
      </c>
      <c r="H1509" s="159">
        <v>117751500</v>
      </c>
      <c r="I1509" s="159">
        <v>1426101500</v>
      </c>
      <c r="J1509" s="159" t="e">
        <f>bargiri[[#This Row],[مقدار]]*INDEX(invoice[پیش دریافت به ازای هر کیلوگرم],MATCH(bargiri[[#This Row],[شماره سند مبنا]],invoice[شماره پیش فاکتور],0))</f>
        <v>#N/A</v>
      </c>
      <c r="K1509" s="159" t="e">
        <f>bargiri[[#This Row],[مبلغ خالص]]-bargiri[[#This Row],[میزان استهلاک پیش دریافتی]]</f>
        <v>#N/A</v>
      </c>
      <c r="L1509" s="160"/>
      <c r="M1509" s="159"/>
      <c r="N1509" s="159" t="e">
        <f>IF(bargiri[[#This Row],[مبلغ واریزی]]&lt;&gt;"",bargiri[[#This Row],[مانده مبلغ]]-bargiri[[#This Row],[مبلغ واریزی]],bargiri[[#This Row],[مانده مبلغ]])</f>
        <v>#N/A</v>
      </c>
      <c r="O1509" s="159"/>
      <c r="P1509" s="159" t="e">
        <f>VLOOKUP(bargiri[[#This Row],[شماره سند مبنا]],invoice[[شماره پیش فاکتور]:[پیش دریافت به ازای هر کیلوگرم]],14,0)</f>
        <v>#N/A</v>
      </c>
      <c r="Q1509" s="159" t="e">
        <f>IF(bargiri[[#This Row],[مبلغ ناخالص]]-(bargiri[[#This Row],[نرخ استهلاک]]*bargiri[[#This Row],[مقدار]])&lt;0,0,bargiri[[#This Row],[مبلغ ناخالص]]-(bargiri[[#This Row],[نرخ استهلاک]]*bargiri[[#This Row],[مقدار]]))</f>
        <v>#N/A</v>
      </c>
    </row>
    <row r="1510" spans="1:17" s="22" customFormat="1" ht="13.8" x14ac:dyDescent="0.25">
      <c r="A1510" s="22">
        <v>1366</v>
      </c>
      <c r="B1510" s="22" t="s">
        <v>198</v>
      </c>
      <c r="C1510" s="22" t="s">
        <v>72</v>
      </c>
      <c r="D1510" s="22" t="s">
        <v>73</v>
      </c>
      <c r="E1510" s="158">
        <v>21095</v>
      </c>
      <c r="F1510" s="159">
        <v>57273</v>
      </c>
      <c r="G1510" s="159">
        <v>1208173935</v>
      </c>
      <c r="H1510" s="159">
        <v>120817394</v>
      </c>
      <c r="I1510" s="159">
        <v>1328991329</v>
      </c>
      <c r="J1510" s="159" t="e">
        <f>bargiri[[#This Row],[مقدار]]*INDEX(invoice[پیش دریافت به ازای هر کیلوگرم],MATCH(bargiri[[#This Row],[شماره سند مبنا]],invoice[شماره پیش فاکتور],0))</f>
        <v>#N/A</v>
      </c>
      <c r="K1510" s="159" t="e">
        <f>bargiri[[#This Row],[مبلغ خالص]]-bargiri[[#This Row],[میزان استهلاک پیش دریافتی]]</f>
        <v>#N/A</v>
      </c>
      <c r="L1510" s="160"/>
      <c r="M1510" s="159"/>
      <c r="N1510" s="159" t="e">
        <f>IF(bargiri[[#This Row],[مبلغ واریزی]]&lt;&gt;"",bargiri[[#This Row],[مانده مبلغ]]-bargiri[[#This Row],[مبلغ واریزی]],bargiri[[#This Row],[مانده مبلغ]])</f>
        <v>#N/A</v>
      </c>
      <c r="O1510" s="159"/>
      <c r="P1510" s="159" t="e">
        <f>VLOOKUP(bargiri[[#This Row],[شماره سند مبنا]],invoice[[شماره پیش فاکتور]:[پیش دریافت به ازای هر کیلوگرم]],14,0)</f>
        <v>#N/A</v>
      </c>
      <c r="Q1510" s="159" t="e">
        <f>IF(bargiri[[#This Row],[مبلغ ناخالص]]-(bargiri[[#This Row],[نرخ استهلاک]]*bargiri[[#This Row],[مقدار]])&lt;0,0,bargiri[[#This Row],[مبلغ ناخالص]]-(bargiri[[#This Row],[نرخ استهلاک]]*bargiri[[#This Row],[مقدار]]))</f>
        <v>#N/A</v>
      </c>
    </row>
    <row r="1511" spans="1:17" s="22" customFormat="1" ht="13.8" x14ac:dyDescent="0.25">
      <c r="A1511" s="22">
        <v>1365</v>
      </c>
      <c r="B1511" s="22" t="s">
        <v>198</v>
      </c>
      <c r="C1511" s="22" t="s">
        <v>72</v>
      </c>
      <c r="D1511" s="22" t="s">
        <v>73</v>
      </c>
      <c r="E1511" s="158">
        <v>20545</v>
      </c>
      <c r="F1511" s="159">
        <v>57273</v>
      </c>
      <c r="G1511" s="159">
        <v>1176673785</v>
      </c>
      <c r="H1511" s="159">
        <v>117667379</v>
      </c>
      <c r="I1511" s="159">
        <v>1294341164</v>
      </c>
      <c r="J1511" s="159" t="e">
        <f>bargiri[[#This Row],[مقدار]]*INDEX(invoice[پیش دریافت به ازای هر کیلوگرم],MATCH(bargiri[[#This Row],[شماره سند مبنا]],invoice[شماره پیش فاکتور],0))</f>
        <v>#N/A</v>
      </c>
      <c r="K1511" s="159" t="e">
        <f>bargiri[[#This Row],[مبلغ خالص]]-bargiri[[#This Row],[میزان استهلاک پیش دریافتی]]</f>
        <v>#N/A</v>
      </c>
      <c r="L1511" s="160"/>
      <c r="M1511" s="159"/>
      <c r="N1511" s="159" t="e">
        <f>IF(bargiri[[#This Row],[مبلغ واریزی]]&lt;&gt;"",bargiri[[#This Row],[مانده مبلغ]]-bargiri[[#This Row],[مبلغ واریزی]],bargiri[[#This Row],[مانده مبلغ]])</f>
        <v>#N/A</v>
      </c>
      <c r="O1511" s="159"/>
      <c r="P1511" s="159" t="e">
        <f>VLOOKUP(bargiri[[#This Row],[شماره سند مبنا]],invoice[[شماره پیش فاکتور]:[پیش دریافت به ازای هر کیلوگرم]],14,0)</f>
        <v>#N/A</v>
      </c>
      <c r="Q1511" s="159" t="e">
        <f>IF(bargiri[[#This Row],[مبلغ ناخالص]]-(bargiri[[#This Row],[نرخ استهلاک]]*bargiri[[#This Row],[مقدار]])&lt;0,0,bargiri[[#This Row],[مبلغ ناخالص]]-(bargiri[[#This Row],[نرخ استهلاک]]*bargiri[[#This Row],[مقدار]]))</f>
        <v>#N/A</v>
      </c>
    </row>
    <row r="1512" spans="1:17" s="22" customFormat="1" ht="13.8" x14ac:dyDescent="0.25">
      <c r="A1512" s="22">
        <v>1364</v>
      </c>
      <c r="B1512" s="22" t="s">
        <v>198</v>
      </c>
      <c r="C1512" s="22" t="s">
        <v>72</v>
      </c>
      <c r="D1512" s="22" t="s">
        <v>73</v>
      </c>
      <c r="E1512" s="158">
        <v>20390</v>
      </c>
      <c r="F1512" s="159">
        <v>57273</v>
      </c>
      <c r="G1512" s="159">
        <v>1167796470</v>
      </c>
      <c r="H1512" s="159">
        <v>116779647</v>
      </c>
      <c r="I1512" s="159">
        <v>1284576117</v>
      </c>
      <c r="J1512" s="159" t="e">
        <f>bargiri[[#This Row],[مقدار]]*INDEX(invoice[پیش دریافت به ازای هر کیلوگرم],MATCH(bargiri[[#This Row],[شماره سند مبنا]],invoice[شماره پیش فاکتور],0))</f>
        <v>#N/A</v>
      </c>
      <c r="K1512" s="159" t="e">
        <f>bargiri[[#This Row],[مبلغ خالص]]-bargiri[[#This Row],[میزان استهلاک پیش دریافتی]]</f>
        <v>#N/A</v>
      </c>
      <c r="L1512" s="160"/>
      <c r="M1512" s="159"/>
      <c r="N1512" s="159" t="e">
        <f>IF(bargiri[[#This Row],[مبلغ واریزی]]&lt;&gt;"",bargiri[[#This Row],[مانده مبلغ]]-bargiri[[#This Row],[مبلغ واریزی]],bargiri[[#This Row],[مانده مبلغ]])</f>
        <v>#N/A</v>
      </c>
      <c r="O1512" s="159"/>
      <c r="P1512" s="159" t="e">
        <f>VLOOKUP(bargiri[[#This Row],[شماره سند مبنا]],invoice[[شماره پیش فاکتور]:[پیش دریافت به ازای هر کیلوگرم]],14,0)</f>
        <v>#N/A</v>
      </c>
      <c r="Q1512" s="159" t="e">
        <f>IF(bargiri[[#This Row],[مبلغ ناخالص]]-(bargiri[[#This Row],[نرخ استهلاک]]*bargiri[[#This Row],[مقدار]])&lt;0,0,bargiri[[#This Row],[مبلغ ناخالص]]-(bargiri[[#This Row],[نرخ استهلاک]]*bargiri[[#This Row],[مقدار]]))</f>
        <v>#N/A</v>
      </c>
    </row>
    <row r="1513" spans="1:17" s="22" customFormat="1" ht="13.8" x14ac:dyDescent="0.25">
      <c r="A1513" s="22">
        <v>1363</v>
      </c>
      <c r="B1513" s="22" t="s">
        <v>198</v>
      </c>
      <c r="C1513" s="22" t="s">
        <v>72</v>
      </c>
      <c r="D1513" s="22" t="s">
        <v>73</v>
      </c>
      <c r="E1513" s="158">
        <v>20830</v>
      </c>
      <c r="F1513" s="159">
        <v>57273</v>
      </c>
      <c r="G1513" s="159">
        <v>1192996590</v>
      </c>
      <c r="H1513" s="159">
        <v>119299659</v>
      </c>
      <c r="I1513" s="159">
        <v>1312296249</v>
      </c>
      <c r="J1513" s="159" t="e">
        <f>bargiri[[#This Row],[مقدار]]*INDEX(invoice[پیش دریافت به ازای هر کیلوگرم],MATCH(bargiri[[#This Row],[شماره سند مبنا]],invoice[شماره پیش فاکتور],0))</f>
        <v>#N/A</v>
      </c>
      <c r="K1513" s="159" t="e">
        <f>bargiri[[#This Row],[مبلغ خالص]]-bargiri[[#This Row],[میزان استهلاک پیش دریافتی]]</f>
        <v>#N/A</v>
      </c>
      <c r="L1513" s="160"/>
      <c r="M1513" s="159"/>
      <c r="N1513" s="159" t="e">
        <f>IF(bargiri[[#This Row],[مبلغ واریزی]]&lt;&gt;"",bargiri[[#This Row],[مانده مبلغ]]-bargiri[[#This Row],[مبلغ واریزی]],bargiri[[#This Row],[مانده مبلغ]])</f>
        <v>#N/A</v>
      </c>
      <c r="O1513" s="159"/>
      <c r="P1513" s="159" t="e">
        <f>VLOOKUP(bargiri[[#This Row],[شماره سند مبنا]],invoice[[شماره پیش فاکتور]:[پیش دریافت به ازای هر کیلوگرم]],14,0)</f>
        <v>#N/A</v>
      </c>
      <c r="Q1513" s="159" t="e">
        <f>IF(bargiri[[#This Row],[مبلغ ناخالص]]-(bargiri[[#This Row],[نرخ استهلاک]]*bargiri[[#This Row],[مقدار]])&lt;0,0,bargiri[[#This Row],[مبلغ ناخالص]]-(bargiri[[#This Row],[نرخ استهلاک]]*bargiri[[#This Row],[مقدار]]))</f>
        <v>#N/A</v>
      </c>
    </row>
    <row r="1514" spans="1:17" s="22" customFormat="1" ht="13.8" x14ac:dyDescent="0.25">
      <c r="A1514" s="22">
        <v>1362</v>
      </c>
      <c r="B1514" s="22" t="s">
        <v>198</v>
      </c>
      <c r="C1514" s="22" t="s">
        <v>179</v>
      </c>
      <c r="D1514" s="22" t="s">
        <v>180</v>
      </c>
      <c r="E1514" s="158">
        <v>7700</v>
      </c>
      <c r="F1514" s="159">
        <v>75000</v>
      </c>
      <c r="G1514" s="159">
        <v>577500000</v>
      </c>
      <c r="H1514" s="159">
        <v>57750000</v>
      </c>
      <c r="I1514" s="159">
        <v>635250000</v>
      </c>
      <c r="J1514" s="159">
        <f>bargiri[[#This Row],[مقدار]]*INDEX(invoice[پیش دریافت به ازای هر کیلوگرم],MATCH(bargiri[[#This Row],[شماره سند مبنا]],invoice[شماره پیش فاکتور],0))</f>
        <v>167882836.58787256</v>
      </c>
      <c r="K1514" s="159">
        <f>bargiri[[#This Row],[مبلغ خالص]]-bargiri[[#This Row],[میزان استهلاک پیش دریافتی]]</f>
        <v>467367163.41212744</v>
      </c>
      <c r="L1514" s="160"/>
      <c r="M1514" s="159"/>
      <c r="N1514" s="159">
        <f>IF(bargiri[[#This Row],[مبلغ واریزی]]&lt;&gt;"",bargiri[[#This Row],[مانده مبلغ]]-bargiri[[#This Row],[مبلغ واریزی]],bargiri[[#This Row],[مانده مبلغ]])</f>
        <v>467367163.41212744</v>
      </c>
      <c r="O1514" s="159"/>
      <c r="P1514" s="159">
        <f>VLOOKUP(bargiri[[#This Row],[شماره سند مبنا]],invoice[[شماره پیش فاکتور]:[پیش دریافت به ازای هر کیلوگرم]],14,0)</f>
        <v>21802.965790632799</v>
      </c>
      <c r="Q1514" s="159">
        <f>IF(bargiri[[#This Row],[مبلغ ناخالص]]-(bargiri[[#This Row],[نرخ استهلاک]]*bargiri[[#This Row],[مقدار]])&lt;0,0,bargiri[[#This Row],[مبلغ ناخالص]]-(bargiri[[#This Row],[نرخ استهلاک]]*bargiri[[#This Row],[مقدار]]))</f>
        <v>409617163.41212744</v>
      </c>
    </row>
    <row r="1515" spans="1:17" s="22" customFormat="1" ht="13.8" x14ac:dyDescent="0.25">
      <c r="A1515" s="22">
        <v>1361</v>
      </c>
      <c r="B1515" s="22" t="s">
        <v>198</v>
      </c>
      <c r="C1515" s="22" t="s">
        <v>109</v>
      </c>
      <c r="D1515" s="22" t="s">
        <v>110</v>
      </c>
      <c r="E1515" s="158">
        <v>19105</v>
      </c>
      <c r="F1515" s="159">
        <v>70000</v>
      </c>
      <c r="G1515" s="159">
        <v>1337350000</v>
      </c>
      <c r="H1515" s="159">
        <v>133735000</v>
      </c>
      <c r="I1515" s="159">
        <v>1471085000</v>
      </c>
      <c r="J1515" s="159" t="e">
        <f>bargiri[[#This Row],[مقدار]]*INDEX(invoice[پیش دریافت به ازای هر کیلوگرم],MATCH(bargiri[[#This Row],[شماره سند مبنا]],invoice[شماره پیش فاکتور],0))</f>
        <v>#N/A</v>
      </c>
      <c r="K1515" s="159" t="e">
        <f>bargiri[[#This Row],[مبلغ خالص]]-bargiri[[#This Row],[میزان استهلاک پیش دریافتی]]</f>
        <v>#N/A</v>
      </c>
      <c r="L1515" s="160"/>
      <c r="M1515" s="159"/>
      <c r="N1515" s="159" t="e">
        <f>IF(bargiri[[#This Row],[مبلغ واریزی]]&lt;&gt;"",bargiri[[#This Row],[مانده مبلغ]]-bargiri[[#This Row],[مبلغ واریزی]],bargiri[[#This Row],[مانده مبلغ]])</f>
        <v>#N/A</v>
      </c>
      <c r="O1515" s="159"/>
      <c r="P1515" s="159" t="e">
        <f>VLOOKUP(bargiri[[#This Row],[شماره سند مبنا]],invoice[[شماره پیش فاکتور]:[پیش دریافت به ازای هر کیلوگرم]],14,0)</f>
        <v>#N/A</v>
      </c>
      <c r="Q1515" s="159" t="e">
        <f>IF(bargiri[[#This Row],[مبلغ ناخالص]]-(bargiri[[#This Row],[نرخ استهلاک]]*bargiri[[#This Row],[مقدار]])&lt;0,0,bargiri[[#This Row],[مبلغ ناخالص]]-(bargiri[[#This Row],[نرخ استهلاک]]*bargiri[[#This Row],[مقدار]]))</f>
        <v>#N/A</v>
      </c>
    </row>
    <row r="1516" spans="1:17" s="22" customFormat="1" ht="13.8" x14ac:dyDescent="0.25">
      <c r="A1516" s="22">
        <v>1360</v>
      </c>
      <c r="B1516" s="22" t="s">
        <v>372</v>
      </c>
      <c r="C1516" s="22" t="s">
        <v>172</v>
      </c>
      <c r="D1516" s="22" t="s">
        <v>173</v>
      </c>
      <c r="E1516" s="158">
        <v>21045</v>
      </c>
      <c r="F1516" s="159">
        <v>75000</v>
      </c>
      <c r="G1516" s="159">
        <v>1578375000</v>
      </c>
      <c r="H1516" s="159">
        <v>157837500</v>
      </c>
      <c r="I1516" s="159">
        <v>1736212500</v>
      </c>
      <c r="J1516" s="159">
        <f>bargiri[[#This Row],[مقدار]]*INDEX(invoice[پیش دریافت به ازای هر کیلوگرم],MATCH(bargiri[[#This Row],[شماره سند مبنا]],invoice[شماره پیش فاکتور],0))</f>
        <v>260431875</v>
      </c>
      <c r="K1516" s="159">
        <f>bargiri[[#This Row],[مبلغ خالص]]-bargiri[[#This Row],[میزان استهلاک پیش دریافتی]]</f>
        <v>1475780625</v>
      </c>
      <c r="L1516" s="160"/>
      <c r="M1516" s="159"/>
      <c r="N1516" s="159">
        <f>IF(bargiri[[#This Row],[مبلغ واریزی]]&lt;&gt;"",bargiri[[#This Row],[مانده مبلغ]]-bargiri[[#This Row],[مبلغ واریزی]],bargiri[[#This Row],[مانده مبلغ]])</f>
        <v>1475780625</v>
      </c>
      <c r="O1516" s="159"/>
      <c r="P1516" s="159">
        <f>VLOOKUP(bargiri[[#This Row],[شماره سند مبنا]],invoice[[شماره پیش فاکتور]:[پیش دریافت به ازای هر کیلوگرم]],14,0)</f>
        <v>12375</v>
      </c>
      <c r="Q1516" s="159">
        <f>IF(bargiri[[#This Row],[مبلغ ناخالص]]-(bargiri[[#This Row],[نرخ استهلاک]]*bargiri[[#This Row],[مقدار]])&lt;0,0,bargiri[[#This Row],[مبلغ ناخالص]]-(bargiri[[#This Row],[نرخ استهلاک]]*bargiri[[#This Row],[مقدار]]))</f>
        <v>1317943125</v>
      </c>
    </row>
    <row r="1517" spans="1:17" s="22" customFormat="1" ht="13.8" x14ac:dyDescent="0.25">
      <c r="A1517" s="22">
        <v>1359</v>
      </c>
      <c r="B1517" s="22" t="s">
        <v>372</v>
      </c>
      <c r="C1517" s="22" t="s">
        <v>109</v>
      </c>
      <c r="D1517" s="22" t="s">
        <v>110</v>
      </c>
      <c r="E1517" s="158">
        <v>18895</v>
      </c>
      <c r="F1517" s="159">
        <v>70000</v>
      </c>
      <c r="G1517" s="159">
        <v>1322650000</v>
      </c>
      <c r="H1517" s="159">
        <v>132265000</v>
      </c>
      <c r="I1517" s="159">
        <v>1454915000</v>
      </c>
      <c r="J1517" s="159" t="e">
        <f>bargiri[[#This Row],[مقدار]]*INDEX(invoice[پیش دریافت به ازای هر کیلوگرم],MATCH(bargiri[[#This Row],[شماره سند مبنا]],invoice[شماره پیش فاکتور],0))</f>
        <v>#N/A</v>
      </c>
      <c r="K1517" s="159" t="e">
        <f>bargiri[[#This Row],[مبلغ خالص]]-bargiri[[#This Row],[میزان استهلاک پیش دریافتی]]</f>
        <v>#N/A</v>
      </c>
      <c r="L1517" s="160"/>
      <c r="M1517" s="159"/>
      <c r="N1517" s="159" t="e">
        <f>IF(bargiri[[#This Row],[مبلغ واریزی]]&lt;&gt;"",bargiri[[#This Row],[مانده مبلغ]]-bargiri[[#This Row],[مبلغ واریزی]],bargiri[[#This Row],[مانده مبلغ]])</f>
        <v>#N/A</v>
      </c>
      <c r="O1517" s="159"/>
      <c r="P1517" s="159" t="e">
        <f>VLOOKUP(bargiri[[#This Row],[شماره سند مبنا]],invoice[[شماره پیش فاکتور]:[پیش دریافت به ازای هر کیلوگرم]],14,0)</f>
        <v>#N/A</v>
      </c>
      <c r="Q1517" s="159" t="e">
        <f>IF(bargiri[[#This Row],[مبلغ ناخالص]]-(bargiri[[#This Row],[نرخ استهلاک]]*bargiri[[#This Row],[مقدار]])&lt;0,0,bargiri[[#This Row],[مبلغ ناخالص]]-(bargiri[[#This Row],[نرخ استهلاک]]*bargiri[[#This Row],[مقدار]]))</f>
        <v>#N/A</v>
      </c>
    </row>
    <row r="1518" spans="1:17" s="22" customFormat="1" ht="13.8" x14ac:dyDescent="0.25">
      <c r="A1518" s="22">
        <v>1358</v>
      </c>
      <c r="B1518" s="22" t="s">
        <v>135</v>
      </c>
      <c r="C1518" s="22" t="s">
        <v>128</v>
      </c>
      <c r="D1518" s="22" t="s">
        <v>129</v>
      </c>
      <c r="E1518" s="158">
        <v>8930</v>
      </c>
      <c r="F1518" s="159">
        <v>80000</v>
      </c>
      <c r="G1518" s="159">
        <v>714400000</v>
      </c>
      <c r="H1518" s="159">
        <v>71440000</v>
      </c>
      <c r="I1518" s="159">
        <v>785840000</v>
      </c>
      <c r="J1518" s="159">
        <f>bargiri[[#This Row],[مقدار]]*INDEX(invoice[پیش دریافت به ازای هر کیلوگرم],MATCH(bargiri[[#This Row],[شماره سند مبنا]],invoice[شماره پیش فاکتور],0))</f>
        <v>118448501.08859488</v>
      </c>
      <c r="K1518" s="159">
        <f>bargiri[[#This Row],[مبلغ خالص]]-bargiri[[#This Row],[میزان استهلاک پیش دریافتی]]</f>
        <v>667391498.91140509</v>
      </c>
      <c r="L1518" s="160"/>
      <c r="M1518" s="159"/>
      <c r="N1518" s="159">
        <f>IF(bargiri[[#This Row],[مبلغ واریزی]]&lt;&gt;"",bargiri[[#This Row],[مانده مبلغ]]-bargiri[[#This Row],[مبلغ واریزی]],bargiri[[#This Row],[مانده مبلغ]])</f>
        <v>667391498.91140509</v>
      </c>
      <c r="O1518" s="159"/>
      <c r="P1518" s="159">
        <f>VLOOKUP(bargiri[[#This Row],[شماره سند مبنا]],invoice[[شماره پیش فاکتور]:[پیش دریافت به ازای هر کیلوگرم]],14,0)</f>
        <v>13264.109864344331</v>
      </c>
      <c r="Q1518" s="159">
        <f>IF(bargiri[[#This Row],[مبلغ ناخالص]]-(bargiri[[#This Row],[نرخ استهلاک]]*bargiri[[#This Row],[مقدار]])&lt;0,0,bargiri[[#This Row],[مبلغ ناخالص]]-(bargiri[[#This Row],[نرخ استهلاک]]*bargiri[[#This Row],[مقدار]]))</f>
        <v>595951498.91140509</v>
      </c>
    </row>
    <row r="1519" spans="1:17" s="22" customFormat="1" ht="13.8" x14ac:dyDescent="0.25">
      <c r="A1519" s="22">
        <v>1357</v>
      </c>
      <c r="B1519" s="22" t="s">
        <v>135</v>
      </c>
      <c r="C1519" s="22" t="s">
        <v>149</v>
      </c>
      <c r="D1519" s="22" t="s">
        <v>35</v>
      </c>
      <c r="E1519" s="158">
        <v>7195</v>
      </c>
      <c r="F1519" s="159">
        <v>75000</v>
      </c>
      <c r="G1519" s="159">
        <v>539625000</v>
      </c>
      <c r="H1519" s="159">
        <v>53962500</v>
      </c>
      <c r="I1519" s="159">
        <v>593587500</v>
      </c>
      <c r="J1519" s="159">
        <f>bargiri[[#This Row],[مقدار]]*INDEX(invoice[پیش دریافت به ازای هر کیلوگرم],MATCH(bargiri[[#This Row],[شماره سند مبنا]],invoice[شماره پیش فاکتور],0))</f>
        <v>89044654.941362366</v>
      </c>
      <c r="K1519" s="159">
        <f>bargiri[[#This Row],[مبلغ خالص]]-bargiri[[#This Row],[میزان استهلاک پیش دریافتی]]</f>
        <v>504542845.05863762</v>
      </c>
      <c r="L1519" s="160"/>
      <c r="M1519" s="159"/>
      <c r="N1519" s="159">
        <f>IF(bargiri[[#This Row],[مبلغ واریزی]]&lt;&gt;"",bargiri[[#This Row],[مانده مبلغ]]-bargiri[[#This Row],[مبلغ واریزی]],bargiri[[#This Row],[مانده مبلغ]])</f>
        <v>504542845.05863762</v>
      </c>
      <c r="O1519" s="159"/>
      <c r="P1519" s="159">
        <f>VLOOKUP(bargiri[[#This Row],[شماره سند مبنا]],invoice[[شماره پیش فاکتور]:[پیش دریافت به ازای هر کیلوگرم]],14,0)</f>
        <v>12375.907566554881</v>
      </c>
      <c r="Q1519" s="159">
        <f>IF(bargiri[[#This Row],[مبلغ ناخالص]]-(bargiri[[#This Row],[نرخ استهلاک]]*bargiri[[#This Row],[مقدار]])&lt;0,0,bargiri[[#This Row],[مبلغ ناخالص]]-(bargiri[[#This Row],[نرخ استهلاک]]*bargiri[[#This Row],[مقدار]]))</f>
        <v>450580345.05863762</v>
      </c>
    </row>
    <row r="1520" spans="1:17" s="22" customFormat="1" ht="13.8" x14ac:dyDescent="0.25">
      <c r="A1520" s="22">
        <v>1356</v>
      </c>
      <c r="B1520" s="22" t="s">
        <v>135</v>
      </c>
      <c r="C1520" s="22" t="s">
        <v>176</v>
      </c>
      <c r="D1520" s="22" t="s">
        <v>70</v>
      </c>
      <c r="E1520" s="158">
        <v>20090</v>
      </c>
      <c r="F1520" s="159">
        <v>75000</v>
      </c>
      <c r="G1520" s="159">
        <v>1506750000</v>
      </c>
      <c r="H1520" s="159">
        <v>150675000</v>
      </c>
      <c r="I1520" s="159">
        <v>1657425000</v>
      </c>
      <c r="J1520" s="159" t="e">
        <f>bargiri[[#This Row],[مقدار]]*INDEX(invoice[پیش دریافت به ازای هر کیلوگرم],MATCH(bargiri[[#This Row],[شماره سند مبنا]],invoice[شماره پیش فاکتور],0))</f>
        <v>#N/A</v>
      </c>
      <c r="K1520" s="159" t="e">
        <f>bargiri[[#This Row],[مبلغ خالص]]-bargiri[[#This Row],[میزان استهلاک پیش دریافتی]]</f>
        <v>#N/A</v>
      </c>
      <c r="L1520" s="160"/>
      <c r="M1520" s="159"/>
      <c r="N1520" s="159" t="e">
        <f>IF(bargiri[[#This Row],[مبلغ واریزی]]&lt;&gt;"",bargiri[[#This Row],[مانده مبلغ]]-bargiri[[#This Row],[مبلغ واریزی]],bargiri[[#This Row],[مانده مبلغ]])</f>
        <v>#N/A</v>
      </c>
      <c r="O1520" s="159"/>
      <c r="P1520" s="159" t="e">
        <f>VLOOKUP(bargiri[[#This Row],[شماره سند مبنا]],invoice[[شماره پیش فاکتور]:[پیش دریافت به ازای هر کیلوگرم]],14,0)</f>
        <v>#N/A</v>
      </c>
      <c r="Q1520" s="159" t="e">
        <f>IF(bargiri[[#This Row],[مبلغ ناخالص]]-(bargiri[[#This Row],[نرخ استهلاک]]*bargiri[[#This Row],[مقدار]])&lt;0,0,bargiri[[#This Row],[مبلغ ناخالص]]-(bargiri[[#This Row],[نرخ استهلاک]]*bargiri[[#This Row],[مقدار]]))</f>
        <v>#N/A</v>
      </c>
    </row>
    <row r="1521" spans="1:17" s="22" customFormat="1" ht="13.8" x14ac:dyDescent="0.25">
      <c r="A1521" s="22">
        <v>1355</v>
      </c>
      <c r="B1521" s="22" t="s">
        <v>135</v>
      </c>
      <c r="C1521" s="22" t="s">
        <v>132</v>
      </c>
      <c r="D1521" s="22" t="s">
        <v>133</v>
      </c>
      <c r="E1521" s="158">
        <v>18375</v>
      </c>
      <c r="F1521" s="159">
        <v>73000</v>
      </c>
      <c r="G1521" s="159">
        <v>1341375000</v>
      </c>
      <c r="H1521" s="159">
        <v>134137500</v>
      </c>
      <c r="I1521" s="159">
        <v>1475512500</v>
      </c>
      <c r="J1521" s="159" t="e">
        <f>bargiri[[#This Row],[مقدار]]*INDEX(invoice[پیش دریافت به ازای هر کیلوگرم],MATCH(bargiri[[#This Row],[شماره سند مبنا]],invoice[شماره پیش فاکتور],0))</f>
        <v>#N/A</v>
      </c>
      <c r="K1521" s="159" t="e">
        <f>bargiri[[#This Row],[مبلغ خالص]]-bargiri[[#This Row],[میزان استهلاک پیش دریافتی]]</f>
        <v>#N/A</v>
      </c>
      <c r="L1521" s="160"/>
      <c r="M1521" s="159"/>
      <c r="N1521" s="159" t="e">
        <f>IF(bargiri[[#This Row],[مبلغ واریزی]]&lt;&gt;"",bargiri[[#This Row],[مانده مبلغ]]-bargiri[[#This Row],[مبلغ واریزی]],bargiri[[#This Row],[مانده مبلغ]])</f>
        <v>#N/A</v>
      </c>
      <c r="O1521" s="159"/>
      <c r="P1521" s="159" t="e">
        <f>VLOOKUP(bargiri[[#This Row],[شماره سند مبنا]],invoice[[شماره پیش فاکتور]:[پیش دریافت به ازای هر کیلوگرم]],14,0)</f>
        <v>#N/A</v>
      </c>
      <c r="Q1521" s="159" t="e">
        <f>IF(bargiri[[#This Row],[مبلغ ناخالص]]-(bargiri[[#This Row],[نرخ استهلاک]]*bargiri[[#This Row],[مقدار]])&lt;0,0,bargiri[[#This Row],[مبلغ ناخالص]]-(bargiri[[#This Row],[نرخ استهلاک]]*bargiri[[#This Row],[مقدار]]))</f>
        <v>#N/A</v>
      </c>
    </row>
    <row r="1522" spans="1:17" s="22" customFormat="1" ht="13.8" x14ac:dyDescent="0.25">
      <c r="A1522" s="22">
        <v>1354</v>
      </c>
      <c r="B1522" s="22" t="s">
        <v>256</v>
      </c>
      <c r="C1522" s="22" t="s">
        <v>109</v>
      </c>
      <c r="D1522" s="22" t="s">
        <v>110</v>
      </c>
      <c r="E1522" s="158">
        <v>18980</v>
      </c>
      <c r="F1522" s="159">
        <v>70000</v>
      </c>
      <c r="G1522" s="159">
        <v>1328600000</v>
      </c>
      <c r="H1522" s="159">
        <v>132860000</v>
      </c>
      <c r="I1522" s="159">
        <v>1461460000</v>
      </c>
      <c r="J1522" s="159" t="e">
        <f>bargiri[[#This Row],[مقدار]]*INDEX(invoice[پیش دریافت به ازای هر کیلوگرم],MATCH(bargiri[[#This Row],[شماره سند مبنا]],invoice[شماره پیش فاکتور],0))</f>
        <v>#N/A</v>
      </c>
      <c r="K1522" s="159" t="e">
        <f>bargiri[[#This Row],[مبلغ خالص]]-bargiri[[#This Row],[میزان استهلاک پیش دریافتی]]</f>
        <v>#N/A</v>
      </c>
      <c r="L1522" s="160"/>
      <c r="M1522" s="159"/>
      <c r="N1522" s="159" t="e">
        <f>IF(bargiri[[#This Row],[مبلغ واریزی]]&lt;&gt;"",bargiri[[#This Row],[مانده مبلغ]]-bargiri[[#This Row],[مبلغ واریزی]],bargiri[[#This Row],[مانده مبلغ]])</f>
        <v>#N/A</v>
      </c>
      <c r="O1522" s="159"/>
      <c r="P1522" s="159" t="e">
        <f>VLOOKUP(bargiri[[#This Row],[شماره سند مبنا]],invoice[[شماره پیش فاکتور]:[پیش دریافت به ازای هر کیلوگرم]],14,0)</f>
        <v>#N/A</v>
      </c>
      <c r="Q1522" s="159" t="e">
        <f>IF(bargiri[[#This Row],[مبلغ ناخالص]]-(bargiri[[#This Row],[نرخ استهلاک]]*bargiri[[#This Row],[مقدار]])&lt;0,0,bargiri[[#This Row],[مبلغ ناخالص]]-(bargiri[[#This Row],[نرخ استهلاک]]*bargiri[[#This Row],[مقدار]]))</f>
        <v>#N/A</v>
      </c>
    </row>
    <row r="1523" spans="1:17" s="22" customFormat="1" ht="13.8" x14ac:dyDescent="0.25">
      <c r="A1523" s="22">
        <v>1353</v>
      </c>
      <c r="B1523" s="22" t="s">
        <v>256</v>
      </c>
      <c r="C1523" s="22" t="s">
        <v>161</v>
      </c>
      <c r="D1523" s="22" t="s">
        <v>40</v>
      </c>
      <c r="E1523" s="158">
        <v>17970</v>
      </c>
      <c r="F1523" s="159">
        <v>65000</v>
      </c>
      <c r="G1523" s="159">
        <v>1168050000</v>
      </c>
      <c r="H1523" s="159">
        <v>116805000</v>
      </c>
      <c r="I1523" s="159">
        <v>1284855000</v>
      </c>
      <c r="J1523" s="159">
        <f>bargiri[[#This Row],[مقدار]]*INDEX(invoice[پیش دریافت به ازای هر کیلوگرم],MATCH(bargiri[[#This Row],[شماره سند مبنا]],invoice[شماره پیش فاکتور],0))</f>
        <v>192728250</v>
      </c>
      <c r="K1523" s="159">
        <f>bargiri[[#This Row],[مبلغ خالص]]-bargiri[[#This Row],[میزان استهلاک پیش دریافتی]]</f>
        <v>1092126750</v>
      </c>
      <c r="L1523" s="160"/>
      <c r="M1523" s="159"/>
      <c r="N1523" s="159">
        <f>IF(bargiri[[#This Row],[مبلغ واریزی]]&lt;&gt;"",bargiri[[#This Row],[مانده مبلغ]]-bargiri[[#This Row],[مبلغ واریزی]],bargiri[[#This Row],[مانده مبلغ]])</f>
        <v>1092126750</v>
      </c>
      <c r="O1523" s="159"/>
      <c r="P1523" s="159">
        <f>VLOOKUP(bargiri[[#This Row],[شماره سند مبنا]],invoice[[شماره پیش فاکتور]:[پیش دریافت به ازای هر کیلوگرم]],14,0)</f>
        <v>10725</v>
      </c>
      <c r="Q1523" s="159">
        <f>IF(bargiri[[#This Row],[مبلغ ناخالص]]-(bargiri[[#This Row],[نرخ استهلاک]]*bargiri[[#This Row],[مقدار]])&lt;0,0,bargiri[[#This Row],[مبلغ ناخالص]]-(bargiri[[#This Row],[نرخ استهلاک]]*bargiri[[#This Row],[مقدار]]))</f>
        <v>975321750</v>
      </c>
    </row>
    <row r="1524" spans="1:17" s="22" customFormat="1" ht="13.8" x14ac:dyDescent="0.25">
      <c r="A1524" s="22">
        <v>1352</v>
      </c>
      <c r="B1524" s="22" t="s">
        <v>256</v>
      </c>
      <c r="C1524" s="22" t="s">
        <v>167</v>
      </c>
      <c r="D1524" s="22" t="s">
        <v>43</v>
      </c>
      <c r="E1524" s="158">
        <v>18090</v>
      </c>
      <c r="F1524" s="159">
        <v>80000</v>
      </c>
      <c r="G1524" s="159">
        <v>1447200000</v>
      </c>
      <c r="H1524" s="159">
        <v>144720000</v>
      </c>
      <c r="I1524" s="159">
        <v>1591920000</v>
      </c>
      <c r="J1524" s="159">
        <f>bargiri[[#This Row],[مقدار]]*INDEX(invoice[پیش دریافت به ازای هر کیلوگرم],MATCH(bargiri[[#This Row],[شماره سند مبنا]],invoice[شماره پیش فاکتور],0))</f>
        <v>318384000</v>
      </c>
      <c r="K1524" s="159">
        <f>bargiri[[#This Row],[مبلغ خالص]]-bargiri[[#This Row],[میزان استهلاک پیش دریافتی]]</f>
        <v>1273536000</v>
      </c>
      <c r="L1524" s="160"/>
      <c r="M1524" s="159"/>
      <c r="N1524" s="159">
        <f>IF(bargiri[[#This Row],[مبلغ واریزی]]&lt;&gt;"",bargiri[[#This Row],[مانده مبلغ]]-bargiri[[#This Row],[مبلغ واریزی]],bargiri[[#This Row],[مانده مبلغ]])</f>
        <v>1273536000</v>
      </c>
      <c r="O1524" s="159"/>
      <c r="P1524" s="159">
        <f>VLOOKUP(bargiri[[#This Row],[شماره سند مبنا]],invoice[[شماره پیش فاکتور]:[پیش دریافت به ازای هر کیلوگرم]],14,0)</f>
        <v>17600</v>
      </c>
      <c r="Q1524" s="159">
        <f>IF(bargiri[[#This Row],[مبلغ ناخالص]]-(bargiri[[#This Row],[نرخ استهلاک]]*bargiri[[#This Row],[مقدار]])&lt;0,0,bargiri[[#This Row],[مبلغ ناخالص]]-(bargiri[[#This Row],[نرخ استهلاک]]*bargiri[[#This Row],[مقدار]]))</f>
        <v>1128816000</v>
      </c>
    </row>
    <row r="1525" spans="1:17" s="22" customFormat="1" ht="13.8" x14ac:dyDescent="0.25">
      <c r="A1525" s="22">
        <v>1351</v>
      </c>
      <c r="B1525" s="22" t="s">
        <v>256</v>
      </c>
      <c r="C1525" s="22" t="s">
        <v>72</v>
      </c>
      <c r="D1525" s="22" t="s">
        <v>73</v>
      </c>
      <c r="E1525" s="158">
        <v>20570</v>
      </c>
      <c r="F1525" s="159">
        <v>57273</v>
      </c>
      <c r="G1525" s="159">
        <v>1178105610</v>
      </c>
      <c r="H1525" s="159">
        <v>117810561</v>
      </c>
      <c r="I1525" s="159">
        <v>1295916171</v>
      </c>
      <c r="J1525" s="159" t="e">
        <f>bargiri[[#This Row],[مقدار]]*INDEX(invoice[پیش دریافت به ازای هر کیلوگرم],MATCH(bargiri[[#This Row],[شماره سند مبنا]],invoice[شماره پیش فاکتور],0))</f>
        <v>#N/A</v>
      </c>
      <c r="K1525" s="159" t="e">
        <f>bargiri[[#This Row],[مبلغ خالص]]-bargiri[[#This Row],[میزان استهلاک پیش دریافتی]]</f>
        <v>#N/A</v>
      </c>
      <c r="L1525" s="160"/>
      <c r="M1525" s="159"/>
      <c r="N1525" s="159" t="e">
        <f>IF(bargiri[[#This Row],[مبلغ واریزی]]&lt;&gt;"",bargiri[[#This Row],[مانده مبلغ]]-bargiri[[#This Row],[مبلغ واریزی]],bargiri[[#This Row],[مانده مبلغ]])</f>
        <v>#N/A</v>
      </c>
      <c r="O1525" s="159"/>
      <c r="P1525" s="159" t="e">
        <f>VLOOKUP(bargiri[[#This Row],[شماره سند مبنا]],invoice[[شماره پیش فاکتور]:[پیش دریافت به ازای هر کیلوگرم]],14,0)</f>
        <v>#N/A</v>
      </c>
      <c r="Q1525" s="159" t="e">
        <f>IF(bargiri[[#This Row],[مبلغ ناخالص]]-(bargiri[[#This Row],[نرخ استهلاک]]*bargiri[[#This Row],[مقدار]])&lt;0,0,bargiri[[#This Row],[مبلغ ناخالص]]-(bargiri[[#This Row],[نرخ استهلاک]]*bargiri[[#This Row],[مقدار]]))</f>
        <v>#N/A</v>
      </c>
    </row>
    <row r="1526" spans="1:17" s="22" customFormat="1" ht="13.8" x14ac:dyDescent="0.25">
      <c r="A1526" s="22">
        <v>1350</v>
      </c>
      <c r="B1526" s="22" t="s">
        <v>256</v>
      </c>
      <c r="C1526" s="22" t="s">
        <v>72</v>
      </c>
      <c r="D1526" s="22" t="s">
        <v>73</v>
      </c>
      <c r="E1526" s="158">
        <v>20770</v>
      </c>
      <c r="F1526" s="159">
        <v>57273</v>
      </c>
      <c r="G1526" s="159">
        <v>1189560210</v>
      </c>
      <c r="H1526" s="159">
        <v>118956021</v>
      </c>
      <c r="I1526" s="159">
        <v>1308516231</v>
      </c>
      <c r="J1526" s="159" t="e">
        <f>bargiri[[#This Row],[مقدار]]*INDEX(invoice[پیش دریافت به ازای هر کیلوگرم],MATCH(bargiri[[#This Row],[شماره سند مبنا]],invoice[شماره پیش فاکتور],0))</f>
        <v>#N/A</v>
      </c>
      <c r="K1526" s="159" t="e">
        <f>bargiri[[#This Row],[مبلغ خالص]]-bargiri[[#This Row],[میزان استهلاک پیش دریافتی]]</f>
        <v>#N/A</v>
      </c>
      <c r="L1526" s="160"/>
      <c r="M1526" s="159"/>
      <c r="N1526" s="159" t="e">
        <f>IF(bargiri[[#This Row],[مبلغ واریزی]]&lt;&gt;"",bargiri[[#This Row],[مانده مبلغ]]-bargiri[[#This Row],[مبلغ واریزی]],bargiri[[#This Row],[مانده مبلغ]])</f>
        <v>#N/A</v>
      </c>
      <c r="O1526" s="159"/>
      <c r="P1526" s="159" t="e">
        <f>VLOOKUP(bargiri[[#This Row],[شماره سند مبنا]],invoice[[شماره پیش فاکتور]:[پیش دریافت به ازای هر کیلوگرم]],14,0)</f>
        <v>#N/A</v>
      </c>
      <c r="Q1526" s="159" t="e">
        <f>IF(bargiri[[#This Row],[مبلغ ناخالص]]-(bargiri[[#This Row],[نرخ استهلاک]]*bargiri[[#This Row],[مقدار]])&lt;0,0,bargiri[[#This Row],[مبلغ ناخالص]]-(bargiri[[#This Row],[نرخ استهلاک]]*bargiri[[#This Row],[مقدار]]))</f>
        <v>#N/A</v>
      </c>
    </row>
    <row r="1527" spans="1:17" s="22" customFormat="1" ht="13.8" x14ac:dyDescent="0.25">
      <c r="A1527" s="22">
        <v>1349</v>
      </c>
      <c r="B1527" s="22" t="s">
        <v>256</v>
      </c>
      <c r="C1527" s="22" t="s">
        <v>169</v>
      </c>
      <c r="D1527" s="22" t="s">
        <v>51</v>
      </c>
      <c r="E1527" s="158">
        <v>20090</v>
      </c>
      <c r="F1527" s="159">
        <v>90000</v>
      </c>
      <c r="G1527" s="159">
        <v>1808100000</v>
      </c>
      <c r="H1527" s="159">
        <v>180810000</v>
      </c>
      <c r="I1527" s="159">
        <v>1988910000</v>
      </c>
      <c r="J1527" s="159">
        <f>bargiri[[#This Row],[مقدار]]*INDEX(invoice[پیش دریافت به ازای هر کیلوگرم],MATCH(bargiri[[#This Row],[شماره سند مبنا]],invoice[شماره پیش فاکتور],0))</f>
        <v>298971815.10710263</v>
      </c>
      <c r="K1527" s="159">
        <f>bargiri[[#This Row],[مبلغ خالص]]-bargiri[[#This Row],[میزان استهلاک پیش دریافتی]]</f>
        <v>1689938184.8928974</v>
      </c>
      <c r="L1527" s="160"/>
      <c r="M1527" s="159"/>
      <c r="N1527" s="159">
        <f>IF(bargiri[[#This Row],[مبلغ واریزی]]&lt;&gt;"",bargiri[[#This Row],[مانده مبلغ]]-bargiri[[#This Row],[مبلغ واریزی]],bargiri[[#This Row],[مانده مبلغ]])</f>
        <v>1689938184.8928974</v>
      </c>
      <c r="O1527" s="159"/>
      <c r="P1527" s="159">
        <f>VLOOKUP(bargiri[[#This Row],[شماره سند مبنا]],invoice[[شماره پیش فاکتور]:[پیش دریافت به ازای هر کیلوگرم]],14,0)</f>
        <v>14881.623449830891</v>
      </c>
      <c r="Q1527" s="159">
        <f>IF(bargiri[[#This Row],[مبلغ ناخالص]]-(bargiri[[#This Row],[نرخ استهلاک]]*bargiri[[#This Row],[مقدار]])&lt;0,0,bargiri[[#This Row],[مبلغ ناخالص]]-(bargiri[[#This Row],[نرخ استهلاک]]*bargiri[[#This Row],[مقدار]]))</f>
        <v>1509128184.8928974</v>
      </c>
    </row>
    <row r="1528" spans="1:17" s="22" customFormat="1" ht="13.8" x14ac:dyDescent="0.25">
      <c r="A1528" s="22">
        <v>1348</v>
      </c>
      <c r="B1528" s="22" t="s">
        <v>163</v>
      </c>
      <c r="C1528" s="22" t="s">
        <v>115</v>
      </c>
      <c r="D1528" s="22" t="s">
        <v>116</v>
      </c>
      <c r="E1528" s="158">
        <v>19130</v>
      </c>
      <c r="F1528" s="159">
        <v>75000</v>
      </c>
      <c r="G1528" s="159">
        <v>1434750000</v>
      </c>
      <c r="H1528" s="159">
        <v>143475000</v>
      </c>
      <c r="I1528" s="159">
        <v>1578225000</v>
      </c>
      <c r="J1528" s="159">
        <f>bargiri[[#This Row],[مقدار]]*INDEX(invoice[پیش دریافت به ازای هر کیلوگرم],MATCH(bargiri[[#This Row],[شماره سند مبنا]],invoice[شماره پیش فاکتور],0))</f>
        <v>287145258.77596766</v>
      </c>
      <c r="K1528" s="159">
        <f>bargiri[[#This Row],[مبلغ خالص]]-bargiri[[#This Row],[میزان استهلاک پیش دریافتی]]</f>
        <v>1291079741.2240324</v>
      </c>
      <c r="L1528" s="160"/>
      <c r="M1528" s="159"/>
      <c r="N1528" s="159">
        <f>IF(bargiri[[#This Row],[مبلغ واریزی]]&lt;&gt;"",bargiri[[#This Row],[مانده مبلغ]]-bargiri[[#This Row],[مبلغ واریزی]],bargiri[[#This Row],[مانده مبلغ]])</f>
        <v>1291079741.2240324</v>
      </c>
      <c r="O1528" s="159"/>
      <c r="P1528" s="159">
        <f>VLOOKUP(bargiri[[#This Row],[شماره سند مبنا]],invoice[[شماره پیش فاکتور]:[پیش دریافت به ازای هر کیلوگرم]],14,0)</f>
        <v>15010.206940719689</v>
      </c>
      <c r="Q1528" s="159">
        <f>IF(bargiri[[#This Row],[مبلغ ناخالص]]-(bargiri[[#This Row],[نرخ استهلاک]]*bargiri[[#This Row],[مقدار]])&lt;0,0,bargiri[[#This Row],[مبلغ ناخالص]]-(bargiri[[#This Row],[نرخ استهلاک]]*bargiri[[#This Row],[مقدار]]))</f>
        <v>1147604741.2240324</v>
      </c>
    </row>
    <row r="1529" spans="1:17" s="22" customFormat="1" ht="13.8" x14ac:dyDescent="0.25">
      <c r="A1529" s="22">
        <v>1347</v>
      </c>
      <c r="B1529" s="22" t="s">
        <v>163</v>
      </c>
      <c r="C1529" s="22" t="s">
        <v>176</v>
      </c>
      <c r="D1529" s="22" t="s">
        <v>70</v>
      </c>
      <c r="E1529" s="158">
        <v>19870</v>
      </c>
      <c r="F1529" s="159">
        <v>75000</v>
      </c>
      <c r="G1529" s="159">
        <v>1490250000</v>
      </c>
      <c r="H1529" s="159">
        <v>149025000</v>
      </c>
      <c r="I1529" s="159">
        <v>1639275000</v>
      </c>
      <c r="J1529" s="159" t="e">
        <f>bargiri[[#This Row],[مقدار]]*INDEX(invoice[پیش دریافت به ازای هر کیلوگرم],MATCH(bargiri[[#This Row],[شماره سند مبنا]],invoice[شماره پیش فاکتور],0))</f>
        <v>#N/A</v>
      </c>
      <c r="K1529" s="159" t="e">
        <f>bargiri[[#This Row],[مبلغ خالص]]-bargiri[[#This Row],[میزان استهلاک پیش دریافتی]]</f>
        <v>#N/A</v>
      </c>
      <c r="L1529" s="160"/>
      <c r="M1529" s="159"/>
      <c r="N1529" s="159" t="e">
        <f>IF(bargiri[[#This Row],[مبلغ واریزی]]&lt;&gt;"",bargiri[[#This Row],[مانده مبلغ]]-bargiri[[#This Row],[مبلغ واریزی]],bargiri[[#This Row],[مانده مبلغ]])</f>
        <v>#N/A</v>
      </c>
      <c r="O1529" s="159"/>
      <c r="P1529" s="159" t="e">
        <f>VLOOKUP(bargiri[[#This Row],[شماره سند مبنا]],invoice[[شماره پیش فاکتور]:[پیش دریافت به ازای هر کیلوگرم]],14,0)</f>
        <v>#N/A</v>
      </c>
      <c r="Q1529" s="159" t="e">
        <f>IF(bargiri[[#This Row],[مبلغ ناخالص]]-(bargiri[[#This Row],[نرخ استهلاک]]*bargiri[[#This Row],[مقدار]])&lt;0,0,bargiri[[#This Row],[مبلغ ناخالص]]-(bargiri[[#This Row],[نرخ استهلاک]]*bargiri[[#This Row],[مقدار]]))</f>
        <v>#N/A</v>
      </c>
    </row>
    <row r="1530" spans="1:17" s="22" customFormat="1" ht="13.8" x14ac:dyDescent="0.25">
      <c r="A1530" s="22">
        <v>1346</v>
      </c>
      <c r="B1530" s="22" t="s">
        <v>163</v>
      </c>
      <c r="C1530" s="22" t="s">
        <v>158</v>
      </c>
      <c r="D1530" s="22" t="s">
        <v>17</v>
      </c>
      <c r="E1530" s="158">
        <v>22235</v>
      </c>
      <c r="F1530" s="159">
        <v>92180</v>
      </c>
      <c r="G1530" s="159">
        <v>2049622300</v>
      </c>
      <c r="H1530" s="159">
        <v>204962230</v>
      </c>
      <c r="I1530" s="159">
        <v>2254584530</v>
      </c>
      <c r="J1530" s="159" t="e">
        <f>bargiri[[#This Row],[مقدار]]*INDEX(invoice[پیش دریافت به ازای هر کیلوگرم],MATCH(bargiri[[#This Row],[شماره سند مبنا]],invoice[شماره پیش فاکتور],0))</f>
        <v>#N/A</v>
      </c>
      <c r="K1530" s="159" t="e">
        <f>bargiri[[#This Row],[مبلغ خالص]]-bargiri[[#This Row],[میزان استهلاک پیش دریافتی]]</f>
        <v>#N/A</v>
      </c>
      <c r="L1530" s="160"/>
      <c r="M1530" s="159"/>
      <c r="N1530" s="159" t="e">
        <f>IF(bargiri[[#This Row],[مبلغ واریزی]]&lt;&gt;"",bargiri[[#This Row],[مانده مبلغ]]-bargiri[[#This Row],[مبلغ واریزی]],bargiri[[#This Row],[مانده مبلغ]])</f>
        <v>#N/A</v>
      </c>
      <c r="O1530" s="159"/>
      <c r="P1530" s="159" t="e">
        <f>VLOOKUP(bargiri[[#This Row],[شماره سند مبنا]],invoice[[شماره پیش فاکتور]:[پیش دریافت به ازای هر کیلوگرم]],14,0)</f>
        <v>#N/A</v>
      </c>
      <c r="Q1530" s="159" t="e">
        <f>IF(bargiri[[#This Row],[مبلغ ناخالص]]-(bargiri[[#This Row],[نرخ استهلاک]]*bargiri[[#This Row],[مقدار]])&lt;0,0,bargiri[[#This Row],[مبلغ ناخالص]]-(bargiri[[#This Row],[نرخ استهلاک]]*bargiri[[#This Row],[مقدار]]))</f>
        <v>#N/A</v>
      </c>
    </row>
    <row r="1531" spans="1:17" s="22" customFormat="1" ht="13.8" x14ac:dyDescent="0.25">
      <c r="A1531" s="22">
        <v>1345</v>
      </c>
      <c r="B1531" s="22" t="s">
        <v>163</v>
      </c>
      <c r="C1531" s="22" t="s">
        <v>164</v>
      </c>
      <c r="D1531" s="22" t="s">
        <v>40</v>
      </c>
      <c r="E1531" s="158">
        <v>18030</v>
      </c>
      <c r="F1531" s="159">
        <v>92180</v>
      </c>
      <c r="G1531" s="159">
        <v>1662005400</v>
      </c>
      <c r="H1531" s="159">
        <v>166200540</v>
      </c>
      <c r="I1531" s="159">
        <v>1828205940</v>
      </c>
      <c r="J1531" s="159" t="e">
        <f>bargiri[[#This Row],[مقدار]]*INDEX(invoice[پیش دریافت به ازای هر کیلوگرم],MATCH(bargiri[[#This Row],[شماره سند مبنا]],invoice[شماره پیش فاکتور],0))</f>
        <v>#N/A</v>
      </c>
      <c r="K1531" s="159" t="e">
        <f>bargiri[[#This Row],[مبلغ خالص]]-bargiri[[#This Row],[میزان استهلاک پیش دریافتی]]</f>
        <v>#N/A</v>
      </c>
      <c r="L1531" s="160"/>
      <c r="M1531" s="159"/>
      <c r="N1531" s="159" t="e">
        <f>IF(bargiri[[#This Row],[مبلغ واریزی]]&lt;&gt;"",bargiri[[#This Row],[مانده مبلغ]]-bargiri[[#This Row],[مبلغ واریزی]],bargiri[[#This Row],[مانده مبلغ]])</f>
        <v>#N/A</v>
      </c>
      <c r="O1531" s="159"/>
      <c r="P1531" s="159" t="e">
        <f>VLOOKUP(bargiri[[#This Row],[شماره سند مبنا]],invoice[[شماره پیش فاکتور]:[پیش دریافت به ازای هر کیلوگرم]],14,0)</f>
        <v>#N/A</v>
      </c>
      <c r="Q1531" s="159" t="e">
        <f>IF(bargiri[[#This Row],[مبلغ ناخالص]]-(bargiri[[#This Row],[نرخ استهلاک]]*bargiri[[#This Row],[مقدار]])&lt;0,0,bargiri[[#This Row],[مبلغ ناخالص]]-(bargiri[[#This Row],[نرخ استهلاک]]*bargiri[[#This Row],[مقدار]]))</f>
        <v>#N/A</v>
      </c>
    </row>
    <row r="1532" spans="1:17" s="22" customFormat="1" ht="13.8" x14ac:dyDescent="0.25">
      <c r="A1532" s="22">
        <v>1345</v>
      </c>
      <c r="B1532" s="22" t="s">
        <v>163</v>
      </c>
      <c r="C1532" s="22" t="s">
        <v>161</v>
      </c>
      <c r="D1532" s="22" t="s">
        <v>40</v>
      </c>
      <c r="E1532" s="158">
        <v>810</v>
      </c>
      <c r="F1532" s="159">
        <v>65000</v>
      </c>
      <c r="G1532" s="159">
        <v>52650000</v>
      </c>
      <c r="H1532" s="159">
        <v>5265000</v>
      </c>
      <c r="I1532" s="159">
        <v>57915000</v>
      </c>
      <c r="J1532" s="159">
        <f>bargiri[[#This Row],[مقدار]]*INDEX(invoice[پیش دریافت به ازای هر کیلوگرم],MATCH(bargiri[[#This Row],[شماره سند مبنا]],invoice[شماره پیش فاکتور],0))</f>
        <v>8687250</v>
      </c>
      <c r="K1532" s="159">
        <f>bargiri[[#This Row],[مبلغ خالص]]-bargiri[[#This Row],[میزان استهلاک پیش دریافتی]]</f>
        <v>49227750</v>
      </c>
      <c r="L1532" s="160"/>
      <c r="M1532" s="159"/>
      <c r="N1532" s="159">
        <f>IF(bargiri[[#This Row],[مبلغ واریزی]]&lt;&gt;"",bargiri[[#This Row],[مانده مبلغ]]-bargiri[[#This Row],[مبلغ واریزی]],bargiri[[#This Row],[مانده مبلغ]])</f>
        <v>49227750</v>
      </c>
      <c r="O1532" s="159"/>
      <c r="P1532" s="159">
        <f>VLOOKUP(bargiri[[#This Row],[شماره سند مبنا]],invoice[[شماره پیش فاکتور]:[پیش دریافت به ازای هر کیلوگرم]],14,0)</f>
        <v>10725</v>
      </c>
      <c r="Q1532" s="159">
        <f>IF(bargiri[[#This Row],[مبلغ ناخالص]]-(bargiri[[#This Row],[نرخ استهلاک]]*bargiri[[#This Row],[مقدار]])&lt;0,0,bargiri[[#This Row],[مبلغ ناخالص]]-(bargiri[[#This Row],[نرخ استهلاک]]*bargiri[[#This Row],[مقدار]]))</f>
        <v>43962750</v>
      </c>
    </row>
    <row r="1533" spans="1:17" s="22" customFormat="1" ht="13.8" x14ac:dyDescent="0.25">
      <c r="A1533" s="22">
        <v>1344</v>
      </c>
      <c r="B1533" s="22" t="s">
        <v>163</v>
      </c>
      <c r="C1533" s="22" t="s">
        <v>88</v>
      </c>
      <c r="D1533" s="22" t="s">
        <v>89</v>
      </c>
      <c r="E1533" s="158">
        <v>11430</v>
      </c>
      <c r="F1533" s="159">
        <v>78000</v>
      </c>
      <c r="G1533" s="159">
        <v>891540000</v>
      </c>
      <c r="H1533" s="159">
        <v>89154000</v>
      </c>
      <c r="I1533" s="159">
        <v>980694000</v>
      </c>
      <c r="J1533" s="159" t="e">
        <f>bargiri[[#This Row],[مقدار]]*INDEX(invoice[پیش دریافت به ازای هر کیلوگرم],MATCH(bargiri[[#This Row],[شماره سند مبنا]],invoice[شماره پیش فاکتور],0))</f>
        <v>#N/A</v>
      </c>
      <c r="K1533" s="159" t="e">
        <f>bargiri[[#This Row],[مبلغ خالص]]-bargiri[[#This Row],[میزان استهلاک پیش دریافتی]]</f>
        <v>#N/A</v>
      </c>
      <c r="L1533" s="160"/>
      <c r="M1533" s="159"/>
      <c r="N1533" s="159" t="e">
        <f>IF(bargiri[[#This Row],[مبلغ واریزی]]&lt;&gt;"",bargiri[[#This Row],[مانده مبلغ]]-bargiri[[#This Row],[مبلغ واریزی]],bargiri[[#This Row],[مانده مبلغ]])</f>
        <v>#N/A</v>
      </c>
      <c r="O1533" s="159"/>
      <c r="P1533" s="159" t="e">
        <f>VLOOKUP(bargiri[[#This Row],[شماره سند مبنا]],invoice[[شماره پیش فاکتور]:[پیش دریافت به ازای هر کیلوگرم]],14,0)</f>
        <v>#N/A</v>
      </c>
      <c r="Q1533" s="159" t="e">
        <f>IF(bargiri[[#This Row],[مبلغ ناخالص]]-(bargiri[[#This Row],[نرخ استهلاک]]*bargiri[[#This Row],[مقدار]])&lt;0,0,bargiri[[#This Row],[مبلغ ناخالص]]-(bargiri[[#This Row],[نرخ استهلاک]]*bargiri[[#This Row],[مقدار]]))</f>
        <v>#N/A</v>
      </c>
    </row>
    <row r="1534" spans="1:17" s="22" customFormat="1" ht="13.8" x14ac:dyDescent="0.25">
      <c r="A1534" s="22">
        <v>1343</v>
      </c>
      <c r="B1534" s="22" t="s">
        <v>254</v>
      </c>
      <c r="C1534" s="22" t="s">
        <v>128</v>
      </c>
      <c r="D1534" s="22" t="s">
        <v>129</v>
      </c>
      <c r="E1534" s="158">
        <v>8905</v>
      </c>
      <c r="F1534" s="159">
        <v>80000</v>
      </c>
      <c r="G1534" s="159">
        <v>712400000</v>
      </c>
      <c r="H1534" s="159">
        <v>71240000</v>
      </c>
      <c r="I1534" s="159">
        <v>783640000</v>
      </c>
      <c r="J1534" s="159">
        <f>bargiri[[#This Row],[مقدار]]*INDEX(invoice[پیش دریافت به ازای هر کیلوگرم],MATCH(bargiri[[#This Row],[شماره سند مبنا]],invoice[شماره پیش فاکتور],0))</f>
        <v>118116898.34198627</v>
      </c>
      <c r="K1534" s="159">
        <f>bargiri[[#This Row],[مبلغ خالص]]-bargiri[[#This Row],[میزان استهلاک پیش دریافتی]]</f>
        <v>665523101.6580137</v>
      </c>
      <c r="L1534" s="160"/>
      <c r="M1534" s="159"/>
      <c r="N1534" s="159">
        <f>IF(bargiri[[#This Row],[مبلغ واریزی]]&lt;&gt;"",bargiri[[#This Row],[مانده مبلغ]]-bargiri[[#This Row],[مبلغ واریزی]],bargiri[[#This Row],[مانده مبلغ]])</f>
        <v>665523101.6580137</v>
      </c>
      <c r="O1534" s="159"/>
      <c r="P1534" s="159">
        <f>VLOOKUP(bargiri[[#This Row],[شماره سند مبنا]],invoice[[شماره پیش فاکتور]:[پیش دریافت به ازای هر کیلوگرم]],14,0)</f>
        <v>13264.109864344331</v>
      </c>
      <c r="Q1534" s="159">
        <f>IF(bargiri[[#This Row],[مبلغ ناخالص]]-(bargiri[[#This Row],[نرخ استهلاک]]*bargiri[[#This Row],[مقدار]])&lt;0,0,bargiri[[#This Row],[مبلغ ناخالص]]-(bargiri[[#This Row],[نرخ استهلاک]]*bargiri[[#This Row],[مقدار]]))</f>
        <v>594283101.6580137</v>
      </c>
    </row>
    <row r="1535" spans="1:17" s="22" customFormat="1" ht="13.8" x14ac:dyDescent="0.25">
      <c r="A1535" s="22">
        <v>1342</v>
      </c>
      <c r="B1535" s="22" t="s">
        <v>254</v>
      </c>
      <c r="C1535" s="22" t="s">
        <v>66</v>
      </c>
      <c r="D1535" s="22" t="s">
        <v>67</v>
      </c>
      <c r="E1535" s="158">
        <v>20060</v>
      </c>
      <c r="F1535" s="159">
        <v>68500</v>
      </c>
      <c r="G1535" s="159">
        <v>1374110000</v>
      </c>
      <c r="H1535" s="159">
        <v>123669900</v>
      </c>
      <c r="I1535" s="159">
        <v>1497779900</v>
      </c>
      <c r="J1535" s="159" t="e">
        <f>bargiri[[#This Row],[مقدار]]*INDEX(invoice[پیش دریافت به ازای هر کیلوگرم],MATCH(bargiri[[#This Row],[شماره سند مبنا]],invoice[شماره پیش فاکتور],0))</f>
        <v>#N/A</v>
      </c>
      <c r="K1535" s="159" t="e">
        <f>bargiri[[#This Row],[مبلغ خالص]]-bargiri[[#This Row],[میزان استهلاک پیش دریافتی]]</f>
        <v>#N/A</v>
      </c>
      <c r="L1535" s="160"/>
      <c r="M1535" s="159"/>
      <c r="N1535" s="159" t="e">
        <f>IF(bargiri[[#This Row],[مبلغ واریزی]]&lt;&gt;"",bargiri[[#This Row],[مانده مبلغ]]-bargiri[[#This Row],[مبلغ واریزی]],bargiri[[#This Row],[مانده مبلغ]])</f>
        <v>#N/A</v>
      </c>
      <c r="O1535" s="159"/>
      <c r="P1535" s="159" t="e">
        <f>VLOOKUP(bargiri[[#This Row],[شماره سند مبنا]],invoice[[شماره پیش فاکتور]:[پیش دریافت به ازای هر کیلوگرم]],14,0)</f>
        <v>#N/A</v>
      </c>
      <c r="Q1535" s="159" t="e">
        <f>IF(bargiri[[#This Row],[مبلغ ناخالص]]-(bargiri[[#This Row],[نرخ استهلاک]]*bargiri[[#This Row],[مقدار]])&lt;0,0,bargiri[[#This Row],[مبلغ ناخالص]]-(bargiri[[#This Row],[نرخ استهلاک]]*bargiri[[#This Row],[مقدار]]))</f>
        <v>#N/A</v>
      </c>
    </row>
    <row r="1536" spans="1:17" s="22" customFormat="1" ht="13.8" x14ac:dyDescent="0.25">
      <c r="A1536" s="22">
        <v>1341</v>
      </c>
      <c r="B1536" s="22" t="s">
        <v>254</v>
      </c>
      <c r="C1536" s="22" t="s">
        <v>119</v>
      </c>
      <c r="D1536" s="22" t="s">
        <v>25</v>
      </c>
      <c r="E1536" s="158">
        <v>19965</v>
      </c>
      <c r="F1536" s="159">
        <v>75000</v>
      </c>
      <c r="G1536" s="159">
        <v>1497375000</v>
      </c>
      <c r="H1536" s="159">
        <v>149737500</v>
      </c>
      <c r="I1536" s="159">
        <v>1647112500</v>
      </c>
      <c r="J1536" s="159">
        <f>bargiri[[#This Row],[مقدار]]*INDEX(invoice[پیش دریافت به ازای هر کیلوگرم],MATCH(bargiri[[#This Row],[شماره سند مبنا]],invoice[شماره پیش فاکتور],0))</f>
        <v>247066875</v>
      </c>
      <c r="K1536" s="159">
        <f>bargiri[[#This Row],[مبلغ خالص]]-bargiri[[#This Row],[میزان استهلاک پیش دریافتی]]</f>
        <v>1400045625</v>
      </c>
      <c r="L1536" s="160"/>
      <c r="M1536" s="159"/>
      <c r="N1536" s="159">
        <f>IF(bargiri[[#This Row],[مبلغ واریزی]]&lt;&gt;"",bargiri[[#This Row],[مانده مبلغ]]-bargiri[[#This Row],[مبلغ واریزی]],bargiri[[#This Row],[مانده مبلغ]])</f>
        <v>1400045625</v>
      </c>
      <c r="O1536" s="159"/>
      <c r="P1536" s="159">
        <f>VLOOKUP(bargiri[[#This Row],[شماره سند مبنا]],invoice[[شماره پیش فاکتور]:[پیش دریافت به ازای هر کیلوگرم]],14,0)</f>
        <v>12375</v>
      </c>
      <c r="Q1536" s="159">
        <f>IF(bargiri[[#This Row],[مبلغ ناخالص]]-(bargiri[[#This Row],[نرخ استهلاک]]*bargiri[[#This Row],[مقدار]])&lt;0,0,bargiri[[#This Row],[مبلغ ناخالص]]-(bargiri[[#This Row],[نرخ استهلاک]]*bargiri[[#This Row],[مقدار]]))</f>
        <v>1250308125</v>
      </c>
    </row>
    <row r="1537" spans="1:17" s="22" customFormat="1" ht="13.8" x14ac:dyDescent="0.25">
      <c r="A1537" s="22">
        <v>1340</v>
      </c>
      <c r="B1537" s="22" t="s">
        <v>254</v>
      </c>
      <c r="C1537" s="22" t="s">
        <v>72</v>
      </c>
      <c r="D1537" s="22" t="s">
        <v>73</v>
      </c>
      <c r="E1537" s="158">
        <v>20780</v>
      </c>
      <c r="F1537" s="159">
        <v>57273</v>
      </c>
      <c r="G1537" s="159">
        <v>1190132940</v>
      </c>
      <c r="H1537" s="159">
        <v>119013294</v>
      </c>
      <c r="I1537" s="159">
        <v>1309146234</v>
      </c>
      <c r="J1537" s="159" t="e">
        <f>bargiri[[#This Row],[مقدار]]*INDEX(invoice[پیش دریافت به ازای هر کیلوگرم],MATCH(bargiri[[#This Row],[شماره سند مبنا]],invoice[شماره پیش فاکتور],0))</f>
        <v>#N/A</v>
      </c>
      <c r="K1537" s="159" t="e">
        <f>bargiri[[#This Row],[مبلغ خالص]]-bargiri[[#This Row],[میزان استهلاک پیش دریافتی]]</f>
        <v>#N/A</v>
      </c>
      <c r="L1537" s="160"/>
      <c r="M1537" s="159"/>
      <c r="N1537" s="159" t="e">
        <f>IF(bargiri[[#This Row],[مبلغ واریزی]]&lt;&gt;"",bargiri[[#This Row],[مانده مبلغ]]-bargiri[[#This Row],[مبلغ واریزی]],bargiri[[#This Row],[مانده مبلغ]])</f>
        <v>#N/A</v>
      </c>
      <c r="O1537" s="159"/>
      <c r="P1537" s="159" t="e">
        <f>VLOOKUP(bargiri[[#This Row],[شماره سند مبنا]],invoice[[شماره پیش فاکتور]:[پیش دریافت به ازای هر کیلوگرم]],14,0)</f>
        <v>#N/A</v>
      </c>
      <c r="Q1537" s="159" t="e">
        <f>IF(bargiri[[#This Row],[مبلغ ناخالص]]-(bargiri[[#This Row],[نرخ استهلاک]]*bargiri[[#This Row],[مقدار]])&lt;0,0,bargiri[[#This Row],[مبلغ ناخالص]]-(bargiri[[#This Row],[نرخ استهلاک]]*bargiri[[#This Row],[مقدار]]))</f>
        <v>#N/A</v>
      </c>
    </row>
    <row r="1538" spans="1:17" s="22" customFormat="1" ht="13.8" x14ac:dyDescent="0.25">
      <c r="A1538" s="22">
        <v>1339</v>
      </c>
      <c r="B1538" s="22" t="s">
        <v>254</v>
      </c>
      <c r="C1538" s="22" t="s">
        <v>107</v>
      </c>
      <c r="D1538" s="22" t="s">
        <v>30</v>
      </c>
      <c r="E1538" s="158">
        <v>11790</v>
      </c>
      <c r="F1538" s="159">
        <v>70000</v>
      </c>
      <c r="G1538" s="159">
        <v>825300000</v>
      </c>
      <c r="H1538" s="159">
        <v>82530000</v>
      </c>
      <c r="I1538" s="159">
        <v>907830000</v>
      </c>
      <c r="J1538" s="159">
        <f>bargiri[[#This Row],[مقدار]]*INDEX(invoice[پیش دریافت به ازای هر کیلوگرم],MATCH(bargiri[[#This Row],[شماره سند مبنا]],invoice[شماره پیش فاکتور],0))</f>
        <v>453915000</v>
      </c>
      <c r="K1538" s="159">
        <f>bargiri[[#This Row],[مبلغ خالص]]-bargiri[[#This Row],[میزان استهلاک پیش دریافتی]]</f>
        <v>453915000</v>
      </c>
      <c r="L1538" s="160"/>
      <c r="M1538" s="159"/>
      <c r="N1538" s="159">
        <f>IF(bargiri[[#This Row],[مبلغ واریزی]]&lt;&gt;"",bargiri[[#This Row],[مانده مبلغ]]-bargiri[[#This Row],[مبلغ واریزی]],bargiri[[#This Row],[مانده مبلغ]])</f>
        <v>453915000</v>
      </c>
      <c r="O1538" s="159"/>
      <c r="P1538" s="159">
        <f>VLOOKUP(bargiri[[#This Row],[شماره سند مبنا]],invoice[[شماره پیش فاکتور]:[پیش دریافت به ازای هر کیلوگرم]],14,0)</f>
        <v>38500</v>
      </c>
      <c r="Q1538" s="159">
        <f>IF(bargiri[[#This Row],[مبلغ ناخالص]]-(bargiri[[#This Row],[نرخ استهلاک]]*bargiri[[#This Row],[مقدار]])&lt;0,0,bargiri[[#This Row],[مبلغ ناخالص]]-(bargiri[[#This Row],[نرخ استهلاک]]*bargiri[[#This Row],[مقدار]]))</f>
        <v>371385000</v>
      </c>
    </row>
    <row r="1539" spans="1:17" s="22" customFormat="1" ht="13.8" x14ac:dyDescent="0.25">
      <c r="A1539" s="22">
        <v>1338</v>
      </c>
      <c r="B1539" s="22" t="s">
        <v>254</v>
      </c>
      <c r="C1539" s="22" t="s">
        <v>72</v>
      </c>
      <c r="D1539" s="22" t="s">
        <v>73</v>
      </c>
      <c r="E1539" s="158">
        <v>20725</v>
      </c>
      <c r="F1539" s="159">
        <v>57273</v>
      </c>
      <c r="G1539" s="159">
        <v>1186982925</v>
      </c>
      <c r="H1539" s="159">
        <v>118698293</v>
      </c>
      <c r="I1539" s="159">
        <v>1305681218</v>
      </c>
      <c r="J1539" s="159" t="e">
        <f>bargiri[[#This Row],[مقدار]]*INDEX(invoice[پیش دریافت به ازای هر کیلوگرم],MATCH(bargiri[[#This Row],[شماره سند مبنا]],invoice[شماره پیش فاکتور],0))</f>
        <v>#N/A</v>
      </c>
      <c r="K1539" s="159" t="e">
        <f>bargiri[[#This Row],[مبلغ خالص]]-bargiri[[#This Row],[میزان استهلاک پیش دریافتی]]</f>
        <v>#N/A</v>
      </c>
      <c r="L1539" s="160"/>
      <c r="M1539" s="159"/>
      <c r="N1539" s="159" t="e">
        <f>IF(bargiri[[#This Row],[مبلغ واریزی]]&lt;&gt;"",bargiri[[#This Row],[مانده مبلغ]]-bargiri[[#This Row],[مبلغ واریزی]],bargiri[[#This Row],[مانده مبلغ]])</f>
        <v>#N/A</v>
      </c>
      <c r="O1539" s="159"/>
      <c r="P1539" s="159" t="e">
        <f>VLOOKUP(bargiri[[#This Row],[شماره سند مبنا]],invoice[[شماره پیش فاکتور]:[پیش دریافت به ازای هر کیلوگرم]],14,0)</f>
        <v>#N/A</v>
      </c>
      <c r="Q1539" s="159" t="e">
        <f>IF(bargiri[[#This Row],[مبلغ ناخالص]]-(bargiri[[#This Row],[نرخ استهلاک]]*bargiri[[#This Row],[مقدار]])&lt;0,0,bargiri[[#This Row],[مبلغ ناخالص]]-(bargiri[[#This Row],[نرخ استهلاک]]*bargiri[[#This Row],[مقدار]]))</f>
        <v>#N/A</v>
      </c>
    </row>
    <row r="1540" spans="1:17" s="22" customFormat="1" ht="13.8" x14ac:dyDescent="0.25">
      <c r="A1540" s="22">
        <v>1337</v>
      </c>
      <c r="B1540" s="22" t="s">
        <v>254</v>
      </c>
      <c r="C1540" s="22" t="s">
        <v>115</v>
      </c>
      <c r="D1540" s="22" t="s">
        <v>116</v>
      </c>
      <c r="E1540" s="158">
        <v>18715</v>
      </c>
      <c r="F1540" s="159">
        <v>75000</v>
      </c>
      <c r="G1540" s="159">
        <v>1403625000</v>
      </c>
      <c r="H1540" s="159">
        <v>140362500</v>
      </c>
      <c r="I1540" s="159">
        <v>1543987500</v>
      </c>
      <c r="J1540" s="159">
        <f>bargiri[[#This Row],[مقدار]]*INDEX(invoice[پیش دریافت به ازای هر کیلوگرم],MATCH(bargiri[[#This Row],[شماره سند مبنا]],invoice[شماره پیش فاکتور],0))</f>
        <v>280916022.89556897</v>
      </c>
      <c r="K1540" s="159">
        <f>bargiri[[#This Row],[مبلغ خالص]]-bargiri[[#This Row],[میزان استهلاک پیش دریافتی]]</f>
        <v>1263071477.1044312</v>
      </c>
      <c r="L1540" s="160"/>
      <c r="M1540" s="159"/>
      <c r="N1540" s="159">
        <f>IF(bargiri[[#This Row],[مبلغ واریزی]]&lt;&gt;"",bargiri[[#This Row],[مانده مبلغ]]-bargiri[[#This Row],[مبلغ واریزی]],bargiri[[#This Row],[مانده مبلغ]])</f>
        <v>1263071477.1044312</v>
      </c>
      <c r="O1540" s="159"/>
      <c r="P1540" s="159">
        <f>VLOOKUP(bargiri[[#This Row],[شماره سند مبنا]],invoice[[شماره پیش فاکتور]:[پیش دریافت به ازای هر کیلوگرم]],14,0)</f>
        <v>15010.206940719689</v>
      </c>
      <c r="Q1540" s="159">
        <f>IF(bargiri[[#This Row],[مبلغ ناخالص]]-(bargiri[[#This Row],[نرخ استهلاک]]*bargiri[[#This Row],[مقدار]])&lt;0,0,bargiri[[#This Row],[مبلغ ناخالص]]-(bargiri[[#This Row],[نرخ استهلاک]]*bargiri[[#This Row],[مقدار]]))</f>
        <v>1122708977.1044312</v>
      </c>
    </row>
    <row r="1541" spans="1:17" s="22" customFormat="1" ht="13.8" x14ac:dyDescent="0.25">
      <c r="A1541" s="22">
        <v>1336</v>
      </c>
      <c r="B1541" s="22" t="s">
        <v>254</v>
      </c>
      <c r="C1541" s="22" t="s">
        <v>172</v>
      </c>
      <c r="D1541" s="22" t="s">
        <v>173</v>
      </c>
      <c r="E1541" s="158">
        <v>22010</v>
      </c>
      <c r="F1541" s="159">
        <v>75000</v>
      </c>
      <c r="G1541" s="159">
        <v>1650750000</v>
      </c>
      <c r="H1541" s="159">
        <v>165075000</v>
      </c>
      <c r="I1541" s="159">
        <v>1815825000</v>
      </c>
      <c r="J1541" s="159">
        <f>bargiri[[#This Row],[مقدار]]*INDEX(invoice[پیش دریافت به ازای هر کیلوگرم],MATCH(bargiri[[#This Row],[شماره سند مبنا]],invoice[شماره پیش فاکتور],0))</f>
        <v>272373750</v>
      </c>
      <c r="K1541" s="159">
        <f>bargiri[[#This Row],[مبلغ خالص]]-bargiri[[#This Row],[میزان استهلاک پیش دریافتی]]</f>
        <v>1543451250</v>
      </c>
      <c r="L1541" s="160"/>
      <c r="M1541" s="159"/>
      <c r="N1541" s="159">
        <f>IF(bargiri[[#This Row],[مبلغ واریزی]]&lt;&gt;"",bargiri[[#This Row],[مانده مبلغ]]-bargiri[[#This Row],[مبلغ واریزی]],bargiri[[#This Row],[مانده مبلغ]])</f>
        <v>1543451250</v>
      </c>
      <c r="O1541" s="159"/>
      <c r="P1541" s="159">
        <f>VLOOKUP(bargiri[[#This Row],[شماره سند مبنا]],invoice[[شماره پیش فاکتور]:[پیش دریافت به ازای هر کیلوگرم]],14,0)</f>
        <v>12375</v>
      </c>
      <c r="Q1541" s="159">
        <f>IF(bargiri[[#This Row],[مبلغ ناخالص]]-(bargiri[[#This Row],[نرخ استهلاک]]*bargiri[[#This Row],[مقدار]])&lt;0,0,bargiri[[#This Row],[مبلغ ناخالص]]-(bargiri[[#This Row],[نرخ استهلاک]]*bargiri[[#This Row],[مقدار]]))</f>
        <v>1378376250</v>
      </c>
    </row>
    <row r="1542" spans="1:17" s="22" customFormat="1" ht="13.8" x14ac:dyDescent="0.25">
      <c r="A1542" s="22">
        <v>1335</v>
      </c>
      <c r="B1542" s="22" t="s">
        <v>254</v>
      </c>
      <c r="C1542" s="22" t="s">
        <v>109</v>
      </c>
      <c r="D1542" s="22" t="s">
        <v>110</v>
      </c>
      <c r="E1542" s="158">
        <v>19055</v>
      </c>
      <c r="F1542" s="159">
        <v>70000</v>
      </c>
      <c r="G1542" s="159">
        <v>1333850000</v>
      </c>
      <c r="H1542" s="159">
        <v>133385000</v>
      </c>
      <c r="I1542" s="159">
        <v>1467235000</v>
      </c>
      <c r="J1542" s="159" t="e">
        <f>bargiri[[#This Row],[مقدار]]*INDEX(invoice[پیش دریافت به ازای هر کیلوگرم],MATCH(bargiri[[#This Row],[شماره سند مبنا]],invoice[شماره پیش فاکتور],0))</f>
        <v>#N/A</v>
      </c>
      <c r="K1542" s="159" t="e">
        <f>bargiri[[#This Row],[مبلغ خالص]]-bargiri[[#This Row],[میزان استهلاک پیش دریافتی]]</f>
        <v>#N/A</v>
      </c>
      <c r="L1542" s="160"/>
      <c r="M1542" s="159"/>
      <c r="N1542" s="159" t="e">
        <f>IF(bargiri[[#This Row],[مبلغ واریزی]]&lt;&gt;"",bargiri[[#This Row],[مانده مبلغ]]-bargiri[[#This Row],[مبلغ واریزی]],bargiri[[#This Row],[مانده مبلغ]])</f>
        <v>#N/A</v>
      </c>
      <c r="O1542" s="159"/>
      <c r="P1542" s="159" t="e">
        <f>VLOOKUP(bargiri[[#This Row],[شماره سند مبنا]],invoice[[شماره پیش فاکتور]:[پیش دریافت به ازای هر کیلوگرم]],14,0)</f>
        <v>#N/A</v>
      </c>
      <c r="Q1542" s="159" t="e">
        <f>IF(bargiri[[#This Row],[مبلغ ناخالص]]-(bargiri[[#This Row],[نرخ استهلاک]]*bargiri[[#This Row],[مقدار]])&lt;0,0,bargiri[[#This Row],[مبلغ ناخالص]]-(bargiri[[#This Row],[نرخ استهلاک]]*bargiri[[#This Row],[مقدار]]))</f>
        <v>#N/A</v>
      </c>
    </row>
    <row r="1543" spans="1:17" s="22" customFormat="1" ht="13.8" x14ac:dyDescent="0.25">
      <c r="A1543" s="22">
        <v>1334</v>
      </c>
      <c r="B1543" s="22" t="s">
        <v>334</v>
      </c>
      <c r="C1543" s="22" t="s">
        <v>179</v>
      </c>
      <c r="D1543" s="22" t="s">
        <v>180</v>
      </c>
      <c r="E1543" s="158">
        <v>7115</v>
      </c>
      <c r="F1543" s="159">
        <v>75000</v>
      </c>
      <c r="G1543" s="159">
        <v>533625000</v>
      </c>
      <c r="H1543" s="159">
        <v>53362500</v>
      </c>
      <c r="I1543" s="159">
        <v>586987500</v>
      </c>
      <c r="J1543" s="159">
        <f>bargiri[[#This Row],[مقدار]]*INDEX(invoice[پیش دریافت به ازای هر کیلوگرم],MATCH(bargiri[[#This Row],[شماره سند مبنا]],invoice[شماره پیش فاکتور],0))</f>
        <v>155128101.60035238</v>
      </c>
      <c r="K1543" s="159">
        <f>bargiri[[#This Row],[مبلغ خالص]]-bargiri[[#This Row],[میزان استهلاک پیش دریافتی]]</f>
        <v>431859398.39964759</v>
      </c>
      <c r="L1543" s="160"/>
      <c r="M1543" s="159"/>
      <c r="N1543" s="159">
        <f>IF(bargiri[[#This Row],[مبلغ واریزی]]&lt;&gt;"",bargiri[[#This Row],[مانده مبلغ]]-bargiri[[#This Row],[مبلغ واریزی]],bargiri[[#This Row],[مانده مبلغ]])</f>
        <v>431859398.39964759</v>
      </c>
      <c r="O1543" s="159"/>
      <c r="P1543" s="159">
        <f>VLOOKUP(bargiri[[#This Row],[شماره سند مبنا]],invoice[[شماره پیش فاکتور]:[پیش دریافت به ازای هر کیلوگرم]],14,0)</f>
        <v>21802.965790632799</v>
      </c>
      <c r="Q1543" s="159">
        <f>IF(bargiri[[#This Row],[مبلغ ناخالص]]-(bargiri[[#This Row],[نرخ استهلاک]]*bargiri[[#This Row],[مقدار]])&lt;0,0,bargiri[[#This Row],[مبلغ ناخالص]]-(bargiri[[#This Row],[نرخ استهلاک]]*bargiri[[#This Row],[مقدار]]))</f>
        <v>378496898.39964759</v>
      </c>
    </row>
    <row r="1544" spans="1:17" s="22" customFormat="1" ht="13.8" x14ac:dyDescent="0.25">
      <c r="A1544" s="22">
        <v>1333</v>
      </c>
      <c r="B1544" s="22" t="s">
        <v>334</v>
      </c>
      <c r="C1544" s="22" t="s">
        <v>109</v>
      </c>
      <c r="D1544" s="22" t="s">
        <v>110</v>
      </c>
      <c r="E1544" s="158">
        <v>19045</v>
      </c>
      <c r="F1544" s="159">
        <v>70000</v>
      </c>
      <c r="G1544" s="159">
        <v>1333150000</v>
      </c>
      <c r="H1544" s="159">
        <v>133315000</v>
      </c>
      <c r="I1544" s="159">
        <v>1466465000</v>
      </c>
      <c r="J1544" s="159" t="e">
        <f>bargiri[[#This Row],[مقدار]]*INDEX(invoice[پیش دریافت به ازای هر کیلوگرم],MATCH(bargiri[[#This Row],[شماره سند مبنا]],invoice[شماره پیش فاکتور],0))</f>
        <v>#N/A</v>
      </c>
      <c r="K1544" s="159" t="e">
        <f>bargiri[[#This Row],[مبلغ خالص]]-bargiri[[#This Row],[میزان استهلاک پیش دریافتی]]</f>
        <v>#N/A</v>
      </c>
      <c r="L1544" s="160"/>
      <c r="M1544" s="159"/>
      <c r="N1544" s="159" t="e">
        <f>IF(bargiri[[#This Row],[مبلغ واریزی]]&lt;&gt;"",bargiri[[#This Row],[مانده مبلغ]]-bargiri[[#This Row],[مبلغ واریزی]],bargiri[[#This Row],[مانده مبلغ]])</f>
        <v>#N/A</v>
      </c>
      <c r="O1544" s="159"/>
      <c r="P1544" s="159" t="e">
        <f>VLOOKUP(bargiri[[#This Row],[شماره سند مبنا]],invoice[[شماره پیش فاکتور]:[پیش دریافت به ازای هر کیلوگرم]],14,0)</f>
        <v>#N/A</v>
      </c>
      <c r="Q1544" s="159" t="e">
        <f>IF(bargiri[[#This Row],[مبلغ ناخالص]]-(bargiri[[#This Row],[نرخ استهلاک]]*bargiri[[#This Row],[مقدار]])&lt;0,0,bargiri[[#This Row],[مبلغ ناخالص]]-(bargiri[[#This Row],[نرخ استهلاک]]*bargiri[[#This Row],[مقدار]]))</f>
        <v>#N/A</v>
      </c>
    </row>
    <row r="1545" spans="1:17" s="22" customFormat="1" ht="13.8" x14ac:dyDescent="0.25">
      <c r="A1545" s="22">
        <v>1332</v>
      </c>
      <c r="B1545" s="22" t="s">
        <v>334</v>
      </c>
      <c r="C1545" s="22" t="s">
        <v>155</v>
      </c>
      <c r="D1545" s="22" t="s">
        <v>156</v>
      </c>
      <c r="E1545" s="158">
        <v>20030</v>
      </c>
      <c r="F1545" s="159">
        <v>75000</v>
      </c>
      <c r="G1545" s="159">
        <v>1502250000</v>
      </c>
      <c r="H1545" s="159">
        <v>150225000</v>
      </c>
      <c r="I1545" s="159">
        <v>1652475000</v>
      </c>
      <c r="J1545" s="159">
        <f>bargiri[[#This Row],[مقدار]]*INDEX(invoice[پیش دریافت به ازای هر کیلوگرم],MATCH(bargiri[[#This Row],[شماره سند مبنا]],invoice[شماره پیش فاکتور],0))</f>
        <v>247871250</v>
      </c>
      <c r="K1545" s="159">
        <f>bargiri[[#This Row],[مبلغ خالص]]-bargiri[[#This Row],[میزان استهلاک پیش دریافتی]]</f>
        <v>1404603750</v>
      </c>
      <c r="L1545" s="160"/>
      <c r="M1545" s="159"/>
      <c r="N1545" s="159">
        <f>IF(bargiri[[#This Row],[مبلغ واریزی]]&lt;&gt;"",bargiri[[#This Row],[مانده مبلغ]]-bargiri[[#This Row],[مبلغ واریزی]],bargiri[[#This Row],[مانده مبلغ]])</f>
        <v>1404603750</v>
      </c>
      <c r="O1545" s="159"/>
      <c r="P1545" s="159">
        <f>VLOOKUP(bargiri[[#This Row],[شماره سند مبنا]],invoice[[شماره پیش فاکتور]:[پیش دریافت به ازای هر کیلوگرم]],14,0)</f>
        <v>12375</v>
      </c>
      <c r="Q1545" s="159">
        <f>IF(bargiri[[#This Row],[مبلغ ناخالص]]-(bargiri[[#This Row],[نرخ استهلاک]]*bargiri[[#This Row],[مقدار]])&lt;0,0,bargiri[[#This Row],[مبلغ ناخالص]]-(bargiri[[#This Row],[نرخ استهلاک]]*bargiri[[#This Row],[مقدار]]))</f>
        <v>1254378750</v>
      </c>
    </row>
    <row r="1546" spans="1:17" s="22" customFormat="1" ht="13.8" x14ac:dyDescent="0.25">
      <c r="A1546" s="22">
        <v>1331</v>
      </c>
      <c r="B1546" s="22" t="s">
        <v>334</v>
      </c>
      <c r="C1546" s="22" t="s">
        <v>149</v>
      </c>
      <c r="D1546" s="22" t="s">
        <v>35</v>
      </c>
      <c r="E1546" s="158">
        <v>7510</v>
      </c>
      <c r="F1546" s="159">
        <v>75000</v>
      </c>
      <c r="G1546" s="159">
        <v>563250000</v>
      </c>
      <c r="H1546" s="159">
        <v>56325000</v>
      </c>
      <c r="I1546" s="159">
        <v>619575000</v>
      </c>
      <c r="J1546" s="159">
        <f>bargiri[[#This Row],[مقدار]]*INDEX(invoice[پیش دریافت به ازای هر کیلوگرم],MATCH(bargiri[[#This Row],[شماره سند مبنا]],invoice[شماره پیش فاکتور],0))</f>
        <v>92943065.82482715</v>
      </c>
      <c r="K1546" s="159">
        <f>bargiri[[#This Row],[مبلغ خالص]]-bargiri[[#This Row],[میزان استهلاک پیش دریافتی]]</f>
        <v>526631934.17517287</v>
      </c>
      <c r="L1546" s="160"/>
      <c r="M1546" s="159"/>
      <c r="N1546" s="159">
        <f>IF(bargiri[[#This Row],[مبلغ واریزی]]&lt;&gt;"",bargiri[[#This Row],[مانده مبلغ]]-bargiri[[#This Row],[مبلغ واریزی]],bargiri[[#This Row],[مانده مبلغ]])</f>
        <v>526631934.17517287</v>
      </c>
      <c r="O1546" s="159"/>
      <c r="P1546" s="159">
        <f>VLOOKUP(bargiri[[#This Row],[شماره سند مبنا]],invoice[[شماره پیش فاکتور]:[پیش دریافت به ازای هر کیلوگرم]],14,0)</f>
        <v>12375.907566554881</v>
      </c>
      <c r="Q1546" s="159">
        <f>IF(bargiri[[#This Row],[مبلغ ناخالص]]-(bargiri[[#This Row],[نرخ استهلاک]]*bargiri[[#This Row],[مقدار]])&lt;0,0,bargiri[[#This Row],[مبلغ ناخالص]]-(bargiri[[#This Row],[نرخ استهلاک]]*bargiri[[#This Row],[مقدار]]))</f>
        <v>470306934.17517287</v>
      </c>
    </row>
    <row r="1547" spans="1:17" s="22" customFormat="1" ht="13.8" x14ac:dyDescent="0.25">
      <c r="A1547" s="22">
        <v>1330</v>
      </c>
      <c r="B1547" s="22" t="s">
        <v>254</v>
      </c>
      <c r="C1547" s="22" t="s">
        <v>88</v>
      </c>
      <c r="D1547" s="22" t="s">
        <v>89</v>
      </c>
      <c r="E1547" s="158">
        <v>12450</v>
      </c>
      <c r="F1547" s="159">
        <v>78000</v>
      </c>
      <c r="G1547" s="159">
        <v>971100000</v>
      </c>
      <c r="H1547" s="159">
        <v>97110000</v>
      </c>
      <c r="I1547" s="159">
        <v>1068210000</v>
      </c>
      <c r="J1547" s="159" t="e">
        <f>bargiri[[#This Row],[مقدار]]*INDEX(invoice[پیش دریافت به ازای هر کیلوگرم],MATCH(bargiri[[#This Row],[شماره سند مبنا]],invoice[شماره پیش فاکتور],0))</f>
        <v>#N/A</v>
      </c>
      <c r="K1547" s="159" t="e">
        <f>bargiri[[#This Row],[مبلغ خالص]]-bargiri[[#This Row],[میزان استهلاک پیش دریافتی]]</f>
        <v>#N/A</v>
      </c>
      <c r="L1547" s="160"/>
      <c r="M1547" s="159"/>
      <c r="N1547" s="159" t="e">
        <f>IF(bargiri[[#This Row],[مبلغ واریزی]]&lt;&gt;"",bargiri[[#This Row],[مانده مبلغ]]-bargiri[[#This Row],[مبلغ واریزی]],bargiri[[#This Row],[مانده مبلغ]])</f>
        <v>#N/A</v>
      </c>
      <c r="O1547" s="159"/>
      <c r="P1547" s="159" t="e">
        <f>VLOOKUP(bargiri[[#This Row],[شماره سند مبنا]],invoice[[شماره پیش فاکتور]:[پیش دریافت به ازای هر کیلوگرم]],14,0)</f>
        <v>#N/A</v>
      </c>
      <c r="Q1547" s="159" t="e">
        <f>IF(bargiri[[#This Row],[مبلغ ناخالص]]-(bargiri[[#This Row],[نرخ استهلاک]]*bargiri[[#This Row],[مقدار]])&lt;0,0,bargiri[[#This Row],[مبلغ ناخالص]]-(bargiri[[#This Row],[نرخ استهلاک]]*bargiri[[#This Row],[مقدار]]))</f>
        <v>#N/A</v>
      </c>
    </row>
    <row r="1548" spans="1:17" s="22" customFormat="1" ht="13.8" x14ac:dyDescent="0.25">
      <c r="A1548" s="22">
        <v>1329</v>
      </c>
      <c r="B1548" s="22" t="s">
        <v>371</v>
      </c>
      <c r="C1548" s="22" t="s">
        <v>164</v>
      </c>
      <c r="D1548" s="22" t="s">
        <v>40</v>
      </c>
      <c r="E1548" s="158">
        <v>14020</v>
      </c>
      <c r="F1548" s="159">
        <v>92180</v>
      </c>
      <c r="G1548" s="159">
        <v>1292363600</v>
      </c>
      <c r="H1548" s="159">
        <v>129236360</v>
      </c>
      <c r="I1548" s="159">
        <v>1421599960</v>
      </c>
      <c r="J1548" s="159" t="e">
        <f>bargiri[[#This Row],[مقدار]]*INDEX(invoice[پیش دریافت به ازای هر کیلوگرم],MATCH(bargiri[[#This Row],[شماره سند مبنا]],invoice[شماره پیش فاکتور],0))</f>
        <v>#N/A</v>
      </c>
      <c r="K1548" s="159" t="e">
        <f>bargiri[[#This Row],[مبلغ خالص]]-bargiri[[#This Row],[میزان استهلاک پیش دریافتی]]</f>
        <v>#N/A</v>
      </c>
      <c r="L1548" s="160"/>
      <c r="M1548" s="159"/>
      <c r="N1548" s="159" t="e">
        <f>IF(bargiri[[#This Row],[مبلغ واریزی]]&lt;&gt;"",bargiri[[#This Row],[مانده مبلغ]]-bargiri[[#This Row],[مبلغ واریزی]],bargiri[[#This Row],[مانده مبلغ]])</f>
        <v>#N/A</v>
      </c>
      <c r="O1548" s="159"/>
      <c r="P1548" s="159" t="e">
        <f>VLOOKUP(bargiri[[#This Row],[شماره سند مبنا]],invoice[[شماره پیش فاکتور]:[پیش دریافت به ازای هر کیلوگرم]],14,0)</f>
        <v>#N/A</v>
      </c>
      <c r="Q1548" s="159" t="e">
        <f>IF(bargiri[[#This Row],[مبلغ ناخالص]]-(bargiri[[#This Row],[نرخ استهلاک]]*bargiri[[#This Row],[مقدار]])&lt;0,0,bargiri[[#This Row],[مبلغ ناخالص]]-(bargiri[[#This Row],[نرخ استهلاک]]*bargiri[[#This Row],[مقدار]]))</f>
        <v>#N/A</v>
      </c>
    </row>
    <row r="1549" spans="1:17" s="22" customFormat="1" ht="13.8" x14ac:dyDescent="0.25">
      <c r="A1549" s="22">
        <v>1328</v>
      </c>
      <c r="B1549" s="22" t="s">
        <v>384</v>
      </c>
      <c r="C1549" s="22" t="s">
        <v>109</v>
      </c>
      <c r="D1549" s="22" t="s">
        <v>110</v>
      </c>
      <c r="E1549" s="158">
        <v>17980</v>
      </c>
      <c r="F1549" s="159">
        <v>70000</v>
      </c>
      <c r="G1549" s="159">
        <v>1258600000</v>
      </c>
      <c r="H1549" s="159">
        <v>125860000</v>
      </c>
      <c r="I1549" s="159">
        <v>1384460000</v>
      </c>
      <c r="J1549" s="159" t="e">
        <f>bargiri[[#This Row],[مقدار]]*INDEX(invoice[پیش دریافت به ازای هر کیلوگرم],MATCH(bargiri[[#This Row],[شماره سند مبنا]],invoice[شماره پیش فاکتور],0))</f>
        <v>#N/A</v>
      </c>
      <c r="K1549" s="159" t="e">
        <f>bargiri[[#This Row],[مبلغ خالص]]-bargiri[[#This Row],[میزان استهلاک پیش دریافتی]]</f>
        <v>#N/A</v>
      </c>
      <c r="L1549" s="160"/>
      <c r="M1549" s="159"/>
      <c r="N1549" s="159" t="e">
        <f>IF(bargiri[[#This Row],[مبلغ واریزی]]&lt;&gt;"",bargiri[[#This Row],[مانده مبلغ]]-bargiri[[#This Row],[مبلغ واریزی]],bargiri[[#This Row],[مانده مبلغ]])</f>
        <v>#N/A</v>
      </c>
      <c r="O1549" s="159"/>
      <c r="P1549" s="159" t="e">
        <f>VLOOKUP(bargiri[[#This Row],[شماره سند مبنا]],invoice[[شماره پیش فاکتور]:[پیش دریافت به ازای هر کیلوگرم]],14,0)</f>
        <v>#N/A</v>
      </c>
      <c r="Q1549" s="159" t="e">
        <f>IF(bargiri[[#This Row],[مبلغ ناخالص]]-(bargiri[[#This Row],[نرخ استهلاک]]*bargiri[[#This Row],[مقدار]])&lt;0,0,bargiri[[#This Row],[مبلغ ناخالص]]-(bargiri[[#This Row],[نرخ استهلاک]]*bargiri[[#This Row],[مقدار]]))</f>
        <v>#N/A</v>
      </c>
    </row>
    <row r="1550" spans="1:17" s="22" customFormat="1" ht="13.8" x14ac:dyDescent="0.25">
      <c r="A1550" s="22">
        <v>1327</v>
      </c>
      <c r="B1550" s="22" t="s">
        <v>160</v>
      </c>
      <c r="C1550" s="22" t="s">
        <v>104</v>
      </c>
      <c r="D1550" s="22" t="s">
        <v>17</v>
      </c>
      <c r="E1550" s="158">
        <v>2845</v>
      </c>
      <c r="F1550" s="159">
        <v>72000</v>
      </c>
      <c r="G1550" s="159">
        <v>204840000</v>
      </c>
      <c r="H1550" s="159">
        <v>20484000</v>
      </c>
      <c r="I1550" s="159">
        <v>225324000</v>
      </c>
      <c r="J1550" s="159" t="e">
        <f>bargiri[[#This Row],[مقدار]]*INDEX(invoice[پیش دریافت به ازای هر کیلوگرم],MATCH(bargiri[[#This Row],[شماره سند مبنا]],invoice[شماره پیش فاکتور],0))</f>
        <v>#N/A</v>
      </c>
      <c r="K1550" s="159" t="e">
        <f>bargiri[[#This Row],[مبلغ خالص]]-bargiri[[#This Row],[میزان استهلاک پیش دریافتی]]</f>
        <v>#N/A</v>
      </c>
      <c r="L1550" s="160"/>
      <c r="M1550" s="159"/>
      <c r="N1550" s="159" t="e">
        <f>IF(bargiri[[#This Row],[مبلغ واریزی]]&lt;&gt;"",bargiri[[#This Row],[مانده مبلغ]]-bargiri[[#This Row],[مبلغ واریزی]],bargiri[[#This Row],[مانده مبلغ]])</f>
        <v>#N/A</v>
      </c>
      <c r="O1550" s="159"/>
      <c r="P1550" s="159" t="e">
        <f>VLOOKUP(bargiri[[#This Row],[شماره سند مبنا]],invoice[[شماره پیش فاکتور]:[پیش دریافت به ازای هر کیلوگرم]],14,0)</f>
        <v>#N/A</v>
      </c>
      <c r="Q1550" s="159" t="e">
        <f>IF(bargiri[[#This Row],[مبلغ ناخالص]]-(bargiri[[#This Row],[نرخ استهلاک]]*bargiri[[#This Row],[مقدار]])&lt;0,0,bargiri[[#This Row],[مبلغ ناخالص]]-(bargiri[[#This Row],[نرخ استهلاک]]*bargiri[[#This Row],[مقدار]]))</f>
        <v>#N/A</v>
      </c>
    </row>
    <row r="1551" spans="1:17" s="22" customFormat="1" ht="13.8" x14ac:dyDescent="0.25">
      <c r="A1551" s="22">
        <v>1327</v>
      </c>
      <c r="B1551" s="22" t="s">
        <v>160</v>
      </c>
      <c r="C1551" s="22" t="s">
        <v>158</v>
      </c>
      <c r="D1551" s="22" t="s">
        <v>17</v>
      </c>
      <c r="E1551" s="158">
        <v>19140</v>
      </c>
      <c r="F1551" s="159">
        <v>92180</v>
      </c>
      <c r="G1551" s="159">
        <v>1764325200</v>
      </c>
      <c r="H1551" s="159">
        <v>176432520</v>
      </c>
      <c r="I1551" s="159">
        <v>1940757720</v>
      </c>
      <c r="J1551" s="159" t="e">
        <f>bargiri[[#This Row],[مقدار]]*INDEX(invoice[پیش دریافت به ازای هر کیلوگرم],MATCH(bargiri[[#This Row],[شماره سند مبنا]],invoice[شماره پیش فاکتور],0))</f>
        <v>#N/A</v>
      </c>
      <c r="K1551" s="159" t="e">
        <f>bargiri[[#This Row],[مبلغ خالص]]-bargiri[[#This Row],[میزان استهلاک پیش دریافتی]]</f>
        <v>#N/A</v>
      </c>
      <c r="L1551" s="160"/>
      <c r="M1551" s="159"/>
      <c r="N1551" s="159" t="e">
        <f>IF(bargiri[[#This Row],[مبلغ واریزی]]&lt;&gt;"",bargiri[[#This Row],[مانده مبلغ]]-bargiri[[#This Row],[مبلغ واریزی]],bargiri[[#This Row],[مانده مبلغ]])</f>
        <v>#N/A</v>
      </c>
      <c r="O1551" s="159"/>
      <c r="P1551" s="159" t="e">
        <f>VLOOKUP(bargiri[[#This Row],[شماره سند مبنا]],invoice[[شماره پیش فاکتور]:[پیش دریافت به ازای هر کیلوگرم]],14,0)</f>
        <v>#N/A</v>
      </c>
      <c r="Q1551" s="159" t="e">
        <f>IF(bargiri[[#This Row],[مبلغ ناخالص]]-(bargiri[[#This Row],[نرخ استهلاک]]*bargiri[[#This Row],[مقدار]])&lt;0,0,bargiri[[#This Row],[مبلغ ناخالص]]-(bargiri[[#This Row],[نرخ استهلاک]]*bargiri[[#This Row],[مقدار]]))</f>
        <v>#N/A</v>
      </c>
    </row>
    <row r="1552" spans="1:17" s="22" customFormat="1" ht="13.8" x14ac:dyDescent="0.25">
      <c r="A1552" s="22">
        <v>1326</v>
      </c>
      <c r="B1552" s="22" t="s">
        <v>379</v>
      </c>
      <c r="C1552" s="22" t="s">
        <v>128</v>
      </c>
      <c r="D1552" s="22" t="s">
        <v>129</v>
      </c>
      <c r="E1552" s="158">
        <v>9000</v>
      </c>
      <c r="F1552" s="159">
        <v>80000</v>
      </c>
      <c r="G1552" s="159">
        <v>720000000</v>
      </c>
      <c r="H1552" s="159">
        <v>72000000</v>
      </c>
      <c r="I1552" s="159">
        <v>792000000</v>
      </c>
      <c r="J1552" s="159">
        <f>bargiri[[#This Row],[مقدار]]*INDEX(invoice[پیش دریافت به ازای هر کیلوگرم],MATCH(bargiri[[#This Row],[شماره سند مبنا]],invoice[شماره پیش فاکتور],0))</f>
        <v>119376988.77909897</v>
      </c>
      <c r="K1552" s="159">
        <f>bargiri[[#This Row],[مبلغ خالص]]-bargiri[[#This Row],[میزان استهلاک پیش دریافتی]]</f>
        <v>672623011.22090101</v>
      </c>
      <c r="L1552" s="160"/>
      <c r="M1552" s="159"/>
      <c r="N1552" s="159">
        <f>IF(bargiri[[#This Row],[مبلغ واریزی]]&lt;&gt;"",bargiri[[#This Row],[مانده مبلغ]]-bargiri[[#This Row],[مبلغ واریزی]],bargiri[[#This Row],[مانده مبلغ]])</f>
        <v>672623011.22090101</v>
      </c>
      <c r="O1552" s="159"/>
      <c r="P1552" s="159">
        <f>VLOOKUP(bargiri[[#This Row],[شماره سند مبنا]],invoice[[شماره پیش فاکتور]:[پیش دریافت به ازای هر کیلوگرم]],14,0)</f>
        <v>13264.109864344331</v>
      </c>
      <c r="Q1552" s="159">
        <f>IF(bargiri[[#This Row],[مبلغ ناخالص]]-(bargiri[[#This Row],[نرخ استهلاک]]*bargiri[[#This Row],[مقدار]])&lt;0,0,bargiri[[#This Row],[مبلغ ناخالص]]-(bargiri[[#This Row],[نرخ استهلاک]]*bargiri[[#This Row],[مقدار]]))</f>
        <v>600623011.22090101</v>
      </c>
    </row>
    <row r="1553" spans="1:17" s="22" customFormat="1" ht="13.8" x14ac:dyDescent="0.25">
      <c r="A1553" s="22">
        <v>1325</v>
      </c>
      <c r="B1553" s="22" t="s">
        <v>379</v>
      </c>
      <c r="C1553" s="22" t="s">
        <v>59</v>
      </c>
      <c r="D1553" s="22" t="s">
        <v>57</v>
      </c>
      <c r="E1553" s="158">
        <v>10005</v>
      </c>
      <c r="F1553" s="159">
        <v>80000</v>
      </c>
      <c r="G1553" s="159">
        <v>800400000</v>
      </c>
      <c r="H1553" s="159">
        <v>72036000</v>
      </c>
      <c r="I1553" s="159">
        <v>872436000</v>
      </c>
      <c r="J1553" s="159" t="e">
        <f>bargiri[[#This Row],[مقدار]]*INDEX(invoice[پیش دریافت به ازای هر کیلوگرم],MATCH(bargiri[[#This Row],[شماره سند مبنا]],invoice[شماره پیش فاکتور],0))</f>
        <v>#N/A</v>
      </c>
      <c r="K1553" s="159" t="e">
        <f>bargiri[[#This Row],[مبلغ خالص]]-bargiri[[#This Row],[میزان استهلاک پیش دریافتی]]</f>
        <v>#N/A</v>
      </c>
      <c r="L1553" s="160"/>
      <c r="M1553" s="159"/>
      <c r="N1553" s="159" t="e">
        <f>IF(bargiri[[#This Row],[مبلغ واریزی]]&lt;&gt;"",bargiri[[#This Row],[مانده مبلغ]]-bargiri[[#This Row],[مبلغ واریزی]],bargiri[[#This Row],[مانده مبلغ]])</f>
        <v>#N/A</v>
      </c>
      <c r="O1553" s="159"/>
      <c r="P1553" s="159" t="e">
        <f>VLOOKUP(bargiri[[#This Row],[شماره سند مبنا]],invoice[[شماره پیش فاکتور]:[پیش دریافت به ازای هر کیلوگرم]],14,0)</f>
        <v>#N/A</v>
      </c>
      <c r="Q1553" s="159" t="e">
        <f>IF(bargiri[[#This Row],[مبلغ ناخالص]]-(bargiri[[#This Row],[نرخ استهلاک]]*bargiri[[#This Row],[مقدار]])&lt;0,0,bargiri[[#This Row],[مبلغ ناخالص]]-(bargiri[[#This Row],[نرخ استهلاک]]*bargiri[[#This Row],[مقدار]]))</f>
        <v>#N/A</v>
      </c>
    </row>
    <row r="1554" spans="1:17" s="22" customFormat="1" ht="13.8" x14ac:dyDescent="0.25">
      <c r="A1554" s="22">
        <v>1324</v>
      </c>
      <c r="B1554" s="22" t="s">
        <v>253</v>
      </c>
      <c r="C1554" s="22" t="s">
        <v>72</v>
      </c>
      <c r="D1554" s="22" t="s">
        <v>73</v>
      </c>
      <c r="E1554" s="158">
        <v>20400</v>
      </c>
      <c r="F1554" s="159">
        <v>57273</v>
      </c>
      <c r="G1554" s="159">
        <v>1168369200</v>
      </c>
      <c r="H1554" s="159">
        <v>116836920</v>
      </c>
      <c r="I1554" s="159">
        <v>1285206120</v>
      </c>
      <c r="J1554" s="159" t="e">
        <f>bargiri[[#This Row],[مقدار]]*INDEX(invoice[پیش دریافت به ازای هر کیلوگرم],MATCH(bargiri[[#This Row],[شماره سند مبنا]],invoice[شماره پیش فاکتور],0))</f>
        <v>#N/A</v>
      </c>
      <c r="K1554" s="159" t="e">
        <f>bargiri[[#This Row],[مبلغ خالص]]-bargiri[[#This Row],[میزان استهلاک پیش دریافتی]]</f>
        <v>#N/A</v>
      </c>
      <c r="L1554" s="160"/>
      <c r="M1554" s="159"/>
      <c r="N1554" s="159" t="e">
        <f>IF(bargiri[[#This Row],[مبلغ واریزی]]&lt;&gt;"",bargiri[[#This Row],[مانده مبلغ]]-bargiri[[#This Row],[مبلغ واریزی]],bargiri[[#This Row],[مانده مبلغ]])</f>
        <v>#N/A</v>
      </c>
      <c r="O1554" s="159"/>
      <c r="P1554" s="159" t="e">
        <f>VLOOKUP(bargiri[[#This Row],[شماره سند مبنا]],invoice[[شماره پیش فاکتور]:[پیش دریافت به ازای هر کیلوگرم]],14,0)</f>
        <v>#N/A</v>
      </c>
      <c r="Q1554" s="159" t="e">
        <f>IF(bargiri[[#This Row],[مبلغ ناخالص]]-(bargiri[[#This Row],[نرخ استهلاک]]*bargiri[[#This Row],[مقدار]])&lt;0,0,bargiri[[#This Row],[مبلغ ناخالص]]-(bargiri[[#This Row],[نرخ استهلاک]]*bargiri[[#This Row],[مقدار]]))</f>
        <v>#N/A</v>
      </c>
    </row>
    <row r="1555" spans="1:17" s="22" customFormat="1" ht="13.8" x14ac:dyDescent="0.25">
      <c r="A1555" s="22">
        <v>1323</v>
      </c>
      <c r="B1555" s="22" t="s">
        <v>253</v>
      </c>
      <c r="C1555" s="22" t="s">
        <v>72</v>
      </c>
      <c r="D1555" s="22" t="s">
        <v>73</v>
      </c>
      <c r="E1555" s="158">
        <v>21110</v>
      </c>
      <c r="F1555" s="159">
        <v>57273</v>
      </c>
      <c r="G1555" s="159">
        <v>1209033030</v>
      </c>
      <c r="H1555" s="159">
        <v>120903303</v>
      </c>
      <c r="I1555" s="159">
        <v>1329936333</v>
      </c>
      <c r="J1555" s="159" t="e">
        <f>bargiri[[#This Row],[مقدار]]*INDEX(invoice[پیش دریافت به ازای هر کیلوگرم],MATCH(bargiri[[#This Row],[شماره سند مبنا]],invoice[شماره پیش فاکتور],0))</f>
        <v>#N/A</v>
      </c>
      <c r="K1555" s="159" t="e">
        <f>bargiri[[#This Row],[مبلغ خالص]]-bargiri[[#This Row],[میزان استهلاک پیش دریافتی]]</f>
        <v>#N/A</v>
      </c>
      <c r="L1555" s="160"/>
      <c r="M1555" s="159"/>
      <c r="N1555" s="159" t="e">
        <f>IF(bargiri[[#This Row],[مبلغ واریزی]]&lt;&gt;"",bargiri[[#This Row],[مانده مبلغ]]-bargiri[[#This Row],[مبلغ واریزی]],bargiri[[#This Row],[مانده مبلغ]])</f>
        <v>#N/A</v>
      </c>
      <c r="O1555" s="159"/>
      <c r="P1555" s="159" t="e">
        <f>VLOOKUP(bargiri[[#This Row],[شماره سند مبنا]],invoice[[شماره پیش فاکتور]:[پیش دریافت به ازای هر کیلوگرم]],14,0)</f>
        <v>#N/A</v>
      </c>
      <c r="Q1555" s="159" t="e">
        <f>IF(bargiri[[#This Row],[مبلغ ناخالص]]-(bargiri[[#This Row],[نرخ استهلاک]]*bargiri[[#This Row],[مقدار]])&lt;0,0,bargiri[[#This Row],[مبلغ ناخالص]]-(bargiri[[#This Row],[نرخ استهلاک]]*bargiri[[#This Row],[مقدار]]))</f>
        <v>#N/A</v>
      </c>
    </row>
    <row r="1556" spans="1:17" s="22" customFormat="1" ht="13.8" x14ac:dyDescent="0.25">
      <c r="A1556" s="22">
        <v>1322</v>
      </c>
      <c r="B1556" s="22" t="s">
        <v>253</v>
      </c>
      <c r="C1556" s="22" t="s">
        <v>109</v>
      </c>
      <c r="D1556" s="22" t="s">
        <v>110</v>
      </c>
      <c r="E1556" s="158">
        <v>18300</v>
      </c>
      <c r="F1556" s="159">
        <v>70000</v>
      </c>
      <c r="G1556" s="159">
        <v>1281000000</v>
      </c>
      <c r="H1556" s="159">
        <v>128100000</v>
      </c>
      <c r="I1556" s="159">
        <v>1409100000</v>
      </c>
      <c r="J1556" s="159" t="e">
        <f>bargiri[[#This Row],[مقدار]]*INDEX(invoice[پیش دریافت به ازای هر کیلوگرم],MATCH(bargiri[[#This Row],[شماره سند مبنا]],invoice[شماره پیش فاکتور],0))</f>
        <v>#N/A</v>
      </c>
      <c r="K1556" s="159" t="e">
        <f>bargiri[[#This Row],[مبلغ خالص]]-bargiri[[#This Row],[میزان استهلاک پیش دریافتی]]</f>
        <v>#N/A</v>
      </c>
      <c r="L1556" s="160"/>
      <c r="M1556" s="159"/>
      <c r="N1556" s="159" t="e">
        <f>IF(bargiri[[#This Row],[مبلغ واریزی]]&lt;&gt;"",bargiri[[#This Row],[مانده مبلغ]]-bargiri[[#This Row],[مبلغ واریزی]],bargiri[[#This Row],[مانده مبلغ]])</f>
        <v>#N/A</v>
      </c>
      <c r="O1556" s="159"/>
      <c r="P1556" s="159" t="e">
        <f>VLOOKUP(bargiri[[#This Row],[شماره سند مبنا]],invoice[[شماره پیش فاکتور]:[پیش دریافت به ازای هر کیلوگرم]],14,0)</f>
        <v>#N/A</v>
      </c>
      <c r="Q1556" s="159" t="e">
        <f>IF(bargiri[[#This Row],[مبلغ ناخالص]]-(bargiri[[#This Row],[نرخ استهلاک]]*bargiri[[#This Row],[مقدار]])&lt;0,0,bargiri[[#This Row],[مبلغ ناخالص]]-(bargiri[[#This Row],[نرخ استهلاک]]*bargiri[[#This Row],[مقدار]]))</f>
        <v>#N/A</v>
      </c>
    </row>
    <row r="1557" spans="1:17" s="22" customFormat="1" ht="13.8" x14ac:dyDescent="0.25">
      <c r="A1557" s="22">
        <v>1321</v>
      </c>
      <c r="B1557" s="22" t="s">
        <v>333</v>
      </c>
      <c r="C1557" s="22" t="s">
        <v>172</v>
      </c>
      <c r="D1557" s="22" t="s">
        <v>173</v>
      </c>
      <c r="E1557" s="158">
        <v>19455</v>
      </c>
      <c r="F1557" s="159">
        <v>75000</v>
      </c>
      <c r="G1557" s="159">
        <v>1459125000</v>
      </c>
      <c r="H1557" s="159">
        <v>145912500</v>
      </c>
      <c r="I1557" s="159">
        <v>1605037500</v>
      </c>
      <c r="J1557" s="159">
        <f>bargiri[[#This Row],[مقدار]]*INDEX(invoice[پیش دریافت به ازای هر کیلوگرم],MATCH(bargiri[[#This Row],[شماره سند مبنا]],invoice[شماره پیش فاکتور],0))</f>
        <v>240755625</v>
      </c>
      <c r="K1557" s="159">
        <f>bargiri[[#This Row],[مبلغ خالص]]-bargiri[[#This Row],[میزان استهلاک پیش دریافتی]]</f>
        <v>1364281875</v>
      </c>
      <c r="L1557" s="160"/>
      <c r="M1557" s="159"/>
      <c r="N1557" s="159">
        <f>IF(bargiri[[#This Row],[مبلغ واریزی]]&lt;&gt;"",bargiri[[#This Row],[مانده مبلغ]]-bargiri[[#This Row],[مبلغ واریزی]],bargiri[[#This Row],[مانده مبلغ]])</f>
        <v>1364281875</v>
      </c>
      <c r="O1557" s="159"/>
      <c r="P1557" s="159">
        <f>VLOOKUP(bargiri[[#This Row],[شماره سند مبنا]],invoice[[شماره پیش فاکتور]:[پیش دریافت به ازای هر کیلوگرم]],14,0)</f>
        <v>12375</v>
      </c>
      <c r="Q1557" s="159">
        <f>IF(bargiri[[#This Row],[مبلغ ناخالص]]-(bargiri[[#This Row],[نرخ استهلاک]]*bargiri[[#This Row],[مقدار]])&lt;0,0,bargiri[[#This Row],[مبلغ ناخالص]]-(bargiri[[#This Row],[نرخ استهلاک]]*bargiri[[#This Row],[مقدار]]))</f>
        <v>1218369375</v>
      </c>
    </row>
    <row r="1558" spans="1:17" s="22" customFormat="1" ht="13.8" x14ac:dyDescent="0.25">
      <c r="A1558" s="22">
        <v>1320</v>
      </c>
      <c r="B1558" s="22" t="s">
        <v>333</v>
      </c>
      <c r="C1558" s="22" t="s">
        <v>191</v>
      </c>
      <c r="D1558" s="22" t="s">
        <v>67</v>
      </c>
      <c r="E1558" s="158">
        <v>280</v>
      </c>
      <c r="F1558" s="159">
        <v>65000</v>
      </c>
      <c r="G1558" s="159">
        <v>18200000</v>
      </c>
      <c r="H1558" s="159">
        <v>1820000</v>
      </c>
      <c r="I1558" s="159">
        <v>20020000</v>
      </c>
      <c r="J1558" s="159" t="e">
        <f>bargiri[[#This Row],[مقدار]]*INDEX(invoice[پیش دریافت به ازای هر کیلوگرم],MATCH(bargiri[[#This Row],[شماره سند مبنا]],invoice[شماره پیش فاکتور],0))</f>
        <v>#N/A</v>
      </c>
      <c r="K1558" s="159" t="e">
        <f>bargiri[[#This Row],[مبلغ خالص]]-bargiri[[#This Row],[میزان استهلاک پیش دریافتی]]</f>
        <v>#N/A</v>
      </c>
      <c r="L1558" s="160"/>
      <c r="M1558" s="159"/>
      <c r="N1558" s="159" t="e">
        <f>IF(bargiri[[#This Row],[مبلغ واریزی]]&lt;&gt;"",bargiri[[#This Row],[مانده مبلغ]]-bargiri[[#This Row],[مبلغ واریزی]],bargiri[[#This Row],[مانده مبلغ]])</f>
        <v>#N/A</v>
      </c>
      <c r="O1558" s="159"/>
      <c r="P1558" s="159" t="e">
        <f>VLOOKUP(bargiri[[#This Row],[شماره سند مبنا]],invoice[[شماره پیش فاکتور]:[پیش دریافت به ازای هر کیلوگرم]],14,0)</f>
        <v>#N/A</v>
      </c>
      <c r="Q1558" s="159" t="e">
        <f>IF(bargiri[[#This Row],[مبلغ ناخالص]]-(bargiri[[#This Row],[نرخ استهلاک]]*bargiri[[#This Row],[مقدار]])&lt;0,0,bargiri[[#This Row],[مبلغ ناخالص]]-(bargiri[[#This Row],[نرخ استهلاک]]*bargiri[[#This Row],[مقدار]]))</f>
        <v>#N/A</v>
      </c>
    </row>
    <row r="1559" spans="1:17" s="22" customFormat="1" ht="13.8" x14ac:dyDescent="0.25">
      <c r="A1559" s="22">
        <v>1320</v>
      </c>
      <c r="B1559" s="22" t="s">
        <v>333</v>
      </c>
      <c r="C1559" s="22" t="s">
        <v>66</v>
      </c>
      <c r="D1559" s="22" t="s">
        <v>67</v>
      </c>
      <c r="E1559" s="158">
        <v>17735</v>
      </c>
      <c r="F1559" s="159">
        <v>68500</v>
      </c>
      <c r="G1559" s="159">
        <v>1214847500</v>
      </c>
      <c r="H1559" s="159">
        <v>109336275</v>
      </c>
      <c r="I1559" s="159">
        <v>1324183775</v>
      </c>
      <c r="J1559" s="159" t="e">
        <f>bargiri[[#This Row],[مقدار]]*INDEX(invoice[پیش دریافت به ازای هر کیلوگرم],MATCH(bargiri[[#This Row],[شماره سند مبنا]],invoice[شماره پیش فاکتور],0))</f>
        <v>#N/A</v>
      </c>
      <c r="K1559" s="159" t="e">
        <f>bargiri[[#This Row],[مبلغ خالص]]-bargiri[[#This Row],[میزان استهلاک پیش دریافتی]]</f>
        <v>#N/A</v>
      </c>
      <c r="L1559" s="160"/>
      <c r="M1559" s="159"/>
      <c r="N1559" s="159" t="e">
        <f>IF(bargiri[[#This Row],[مبلغ واریزی]]&lt;&gt;"",bargiri[[#This Row],[مانده مبلغ]]-bargiri[[#This Row],[مبلغ واریزی]],bargiri[[#This Row],[مانده مبلغ]])</f>
        <v>#N/A</v>
      </c>
      <c r="O1559" s="159"/>
      <c r="P1559" s="159" t="e">
        <f>VLOOKUP(bargiri[[#This Row],[شماره سند مبنا]],invoice[[شماره پیش فاکتور]:[پیش دریافت به ازای هر کیلوگرم]],14,0)</f>
        <v>#N/A</v>
      </c>
      <c r="Q1559" s="159" t="e">
        <f>IF(bargiri[[#This Row],[مبلغ ناخالص]]-(bargiri[[#This Row],[نرخ استهلاک]]*bargiri[[#This Row],[مقدار]])&lt;0,0,bargiri[[#This Row],[مبلغ ناخالص]]-(bargiri[[#This Row],[نرخ استهلاک]]*bargiri[[#This Row],[مقدار]]))</f>
        <v>#N/A</v>
      </c>
    </row>
    <row r="1560" spans="1:17" s="22" customFormat="1" ht="13.8" x14ac:dyDescent="0.25">
      <c r="A1560" s="22">
        <v>1319</v>
      </c>
      <c r="B1560" s="22" t="s">
        <v>333</v>
      </c>
      <c r="C1560" s="22" t="s">
        <v>119</v>
      </c>
      <c r="D1560" s="22" t="s">
        <v>25</v>
      </c>
      <c r="E1560" s="158">
        <v>20040</v>
      </c>
      <c r="F1560" s="159">
        <v>75000</v>
      </c>
      <c r="G1560" s="159">
        <v>1503000000</v>
      </c>
      <c r="H1560" s="159">
        <v>150300000</v>
      </c>
      <c r="I1560" s="159">
        <v>1653300000</v>
      </c>
      <c r="J1560" s="159">
        <f>bargiri[[#This Row],[مقدار]]*INDEX(invoice[پیش دریافت به ازای هر کیلوگرم],MATCH(bargiri[[#This Row],[شماره سند مبنا]],invoice[شماره پیش فاکتور],0))</f>
        <v>247995000</v>
      </c>
      <c r="K1560" s="159">
        <f>bargiri[[#This Row],[مبلغ خالص]]-bargiri[[#This Row],[میزان استهلاک پیش دریافتی]]</f>
        <v>1405305000</v>
      </c>
      <c r="L1560" s="160"/>
      <c r="M1560" s="159"/>
      <c r="N1560" s="159">
        <f>IF(bargiri[[#This Row],[مبلغ واریزی]]&lt;&gt;"",bargiri[[#This Row],[مانده مبلغ]]-bargiri[[#This Row],[مبلغ واریزی]],bargiri[[#This Row],[مانده مبلغ]])</f>
        <v>1405305000</v>
      </c>
      <c r="O1560" s="159"/>
      <c r="P1560" s="159">
        <f>VLOOKUP(bargiri[[#This Row],[شماره سند مبنا]],invoice[[شماره پیش فاکتور]:[پیش دریافت به ازای هر کیلوگرم]],14,0)</f>
        <v>12375</v>
      </c>
      <c r="Q1560" s="159">
        <f>IF(bargiri[[#This Row],[مبلغ ناخالص]]-(bargiri[[#This Row],[نرخ استهلاک]]*bargiri[[#This Row],[مقدار]])&lt;0,0,bargiri[[#This Row],[مبلغ ناخالص]]-(bargiri[[#This Row],[نرخ استهلاک]]*bargiri[[#This Row],[مقدار]]))</f>
        <v>1255005000</v>
      </c>
    </row>
    <row r="1561" spans="1:17" s="22" customFormat="1" ht="13.8" x14ac:dyDescent="0.25">
      <c r="A1561" s="22">
        <v>1318</v>
      </c>
      <c r="B1561" s="22" t="s">
        <v>200</v>
      </c>
      <c r="C1561" s="22" t="s">
        <v>115</v>
      </c>
      <c r="D1561" s="22" t="s">
        <v>116</v>
      </c>
      <c r="E1561" s="158">
        <v>18980</v>
      </c>
      <c r="F1561" s="159">
        <v>75000</v>
      </c>
      <c r="G1561" s="159">
        <v>1423500000</v>
      </c>
      <c r="H1561" s="159">
        <v>142350000</v>
      </c>
      <c r="I1561" s="159">
        <v>1565850000</v>
      </c>
      <c r="J1561" s="159">
        <f>bargiri[[#This Row],[مقدار]]*INDEX(invoice[پیش دریافت به ازای هر کیلوگرم],MATCH(bargiri[[#This Row],[شماره سند مبنا]],invoice[شماره پیش فاکتور],0))</f>
        <v>284893727.7348597</v>
      </c>
      <c r="K1561" s="159">
        <f>bargiri[[#This Row],[مبلغ خالص]]-bargiri[[#This Row],[میزان استهلاک پیش دریافتی]]</f>
        <v>1280956272.2651403</v>
      </c>
      <c r="L1561" s="160"/>
      <c r="M1561" s="159"/>
      <c r="N1561" s="159">
        <f>IF(bargiri[[#This Row],[مبلغ واریزی]]&lt;&gt;"",bargiri[[#This Row],[مانده مبلغ]]-bargiri[[#This Row],[مبلغ واریزی]],bargiri[[#This Row],[مانده مبلغ]])</f>
        <v>1280956272.2651403</v>
      </c>
      <c r="O1561" s="159"/>
      <c r="P1561" s="159">
        <f>VLOOKUP(bargiri[[#This Row],[شماره سند مبنا]],invoice[[شماره پیش فاکتور]:[پیش دریافت به ازای هر کیلوگرم]],14,0)</f>
        <v>15010.206940719689</v>
      </c>
      <c r="Q1561" s="159">
        <f>IF(bargiri[[#This Row],[مبلغ ناخالص]]-(bargiri[[#This Row],[نرخ استهلاک]]*bargiri[[#This Row],[مقدار]])&lt;0,0,bargiri[[#This Row],[مبلغ ناخالص]]-(bargiri[[#This Row],[نرخ استهلاک]]*bargiri[[#This Row],[مقدار]]))</f>
        <v>1138606272.2651403</v>
      </c>
    </row>
    <row r="1562" spans="1:17" s="22" customFormat="1" ht="13.8" x14ac:dyDescent="0.25">
      <c r="A1562" s="22">
        <v>1317</v>
      </c>
      <c r="B1562" s="22" t="s">
        <v>200</v>
      </c>
      <c r="C1562" s="22" t="s">
        <v>107</v>
      </c>
      <c r="D1562" s="22" t="s">
        <v>30</v>
      </c>
      <c r="E1562" s="158">
        <v>11405</v>
      </c>
      <c r="F1562" s="159">
        <v>70000</v>
      </c>
      <c r="G1562" s="159">
        <v>798350000</v>
      </c>
      <c r="H1562" s="159">
        <v>79835000</v>
      </c>
      <c r="I1562" s="159">
        <v>878185000</v>
      </c>
      <c r="J1562" s="159">
        <f>bargiri[[#This Row],[مقدار]]*INDEX(invoice[پیش دریافت به ازای هر کیلوگرم],MATCH(bargiri[[#This Row],[شماره سند مبنا]],invoice[شماره پیش فاکتور],0))</f>
        <v>439092500</v>
      </c>
      <c r="K1562" s="159">
        <f>bargiri[[#This Row],[مبلغ خالص]]-bargiri[[#This Row],[میزان استهلاک پیش دریافتی]]</f>
        <v>439092500</v>
      </c>
      <c r="L1562" s="160"/>
      <c r="M1562" s="159"/>
      <c r="N1562" s="159">
        <f>IF(bargiri[[#This Row],[مبلغ واریزی]]&lt;&gt;"",bargiri[[#This Row],[مانده مبلغ]]-bargiri[[#This Row],[مبلغ واریزی]],bargiri[[#This Row],[مانده مبلغ]])</f>
        <v>439092500</v>
      </c>
      <c r="O1562" s="159"/>
      <c r="P1562" s="159">
        <f>VLOOKUP(bargiri[[#This Row],[شماره سند مبنا]],invoice[[شماره پیش فاکتور]:[پیش دریافت به ازای هر کیلوگرم]],14,0)</f>
        <v>38500</v>
      </c>
      <c r="Q1562" s="159">
        <f>IF(bargiri[[#This Row],[مبلغ ناخالص]]-(bargiri[[#This Row],[نرخ استهلاک]]*bargiri[[#This Row],[مقدار]])&lt;0,0,bargiri[[#This Row],[مبلغ ناخالص]]-(bargiri[[#This Row],[نرخ استهلاک]]*bargiri[[#This Row],[مقدار]]))</f>
        <v>359257500</v>
      </c>
    </row>
    <row r="1563" spans="1:17" s="22" customFormat="1" ht="13.8" x14ac:dyDescent="0.25">
      <c r="A1563" s="22">
        <v>1316</v>
      </c>
      <c r="B1563" s="22" t="s">
        <v>200</v>
      </c>
      <c r="C1563" s="22" t="s">
        <v>191</v>
      </c>
      <c r="D1563" s="22" t="s">
        <v>67</v>
      </c>
      <c r="E1563" s="158">
        <v>18105</v>
      </c>
      <c r="F1563" s="159">
        <v>65000</v>
      </c>
      <c r="G1563" s="159">
        <v>1176825000</v>
      </c>
      <c r="H1563" s="159">
        <v>117682500</v>
      </c>
      <c r="I1563" s="159">
        <v>1294507500</v>
      </c>
      <c r="J1563" s="159" t="e">
        <f>bargiri[[#This Row],[مقدار]]*INDEX(invoice[پیش دریافت به ازای هر کیلوگرم],MATCH(bargiri[[#This Row],[شماره سند مبنا]],invoice[شماره پیش فاکتور],0))</f>
        <v>#N/A</v>
      </c>
      <c r="K1563" s="159" t="e">
        <f>bargiri[[#This Row],[مبلغ خالص]]-bargiri[[#This Row],[میزان استهلاک پیش دریافتی]]</f>
        <v>#N/A</v>
      </c>
      <c r="L1563" s="160"/>
      <c r="M1563" s="159"/>
      <c r="N1563" s="159" t="e">
        <f>IF(bargiri[[#This Row],[مبلغ واریزی]]&lt;&gt;"",bargiri[[#This Row],[مانده مبلغ]]-bargiri[[#This Row],[مبلغ واریزی]],bargiri[[#This Row],[مانده مبلغ]])</f>
        <v>#N/A</v>
      </c>
      <c r="O1563" s="159"/>
      <c r="P1563" s="159" t="e">
        <f>VLOOKUP(bargiri[[#This Row],[شماره سند مبنا]],invoice[[شماره پیش فاکتور]:[پیش دریافت به ازای هر کیلوگرم]],14,0)</f>
        <v>#N/A</v>
      </c>
      <c r="Q1563" s="159" t="e">
        <f>IF(bargiri[[#This Row],[مبلغ ناخالص]]-(bargiri[[#This Row],[نرخ استهلاک]]*bargiri[[#This Row],[مقدار]])&lt;0,0,bargiri[[#This Row],[مبلغ ناخالص]]-(bargiri[[#This Row],[نرخ استهلاک]]*bargiri[[#This Row],[مقدار]]))</f>
        <v>#N/A</v>
      </c>
    </row>
    <row r="1564" spans="1:17" s="22" customFormat="1" ht="13.8" x14ac:dyDescent="0.25">
      <c r="A1564" s="22">
        <v>1315</v>
      </c>
      <c r="B1564" s="22" t="s">
        <v>200</v>
      </c>
      <c r="C1564" s="22" t="s">
        <v>72</v>
      </c>
      <c r="D1564" s="22" t="s">
        <v>73</v>
      </c>
      <c r="E1564" s="158">
        <v>20880</v>
      </c>
      <c r="F1564" s="159">
        <v>57273</v>
      </c>
      <c r="G1564" s="159">
        <v>1195860240</v>
      </c>
      <c r="H1564" s="159">
        <v>119586024</v>
      </c>
      <c r="I1564" s="159">
        <v>1315446264</v>
      </c>
      <c r="J1564" s="159" t="e">
        <f>bargiri[[#This Row],[مقدار]]*INDEX(invoice[پیش دریافت به ازای هر کیلوگرم],MATCH(bargiri[[#This Row],[شماره سند مبنا]],invoice[شماره پیش فاکتور],0))</f>
        <v>#N/A</v>
      </c>
      <c r="K1564" s="159" t="e">
        <f>bargiri[[#This Row],[مبلغ خالص]]-bargiri[[#This Row],[میزان استهلاک پیش دریافتی]]</f>
        <v>#N/A</v>
      </c>
      <c r="L1564" s="160"/>
      <c r="M1564" s="159"/>
      <c r="N1564" s="159" t="e">
        <f>IF(bargiri[[#This Row],[مبلغ واریزی]]&lt;&gt;"",bargiri[[#This Row],[مانده مبلغ]]-bargiri[[#This Row],[مبلغ واریزی]],bargiri[[#This Row],[مانده مبلغ]])</f>
        <v>#N/A</v>
      </c>
      <c r="O1564" s="159"/>
      <c r="P1564" s="159" t="e">
        <f>VLOOKUP(bargiri[[#This Row],[شماره سند مبنا]],invoice[[شماره پیش فاکتور]:[پیش دریافت به ازای هر کیلوگرم]],14,0)</f>
        <v>#N/A</v>
      </c>
      <c r="Q1564" s="159" t="e">
        <f>IF(bargiri[[#This Row],[مبلغ ناخالص]]-(bargiri[[#This Row],[نرخ استهلاک]]*bargiri[[#This Row],[مقدار]])&lt;0,0,bargiri[[#This Row],[مبلغ ناخالص]]-(bargiri[[#This Row],[نرخ استهلاک]]*bargiri[[#This Row],[مقدار]]))</f>
        <v>#N/A</v>
      </c>
    </row>
    <row r="1565" spans="1:17" s="22" customFormat="1" ht="13.8" x14ac:dyDescent="0.25">
      <c r="A1565" s="22">
        <v>1314</v>
      </c>
      <c r="B1565" s="22" t="s">
        <v>200</v>
      </c>
      <c r="C1565" s="22" t="s">
        <v>72</v>
      </c>
      <c r="D1565" s="22" t="s">
        <v>73</v>
      </c>
      <c r="E1565" s="158">
        <v>20960</v>
      </c>
      <c r="F1565" s="159">
        <v>57273</v>
      </c>
      <c r="G1565" s="159">
        <v>1200442080</v>
      </c>
      <c r="H1565" s="159">
        <v>120044208</v>
      </c>
      <c r="I1565" s="159">
        <v>1320486288</v>
      </c>
      <c r="J1565" s="159" t="e">
        <f>bargiri[[#This Row],[مقدار]]*INDEX(invoice[پیش دریافت به ازای هر کیلوگرم],MATCH(bargiri[[#This Row],[شماره سند مبنا]],invoice[شماره پیش فاکتور],0))</f>
        <v>#N/A</v>
      </c>
      <c r="K1565" s="159" t="e">
        <f>bargiri[[#This Row],[مبلغ خالص]]-bargiri[[#This Row],[میزان استهلاک پیش دریافتی]]</f>
        <v>#N/A</v>
      </c>
      <c r="L1565" s="160"/>
      <c r="M1565" s="159"/>
      <c r="N1565" s="159" t="e">
        <f>IF(bargiri[[#This Row],[مبلغ واریزی]]&lt;&gt;"",bargiri[[#This Row],[مانده مبلغ]]-bargiri[[#This Row],[مبلغ واریزی]],bargiri[[#This Row],[مانده مبلغ]])</f>
        <v>#N/A</v>
      </c>
      <c r="O1565" s="159"/>
      <c r="P1565" s="159" t="e">
        <f>VLOOKUP(bargiri[[#This Row],[شماره سند مبنا]],invoice[[شماره پیش فاکتور]:[پیش دریافت به ازای هر کیلوگرم]],14,0)</f>
        <v>#N/A</v>
      </c>
      <c r="Q1565" s="159" t="e">
        <f>IF(bargiri[[#This Row],[مبلغ ناخالص]]-(bargiri[[#This Row],[نرخ استهلاک]]*bargiri[[#This Row],[مقدار]])&lt;0,0,bargiri[[#This Row],[مبلغ ناخالص]]-(bargiri[[#This Row],[نرخ استهلاک]]*bargiri[[#This Row],[مقدار]]))</f>
        <v>#N/A</v>
      </c>
    </row>
    <row r="1566" spans="1:17" s="22" customFormat="1" ht="13.8" x14ac:dyDescent="0.25">
      <c r="A1566" s="22">
        <v>1313</v>
      </c>
      <c r="B1566" s="22" t="s">
        <v>200</v>
      </c>
      <c r="C1566" s="22" t="s">
        <v>72</v>
      </c>
      <c r="D1566" s="22" t="s">
        <v>73</v>
      </c>
      <c r="E1566" s="158">
        <v>21645</v>
      </c>
      <c r="F1566" s="159">
        <v>57273</v>
      </c>
      <c r="G1566" s="159">
        <v>1239674085</v>
      </c>
      <c r="H1566" s="159">
        <v>123967409</v>
      </c>
      <c r="I1566" s="159">
        <v>1363641494</v>
      </c>
      <c r="J1566" s="159" t="e">
        <f>bargiri[[#This Row],[مقدار]]*INDEX(invoice[پیش دریافت به ازای هر کیلوگرم],MATCH(bargiri[[#This Row],[شماره سند مبنا]],invoice[شماره پیش فاکتور],0))</f>
        <v>#N/A</v>
      </c>
      <c r="K1566" s="159" t="e">
        <f>bargiri[[#This Row],[مبلغ خالص]]-bargiri[[#This Row],[میزان استهلاک پیش دریافتی]]</f>
        <v>#N/A</v>
      </c>
      <c r="L1566" s="160"/>
      <c r="M1566" s="159"/>
      <c r="N1566" s="159" t="e">
        <f>IF(bargiri[[#This Row],[مبلغ واریزی]]&lt;&gt;"",bargiri[[#This Row],[مانده مبلغ]]-bargiri[[#This Row],[مبلغ واریزی]],bargiri[[#This Row],[مانده مبلغ]])</f>
        <v>#N/A</v>
      </c>
      <c r="O1566" s="159"/>
      <c r="P1566" s="159" t="e">
        <f>VLOOKUP(bargiri[[#This Row],[شماره سند مبنا]],invoice[[شماره پیش فاکتور]:[پیش دریافت به ازای هر کیلوگرم]],14,0)</f>
        <v>#N/A</v>
      </c>
      <c r="Q1566" s="159" t="e">
        <f>IF(bargiri[[#This Row],[مبلغ ناخالص]]-(bargiri[[#This Row],[نرخ استهلاک]]*bargiri[[#This Row],[مقدار]])&lt;0,0,bargiri[[#This Row],[مبلغ ناخالص]]-(bargiri[[#This Row],[نرخ استهلاک]]*bargiri[[#This Row],[مقدار]]))</f>
        <v>#N/A</v>
      </c>
    </row>
    <row r="1567" spans="1:17" s="22" customFormat="1" ht="13.8" x14ac:dyDescent="0.25">
      <c r="A1567" s="22">
        <v>1312</v>
      </c>
      <c r="B1567" s="22" t="s">
        <v>222</v>
      </c>
      <c r="C1567" s="22" t="s">
        <v>191</v>
      </c>
      <c r="D1567" s="22" t="s">
        <v>67</v>
      </c>
      <c r="E1567" s="158">
        <v>18985</v>
      </c>
      <c r="F1567" s="159">
        <v>65000</v>
      </c>
      <c r="G1567" s="159">
        <v>1234025000</v>
      </c>
      <c r="H1567" s="159">
        <v>123402500</v>
      </c>
      <c r="I1567" s="159">
        <v>1357427500</v>
      </c>
      <c r="J1567" s="159" t="e">
        <f>bargiri[[#This Row],[مقدار]]*INDEX(invoice[پیش دریافت به ازای هر کیلوگرم],MATCH(bargiri[[#This Row],[شماره سند مبنا]],invoice[شماره پیش فاکتور],0))</f>
        <v>#N/A</v>
      </c>
      <c r="K1567" s="159" t="e">
        <f>bargiri[[#This Row],[مبلغ خالص]]-bargiri[[#This Row],[میزان استهلاک پیش دریافتی]]</f>
        <v>#N/A</v>
      </c>
      <c r="L1567" s="160"/>
      <c r="M1567" s="159"/>
      <c r="N1567" s="159" t="e">
        <f>IF(bargiri[[#This Row],[مبلغ واریزی]]&lt;&gt;"",bargiri[[#This Row],[مانده مبلغ]]-bargiri[[#This Row],[مبلغ واریزی]],bargiri[[#This Row],[مانده مبلغ]])</f>
        <v>#N/A</v>
      </c>
      <c r="O1567" s="159"/>
      <c r="P1567" s="159" t="e">
        <f>VLOOKUP(bargiri[[#This Row],[شماره سند مبنا]],invoice[[شماره پیش فاکتور]:[پیش دریافت به ازای هر کیلوگرم]],14,0)</f>
        <v>#N/A</v>
      </c>
      <c r="Q1567" s="159" t="e">
        <f>IF(bargiri[[#This Row],[مبلغ ناخالص]]-(bargiri[[#This Row],[نرخ استهلاک]]*bargiri[[#This Row],[مقدار]])&lt;0,0,bargiri[[#This Row],[مبلغ ناخالص]]-(bargiri[[#This Row],[نرخ استهلاک]]*bargiri[[#This Row],[مقدار]]))</f>
        <v>#N/A</v>
      </c>
    </row>
    <row r="1568" spans="1:17" s="22" customFormat="1" ht="13.8" x14ac:dyDescent="0.25">
      <c r="A1568" s="22">
        <v>1311</v>
      </c>
      <c r="B1568" s="22" t="s">
        <v>222</v>
      </c>
      <c r="C1568" s="22" t="s">
        <v>155</v>
      </c>
      <c r="D1568" s="22" t="s">
        <v>156</v>
      </c>
      <c r="E1568" s="158">
        <v>10330</v>
      </c>
      <c r="F1568" s="159">
        <v>75000</v>
      </c>
      <c r="G1568" s="159">
        <v>774750000</v>
      </c>
      <c r="H1568" s="159">
        <v>77475000</v>
      </c>
      <c r="I1568" s="159">
        <v>852225000</v>
      </c>
      <c r="J1568" s="159">
        <f>bargiri[[#This Row],[مقدار]]*INDEX(invoice[پیش دریافت به ازای هر کیلوگرم],MATCH(bargiri[[#This Row],[شماره سند مبنا]],invoice[شماره پیش فاکتور],0))</f>
        <v>127833750</v>
      </c>
      <c r="K1568" s="159">
        <f>bargiri[[#This Row],[مبلغ خالص]]-bargiri[[#This Row],[میزان استهلاک پیش دریافتی]]</f>
        <v>724391250</v>
      </c>
      <c r="L1568" s="160"/>
      <c r="M1568" s="159"/>
      <c r="N1568" s="159">
        <f>IF(bargiri[[#This Row],[مبلغ واریزی]]&lt;&gt;"",bargiri[[#This Row],[مانده مبلغ]]-bargiri[[#This Row],[مبلغ واریزی]],bargiri[[#This Row],[مانده مبلغ]])</f>
        <v>724391250</v>
      </c>
      <c r="O1568" s="159"/>
      <c r="P1568" s="159">
        <f>VLOOKUP(bargiri[[#This Row],[شماره سند مبنا]],invoice[[شماره پیش فاکتور]:[پیش دریافت به ازای هر کیلوگرم]],14,0)</f>
        <v>12375</v>
      </c>
      <c r="Q1568" s="159">
        <f>IF(bargiri[[#This Row],[مبلغ ناخالص]]-(bargiri[[#This Row],[نرخ استهلاک]]*bargiri[[#This Row],[مقدار]])&lt;0,0,bargiri[[#This Row],[مبلغ ناخالص]]-(bargiri[[#This Row],[نرخ استهلاک]]*bargiri[[#This Row],[مقدار]]))</f>
        <v>646916250</v>
      </c>
    </row>
    <row r="1569" spans="1:17" s="22" customFormat="1" ht="13.8" x14ac:dyDescent="0.25">
      <c r="A1569" s="22">
        <v>1310</v>
      </c>
      <c r="B1569" s="22" t="s">
        <v>222</v>
      </c>
      <c r="C1569" s="22" t="s">
        <v>115</v>
      </c>
      <c r="D1569" s="22" t="s">
        <v>116</v>
      </c>
      <c r="E1569" s="158">
        <v>20090</v>
      </c>
      <c r="F1569" s="159">
        <v>75000</v>
      </c>
      <c r="G1569" s="159">
        <v>1506750000</v>
      </c>
      <c r="H1569" s="159">
        <v>150675000</v>
      </c>
      <c r="I1569" s="159">
        <v>1657425000</v>
      </c>
      <c r="J1569" s="159">
        <f>bargiri[[#This Row],[مقدار]]*INDEX(invoice[پیش دریافت به ازای هر کیلوگرم],MATCH(bargiri[[#This Row],[شماره سند مبنا]],invoice[شماره پیش فاکتور],0))</f>
        <v>301555057.43905854</v>
      </c>
      <c r="K1569" s="159">
        <f>bargiri[[#This Row],[مبلغ خالص]]-bargiri[[#This Row],[میزان استهلاک پیش دریافتی]]</f>
        <v>1355869942.5609415</v>
      </c>
      <c r="L1569" s="160"/>
      <c r="M1569" s="159"/>
      <c r="N1569" s="159">
        <f>IF(bargiri[[#This Row],[مبلغ واریزی]]&lt;&gt;"",bargiri[[#This Row],[مانده مبلغ]]-bargiri[[#This Row],[مبلغ واریزی]],bargiri[[#This Row],[مانده مبلغ]])</f>
        <v>1355869942.5609415</v>
      </c>
      <c r="O1569" s="159"/>
      <c r="P1569" s="159">
        <f>VLOOKUP(bargiri[[#This Row],[شماره سند مبنا]],invoice[[شماره پیش فاکتور]:[پیش دریافت به ازای هر کیلوگرم]],14,0)</f>
        <v>15010.206940719689</v>
      </c>
      <c r="Q1569" s="159">
        <f>IF(bargiri[[#This Row],[مبلغ ناخالص]]-(bargiri[[#This Row],[نرخ استهلاک]]*bargiri[[#This Row],[مقدار]])&lt;0,0,bargiri[[#This Row],[مبلغ ناخالص]]-(bargiri[[#This Row],[نرخ استهلاک]]*bargiri[[#This Row],[مقدار]]))</f>
        <v>1205194942.5609415</v>
      </c>
    </row>
    <row r="1570" spans="1:17" s="22" customFormat="1" ht="13.8" x14ac:dyDescent="0.25">
      <c r="A1570" s="22">
        <v>1309</v>
      </c>
      <c r="B1570" s="22" t="s">
        <v>222</v>
      </c>
      <c r="C1570" s="22" t="s">
        <v>128</v>
      </c>
      <c r="D1570" s="22" t="s">
        <v>129</v>
      </c>
      <c r="E1570" s="158">
        <v>8040</v>
      </c>
      <c r="F1570" s="159">
        <v>80000</v>
      </c>
      <c r="G1570" s="159">
        <v>643200000</v>
      </c>
      <c r="H1570" s="159">
        <v>64320000</v>
      </c>
      <c r="I1570" s="159">
        <v>707520000</v>
      </c>
      <c r="J1570" s="159">
        <f>bargiri[[#This Row],[مقدار]]*INDEX(invoice[پیش دریافت به ازای هر کیلوگرم],MATCH(bargiri[[#This Row],[شماره سند مبنا]],invoice[شماره پیش فاکتور],0))</f>
        <v>106643443.30932842</v>
      </c>
      <c r="K1570" s="159">
        <f>bargiri[[#This Row],[مبلغ خالص]]-bargiri[[#This Row],[میزان استهلاک پیش دریافتی]]</f>
        <v>600876556.69067156</v>
      </c>
      <c r="L1570" s="160"/>
      <c r="M1570" s="159"/>
      <c r="N1570" s="159">
        <f>IF(bargiri[[#This Row],[مبلغ واریزی]]&lt;&gt;"",bargiri[[#This Row],[مانده مبلغ]]-bargiri[[#This Row],[مبلغ واریزی]],bargiri[[#This Row],[مانده مبلغ]])</f>
        <v>600876556.69067156</v>
      </c>
      <c r="O1570" s="159"/>
      <c r="P1570" s="159">
        <f>VLOOKUP(bargiri[[#This Row],[شماره سند مبنا]],invoice[[شماره پیش فاکتور]:[پیش دریافت به ازای هر کیلوگرم]],14,0)</f>
        <v>13264.109864344331</v>
      </c>
      <c r="Q1570" s="159">
        <f>IF(bargiri[[#This Row],[مبلغ ناخالص]]-(bargiri[[#This Row],[نرخ استهلاک]]*bargiri[[#This Row],[مقدار]])&lt;0,0,bargiri[[#This Row],[مبلغ ناخالص]]-(bargiri[[#This Row],[نرخ استهلاک]]*bargiri[[#This Row],[مقدار]]))</f>
        <v>536556556.69067156</v>
      </c>
    </row>
    <row r="1571" spans="1:17" s="22" customFormat="1" ht="13.8" x14ac:dyDescent="0.25">
      <c r="A1571" s="22">
        <v>1308</v>
      </c>
      <c r="B1571" s="22" t="s">
        <v>222</v>
      </c>
      <c r="C1571" s="22" t="s">
        <v>179</v>
      </c>
      <c r="D1571" s="22" t="s">
        <v>180</v>
      </c>
      <c r="E1571" s="158">
        <v>7740</v>
      </c>
      <c r="F1571" s="159">
        <v>75000</v>
      </c>
      <c r="G1571" s="159">
        <v>580500000</v>
      </c>
      <c r="H1571" s="159">
        <v>58050000</v>
      </c>
      <c r="I1571" s="159">
        <v>638550000</v>
      </c>
      <c r="J1571" s="159">
        <f>bargiri[[#This Row],[مقدار]]*INDEX(invoice[پیش دریافت به ازای هر کیلوگرم],MATCH(bargiri[[#This Row],[شماره سند مبنا]],invoice[شماره پیش فاکتور],0))</f>
        <v>168754955.21949786</v>
      </c>
      <c r="K1571" s="159">
        <f>bargiri[[#This Row],[مبلغ خالص]]-bargiri[[#This Row],[میزان استهلاک پیش دریافتی]]</f>
        <v>469795044.78050214</v>
      </c>
      <c r="L1571" s="160"/>
      <c r="M1571" s="159"/>
      <c r="N1571" s="159">
        <f>IF(bargiri[[#This Row],[مبلغ واریزی]]&lt;&gt;"",bargiri[[#This Row],[مانده مبلغ]]-bargiri[[#This Row],[مبلغ واریزی]],bargiri[[#This Row],[مانده مبلغ]])</f>
        <v>469795044.78050214</v>
      </c>
      <c r="O1571" s="159"/>
      <c r="P1571" s="159">
        <f>VLOOKUP(bargiri[[#This Row],[شماره سند مبنا]],invoice[[شماره پیش فاکتور]:[پیش دریافت به ازای هر کیلوگرم]],14,0)</f>
        <v>21802.965790632799</v>
      </c>
      <c r="Q1571" s="159">
        <f>IF(bargiri[[#This Row],[مبلغ ناخالص]]-(bargiri[[#This Row],[نرخ استهلاک]]*bargiri[[#This Row],[مقدار]])&lt;0,0,bargiri[[#This Row],[مبلغ ناخالص]]-(bargiri[[#This Row],[نرخ استهلاک]]*bargiri[[#This Row],[مقدار]]))</f>
        <v>411745044.78050214</v>
      </c>
    </row>
    <row r="1572" spans="1:17" s="22" customFormat="1" ht="13.8" x14ac:dyDescent="0.25">
      <c r="A1572" s="22">
        <v>1307</v>
      </c>
      <c r="B1572" s="22" t="s">
        <v>222</v>
      </c>
      <c r="C1572" s="22" t="s">
        <v>155</v>
      </c>
      <c r="D1572" s="22" t="s">
        <v>156</v>
      </c>
      <c r="E1572" s="158">
        <v>10380</v>
      </c>
      <c r="F1572" s="159">
        <v>75000</v>
      </c>
      <c r="G1572" s="159">
        <v>778500000</v>
      </c>
      <c r="H1572" s="159">
        <v>77850000</v>
      </c>
      <c r="I1572" s="159">
        <v>856350000</v>
      </c>
      <c r="J1572" s="159">
        <f>bargiri[[#This Row],[مقدار]]*INDEX(invoice[پیش دریافت به ازای هر کیلوگرم],MATCH(bargiri[[#This Row],[شماره سند مبنا]],invoice[شماره پیش فاکتور],0))</f>
        <v>128452500</v>
      </c>
      <c r="K1572" s="159">
        <f>bargiri[[#This Row],[مبلغ خالص]]-bargiri[[#This Row],[میزان استهلاک پیش دریافتی]]</f>
        <v>727897500</v>
      </c>
      <c r="L1572" s="160"/>
      <c r="M1572" s="159"/>
      <c r="N1572" s="159">
        <f>IF(bargiri[[#This Row],[مبلغ واریزی]]&lt;&gt;"",bargiri[[#This Row],[مانده مبلغ]]-bargiri[[#This Row],[مبلغ واریزی]],bargiri[[#This Row],[مانده مبلغ]])</f>
        <v>727897500</v>
      </c>
      <c r="O1572" s="159"/>
      <c r="P1572" s="159">
        <f>VLOOKUP(bargiri[[#This Row],[شماره سند مبنا]],invoice[[شماره پیش فاکتور]:[پیش دریافت به ازای هر کیلوگرم]],14,0)</f>
        <v>12375</v>
      </c>
      <c r="Q1572" s="159">
        <f>IF(bargiri[[#This Row],[مبلغ ناخالص]]-(bargiri[[#This Row],[نرخ استهلاک]]*bargiri[[#This Row],[مقدار]])&lt;0,0,bargiri[[#This Row],[مبلغ ناخالص]]-(bargiri[[#This Row],[نرخ استهلاک]]*bargiri[[#This Row],[مقدار]]))</f>
        <v>650047500</v>
      </c>
    </row>
    <row r="1573" spans="1:17" s="22" customFormat="1" ht="13.8" x14ac:dyDescent="0.25">
      <c r="A1573" s="22">
        <v>1306</v>
      </c>
      <c r="B1573" s="22" t="s">
        <v>222</v>
      </c>
      <c r="C1573" s="22" t="s">
        <v>128</v>
      </c>
      <c r="D1573" s="22" t="s">
        <v>129</v>
      </c>
      <c r="E1573" s="158">
        <v>8940</v>
      </c>
      <c r="F1573" s="159">
        <v>80000</v>
      </c>
      <c r="G1573" s="159">
        <v>715200000</v>
      </c>
      <c r="H1573" s="159">
        <v>71520000</v>
      </c>
      <c r="I1573" s="159">
        <v>786720000</v>
      </c>
      <c r="J1573" s="159">
        <f>bargiri[[#This Row],[مقدار]]*INDEX(invoice[پیش دریافت به ازای هر کیلوگرم],MATCH(bargiri[[#This Row],[شماره سند مبنا]],invoice[شماره پیش فاکتور],0))</f>
        <v>118581142.18723832</v>
      </c>
      <c r="K1573" s="159">
        <f>bargiri[[#This Row],[مبلغ خالص]]-bargiri[[#This Row],[میزان استهلاک پیش دریافتی]]</f>
        <v>668138857.81276166</v>
      </c>
      <c r="L1573" s="160"/>
      <c r="M1573" s="159"/>
      <c r="N1573" s="159">
        <f>IF(bargiri[[#This Row],[مبلغ واریزی]]&lt;&gt;"",bargiri[[#This Row],[مانده مبلغ]]-bargiri[[#This Row],[مبلغ واریزی]],bargiri[[#This Row],[مانده مبلغ]])</f>
        <v>668138857.81276166</v>
      </c>
      <c r="O1573" s="159"/>
      <c r="P1573" s="159">
        <f>VLOOKUP(bargiri[[#This Row],[شماره سند مبنا]],invoice[[شماره پیش فاکتور]:[پیش دریافت به ازای هر کیلوگرم]],14,0)</f>
        <v>13264.109864344331</v>
      </c>
      <c r="Q1573" s="159">
        <f>IF(bargiri[[#This Row],[مبلغ ناخالص]]-(bargiri[[#This Row],[نرخ استهلاک]]*bargiri[[#This Row],[مقدار]])&lt;0,0,bargiri[[#This Row],[مبلغ ناخالص]]-(bargiri[[#This Row],[نرخ استهلاک]]*bargiri[[#This Row],[مقدار]]))</f>
        <v>596618857.81276166</v>
      </c>
    </row>
    <row r="1574" spans="1:17" s="22" customFormat="1" ht="13.8" x14ac:dyDescent="0.25">
      <c r="A1574" s="22">
        <v>1305</v>
      </c>
      <c r="B1574" s="22" t="s">
        <v>166</v>
      </c>
      <c r="C1574" s="22" t="s">
        <v>164</v>
      </c>
      <c r="D1574" s="22" t="s">
        <v>40</v>
      </c>
      <c r="E1574" s="158">
        <v>17950</v>
      </c>
      <c r="F1574" s="159">
        <v>92180</v>
      </c>
      <c r="G1574" s="159">
        <v>1654631000</v>
      </c>
      <c r="H1574" s="159">
        <v>165463100</v>
      </c>
      <c r="I1574" s="159">
        <v>1820094100</v>
      </c>
      <c r="J1574" s="159" t="e">
        <f>bargiri[[#This Row],[مقدار]]*INDEX(invoice[پیش دریافت به ازای هر کیلوگرم],MATCH(bargiri[[#This Row],[شماره سند مبنا]],invoice[شماره پیش فاکتور],0))</f>
        <v>#N/A</v>
      </c>
      <c r="K1574" s="159" t="e">
        <f>bargiri[[#This Row],[مبلغ خالص]]-bargiri[[#This Row],[میزان استهلاک پیش دریافتی]]</f>
        <v>#N/A</v>
      </c>
      <c r="L1574" s="160"/>
      <c r="M1574" s="159"/>
      <c r="N1574" s="159" t="e">
        <f>IF(bargiri[[#This Row],[مبلغ واریزی]]&lt;&gt;"",bargiri[[#This Row],[مانده مبلغ]]-bargiri[[#This Row],[مبلغ واریزی]],bargiri[[#This Row],[مانده مبلغ]])</f>
        <v>#N/A</v>
      </c>
      <c r="O1574" s="159"/>
      <c r="P1574" s="159" t="e">
        <f>VLOOKUP(bargiri[[#This Row],[شماره سند مبنا]],invoice[[شماره پیش فاکتور]:[پیش دریافت به ازای هر کیلوگرم]],14,0)</f>
        <v>#N/A</v>
      </c>
      <c r="Q1574" s="159" t="e">
        <f>IF(bargiri[[#This Row],[مبلغ ناخالص]]-(bargiri[[#This Row],[نرخ استهلاک]]*bargiri[[#This Row],[مقدار]])&lt;0,0,bargiri[[#This Row],[مبلغ ناخالص]]-(bargiri[[#This Row],[نرخ استهلاک]]*bargiri[[#This Row],[مقدار]]))</f>
        <v>#N/A</v>
      </c>
    </row>
    <row r="1575" spans="1:17" s="22" customFormat="1" ht="13.8" x14ac:dyDescent="0.25">
      <c r="A1575" s="22">
        <v>1304</v>
      </c>
      <c r="B1575" s="22" t="s">
        <v>166</v>
      </c>
      <c r="C1575" s="22" t="s">
        <v>109</v>
      </c>
      <c r="D1575" s="22" t="s">
        <v>110</v>
      </c>
      <c r="E1575" s="158">
        <v>18950</v>
      </c>
      <c r="F1575" s="159">
        <v>70000</v>
      </c>
      <c r="G1575" s="159">
        <v>1326500000</v>
      </c>
      <c r="H1575" s="159">
        <v>132650000</v>
      </c>
      <c r="I1575" s="159">
        <v>1459150000</v>
      </c>
      <c r="J1575" s="159" t="e">
        <f>bargiri[[#This Row],[مقدار]]*INDEX(invoice[پیش دریافت به ازای هر کیلوگرم],MATCH(bargiri[[#This Row],[شماره سند مبنا]],invoice[شماره پیش فاکتور],0))</f>
        <v>#N/A</v>
      </c>
      <c r="K1575" s="159" t="e">
        <f>bargiri[[#This Row],[مبلغ خالص]]-bargiri[[#This Row],[میزان استهلاک پیش دریافتی]]</f>
        <v>#N/A</v>
      </c>
      <c r="L1575" s="160"/>
      <c r="M1575" s="159"/>
      <c r="N1575" s="159" t="e">
        <f>IF(bargiri[[#This Row],[مبلغ واریزی]]&lt;&gt;"",bargiri[[#This Row],[مانده مبلغ]]-bargiri[[#This Row],[مبلغ واریزی]],bargiri[[#This Row],[مانده مبلغ]])</f>
        <v>#N/A</v>
      </c>
      <c r="O1575" s="159"/>
      <c r="P1575" s="159" t="e">
        <f>VLOOKUP(bargiri[[#This Row],[شماره سند مبنا]],invoice[[شماره پیش فاکتور]:[پیش دریافت به ازای هر کیلوگرم]],14,0)</f>
        <v>#N/A</v>
      </c>
      <c r="Q1575" s="159" t="e">
        <f>IF(bargiri[[#This Row],[مبلغ ناخالص]]-(bargiri[[#This Row],[نرخ استهلاک]]*bargiri[[#This Row],[مقدار]])&lt;0,0,bargiri[[#This Row],[مبلغ ناخالص]]-(bargiri[[#This Row],[نرخ استهلاک]]*bargiri[[#This Row],[مقدار]]))</f>
        <v>#N/A</v>
      </c>
    </row>
    <row r="1576" spans="1:17" s="22" customFormat="1" ht="13.8" x14ac:dyDescent="0.25">
      <c r="A1576" s="22">
        <v>1303</v>
      </c>
      <c r="B1576" s="22" t="s">
        <v>166</v>
      </c>
      <c r="C1576" s="22" t="s">
        <v>119</v>
      </c>
      <c r="D1576" s="22" t="s">
        <v>25</v>
      </c>
      <c r="E1576" s="158">
        <v>20150</v>
      </c>
      <c r="F1576" s="159">
        <v>75000</v>
      </c>
      <c r="G1576" s="159">
        <v>1511250000</v>
      </c>
      <c r="H1576" s="159">
        <v>151125000</v>
      </c>
      <c r="I1576" s="159">
        <v>1662375000</v>
      </c>
      <c r="J1576" s="159">
        <f>bargiri[[#This Row],[مقدار]]*INDEX(invoice[پیش دریافت به ازای هر کیلوگرم],MATCH(bargiri[[#This Row],[شماره سند مبنا]],invoice[شماره پیش فاکتور],0))</f>
        <v>249356250</v>
      </c>
      <c r="K1576" s="159">
        <f>bargiri[[#This Row],[مبلغ خالص]]-bargiri[[#This Row],[میزان استهلاک پیش دریافتی]]</f>
        <v>1413018750</v>
      </c>
      <c r="L1576" s="160"/>
      <c r="M1576" s="159"/>
      <c r="N1576" s="159">
        <f>IF(bargiri[[#This Row],[مبلغ واریزی]]&lt;&gt;"",bargiri[[#This Row],[مانده مبلغ]]-bargiri[[#This Row],[مبلغ واریزی]],bargiri[[#This Row],[مانده مبلغ]])</f>
        <v>1413018750</v>
      </c>
      <c r="O1576" s="159"/>
      <c r="P1576" s="159">
        <f>VLOOKUP(bargiri[[#This Row],[شماره سند مبنا]],invoice[[شماره پیش فاکتور]:[پیش دریافت به ازای هر کیلوگرم]],14,0)</f>
        <v>12375</v>
      </c>
      <c r="Q1576" s="159">
        <f>IF(bargiri[[#This Row],[مبلغ ناخالص]]-(bargiri[[#This Row],[نرخ استهلاک]]*bargiri[[#This Row],[مقدار]])&lt;0,0,bargiri[[#This Row],[مبلغ ناخالص]]-(bargiri[[#This Row],[نرخ استهلاک]]*bargiri[[#This Row],[مقدار]]))</f>
        <v>1261893750</v>
      </c>
    </row>
    <row r="1577" spans="1:17" s="22" customFormat="1" ht="13.8" x14ac:dyDescent="0.25">
      <c r="A1577" s="22">
        <v>1302</v>
      </c>
      <c r="B1577" s="22" t="s">
        <v>166</v>
      </c>
      <c r="C1577" s="22" t="s">
        <v>176</v>
      </c>
      <c r="D1577" s="22" t="s">
        <v>70</v>
      </c>
      <c r="E1577" s="158">
        <v>20025</v>
      </c>
      <c r="F1577" s="159">
        <v>75000</v>
      </c>
      <c r="G1577" s="159">
        <v>1501875000</v>
      </c>
      <c r="H1577" s="159">
        <v>150187500</v>
      </c>
      <c r="I1577" s="159">
        <v>1652062500</v>
      </c>
      <c r="J1577" s="159" t="e">
        <f>bargiri[[#This Row],[مقدار]]*INDEX(invoice[پیش دریافت به ازای هر کیلوگرم],MATCH(bargiri[[#This Row],[شماره سند مبنا]],invoice[شماره پیش فاکتور],0))</f>
        <v>#N/A</v>
      </c>
      <c r="K1577" s="159" t="e">
        <f>bargiri[[#This Row],[مبلغ خالص]]-bargiri[[#This Row],[میزان استهلاک پیش دریافتی]]</f>
        <v>#N/A</v>
      </c>
      <c r="L1577" s="160"/>
      <c r="M1577" s="159"/>
      <c r="N1577" s="159" t="e">
        <f>IF(bargiri[[#This Row],[مبلغ واریزی]]&lt;&gt;"",bargiri[[#This Row],[مانده مبلغ]]-bargiri[[#This Row],[مبلغ واریزی]],bargiri[[#This Row],[مانده مبلغ]])</f>
        <v>#N/A</v>
      </c>
      <c r="O1577" s="159"/>
      <c r="P1577" s="159" t="e">
        <f>VLOOKUP(bargiri[[#This Row],[شماره سند مبنا]],invoice[[شماره پیش فاکتور]:[پیش دریافت به ازای هر کیلوگرم]],14,0)</f>
        <v>#N/A</v>
      </c>
      <c r="Q1577" s="159" t="e">
        <f>IF(bargiri[[#This Row],[مبلغ ناخالص]]-(bargiri[[#This Row],[نرخ استهلاک]]*bargiri[[#This Row],[مقدار]])&lt;0,0,bargiri[[#This Row],[مبلغ ناخالص]]-(bargiri[[#This Row],[نرخ استهلاک]]*bargiri[[#This Row],[مقدار]]))</f>
        <v>#N/A</v>
      </c>
    </row>
    <row r="1578" spans="1:17" s="22" customFormat="1" ht="13.8" x14ac:dyDescent="0.25">
      <c r="A1578" s="22">
        <v>1301</v>
      </c>
      <c r="B1578" s="22" t="s">
        <v>166</v>
      </c>
      <c r="C1578" s="22" t="s">
        <v>128</v>
      </c>
      <c r="D1578" s="22" t="s">
        <v>129</v>
      </c>
      <c r="E1578" s="158">
        <v>5065</v>
      </c>
      <c r="F1578" s="159">
        <v>80000</v>
      </c>
      <c r="G1578" s="159">
        <v>405200000</v>
      </c>
      <c r="H1578" s="159">
        <v>40520000</v>
      </c>
      <c r="I1578" s="159">
        <v>445720000</v>
      </c>
      <c r="J1578" s="159">
        <f>bargiri[[#This Row],[مقدار]]*INDEX(invoice[پیش دریافت به ازای هر کیلوگرم],MATCH(bargiri[[#This Row],[شماره سند مبنا]],invoice[شماره پیش فاکتور],0))</f>
        <v>67182716.462904036</v>
      </c>
      <c r="K1578" s="159">
        <f>bargiri[[#This Row],[مبلغ خالص]]-bargiri[[#This Row],[میزان استهلاک پیش دریافتی]]</f>
        <v>378537283.53709596</v>
      </c>
      <c r="L1578" s="160"/>
      <c r="M1578" s="159"/>
      <c r="N1578" s="159">
        <f>IF(bargiri[[#This Row],[مبلغ واریزی]]&lt;&gt;"",bargiri[[#This Row],[مانده مبلغ]]-bargiri[[#This Row],[مبلغ واریزی]],bargiri[[#This Row],[مانده مبلغ]])</f>
        <v>378537283.53709596</v>
      </c>
      <c r="O1578" s="159"/>
      <c r="P1578" s="159">
        <f>VLOOKUP(bargiri[[#This Row],[شماره سند مبنا]],invoice[[شماره پیش فاکتور]:[پیش دریافت به ازای هر کیلوگرم]],14,0)</f>
        <v>13264.109864344331</v>
      </c>
      <c r="Q1578" s="159">
        <f>IF(bargiri[[#This Row],[مبلغ ناخالص]]-(bargiri[[#This Row],[نرخ استهلاک]]*bargiri[[#This Row],[مقدار]])&lt;0,0,bargiri[[#This Row],[مبلغ ناخالص]]-(bargiri[[#This Row],[نرخ استهلاک]]*bargiri[[#This Row],[مقدار]]))</f>
        <v>338017283.53709596</v>
      </c>
    </row>
    <row r="1579" spans="1:17" s="22" customFormat="1" ht="13.8" x14ac:dyDescent="0.25">
      <c r="A1579" s="22">
        <v>1300</v>
      </c>
      <c r="B1579" s="22" t="s">
        <v>166</v>
      </c>
      <c r="C1579" s="22" t="s">
        <v>167</v>
      </c>
      <c r="D1579" s="22" t="s">
        <v>43</v>
      </c>
      <c r="E1579" s="158">
        <v>20100</v>
      </c>
      <c r="F1579" s="159">
        <v>80000</v>
      </c>
      <c r="G1579" s="159">
        <v>1608000000</v>
      </c>
      <c r="H1579" s="159">
        <v>160800000</v>
      </c>
      <c r="I1579" s="159">
        <v>1768800000</v>
      </c>
      <c r="J1579" s="159">
        <f>bargiri[[#This Row],[مقدار]]*INDEX(invoice[پیش دریافت به ازای هر کیلوگرم],MATCH(bargiri[[#This Row],[شماره سند مبنا]],invoice[شماره پیش فاکتور],0))</f>
        <v>353760000</v>
      </c>
      <c r="K1579" s="159">
        <f>bargiri[[#This Row],[مبلغ خالص]]-bargiri[[#This Row],[میزان استهلاک پیش دریافتی]]</f>
        <v>1415040000</v>
      </c>
      <c r="L1579" s="160"/>
      <c r="M1579" s="159"/>
      <c r="N1579" s="159">
        <f>IF(bargiri[[#This Row],[مبلغ واریزی]]&lt;&gt;"",bargiri[[#This Row],[مانده مبلغ]]-bargiri[[#This Row],[مبلغ واریزی]],bargiri[[#This Row],[مانده مبلغ]])</f>
        <v>1415040000</v>
      </c>
      <c r="O1579" s="159"/>
      <c r="P1579" s="159">
        <f>VLOOKUP(bargiri[[#This Row],[شماره سند مبنا]],invoice[[شماره پیش فاکتور]:[پیش دریافت به ازای هر کیلوگرم]],14,0)</f>
        <v>17600</v>
      </c>
      <c r="Q1579" s="159">
        <f>IF(bargiri[[#This Row],[مبلغ ناخالص]]-(bargiri[[#This Row],[نرخ استهلاک]]*bargiri[[#This Row],[مقدار]])&lt;0,0,bargiri[[#This Row],[مبلغ ناخالص]]-(bargiri[[#This Row],[نرخ استهلاک]]*bargiri[[#This Row],[مقدار]]))</f>
        <v>1254240000</v>
      </c>
    </row>
    <row r="1580" spans="1:17" s="22" customFormat="1" ht="13.8" x14ac:dyDescent="0.25">
      <c r="A1580" s="22">
        <v>1299</v>
      </c>
      <c r="B1580" s="22" t="s">
        <v>217</v>
      </c>
      <c r="C1580" s="22" t="s">
        <v>176</v>
      </c>
      <c r="D1580" s="22" t="s">
        <v>70</v>
      </c>
      <c r="E1580" s="158">
        <v>19990</v>
      </c>
      <c r="F1580" s="159">
        <v>75000</v>
      </c>
      <c r="G1580" s="159">
        <v>1499250000</v>
      </c>
      <c r="H1580" s="159">
        <v>149925000</v>
      </c>
      <c r="I1580" s="159">
        <v>1649175000</v>
      </c>
      <c r="J1580" s="159" t="e">
        <f>bargiri[[#This Row],[مقدار]]*INDEX(invoice[پیش دریافت به ازای هر کیلوگرم],MATCH(bargiri[[#This Row],[شماره سند مبنا]],invoice[شماره پیش فاکتور],0))</f>
        <v>#N/A</v>
      </c>
      <c r="K1580" s="159" t="e">
        <f>bargiri[[#This Row],[مبلغ خالص]]-bargiri[[#This Row],[میزان استهلاک پیش دریافتی]]</f>
        <v>#N/A</v>
      </c>
      <c r="L1580" s="160"/>
      <c r="M1580" s="159"/>
      <c r="N1580" s="159" t="e">
        <f>IF(bargiri[[#This Row],[مبلغ واریزی]]&lt;&gt;"",bargiri[[#This Row],[مانده مبلغ]]-bargiri[[#This Row],[مبلغ واریزی]],bargiri[[#This Row],[مانده مبلغ]])</f>
        <v>#N/A</v>
      </c>
      <c r="O1580" s="159"/>
      <c r="P1580" s="159" t="e">
        <f>VLOOKUP(bargiri[[#This Row],[شماره سند مبنا]],invoice[[شماره پیش فاکتور]:[پیش دریافت به ازای هر کیلوگرم]],14,0)</f>
        <v>#N/A</v>
      </c>
      <c r="Q1580" s="159" t="e">
        <f>IF(bargiri[[#This Row],[مبلغ ناخالص]]-(bargiri[[#This Row],[نرخ استهلاک]]*bargiri[[#This Row],[مقدار]])&lt;0,0,bargiri[[#This Row],[مبلغ ناخالص]]-(bargiri[[#This Row],[نرخ استهلاک]]*bargiri[[#This Row],[مقدار]]))</f>
        <v>#N/A</v>
      </c>
    </row>
    <row r="1581" spans="1:17" s="22" customFormat="1" ht="13.8" x14ac:dyDescent="0.25">
      <c r="A1581" s="22">
        <v>1298</v>
      </c>
      <c r="B1581" s="22" t="s">
        <v>222</v>
      </c>
      <c r="C1581" s="22" t="s">
        <v>88</v>
      </c>
      <c r="D1581" s="22" t="s">
        <v>89</v>
      </c>
      <c r="E1581" s="158">
        <v>9910</v>
      </c>
      <c r="F1581" s="159">
        <v>78000</v>
      </c>
      <c r="G1581" s="159">
        <v>772980000</v>
      </c>
      <c r="H1581" s="159">
        <v>77298000</v>
      </c>
      <c r="I1581" s="159">
        <v>850278000</v>
      </c>
      <c r="J1581" s="159" t="e">
        <f>bargiri[[#This Row],[مقدار]]*INDEX(invoice[پیش دریافت به ازای هر کیلوگرم],MATCH(bargiri[[#This Row],[شماره سند مبنا]],invoice[شماره پیش فاکتور],0))</f>
        <v>#N/A</v>
      </c>
      <c r="K1581" s="159" t="e">
        <f>bargiri[[#This Row],[مبلغ خالص]]-bargiri[[#This Row],[میزان استهلاک پیش دریافتی]]</f>
        <v>#N/A</v>
      </c>
      <c r="L1581" s="160"/>
      <c r="M1581" s="159"/>
      <c r="N1581" s="159" t="e">
        <f>IF(bargiri[[#This Row],[مبلغ واریزی]]&lt;&gt;"",bargiri[[#This Row],[مانده مبلغ]]-bargiri[[#This Row],[مبلغ واریزی]],bargiri[[#This Row],[مانده مبلغ]])</f>
        <v>#N/A</v>
      </c>
      <c r="O1581" s="159"/>
      <c r="P1581" s="159" t="e">
        <f>VLOOKUP(bargiri[[#This Row],[شماره سند مبنا]],invoice[[شماره پیش فاکتور]:[پیش دریافت به ازای هر کیلوگرم]],14,0)</f>
        <v>#N/A</v>
      </c>
      <c r="Q1581" s="159" t="e">
        <f>IF(bargiri[[#This Row],[مبلغ ناخالص]]-(bargiri[[#This Row],[نرخ استهلاک]]*bargiri[[#This Row],[مقدار]])&lt;0,0,bargiri[[#This Row],[مبلغ ناخالص]]-(bargiri[[#This Row],[نرخ استهلاک]]*bargiri[[#This Row],[مقدار]]))</f>
        <v>#N/A</v>
      </c>
    </row>
    <row r="1582" spans="1:17" s="22" customFormat="1" ht="13.8" x14ac:dyDescent="0.25">
      <c r="A1582" s="22">
        <v>1297</v>
      </c>
      <c r="B1582" s="22" t="s">
        <v>415</v>
      </c>
      <c r="C1582" s="22" t="s">
        <v>149</v>
      </c>
      <c r="D1582" s="22" t="s">
        <v>35</v>
      </c>
      <c r="E1582" s="158">
        <v>7355</v>
      </c>
      <c r="F1582" s="159">
        <v>75000</v>
      </c>
      <c r="G1582" s="159">
        <v>551625000</v>
      </c>
      <c r="H1582" s="159">
        <v>55162500</v>
      </c>
      <c r="I1582" s="159">
        <v>606787500</v>
      </c>
      <c r="J1582" s="159">
        <f>bargiri[[#This Row],[مقدار]]*INDEX(invoice[پیش دریافت به ازای هر کیلوگرم],MATCH(bargiri[[#This Row],[شماره سند مبنا]],invoice[شماره پیش فاکتور],0))</f>
        <v>91024800.152011141</v>
      </c>
      <c r="K1582" s="159">
        <f>bargiri[[#This Row],[مبلغ خالص]]-bargiri[[#This Row],[میزان استهلاک پیش دریافتی]]</f>
        <v>515762699.84798884</v>
      </c>
      <c r="L1582" s="160"/>
      <c r="M1582" s="159"/>
      <c r="N1582" s="159">
        <f>IF(bargiri[[#This Row],[مبلغ واریزی]]&lt;&gt;"",bargiri[[#This Row],[مانده مبلغ]]-bargiri[[#This Row],[مبلغ واریزی]],bargiri[[#This Row],[مانده مبلغ]])</f>
        <v>515762699.84798884</v>
      </c>
      <c r="O1582" s="159"/>
      <c r="P1582" s="159">
        <f>VLOOKUP(bargiri[[#This Row],[شماره سند مبنا]],invoice[[شماره پیش فاکتور]:[پیش دریافت به ازای هر کیلوگرم]],14,0)</f>
        <v>12375.907566554881</v>
      </c>
      <c r="Q1582" s="159">
        <f>IF(bargiri[[#This Row],[مبلغ ناخالص]]-(bargiri[[#This Row],[نرخ استهلاک]]*bargiri[[#This Row],[مقدار]])&lt;0,0,bargiri[[#This Row],[مبلغ ناخالص]]-(bargiri[[#This Row],[نرخ استهلاک]]*bargiri[[#This Row],[مقدار]]))</f>
        <v>460600199.84798884</v>
      </c>
    </row>
    <row r="1583" spans="1:17" s="22" customFormat="1" ht="13.8" x14ac:dyDescent="0.25">
      <c r="A1583" s="22">
        <v>1296</v>
      </c>
      <c r="B1583" s="22" t="s">
        <v>415</v>
      </c>
      <c r="C1583" s="22" t="s">
        <v>149</v>
      </c>
      <c r="D1583" s="22" t="s">
        <v>35</v>
      </c>
      <c r="E1583" s="158">
        <v>7310</v>
      </c>
      <c r="F1583" s="159">
        <v>75000</v>
      </c>
      <c r="G1583" s="159">
        <v>548250000</v>
      </c>
      <c r="H1583" s="159">
        <v>54825000</v>
      </c>
      <c r="I1583" s="159">
        <v>603075000</v>
      </c>
      <c r="J1583" s="159">
        <f>bargiri[[#This Row],[مقدار]]*INDEX(invoice[پیش دریافت به ازای هر کیلوگرم],MATCH(bargiri[[#This Row],[شماره سند مبنا]],invoice[شماره پیش فاکتور],0))</f>
        <v>90467884.311516181</v>
      </c>
      <c r="K1583" s="159">
        <f>bargiri[[#This Row],[مبلغ خالص]]-bargiri[[#This Row],[میزان استهلاک پیش دریافتی]]</f>
        <v>512607115.68848383</v>
      </c>
      <c r="L1583" s="160"/>
      <c r="M1583" s="159"/>
      <c r="N1583" s="159">
        <f>IF(bargiri[[#This Row],[مبلغ واریزی]]&lt;&gt;"",bargiri[[#This Row],[مانده مبلغ]]-bargiri[[#This Row],[مبلغ واریزی]],bargiri[[#This Row],[مانده مبلغ]])</f>
        <v>512607115.68848383</v>
      </c>
      <c r="O1583" s="159"/>
      <c r="P1583" s="159">
        <f>VLOOKUP(bargiri[[#This Row],[شماره سند مبنا]],invoice[[شماره پیش فاکتور]:[پیش دریافت به ازای هر کیلوگرم]],14,0)</f>
        <v>12375.907566554881</v>
      </c>
      <c r="Q1583" s="159">
        <f>IF(bargiri[[#This Row],[مبلغ ناخالص]]-(bargiri[[#This Row],[نرخ استهلاک]]*bargiri[[#This Row],[مقدار]])&lt;0,0,bargiri[[#This Row],[مبلغ ناخالص]]-(bargiri[[#This Row],[نرخ استهلاک]]*bargiri[[#This Row],[مقدار]]))</f>
        <v>457782115.68848383</v>
      </c>
    </row>
    <row r="1584" spans="1:17" s="22" customFormat="1" ht="13.8" x14ac:dyDescent="0.25">
      <c r="A1584" s="22">
        <v>1295</v>
      </c>
      <c r="B1584" s="22" t="s">
        <v>415</v>
      </c>
      <c r="C1584" s="22" t="s">
        <v>104</v>
      </c>
      <c r="D1584" s="22" t="s">
        <v>17</v>
      </c>
      <c r="E1584" s="158">
        <v>22275</v>
      </c>
      <c r="F1584" s="159">
        <v>72000</v>
      </c>
      <c r="G1584" s="159">
        <v>1603800000</v>
      </c>
      <c r="H1584" s="159">
        <v>160380000</v>
      </c>
      <c r="I1584" s="159">
        <v>1764180000</v>
      </c>
      <c r="J1584" s="159" t="e">
        <f>bargiri[[#This Row],[مقدار]]*INDEX(invoice[پیش دریافت به ازای هر کیلوگرم],MATCH(bargiri[[#This Row],[شماره سند مبنا]],invoice[شماره پیش فاکتور],0))</f>
        <v>#N/A</v>
      </c>
      <c r="K1584" s="159" t="e">
        <f>bargiri[[#This Row],[مبلغ خالص]]-bargiri[[#This Row],[میزان استهلاک پیش دریافتی]]</f>
        <v>#N/A</v>
      </c>
      <c r="L1584" s="160"/>
      <c r="M1584" s="159"/>
      <c r="N1584" s="159" t="e">
        <f>IF(bargiri[[#This Row],[مبلغ واریزی]]&lt;&gt;"",bargiri[[#This Row],[مانده مبلغ]]-bargiri[[#This Row],[مبلغ واریزی]],bargiri[[#This Row],[مانده مبلغ]])</f>
        <v>#N/A</v>
      </c>
      <c r="O1584" s="159"/>
      <c r="P1584" s="159" t="e">
        <f>VLOOKUP(bargiri[[#This Row],[شماره سند مبنا]],invoice[[شماره پیش فاکتور]:[پیش دریافت به ازای هر کیلوگرم]],14,0)</f>
        <v>#N/A</v>
      </c>
      <c r="Q1584" s="159" t="e">
        <f>IF(bargiri[[#This Row],[مبلغ ناخالص]]-(bargiri[[#This Row],[نرخ استهلاک]]*bargiri[[#This Row],[مقدار]])&lt;0,0,bargiri[[#This Row],[مبلغ ناخالص]]-(bargiri[[#This Row],[نرخ استهلاک]]*bargiri[[#This Row],[مقدار]]))</f>
        <v>#N/A</v>
      </c>
    </row>
    <row r="1585" spans="1:17" s="22" customFormat="1" ht="13.8" x14ac:dyDescent="0.25">
      <c r="A1585" s="22">
        <v>1294</v>
      </c>
      <c r="B1585" s="22" t="s">
        <v>108</v>
      </c>
      <c r="C1585" s="22" t="s">
        <v>86</v>
      </c>
      <c r="D1585" s="22" t="s">
        <v>30</v>
      </c>
      <c r="E1585" s="158">
        <v>3990</v>
      </c>
      <c r="F1585" s="159">
        <v>65000</v>
      </c>
      <c r="G1585" s="159">
        <v>259350000</v>
      </c>
      <c r="H1585" s="159">
        <v>25935000</v>
      </c>
      <c r="I1585" s="159">
        <v>285285000</v>
      </c>
      <c r="J1585" s="159" t="e">
        <f>bargiri[[#This Row],[مقدار]]*INDEX(invoice[پیش دریافت به ازای هر کیلوگرم],MATCH(bargiri[[#This Row],[شماره سند مبنا]],invoice[شماره پیش فاکتور],0))</f>
        <v>#N/A</v>
      </c>
      <c r="K1585" s="159" t="e">
        <f>bargiri[[#This Row],[مبلغ خالص]]-bargiri[[#This Row],[میزان استهلاک پیش دریافتی]]</f>
        <v>#N/A</v>
      </c>
      <c r="L1585" s="160"/>
      <c r="M1585" s="159"/>
      <c r="N1585" s="159" t="e">
        <f>IF(bargiri[[#This Row],[مبلغ واریزی]]&lt;&gt;"",bargiri[[#This Row],[مانده مبلغ]]-bargiri[[#This Row],[مبلغ واریزی]],bargiri[[#This Row],[مانده مبلغ]])</f>
        <v>#N/A</v>
      </c>
      <c r="O1585" s="159"/>
      <c r="P1585" s="159" t="e">
        <f>VLOOKUP(bargiri[[#This Row],[شماره سند مبنا]],invoice[[شماره پیش فاکتور]:[پیش دریافت به ازای هر کیلوگرم]],14,0)</f>
        <v>#N/A</v>
      </c>
      <c r="Q1585" s="159" t="e">
        <f>IF(bargiri[[#This Row],[مبلغ ناخالص]]-(bargiri[[#This Row],[نرخ استهلاک]]*bargiri[[#This Row],[مقدار]])&lt;0,0,bargiri[[#This Row],[مبلغ ناخالص]]-(bargiri[[#This Row],[نرخ استهلاک]]*bargiri[[#This Row],[مقدار]]))</f>
        <v>#N/A</v>
      </c>
    </row>
    <row r="1586" spans="1:17" s="22" customFormat="1" ht="13.8" x14ac:dyDescent="0.25">
      <c r="A1586" s="22">
        <v>1294</v>
      </c>
      <c r="B1586" s="22" t="s">
        <v>108</v>
      </c>
      <c r="C1586" s="22" t="s">
        <v>107</v>
      </c>
      <c r="D1586" s="22" t="s">
        <v>30</v>
      </c>
      <c r="E1586" s="158">
        <v>8095</v>
      </c>
      <c r="F1586" s="159">
        <v>70000</v>
      </c>
      <c r="G1586" s="159">
        <v>566650000</v>
      </c>
      <c r="H1586" s="159">
        <v>56665000</v>
      </c>
      <c r="I1586" s="159">
        <v>623315000</v>
      </c>
      <c r="J1586" s="159">
        <f>bargiri[[#This Row],[مقدار]]*INDEX(invoice[پیش دریافت به ازای هر کیلوگرم],MATCH(bargiri[[#This Row],[شماره سند مبنا]],invoice[شماره پیش فاکتور],0))</f>
        <v>311657500</v>
      </c>
      <c r="K1586" s="159">
        <f>bargiri[[#This Row],[مبلغ خالص]]-bargiri[[#This Row],[میزان استهلاک پیش دریافتی]]</f>
        <v>311657500</v>
      </c>
      <c r="L1586" s="160"/>
      <c r="M1586" s="159"/>
      <c r="N1586" s="159">
        <f>IF(bargiri[[#This Row],[مبلغ واریزی]]&lt;&gt;"",bargiri[[#This Row],[مانده مبلغ]]-bargiri[[#This Row],[مبلغ واریزی]],bargiri[[#This Row],[مانده مبلغ]])</f>
        <v>311657500</v>
      </c>
      <c r="O1586" s="159"/>
      <c r="P1586" s="159">
        <f>VLOOKUP(bargiri[[#This Row],[شماره سند مبنا]],invoice[[شماره پیش فاکتور]:[پیش دریافت به ازای هر کیلوگرم]],14,0)</f>
        <v>38500</v>
      </c>
      <c r="Q1586" s="159">
        <f>IF(bargiri[[#This Row],[مبلغ ناخالص]]-(bargiri[[#This Row],[نرخ استهلاک]]*bargiri[[#This Row],[مقدار]])&lt;0,0,bargiri[[#This Row],[مبلغ ناخالص]]-(bargiri[[#This Row],[نرخ استهلاک]]*bargiri[[#This Row],[مقدار]]))</f>
        <v>254992500</v>
      </c>
    </row>
    <row r="1587" spans="1:17" s="22" customFormat="1" ht="13.8" x14ac:dyDescent="0.25">
      <c r="A1587" s="22">
        <v>1293</v>
      </c>
      <c r="B1587" s="22" t="s">
        <v>294</v>
      </c>
      <c r="C1587" s="22" t="s">
        <v>191</v>
      </c>
      <c r="D1587" s="22" t="s">
        <v>67</v>
      </c>
      <c r="E1587" s="158">
        <v>18450</v>
      </c>
      <c r="F1587" s="159">
        <v>65000</v>
      </c>
      <c r="G1587" s="159">
        <v>1199250000</v>
      </c>
      <c r="H1587" s="159">
        <v>119925000</v>
      </c>
      <c r="I1587" s="159">
        <v>1319175000</v>
      </c>
      <c r="J1587" s="159" t="e">
        <f>bargiri[[#This Row],[مقدار]]*INDEX(invoice[پیش دریافت به ازای هر کیلوگرم],MATCH(bargiri[[#This Row],[شماره سند مبنا]],invoice[شماره پیش فاکتور],0))</f>
        <v>#N/A</v>
      </c>
      <c r="K1587" s="159" t="e">
        <f>bargiri[[#This Row],[مبلغ خالص]]-bargiri[[#This Row],[میزان استهلاک پیش دریافتی]]</f>
        <v>#N/A</v>
      </c>
      <c r="L1587" s="160"/>
      <c r="M1587" s="159"/>
      <c r="N1587" s="159" t="e">
        <f>IF(bargiri[[#This Row],[مبلغ واریزی]]&lt;&gt;"",bargiri[[#This Row],[مانده مبلغ]]-bargiri[[#This Row],[مبلغ واریزی]],bargiri[[#This Row],[مانده مبلغ]])</f>
        <v>#N/A</v>
      </c>
      <c r="O1587" s="159"/>
      <c r="P1587" s="159" t="e">
        <f>VLOOKUP(bargiri[[#This Row],[شماره سند مبنا]],invoice[[شماره پیش فاکتور]:[پیش دریافت به ازای هر کیلوگرم]],14,0)</f>
        <v>#N/A</v>
      </c>
      <c r="Q1587" s="159" t="e">
        <f>IF(bargiri[[#This Row],[مبلغ ناخالص]]-(bargiri[[#This Row],[نرخ استهلاک]]*bargiri[[#This Row],[مقدار]])&lt;0,0,bargiri[[#This Row],[مبلغ ناخالص]]-(bargiri[[#This Row],[نرخ استهلاک]]*bargiri[[#This Row],[مقدار]]))</f>
        <v>#N/A</v>
      </c>
    </row>
    <row r="1588" spans="1:17" s="22" customFormat="1" ht="13.8" x14ac:dyDescent="0.25">
      <c r="A1588" s="22">
        <v>1292</v>
      </c>
      <c r="B1588" s="22" t="s">
        <v>294</v>
      </c>
      <c r="C1588" s="22" t="s">
        <v>119</v>
      </c>
      <c r="D1588" s="22" t="s">
        <v>25</v>
      </c>
      <c r="E1588" s="158">
        <v>20150</v>
      </c>
      <c r="F1588" s="159">
        <v>75000</v>
      </c>
      <c r="G1588" s="159">
        <v>1511250000</v>
      </c>
      <c r="H1588" s="159">
        <v>151125000</v>
      </c>
      <c r="I1588" s="159">
        <v>1662375000</v>
      </c>
      <c r="J1588" s="159">
        <f>bargiri[[#This Row],[مقدار]]*INDEX(invoice[پیش دریافت به ازای هر کیلوگرم],MATCH(bargiri[[#This Row],[شماره سند مبنا]],invoice[شماره پیش فاکتور],0))</f>
        <v>249356250</v>
      </c>
      <c r="K1588" s="159">
        <f>bargiri[[#This Row],[مبلغ خالص]]-bargiri[[#This Row],[میزان استهلاک پیش دریافتی]]</f>
        <v>1413018750</v>
      </c>
      <c r="L1588" s="160"/>
      <c r="M1588" s="159"/>
      <c r="N1588" s="159">
        <f>IF(bargiri[[#This Row],[مبلغ واریزی]]&lt;&gt;"",bargiri[[#This Row],[مانده مبلغ]]-bargiri[[#This Row],[مبلغ واریزی]],bargiri[[#This Row],[مانده مبلغ]])</f>
        <v>1413018750</v>
      </c>
      <c r="O1588" s="159"/>
      <c r="P1588" s="159">
        <f>VLOOKUP(bargiri[[#This Row],[شماره سند مبنا]],invoice[[شماره پیش فاکتور]:[پیش دریافت به ازای هر کیلوگرم]],14,0)</f>
        <v>12375</v>
      </c>
      <c r="Q1588" s="159">
        <f>IF(bargiri[[#This Row],[مبلغ ناخالص]]-(bargiri[[#This Row],[نرخ استهلاک]]*bargiri[[#This Row],[مقدار]])&lt;0,0,bargiri[[#This Row],[مبلغ ناخالص]]-(bargiri[[#This Row],[نرخ استهلاک]]*bargiri[[#This Row],[مقدار]]))</f>
        <v>1261893750</v>
      </c>
    </row>
    <row r="1589" spans="1:17" s="22" customFormat="1" ht="13.8" x14ac:dyDescent="0.25">
      <c r="A1589" s="22">
        <v>1291</v>
      </c>
      <c r="B1589" s="22" t="s">
        <v>294</v>
      </c>
      <c r="C1589" s="22" t="s">
        <v>115</v>
      </c>
      <c r="D1589" s="22" t="s">
        <v>116</v>
      </c>
      <c r="E1589" s="158">
        <v>18790</v>
      </c>
      <c r="F1589" s="159">
        <v>75000</v>
      </c>
      <c r="G1589" s="159">
        <v>1409250000</v>
      </c>
      <c r="H1589" s="159">
        <v>140925000</v>
      </c>
      <c r="I1589" s="159">
        <v>1550175000</v>
      </c>
      <c r="J1589" s="159">
        <f>bargiri[[#This Row],[مقدار]]*INDEX(invoice[پیش دریافت به ازای هر کیلوگرم],MATCH(bargiri[[#This Row],[شماره سند مبنا]],invoice[شماره پیش فاکتور],0))</f>
        <v>282041788.41612297</v>
      </c>
      <c r="K1589" s="159">
        <f>bargiri[[#This Row],[مبلغ خالص]]-bargiri[[#This Row],[میزان استهلاک پیش دریافتی]]</f>
        <v>1268133211.5838771</v>
      </c>
      <c r="L1589" s="160"/>
      <c r="M1589" s="159"/>
      <c r="N1589" s="159">
        <f>IF(bargiri[[#This Row],[مبلغ واریزی]]&lt;&gt;"",bargiri[[#This Row],[مانده مبلغ]]-bargiri[[#This Row],[مبلغ واریزی]],bargiri[[#This Row],[مانده مبلغ]])</f>
        <v>1268133211.5838771</v>
      </c>
      <c r="O1589" s="159"/>
      <c r="P1589" s="159">
        <f>VLOOKUP(bargiri[[#This Row],[شماره سند مبنا]],invoice[[شماره پیش فاکتور]:[پیش دریافت به ازای هر کیلوگرم]],14,0)</f>
        <v>15010.206940719689</v>
      </c>
      <c r="Q1589" s="159">
        <f>IF(bargiri[[#This Row],[مبلغ ناخالص]]-(bargiri[[#This Row],[نرخ استهلاک]]*bargiri[[#This Row],[مقدار]])&lt;0,0,bargiri[[#This Row],[مبلغ ناخالص]]-(bargiri[[#This Row],[نرخ استهلاک]]*bargiri[[#This Row],[مقدار]]))</f>
        <v>1127208211.5838771</v>
      </c>
    </row>
    <row r="1590" spans="1:17" s="22" customFormat="1" ht="13.8" x14ac:dyDescent="0.25">
      <c r="A1590" s="22">
        <v>1290</v>
      </c>
      <c r="B1590" s="22" t="s">
        <v>294</v>
      </c>
      <c r="C1590" s="22" t="s">
        <v>109</v>
      </c>
      <c r="D1590" s="22" t="s">
        <v>110</v>
      </c>
      <c r="E1590" s="158">
        <v>19020</v>
      </c>
      <c r="F1590" s="159">
        <v>70000</v>
      </c>
      <c r="G1590" s="159">
        <v>1331400000</v>
      </c>
      <c r="H1590" s="159">
        <v>133140000</v>
      </c>
      <c r="I1590" s="159">
        <v>1464540000</v>
      </c>
      <c r="J1590" s="159" t="e">
        <f>bargiri[[#This Row],[مقدار]]*INDEX(invoice[پیش دریافت به ازای هر کیلوگرم],MATCH(bargiri[[#This Row],[شماره سند مبنا]],invoice[شماره پیش فاکتور],0))</f>
        <v>#N/A</v>
      </c>
      <c r="K1590" s="159" t="e">
        <f>bargiri[[#This Row],[مبلغ خالص]]-bargiri[[#This Row],[میزان استهلاک پیش دریافتی]]</f>
        <v>#N/A</v>
      </c>
      <c r="L1590" s="160"/>
      <c r="M1590" s="159"/>
      <c r="N1590" s="159" t="e">
        <f>IF(bargiri[[#This Row],[مبلغ واریزی]]&lt;&gt;"",bargiri[[#This Row],[مانده مبلغ]]-bargiri[[#This Row],[مبلغ واریزی]],bargiri[[#This Row],[مانده مبلغ]])</f>
        <v>#N/A</v>
      </c>
      <c r="O1590" s="159"/>
      <c r="P1590" s="159" t="e">
        <f>VLOOKUP(bargiri[[#This Row],[شماره سند مبنا]],invoice[[شماره پیش فاکتور]:[پیش دریافت به ازای هر کیلوگرم]],14,0)</f>
        <v>#N/A</v>
      </c>
      <c r="Q1590" s="159" t="e">
        <f>IF(bargiri[[#This Row],[مبلغ ناخالص]]-(bargiri[[#This Row],[نرخ استهلاک]]*bargiri[[#This Row],[مقدار]])&lt;0,0,bargiri[[#This Row],[مبلغ ناخالص]]-(bargiri[[#This Row],[نرخ استهلاک]]*bargiri[[#This Row],[مقدار]]))</f>
        <v>#N/A</v>
      </c>
    </row>
    <row r="1591" spans="1:17" s="22" customFormat="1" ht="13.8" x14ac:dyDescent="0.25">
      <c r="A1591" s="22">
        <v>1289</v>
      </c>
      <c r="B1591" s="22" t="s">
        <v>217</v>
      </c>
      <c r="C1591" s="22" t="s">
        <v>167</v>
      </c>
      <c r="D1591" s="22" t="s">
        <v>43</v>
      </c>
      <c r="E1591" s="158">
        <v>21940</v>
      </c>
      <c r="F1591" s="159">
        <v>80000</v>
      </c>
      <c r="G1591" s="159">
        <v>1755200000</v>
      </c>
      <c r="H1591" s="159">
        <v>175520000</v>
      </c>
      <c r="I1591" s="159">
        <v>1930720000</v>
      </c>
      <c r="J1591" s="159">
        <f>bargiri[[#This Row],[مقدار]]*INDEX(invoice[پیش دریافت به ازای هر کیلوگرم],MATCH(bargiri[[#This Row],[شماره سند مبنا]],invoice[شماره پیش فاکتور],0))</f>
        <v>386144000</v>
      </c>
      <c r="K1591" s="159">
        <f>bargiri[[#This Row],[مبلغ خالص]]-bargiri[[#This Row],[میزان استهلاک پیش دریافتی]]</f>
        <v>1544576000</v>
      </c>
      <c r="L1591" s="160"/>
      <c r="M1591" s="159"/>
      <c r="N1591" s="159">
        <f>IF(bargiri[[#This Row],[مبلغ واریزی]]&lt;&gt;"",bargiri[[#This Row],[مانده مبلغ]]-bargiri[[#This Row],[مبلغ واریزی]],bargiri[[#This Row],[مانده مبلغ]])</f>
        <v>1544576000</v>
      </c>
      <c r="O1591" s="159"/>
      <c r="P1591" s="159">
        <f>VLOOKUP(bargiri[[#This Row],[شماره سند مبنا]],invoice[[شماره پیش فاکتور]:[پیش دریافت به ازای هر کیلوگرم]],14,0)</f>
        <v>17600</v>
      </c>
      <c r="Q1591" s="159">
        <f>IF(bargiri[[#This Row],[مبلغ ناخالص]]-(bargiri[[#This Row],[نرخ استهلاک]]*bargiri[[#This Row],[مقدار]])&lt;0,0,bargiri[[#This Row],[مبلغ ناخالص]]-(bargiri[[#This Row],[نرخ استهلاک]]*bargiri[[#This Row],[مقدار]]))</f>
        <v>1369056000</v>
      </c>
    </row>
    <row r="1592" spans="1:17" s="22" customFormat="1" ht="13.8" x14ac:dyDescent="0.25">
      <c r="A1592" s="22">
        <v>1288</v>
      </c>
      <c r="B1592" s="22" t="s">
        <v>217</v>
      </c>
      <c r="C1592" s="22" t="s">
        <v>179</v>
      </c>
      <c r="D1592" s="22" t="s">
        <v>180</v>
      </c>
      <c r="E1592" s="158">
        <v>7660</v>
      </c>
      <c r="F1592" s="159">
        <v>75000</v>
      </c>
      <c r="G1592" s="159">
        <v>574500000</v>
      </c>
      <c r="H1592" s="159">
        <v>57450000</v>
      </c>
      <c r="I1592" s="159">
        <v>631950000</v>
      </c>
      <c r="J1592" s="159">
        <f>bargiri[[#This Row],[مقدار]]*INDEX(invoice[پیش دریافت به ازای هر کیلوگرم],MATCH(bargiri[[#This Row],[شماره سند مبنا]],invoice[شماره پیش فاکتور],0))</f>
        <v>167010717.95624724</v>
      </c>
      <c r="K1592" s="159">
        <f>bargiri[[#This Row],[مبلغ خالص]]-bargiri[[#This Row],[میزان استهلاک پیش دریافتی]]</f>
        <v>464939282.04375279</v>
      </c>
      <c r="L1592" s="160"/>
      <c r="M1592" s="159"/>
      <c r="N1592" s="159">
        <f>IF(bargiri[[#This Row],[مبلغ واریزی]]&lt;&gt;"",bargiri[[#This Row],[مانده مبلغ]]-bargiri[[#This Row],[مبلغ واریزی]],bargiri[[#This Row],[مانده مبلغ]])</f>
        <v>464939282.04375279</v>
      </c>
      <c r="O1592" s="159"/>
      <c r="P1592" s="159">
        <f>VLOOKUP(bargiri[[#This Row],[شماره سند مبنا]],invoice[[شماره پیش فاکتور]:[پیش دریافت به ازای هر کیلوگرم]],14,0)</f>
        <v>21802.965790632799</v>
      </c>
      <c r="Q1592" s="159">
        <f>IF(bargiri[[#This Row],[مبلغ ناخالص]]-(bargiri[[#This Row],[نرخ استهلاک]]*bargiri[[#This Row],[مقدار]])&lt;0,0,bargiri[[#This Row],[مبلغ ناخالص]]-(bargiri[[#This Row],[نرخ استهلاک]]*bargiri[[#This Row],[مقدار]]))</f>
        <v>407489282.04375279</v>
      </c>
    </row>
    <row r="1593" spans="1:17" s="22" customFormat="1" ht="13.8" x14ac:dyDescent="0.25">
      <c r="A1593" s="22">
        <v>1287</v>
      </c>
      <c r="B1593" s="22" t="s">
        <v>217</v>
      </c>
      <c r="C1593" s="22" t="s">
        <v>172</v>
      </c>
      <c r="D1593" s="22" t="s">
        <v>173</v>
      </c>
      <c r="E1593" s="158">
        <v>22105</v>
      </c>
      <c r="F1593" s="159">
        <v>75000</v>
      </c>
      <c r="G1593" s="159">
        <v>1657875000</v>
      </c>
      <c r="H1593" s="159">
        <v>165787500</v>
      </c>
      <c r="I1593" s="159">
        <v>1823662500</v>
      </c>
      <c r="J1593" s="159">
        <f>bargiri[[#This Row],[مقدار]]*INDEX(invoice[پیش دریافت به ازای هر کیلوگرم],MATCH(bargiri[[#This Row],[شماره سند مبنا]],invoice[شماره پیش فاکتور],0))</f>
        <v>273549375</v>
      </c>
      <c r="K1593" s="159">
        <f>bargiri[[#This Row],[مبلغ خالص]]-bargiri[[#This Row],[میزان استهلاک پیش دریافتی]]</f>
        <v>1550113125</v>
      </c>
      <c r="L1593" s="160"/>
      <c r="M1593" s="159"/>
      <c r="N1593" s="159">
        <f>IF(bargiri[[#This Row],[مبلغ واریزی]]&lt;&gt;"",bargiri[[#This Row],[مانده مبلغ]]-bargiri[[#This Row],[مبلغ واریزی]],bargiri[[#This Row],[مانده مبلغ]])</f>
        <v>1550113125</v>
      </c>
      <c r="O1593" s="159"/>
      <c r="P1593" s="159">
        <f>VLOOKUP(bargiri[[#This Row],[شماره سند مبنا]],invoice[[شماره پیش فاکتور]:[پیش دریافت به ازای هر کیلوگرم]],14,0)</f>
        <v>12375</v>
      </c>
      <c r="Q1593" s="159">
        <f>IF(bargiri[[#This Row],[مبلغ ناخالص]]-(bargiri[[#This Row],[نرخ استهلاک]]*bargiri[[#This Row],[مقدار]])&lt;0,0,bargiri[[#This Row],[مبلغ ناخالص]]-(bargiri[[#This Row],[نرخ استهلاک]]*bargiri[[#This Row],[مقدار]]))</f>
        <v>1384325625</v>
      </c>
    </row>
    <row r="1594" spans="1:17" s="22" customFormat="1" ht="13.8" x14ac:dyDescent="0.25">
      <c r="A1594" s="22">
        <v>1286</v>
      </c>
      <c r="B1594" s="22" t="s">
        <v>217</v>
      </c>
      <c r="C1594" s="22" t="s">
        <v>128</v>
      </c>
      <c r="D1594" s="22" t="s">
        <v>129</v>
      </c>
      <c r="E1594" s="158">
        <v>9140</v>
      </c>
      <c r="F1594" s="159">
        <v>80000</v>
      </c>
      <c r="G1594" s="159">
        <v>731200000</v>
      </c>
      <c r="H1594" s="159">
        <v>73120000</v>
      </c>
      <c r="I1594" s="159">
        <v>804320000</v>
      </c>
      <c r="J1594" s="159">
        <f>bargiri[[#This Row],[مقدار]]*INDEX(invoice[پیش دریافت به ازای هر کیلوگرم],MATCH(bargiri[[#This Row],[شماره سند مبنا]],invoice[شماره پیش فاکتور],0))</f>
        <v>121233964.16010718</v>
      </c>
      <c r="K1594" s="159">
        <f>bargiri[[#This Row],[مبلغ خالص]]-bargiri[[#This Row],[میزان استهلاک پیش دریافتی]]</f>
        <v>683086035.83989286</v>
      </c>
      <c r="L1594" s="160"/>
      <c r="M1594" s="159"/>
      <c r="N1594" s="159">
        <f>IF(bargiri[[#This Row],[مبلغ واریزی]]&lt;&gt;"",bargiri[[#This Row],[مانده مبلغ]]-bargiri[[#This Row],[مبلغ واریزی]],bargiri[[#This Row],[مانده مبلغ]])</f>
        <v>683086035.83989286</v>
      </c>
      <c r="O1594" s="159"/>
      <c r="P1594" s="159">
        <f>VLOOKUP(bargiri[[#This Row],[شماره سند مبنا]],invoice[[شماره پیش فاکتور]:[پیش دریافت به ازای هر کیلوگرم]],14,0)</f>
        <v>13264.109864344331</v>
      </c>
      <c r="Q1594" s="159">
        <f>IF(bargiri[[#This Row],[مبلغ ناخالص]]-(bargiri[[#This Row],[نرخ استهلاک]]*bargiri[[#This Row],[مقدار]])&lt;0,0,bargiri[[#This Row],[مبلغ ناخالص]]-(bargiri[[#This Row],[نرخ استهلاک]]*bargiri[[#This Row],[مقدار]]))</f>
        <v>609966035.83989286</v>
      </c>
    </row>
    <row r="1595" spans="1:17" s="22" customFormat="1" ht="13.8" x14ac:dyDescent="0.25">
      <c r="A1595" s="22">
        <v>1285</v>
      </c>
      <c r="B1595" s="22" t="s">
        <v>217</v>
      </c>
      <c r="C1595" s="22" t="s">
        <v>72</v>
      </c>
      <c r="D1595" s="22" t="s">
        <v>73</v>
      </c>
      <c r="E1595" s="158">
        <v>20825</v>
      </c>
      <c r="F1595" s="159">
        <v>57273</v>
      </c>
      <c r="G1595" s="159">
        <v>1192710225</v>
      </c>
      <c r="H1595" s="159">
        <v>119271023</v>
      </c>
      <c r="I1595" s="159">
        <v>1311981248</v>
      </c>
      <c r="J1595" s="159" t="e">
        <f>bargiri[[#This Row],[مقدار]]*INDEX(invoice[پیش دریافت به ازای هر کیلوگرم],MATCH(bargiri[[#This Row],[شماره سند مبنا]],invoice[شماره پیش فاکتور],0))</f>
        <v>#N/A</v>
      </c>
      <c r="K1595" s="159" t="e">
        <f>bargiri[[#This Row],[مبلغ خالص]]-bargiri[[#This Row],[میزان استهلاک پیش دریافتی]]</f>
        <v>#N/A</v>
      </c>
      <c r="L1595" s="160"/>
      <c r="M1595" s="159"/>
      <c r="N1595" s="159" t="e">
        <f>IF(bargiri[[#This Row],[مبلغ واریزی]]&lt;&gt;"",bargiri[[#This Row],[مانده مبلغ]]-bargiri[[#This Row],[مبلغ واریزی]],bargiri[[#This Row],[مانده مبلغ]])</f>
        <v>#N/A</v>
      </c>
      <c r="O1595" s="159"/>
      <c r="P1595" s="159" t="e">
        <f>VLOOKUP(bargiri[[#This Row],[شماره سند مبنا]],invoice[[شماره پیش فاکتور]:[پیش دریافت به ازای هر کیلوگرم]],14,0)</f>
        <v>#N/A</v>
      </c>
      <c r="Q1595" s="159" t="e">
        <f>IF(bargiri[[#This Row],[مبلغ ناخالص]]-(bargiri[[#This Row],[نرخ استهلاک]]*bargiri[[#This Row],[مقدار]])&lt;0,0,bargiri[[#This Row],[مبلغ ناخالص]]-(bargiri[[#This Row],[نرخ استهلاک]]*bargiri[[#This Row],[مقدار]]))</f>
        <v>#N/A</v>
      </c>
    </row>
    <row r="1596" spans="1:17" s="22" customFormat="1" ht="13.8" x14ac:dyDescent="0.25">
      <c r="A1596" s="22">
        <v>1284</v>
      </c>
      <c r="B1596" s="22" t="s">
        <v>217</v>
      </c>
      <c r="C1596" s="22" t="s">
        <v>72</v>
      </c>
      <c r="D1596" s="22" t="s">
        <v>73</v>
      </c>
      <c r="E1596" s="158">
        <v>20640</v>
      </c>
      <c r="F1596" s="159">
        <v>57273</v>
      </c>
      <c r="G1596" s="159">
        <v>1182114720</v>
      </c>
      <c r="H1596" s="159">
        <v>118211472</v>
      </c>
      <c r="I1596" s="159">
        <v>1300326192</v>
      </c>
      <c r="J1596" s="159" t="e">
        <f>bargiri[[#This Row],[مقدار]]*INDEX(invoice[پیش دریافت به ازای هر کیلوگرم],MATCH(bargiri[[#This Row],[شماره سند مبنا]],invoice[شماره پیش فاکتور],0))</f>
        <v>#N/A</v>
      </c>
      <c r="K1596" s="159" t="e">
        <f>bargiri[[#This Row],[مبلغ خالص]]-bargiri[[#This Row],[میزان استهلاک پیش دریافتی]]</f>
        <v>#N/A</v>
      </c>
      <c r="L1596" s="160"/>
      <c r="M1596" s="159"/>
      <c r="N1596" s="159" t="e">
        <f>IF(bargiri[[#This Row],[مبلغ واریزی]]&lt;&gt;"",bargiri[[#This Row],[مانده مبلغ]]-bargiri[[#This Row],[مبلغ واریزی]],bargiri[[#This Row],[مانده مبلغ]])</f>
        <v>#N/A</v>
      </c>
      <c r="O1596" s="159"/>
      <c r="P1596" s="159" t="e">
        <f>VLOOKUP(bargiri[[#This Row],[شماره سند مبنا]],invoice[[شماره پیش فاکتور]:[پیش دریافت به ازای هر کیلوگرم]],14,0)</f>
        <v>#N/A</v>
      </c>
      <c r="Q1596" s="159" t="e">
        <f>IF(bargiri[[#This Row],[مبلغ ناخالص]]-(bargiri[[#This Row],[نرخ استهلاک]]*bargiri[[#This Row],[مقدار]])&lt;0,0,bargiri[[#This Row],[مبلغ ناخالص]]-(bargiri[[#This Row],[نرخ استهلاک]]*bargiri[[#This Row],[مقدار]]))</f>
        <v>#N/A</v>
      </c>
    </row>
    <row r="1597" spans="1:17" s="22" customFormat="1" ht="13.8" x14ac:dyDescent="0.25">
      <c r="A1597" s="22">
        <v>1283</v>
      </c>
      <c r="B1597" s="22" t="s">
        <v>217</v>
      </c>
      <c r="C1597" s="22" t="s">
        <v>72</v>
      </c>
      <c r="D1597" s="22" t="s">
        <v>73</v>
      </c>
      <c r="E1597" s="158">
        <v>20930</v>
      </c>
      <c r="F1597" s="159">
        <v>57273</v>
      </c>
      <c r="G1597" s="159">
        <v>1198723890</v>
      </c>
      <c r="H1597" s="159">
        <v>119872389</v>
      </c>
      <c r="I1597" s="159">
        <v>1318596279</v>
      </c>
      <c r="J1597" s="159" t="e">
        <f>bargiri[[#This Row],[مقدار]]*INDEX(invoice[پیش دریافت به ازای هر کیلوگرم],MATCH(bargiri[[#This Row],[شماره سند مبنا]],invoice[شماره پیش فاکتور],0))</f>
        <v>#N/A</v>
      </c>
      <c r="K1597" s="159" t="e">
        <f>bargiri[[#This Row],[مبلغ خالص]]-bargiri[[#This Row],[میزان استهلاک پیش دریافتی]]</f>
        <v>#N/A</v>
      </c>
      <c r="L1597" s="160"/>
      <c r="M1597" s="159"/>
      <c r="N1597" s="159" t="e">
        <f>IF(bargiri[[#This Row],[مبلغ واریزی]]&lt;&gt;"",bargiri[[#This Row],[مانده مبلغ]]-bargiri[[#This Row],[مبلغ واریزی]],bargiri[[#This Row],[مانده مبلغ]])</f>
        <v>#N/A</v>
      </c>
      <c r="O1597" s="159"/>
      <c r="P1597" s="159" t="e">
        <f>VLOOKUP(bargiri[[#This Row],[شماره سند مبنا]],invoice[[شماره پیش فاکتور]:[پیش دریافت به ازای هر کیلوگرم]],14,0)</f>
        <v>#N/A</v>
      </c>
      <c r="Q1597" s="159" t="e">
        <f>IF(bargiri[[#This Row],[مبلغ ناخالص]]-(bargiri[[#This Row],[نرخ استهلاک]]*bargiri[[#This Row],[مقدار]])&lt;0,0,bargiri[[#This Row],[مبلغ ناخالص]]-(bargiri[[#This Row],[نرخ استهلاک]]*bargiri[[#This Row],[مقدار]]))</f>
        <v>#N/A</v>
      </c>
    </row>
    <row r="1598" spans="1:17" s="22" customFormat="1" ht="13.8" x14ac:dyDescent="0.25">
      <c r="A1598" s="22">
        <v>1282</v>
      </c>
      <c r="B1598" s="22" t="s">
        <v>294</v>
      </c>
      <c r="C1598" s="22" t="s">
        <v>88</v>
      </c>
      <c r="D1598" s="22" t="s">
        <v>89</v>
      </c>
      <c r="E1598" s="158">
        <v>10010</v>
      </c>
      <c r="F1598" s="159">
        <v>78000</v>
      </c>
      <c r="G1598" s="159">
        <v>780780000</v>
      </c>
      <c r="H1598" s="159">
        <v>78078000</v>
      </c>
      <c r="I1598" s="159">
        <v>858858000</v>
      </c>
      <c r="J1598" s="159" t="e">
        <f>bargiri[[#This Row],[مقدار]]*INDEX(invoice[پیش دریافت به ازای هر کیلوگرم],MATCH(bargiri[[#This Row],[شماره سند مبنا]],invoice[شماره پیش فاکتور],0))</f>
        <v>#N/A</v>
      </c>
      <c r="K1598" s="159" t="e">
        <f>bargiri[[#This Row],[مبلغ خالص]]-bargiri[[#This Row],[میزان استهلاک پیش دریافتی]]</f>
        <v>#N/A</v>
      </c>
      <c r="L1598" s="160"/>
      <c r="M1598" s="159"/>
      <c r="N1598" s="159" t="e">
        <f>IF(bargiri[[#This Row],[مبلغ واریزی]]&lt;&gt;"",bargiri[[#This Row],[مانده مبلغ]]-bargiri[[#This Row],[مبلغ واریزی]],bargiri[[#This Row],[مانده مبلغ]])</f>
        <v>#N/A</v>
      </c>
      <c r="O1598" s="159"/>
      <c r="P1598" s="159" t="e">
        <f>VLOOKUP(bargiri[[#This Row],[شماره سند مبنا]],invoice[[شماره پیش فاکتور]:[پیش دریافت به ازای هر کیلوگرم]],14,0)</f>
        <v>#N/A</v>
      </c>
      <c r="Q1598" s="159" t="e">
        <f>IF(bargiri[[#This Row],[مبلغ ناخالص]]-(bargiri[[#This Row],[نرخ استهلاک]]*bargiri[[#This Row],[مقدار]])&lt;0,0,bargiri[[#This Row],[مبلغ ناخالص]]-(bargiri[[#This Row],[نرخ استهلاک]]*bargiri[[#This Row],[مقدار]]))</f>
        <v>#N/A</v>
      </c>
    </row>
    <row r="1599" spans="1:17" s="22" customFormat="1" ht="13.8" x14ac:dyDescent="0.25">
      <c r="A1599" s="22">
        <v>1281</v>
      </c>
      <c r="B1599" s="22" t="s">
        <v>193</v>
      </c>
      <c r="C1599" s="22" t="s">
        <v>119</v>
      </c>
      <c r="D1599" s="22" t="s">
        <v>25</v>
      </c>
      <c r="E1599" s="158">
        <v>20015</v>
      </c>
      <c r="F1599" s="159">
        <v>75000</v>
      </c>
      <c r="G1599" s="159">
        <v>1501125000</v>
      </c>
      <c r="H1599" s="159">
        <v>150112500</v>
      </c>
      <c r="I1599" s="159">
        <v>1651237500</v>
      </c>
      <c r="J1599" s="159">
        <f>bargiri[[#This Row],[مقدار]]*INDEX(invoice[پیش دریافت به ازای هر کیلوگرم],MATCH(bargiri[[#This Row],[شماره سند مبنا]],invoice[شماره پیش فاکتور],0))</f>
        <v>247685625</v>
      </c>
      <c r="K1599" s="159">
        <f>bargiri[[#This Row],[مبلغ خالص]]-bargiri[[#This Row],[میزان استهلاک پیش دریافتی]]</f>
        <v>1403551875</v>
      </c>
      <c r="L1599" s="160"/>
      <c r="M1599" s="159"/>
      <c r="N1599" s="159">
        <f>IF(bargiri[[#This Row],[مبلغ واریزی]]&lt;&gt;"",bargiri[[#This Row],[مانده مبلغ]]-bargiri[[#This Row],[مبلغ واریزی]],bargiri[[#This Row],[مانده مبلغ]])</f>
        <v>1403551875</v>
      </c>
      <c r="O1599" s="159"/>
      <c r="P1599" s="159">
        <f>VLOOKUP(bargiri[[#This Row],[شماره سند مبنا]],invoice[[شماره پیش فاکتور]:[پیش دریافت به ازای هر کیلوگرم]],14,0)</f>
        <v>12375</v>
      </c>
      <c r="Q1599" s="159">
        <f>IF(bargiri[[#This Row],[مبلغ ناخالص]]-(bargiri[[#This Row],[نرخ استهلاک]]*bargiri[[#This Row],[مقدار]])&lt;0,0,bargiri[[#This Row],[مبلغ ناخالص]]-(bargiri[[#This Row],[نرخ استهلاک]]*bargiri[[#This Row],[مقدار]]))</f>
        <v>1253439375</v>
      </c>
    </row>
    <row r="1600" spans="1:17" s="22" customFormat="1" ht="13.8" x14ac:dyDescent="0.25">
      <c r="A1600" s="22">
        <v>1280</v>
      </c>
      <c r="B1600" s="22" t="s">
        <v>251</v>
      </c>
      <c r="C1600" s="22" t="s">
        <v>144</v>
      </c>
      <c r="D1600" s="22" t="s">
        <v>25</v>
      </c>
      <c r="E1600" s="158">
        <v>14030</v>
      </c>
      <c r="F1600" s="159">
        <v>65000</v>
      </c>
      <c r="G1600" s="159">
        <v>911950000</v>
      </c>
      <c r="H1600" s="159">
        <v>91195000</v>
      </c>
      <c r="I1600" s="159">
        <v>1003145000</v>
      </c>
      <c r="J1600" s="159" t="e">
        <f>bargiri[[#This Row],[مقدار]]*INDEX(invoice[پیش دریافت به ازای هر کیلوگرم],MATCH(bargiri[[#This Row],[شماره سند مبنا]],invoice[شماره پیش فاکتور],0))</f>
        <v>#N/A</v>
      </c>
      <c r="K1600" s="159" t="e">
        <f>bargiri[[#This Row],[مبلغ خالص]]-bargiri[[#This Row],[میزان استهلاک پیش دریافتی]]</f>
        <v>#N/A</v>
      </c>
      <c r="L1600" s="160"/>
      <c r="M1600" s="159"/>
      <c r="N1600" s="159" t="e">
        <f>IF(bargiri[[#This Row],[مبلغ واریزی]]&lt;&gt;"",bargiri[[#This Row],[مانده مبلغ]]-bargiri[[#This Row],[مبلغ واریزی]],bargiri[[#This Row],[مانده مبلغ]])</f>
        <v>#N/A</v>
      </c>
      <c r="O1600" s="159"/>
      <c r="P1600" s="159" t="e">
        <f>VLOOKUP(bargiri[[#This Row],[شماره سند مبنا]],invoice[[شماره پیش فاکتور]:[پیش دریافت به ازای هر کیلوگرم]],14,0)</f>
        <v>#N/A</v>
      </c>
      <c r="Q1600" s="159" t="e">
        <f>IF(bargiri[[#This Row],[مبلغ ناخالص]]-(bargiri[[#This Row],[نرخ استهلاک]]*bargiri[[#This Row],[مقدار]])&lt;0,0,bargiri[[#This Row],[مبلغ ناخالص]]-(bargiri[[#This Row],[نرخ استهلاک]]*bargiri[[#This Row],[مقدار]]))</f>
        <v>#N/A</v>
      </c>
    </row>
    <row r="1601" spans="1:17" s="22" customFormat="1" ht="13.8" x14ac:dyDescent="0.25">
      <c r="A1601" s="22">
        <v>1280</v>
      </c>
      <c r="B1601" s="22" t="s">
        <v>251</v>
      </c>
      <c r="C1601" s="22" t="s">
        <v>119</v>
      </c>
      <c r="D1601" s="22" t="s">
        <v>25</v>
      </c>
      <c r="E1601" s="158">
        <v>5060</v>
      </c>
      <c r="F1601" s="159">
        <v>75000</v>
      </c>
      <c r="G1601" s="159">
        <v>379500000</v>
      </c>
      <c r="H1601" s="159">
        <v>37950000</v>
      </c>
      <c r="I1601" s="159">
        <v>417450000</v>
      </c>
      <c r="J1601" s="159">
        <f>bargiri[[#This Row],[مقدار]]*INDEX(invoice[پیش دریافت به ازای هر کیلوگرم],MATCH(bargiri[[#This Row],[شماره سند مبنا]],invoice[شماره پیش فاکتور],0))</f>
        <v>62617500</v>
      </c>
      <c r="K1601" s="159">
        <f>bargiri[[#This Row],[مبلغ خالص]]-bargiri[[#This Row],[میزان استهلاک پیش دریافتی]]</f>
        <v>354832500</v>
      </c>
      <c r="L1601" s="160"/>
      <c r="M1601" s="159"/>
      <c r="N1601" s="159">
        <f>IF(bargiri[[#This Row],[مبلغ واریزی]]&lt;&gt;"",bargiri[[#This Row],[مانده مبلغ]]-bargiri[[#This Row],[مبلغ واریزی]],bargiri[[#This Row],[مانده مبلغ]])</f>
        <v>354832500</v>
      </c>
      <c r="O1601" s="159"/>
      <c r="P1601" s="159">
        <f>VLOOKUP(bargiri[[#This Row],[شماره سند مبنا]],invoice[[شماره پیش فاکتور]:[پیش دریافت به ازای هر کیلوگرم]],14,0)</f>
        <v>12375</v>
      </c>
      <c r="Q1601" s="159">
        <f>IF(bargiri[[#This Row],[مبلغ ناخالص]]-(bargiri[[#This Row],[نرخ استهلاک]]*bargiri[[#This Row],[مقدار]])&lt;0,0,bargiri[[#This Row],[مبلغ ناخالص]]-(bargiri[[#This Row],[نرخ استهلاک]]*bargiri[[#This Row],[مقدار]]))</f>
        <v>316882500</v>
      </c>
    </row>
    <row r="1602" spans="1:17" s="22" customFormat="1" ht="13.8" x14ac:dyDescent="0.25">
      <c r="A1602" s="22">
        <v>1279</v>
      </c>
      <c r="B1602" s="22" t="s">
        <v>146</v>
      </c>
      <c r="C1602" s="22" t="s">
        <v>144</v>
      </c>
      <c r="D1602" s="22" t="s">
        <v>25</v>
      </c>
      <c r="E1602" s="158">
        <v>10095</v>
      </c>
      <c r="F1602" s="159">
        <v>65000</v>
      </c>
      <c r="G1602" s="159">
        <v>656175000</v>
      </c>
      <c r="H1602" s="159">
        <v>65617500</v>
      </c>
      <c r="I1602" s="159">
        <v>721792500</v>
      </c>
      <c r="J1602" s="159" t="e">
        <f>bargiri[[#This Row],[مقدار]]*INDEX(invoice[پیش دریافت به ازای هر کیلوگرم],MATCH(bargiri[[#This Row],[شماره سند مبنا]],invoice[شماره پیش فاکتور],0))</f>
        <v>#N/A</v>
      </c>
      <c r="K1602" s="159" t="e">
        <f>bargiri[[#This Row],[مبلغ خالص]]-bargiri[[#This Row],[میزان استهلاک پیش دریافتی]]</f>
        <v>#N/A</v>
      </c>
      <c r="L1602" s="160"/>
      <c r="M1602" s="159"/>
      <c r="N1602" s="159" t="e">
        <f>IF(bargiri[[#This Row],[مبلغ واریزی]]&lt;&gt;"",bargiri[[#This Row],[مانده مبلغ]]-bargiri[[#This Row],[مبلغ واریزی]],bargiri[[#This Row],[مانده مبلغ]])</f>
        <v>#N/A</v>
      </c>
      <c r="O1602" s="159"/>
      <c r="P1602" s="159" t="e">
        <f>VLOOKUP(bargiri[[#This Row],[شماره سند مبنا]],invoice[[شماره پیش فاکتور]:[پیش دریافت به ازای هر کیلوگرم]],14,0)</f>
        <v>#N/A</v>
      </c>
      <c r="Q1602" s="159" t="e">
        <f>IF(bargiri[[#This Row],[مبلغ ناخالص]]-(bargiri[[#This Row],[نرخ استهلاک]]*bargiri[[#This Row],[مقدار]])&lt;0,0,bargiri[[#This Row],[مبلغ ناخالص]]-(bargiri[[#This Row],[نرخ استهلاک]]*bargiri[[#This Row],[مقدار]]))</f>
        <v>#N/A</v>
      </c>
    </row>
    <row r="1603" spans="1:17" s="22" customFormat="1" ht="13.8" x14ac:dyDescent="0.25">
      <c r="A1603" s="22">
        <v>1278</v>
      </c>
      <c r="B1603" s="22" t="s">
        <v>252</v>
      </c>
      <c r="C1603" s="22" t="s">
        <v>72</v>
      </c>
      <c r="D1603" s="22" t="s">
        <v>73</v>
      </c>
      <c r="E1603" s="158">
        <v>20550</v>
      </c>
      <c r="F1603" s="159">
        <v>57273</v>
      </c>
      <c r="G1603" s="159">
        <v>1176960150</v>
      </c>
      <c r="H1603" s="159">
        <v>117696015</v>
      </c>
      <c r="I1603" s="159">
        <v>1294656165</v>
      </c>
      <c r="J1603" s="159" t="e">
        <f>bargiri[[#This Row],[مقدار]]*INDEX(invoice[پیش دریافت به ازای هر کیلوگرم],MATCH(bargiri[[#This Row],[شماره سند مبنا]],invoice[شماره پیش فاکتور],0))</f>
        <v>#N/A</v>
      </c>
      <c r="K1603" s="159" t="e">
        <f>bargiri[[#This Row],[مبلغ خالص]]-bargiri[[#This Row],[میزان استهلاک پیش دریافتی]]</f>
        <v>#N/A</v>
      </c>
      <c r="L1603" s="160"/>
      <c r="M1603" s="159"/>
      <c r="N1603" s="159" t="e">
        <f>IF(bargiri[[#This Row],[مبلغ واریزی]]&lt;&gt;"",bargiri[[#This Row],[مانده مبلغ]]-bargiri[[#This Row],[مبلغ واریزی]],bargiri[[#This Row],[مانده مبلغ]])</f>
        <v>#N/A</v>
      </c>
      <c r="O1603" s="159"/>
      <c r="P1603" s="159" t="e">
        <f>VLOOKUP(bargiri[[#This Row],[شماره سند مبنا]],invoice[[شماره پیش فاکتور]:[پیش دریافت به ازای هر کیلوگرم]],14,0)</f>
        <v>#N/A</v>
      </c>
      <c r="Q1603" s="159" t="e">
        <f>IF(bargiri[[#This Row],[مبلغ ناخالص]]-(bargiri[[#This Row],[نرخ استهلاک]]*bargiri[[#This Row],[مقدار]])&lt;0,0,bargiri[[#This Row],[مبلغ ناخالص]]-(bargiri[[#This Row],[نرخ استهلاک]]*bargiri[[#This Row],[مقدار]]))</f>
        <v>#N/A</v>
      </c>
    </row>
    <row r="1604" spans="1:17" s="22" customFormat="1" ht="13.8" x14ac:dyDescent="0.25">
      <c r="A1604" s="22">
        <v>1277</v>
      </c>
      <c r="B1604" s="22" t="s">
        <v>252</v>
      </c>
      <c r="C1604" s="22" t="s">
        <v>72</v>
      </c>
      <c r="D1604" s="22" t="s">
        <v>73</v>
      </c>
      <c r="E1604" s="158">
        <v>20525</v>
      </c>
      <c r="F1604" s="159">
        <v>57273</v>
      </c>
      <c r="G1604" s="159">
        <v>1175528325</v>
      </c>
      <c r="H1604" s="159">
        <v>117552833</v>
      </c>
      <c r="I1604" s="159">
        <v>1293081158</v>
      </c>
      <c r="J1604" s="159" t="e">
        <f>bargiri[[#This Row],[مقدار]]*INDEX(invoice[پیش دریافت به ازای هر کیلوگرم],MATCH(bargiri[[#This Row],[شماره سند مبنا]],invoice[شماره پیش فاکتور],0))</f>
        <v>#N/A</v>
      </c>
      <c r="K1604" s="159" t="e">
        <f>bargiri[[#This Row],[مبلغ خالص]]-bargiri[[#This Row],[میزان استهلاک پیش دریافتی]]</f>
        <v>#N/A</v>
      </c>
      <c r="L1604" s="160"/>
      <c r="M1604" s="159"/>
      <c r="N1604" s="159" t="e">
        <f>IF(bargiri[[#This Row],[مبلغ واریزی]]&lt;&gt;"",bargiri[[#This Row],[مانده مبلغ]]-bargiri[[#This Row],[مبلغ واریزی]],bargiri[[#This Row],[مانده مبلغ]])</f>
        <v>#N/A</v>
      </c>
      <c r="O1604" s="159"/>
      <c r="P1604" s="159" t="e">
        <f>VLOOKUP(bargiri[[#This Row],[شماره سند مبنا]],invoice[[شماره پیش فاکتور]:[پیش دریافت به ازای هر کیلوگرم]],14,0)</f>
        <v>#N/A</v>
      </c>
      <c r="Q1604" s="159" t="e">
        <f>IF(bargiri[[#This Row],[مبلغ ناخالص]]-(bargiri[[#This Row],[نرخ استهلاک]]*bargiri[[#This Row],[مقدار]])&lt;0,0,bargiri[[#This Row],[مبلغ ناخالص]]-(bargiri[[#This Row],[نرخ استهلاک]]*bargiri[[#This Row],[مقدار]]))</f>
        <v>#N/A</v>
      </c>
    </row>
    <row r="1605" spans="1:17" s="22" customFormat="1" ht="13.8" x14ac:dyDescent="0.25">
      <c r="A1605" s="22">
        <v>1276</v>
      </c>
      <c r="B1605" s="22" t="s">
        <v>252</v>
      </c>
      <c r="C1605" s="22" t="s">
        <v>191</v>
      </c>
      <c r="D1605" s="22" t="s">
        <v>67</v>
      </c>
      <c r="E1605" s="158">
        <v>20020</v>
      </c>
      <c r="F1605" s="159">
        <v>65000</v>
      </c>
      <c r="G1605" s="159">
        <v>1301300000</v>
      </c>
      <c r="H1605" s="159">
        <v>130130000</v>
      </c>
      <c r="I1605" s="159">
        <v>1431430000</v>
      </c>
      <c r="J1605" s="159" t="e">
        <f>bargiri[[#This Row],[مقدار]]*INDEX(invoice[پیش دریافت به ازای هر کیلوگرم],MATCH(bargiri[[#This Row],[شماره سند مبنا]],invoice[شماره پیش فاکتور],0))</f>
        <v>#N/A</v>
      </c>
      <c r="K1605" s="159" t="e">
        <f>bargiri[[#This Row],[مبلغ خالص]]-bargiri[[#This Row],[میزان استهلاک پیش دریافتی]]</f>
        <v>#N/A</v>
      </c>
      <c r="L1605" s="160"/>
      <c r="M1605" s="159"/>
      <c r="N1605" s="159" t="e">
        <f>IF(bargiri[[#This Row],[مبلغ واریزی]]&lt;&gt;"",bargiri[[#This Row],[مانده مبلغ]]-bargiri[[#This Row],[مبلغ واریزی]],bargiri[[#This Row],[مانده مبلغ]])</f>
        <v>#N/A</v>
      </c>
      <c r="O1605" s="159"/>
      <c r="P1605" s="159" t="e">
        <f>VLOOKUP(bargiri[[#This Row],[شماره سند مبنا]],invoice[[شماره پیش فاکتور]:[پیش دریافت به ازای هر کیلوگرم]],14,0)</f>
        <v>#N/A</v>
      </c>
      <c r="Q1605" s="159" t="e">
        <f>IF(bargiri[[#This Row],[مبلغ ناخالص]]-(bargiri[[#This Row],[نرخ استهلاک]]*bargiri[[#This Row],[مقدار]])&lt;0,0,bargiri[[#This Row],[مبلغ ناخالص]]-(bargiri[[#This Row],[نرخ استهلاک]]*bargiri[[#This Row],[مقدار]]))</f>
        <v>#N/A</v>
      </c>
    </row>
    <row r="1606" spans="1:17" s="22" customFormat="1" ht="13.8" x14ac:dyDescent="0.25">
      <c r="A1606" s="22">
        <v>1275</v>
      </c>
      <c r="B1606" s="22" t="s">
        <v>252</v>
      </c>
      <c r="C1606" s="22" t="s">
        <v>109</v>
      </c>
      <c r="D1606" s="22" t="s">
        <v>110</v>
      </c>
      <c r="E1606" s="158">
        <v>19050</v>
      </c>
      <c r="F1606" s="159">
        <v>70000</v>
      </c>
      <c r="G1606" s="159">
        <v>1333500000</v>
      </c>
      <c r="H1606" s="159">
        <v>133350000</v>
      </c>
      <c r="I1606" s="159">
        <v>1466850000</v>
      </c>
      <c r="J1606" s="159" t="e">
        <f>bargiri[[#This Row],[مقدار]]*INDEX(invoice[پیش دریافت به ازای هر کیلوگرم],MATCH(bargiri[[#This Row],[شماره سند مبنا]],invoice[شماره پیش فاکتور],0))</f>
        <v>#N/A</v>
      </c>
      <c r="K1606" s="159" t="e">
        <f>bargiri[[#This Row],[مبلغ خالص]]-bargiri[[#This Row],[میزان استهلاک پیش دریافتی]]</f>
        <v>#N/A</v>
      </c>
      <c r="L1606" s="160"/>
      <c r="M1606" s="159"/>
      <c r="N1606" s="159" t="e">
        <f>IF(bargiri[[#This Row],[مبلغ واریزی]]&lt;&gt;"",bargiri[[#This Row],[مانده مبلغ]]-bargiri[[#This Row],[مبلغ واریزی]],bargiri[[#This Row],[مانده مبلغ]])</f>
        <v>#N/A</v>
      </c>
      <c r="O1606" s="159"/>
      <c r="P1606" s="159" t="e">
        <f>VLOOKUP(bargiri[[#This Row],[شماره سند مبنا]],invoice[[شماره پیش فاکتور]:[پیش دریافت به ازای هر کیلوگرم]],14,0)</f>
        <v>#N/A</v>
      </c>
      <c r="Q1606" s="159" t="e">
        <f>IF(bargiri[[#This Row],[مبلغ ناخالص]]-(bargiri[[#This Row],[نرخ استهلاک]]*bargiri[[#This Row],[مقدار]])&lt;0,0,bargiri[[#This Row],[مبلغ ناخالص]]-(bargiri[[#This Row],[نرخ استهلاک]]*bargiri[[#This Row],[مقدار]]))</f>
        <v>#N/A</v>
      </c>
    </row>
    <row r="1607" spans="1:17" s="22" customFormat="1" ht="13.8" x14ac:dyDescent="0.25">
      <c r="A1607" s="22">
        <v>1274</v>
      </c>
      <c r="B1607" s="22" t="s">
        <v>252</v>
      </c>
      <c r="C1607" s="22" t="s">
        <v>115</v>
      </c>
      <c r="D1607" s="22" t="s">
        <v>116</v>
      </c>
      <c r="E1607" s="158">
        <v>18720</v>
      </c>
      <c r="F1607" s="159">
        <v>75000</v>
      </c>
      <c r="G1607" s="159">
        <v>1404000000</v>
      </c>
      <c r="H1607" s="159">
        <v>140400000</v>
      </c>
      <c r="I1607" s="159">
        <v>1544400000</v>
      </c>
      <c r="J1607" s="159">
        <f>bargiri[[#This Row],[مقدار]]*INDEX(invoice[پیش دریافت به ازای هر کیلوگرم],MATCH(bargiri[[#This Row],[شماره سند مبنا]],invoice[شماره پیش فاکتور],0))</f>
        <v>280991073.93027258</v>
      </c>
      <c r="K1607" s="159">
        <f>bargiri[[#This Row],[مبلغ خالص]]-bargiri[[#This Row],[میزان استهلاک پیش دریافتی]]</f>
        <v>1263408926.0697274</v>
      </c>
      <c r="L1607" s="160"/>
      <c r="M1607" s="159"/>
      <c r="N1607" s="159">
        <f>IF(bargiri[[#This Row],[مبلغ واریزی]]&lt;&gt;"",bargiri[[#This Row],[مانده مبلغ]]-bargiri[[#This Row],[مبلغ واریزی]],bargiri[[#This Row],[مانده مبلغ]])</f>
        <v>1263408926.0697274</v>
      </c>
      <c r="O1607" s="159"/>
      <c r="P1607" s="159">
        <f>VLOOKUP(bargiri[[#This Row],[شماره سند مبنا]],invoice[[شماره پیش فاکتور]:[پیش دریافت به ازای هر کیلوگرم]],14,0)</f>
        <v>15010.206940719689</v>
      </c>
      <c r="Q1607" s="159">
        <f>IF(bargiri[[#This Row],[مبلغ ناخالص]]-(bargiri[[#This Row],[نرخ استهلاک]]*bargiri[[#This Row],[مقدار]])&lt;0,0,bargiri[[#This Row],[مبلغ ناخالص]]-(bargiri[[#This Row],[نرخ استهلاک]]*bargiri[[#This Row],[مقدار]]))</f>
        <v>1123008926.0697274</v>
      </c>
    </row>
    <row r="1608" spans="1:17" s="22" customFormat="1" ht="13.8" x14ac:dyDescent="0.25">
      <c r="A1608" s="22">
        <v>1273</v>
      </c>
      <c r="B1608" s="22" t="s">
        <v>171</v>
      </c>
      <c r="C1608" s="22" t="s">
        <v>84</v>
      </c>
      <c r="D1608" s="22" t="s">
        <v>51</v>
      </c>
      <c r="E1608" s="158">
        <v>14125</v>
      </c>
      <c r="F1608" s="159">
        <v>70000</v>
      </c>
      <c r="G1608" s="159">
        <v>988750000</v>
      </c>
      <c r="H1608" s="159">
        <v>98875000</v>
      </c>
      <c r="I1608" s="159">
        <v>1087625000</v>
      </c>
      <c r="J1608" s="159" t="e">
        <f>bargiri[[#This Row],[مقدار]]*INDEX(invoice[پیش دریافت به ازای هر کیلوگرم],MATCH(bargiri[[#This Row],[شماره سند مبنا]],invoice[شماره پیش فاکتور],0))</f>
        <v>#N/A</v>
      </c>
      <c r="K1608" s="159" t="e">
        <f>bargiri[[#This Row],[مبلغ خالص]]-bargiri[[#This Row],[میزان استهلاک پیش دریافتی]]</f>
        <v>#N/A</v>
      </c>
      <c r="L1608" s="160"/>
      <c r="M1608" s="159"/>
      <c r="N1608" s="159" t="e">
        <f>IF(bargiri[[#This Row],[مبلغ واریزی]]&lt;&gt;"",bargiri[[#This Row],[مانده مبلغ]]-bargiri[[#This Row],[مبلغ واریزی]],bargiri[[#This Row],[مانده مبلغ]])</f>
        <v>#N/A</v>
      </c>
      <c r="O1608" s="159"/>
      <c r="P1608" s="159" t="e">
        <f>VLOOKUP(bargiri[[#This Row],[شماره سند مبنا]],invoice[[شماره پیش فاکتور]:[پیش دریافت به ازای هر کیلوگرم]],14,0)</f>
        <v>#N/A</v>
      </c>
      <c r="Q1608" s="159" t="e">
        <f>IF(bargiri[[#This Row],[مبلغ ناخالص]]-(bargiri[[#This Row],[نرخ استهلاک]]*bargiri[[#This Row],[مقدار]])&lt;0,0,bargiri[[#This Row],[مبلغ ناخالص]]-(bargiri[[#This Row],[نرخ استهلاک]]*bargiri[[#This Row],[مقدار]]))</f>
        <v>#N/A</v>
      </c>
    </row>
    <row r="1609" spans="1:17" s="22" customFormat="1" ht="13.8" x14ac:dyDescent="0.25">
      <c r="A1609" s="22">
        <v>1273</v>
      </c>
      <c r="B1609" s="22" t="s">
        <v>171</v>
      </c>
      <c r="C1609" s="22" t="s">
        <v>169</v>
      </c>
      <c r="D1609" s="22" t="s">
        <v>51</v>
      </c>
      <c r="E1609" s="158">
        <v>6220</v>
      </c>
      <c r="F1609" s="159">
        <v>90000</v>
      </c>
      <c r="G1609" s="159">
        <v>559800000</v>
      </c>
      <c r="H1609" s="159">
        <v>55980000</v>
      </c>
      <c r="I1609" s="159">
        <v>615780000</v>
      </c>
      <c r="J1609" s="159">
        <f>bargiri[[#This Row],[مقدار]]*INDEX(invoice[پیش دریافت به ازای هر کیلوگرم],MATCH(bargiri[[#This Row],[شماره سند مبنا]],invoice[شماره پیش فاکتور],0))</f>
        <v>92563697.857948139</v>
      </c>
      <c r="K1609" s="159">
        <f>bargiri[[#This Row],[مبلغ خالص]]-bargiri[[#This Row],[میزان استهلاک پیش دریافتی]]</f>
        <v>523216302.14205188</v>
      </c>
      <c r="L1609" s="160"/>
      <c r="M1609" s="159"/>
      <c r="N1609" s="159">
        <f>IF(bargiri[[#This Row],[مبلغ واریزی]]&lt;&gt;"",bargiri[[#This Row],[مانده مبلغ]]-bargiri[[#This Row],[مبلغ واریزی]],bargiri[[#This Row],[مانده مبلغ]])</f>
        <v>523216302.14205188</v>
      </c>
      <c r="O1609" s="159"/>
      <c r="P1609" s="159">
        <f>VLOOKUP(bargiri[[#This Row],[شماره سند مبنا]],invoice[[شماره پیش فاکتور]:[پیش دریافت به ازای هر کیلوگرم]],14,0)</f>
        <v>14881.623449830891</v>
      </c>
      <c r="Q1609" s="159">
        <f>IF(bargiri[[#This Row],[مبلغ ناخالص]]-(bargiri[[#This Row],[نرخ استهلاک]]*bargiri[[#This Row],[مقدار]])&lt;0,0,bargiri[[#This Row],[مبلغ ناخالص]]-(bargiri[[#This Row],[نرخ استهلاک]]*bargiri[[#This Row],[مقدار]]))</f>
        <v>467236302.14205188</v>
      </c>
    </row>
    <row r="1610" spans="1:17" s="22" customFormat="1" ht="13.8" x14ac:dyDescent="0.25">
      <c r="A1610" s="22">
        <v>1272</v>
      </c>
      <c r="B1610" s="22" t="s">
        <v>171</v>
      </c>
      <c r="C1610" s="22" t="s">
        <v>128</v>
      </c>
      <c r="D1610" s="22" t="s">
        <v>129</v>
      </c>
      <c r="E1610" s="158">
        <v>9125</v>
      </c>
      <c r="F1610" s="159">
        <v>80000</v>
      </c>
      <c r="G1610" s="159">
        <v>730000000</v>
      </c>
      <c r="H1610" s="159">
        <v>73000000</v>
      </c>
      <c r="I1610" s="159">
        <v>803000000</v>
      </c>
      <c r="J1610" s="159">
        <f>bargiri[[#This Row],[مقدار]]*INDEX(invoice[پیش دریافت به ازای هر کیلوگرم],MATCH(bargiri[[#This Row],[شماره سند مبنا]],invoice[شماره پیش فاکتور],0))</f>
        <v>121035002.51214202</v>
      </c>
      <c r="K1610" s="159">
        <f>bargiri[[#This Row],[مبلغ خالص]]-bargiri[[#This Row],[میزان استهلاک پیش دریافتی]]</f>
        <v>681964997.48785794</v>
      </c>
      <c r="L1610" s="160"/>
      <c r="M1610" s="159"/>
      <c r="N1610" s="159">
        <f>IF(bargiri[[#This Row],[مبلغ واریزی]]&lt;&gt;"",bargiri[[#This Row],[مانده مبلغ]]-bargiri[[#This Row],[مبلغ واریزی]],bargiri[[#This Row],[مانده مبلغ]])</f>
        <v>681964997.48785794</v>
      </c>
      <c r="O1610" s="159"/>
      <c r="P1610" s="159">
        <f>VLOOKUP(bargiri[[#This Row],[شماره سند مبنا]],invoice[[شماره پیش فاکتور]:[پیش دریافت به ازای هر کیلوگرم]],14,0)</f>
        <v>13264.109864344331</v>
      </c>
      <c r="Q1610" s="159">
        <f>IF(bargiri[[#This Row],[مبلغ ناخالص]]-(bargiri[[#This Row],[نرخ استهلاک]]*bargiri[[#This Row],[مقدار]])&lt;0,0,bargiri[[#This Row],[مبلغ ناخالص]]-(bargiri[[#This Row],[نرخ استهلاک]]*bargiri[[#This Row],[مقدار]]))</f>
        <v>608964997.48785794</v>
      </c>
    </row>
    <row r="1611" spans="1:17" s="22" customFormat="1" ht="13.8" x14ac:dyDescent="0.25">
      <c r="A1611" s="22">
        <v>1271</v>
      </c>
      <c r="B1611" s="22" t="s">
        <v>171</v>
      </c>
      <c r="C1611" s="22" t="s">
        <v>86</v>
      </c>
      <c r="D1611" s="22" t="s">
        <v>30</v>
      </c>
      <c r="E1611" s="158">
        <v>11945</v>
      </c>
      <c r="F1611" s="159">
        <v>65000</v>
      </c>
      <c r="G1611" s="159">
        <v>776425000</v>
      </c>
      <c r="H1611" s="159">
        <v>77642500</v>
      </c>
      <c r="I1611" s="159">
        <v>854067500</v>
      </c>
      <c r="J1611" s="159" t="e">
        <f>bargiri[[#This Row],[مقدار]]*INDEX(invoice[پیش دریافت به ازای هر کیلوگرم],MATCH(bargiri[[#This Row],[شماره سند مبنا]],invoice[شماره پیش فاکتور],0))</f>
        <v>#N/A</v>
      </c>
      <c r="K1611" s="159" t="e">
        <f>bargiri[[#This Row],[مبلغ خالص]]-bargiri[[#This Row],[میزان استهلاک پیش دریافتی]]</f>
        <v>#N/A</v>
      </c>
      <c r="L1611" s="160"/>
      <c r="M1611" s="159"/>
      <c r="N1611" s="159" t="e">
        <f>IF(bargiri[[#This Row],[مبلغ واریزی]]&lt;&gt;"",bargiri[[#This Row],[مانده مبلغ]]-bargiri[[#This Row],[مبلغ واریزی]],bargiri[[#This Row],[مانده مبلغ]])</f>
        <v>#N/A</v>
      </c>
      <c r="O1611" s="159"/>
      <c r="P1611" s="159" t="e">
        <f>VLOOKUP(bargiri[[#This Row],[شماره سند مبنا]],invoice[[شماره پیش فاکتور]:[پیش دریافت به ازای هر کیلوگرم]],14,0)</f>
        <v>#N/A</v>
      </c>
      <c r="Q1611" s="159" t="e">
        <f>IF(bargiri[[#This Row],[مبلغ ناخالص]]-(bargiri[[#This Row],[نرخ استهلاک]]*bargiri[[#This Row],[مقدار]])&lt;0,0,bargiri[[#This Row],[مبلغ ناخالص]]-(bargiri[[#This Row],[نرخ استهلاک]]*bargiri[[#This Row],[مقدار]]))</f>
        <v>#N/A</v>
      </c>
    </row>
    <row r="1612" spans="1:17" s="22" customFormat="1" ht="13.8" x14ac:dyDescent="0.25">
      <c r="A1612" s="22">
        <v>1270</v>
      </c>
      <c r="B1612" s="22" t="s">
        <v>171</v>
      </c>
      <c r="C1612" s="22" t="s">
        <v>155</v>
      </c>
      <c r="D1612" s="22" t="s">
        <v>156</v>
      </c>
      <c r="E1612" s="158">
        <v>18050</v>
      </c>
      <c r="F1612" s="159">
        <v>75000</v>
      </c>
      <c r="G1612" s="159">
        <v>1353750000</v>
      </c>
      <c r="H1612" s="159">
        <v>135375000</v>
      </c>
      <c r="I1612" s="159">
        <v>1489125000</v>
      </c>
      <c r="J1612" s="159">
        <f>bargiri[[#This Row],[مقدار]]*INDEX(invoice[پیش دریافت به ازای هر کیلوگرم],MATCH(bargiri[[#This Row],[شماره سند مبنا]],invoice[شماره پیش فاکتور],0))</f>
        <v>223368750</v>
      </c>
      <c r="K1612" s="159">
        <f>bargiri[[#This Row],[مبلغ خالص]]-bargiri[[#This Row],[میزان استهلاک پیش دریافتی]]</f>
        <v>1265756250</v>
      </c>
      <c r="L1612" s="160"/>
      <c r="M1612" s="159"/>
      <c r="N1612" s="159">
        <f>IF(bargiri[[#This Row],[مبلغ واریزی]]&lt;&gt;"",bargiri[[#This Row],[مانده مبلغ]]-bargiri[[#This Row],[مبلغ واریزی]],bargiri[[#This Row],[مانده مبلغ]])</f>
        <v>1265756250</v>
      </c>
      <c r="O1612" s="159"/>
      <c r="P1612" s="159">
        <f>VLOOKUP(bargiri[[#This Row],[شماره سند مبنا]],invoice[[شماره پیش فاکتور]:[پیش دریافت به ازای هر کیلوگرم]],14,0)</f>
        <v>12375</v>
      </c>
      <c r="Q1612" s="159">
        <f>IF(bargiri[[#This Row],[مبلغ ناخالص]]-(bargiri[[#This Row],[نرخ استهلاک]]*bargiri[[#This Row],[مقدار]])&lt;0,0,bargiri[[#This Row],[مبلغ ناخالص]]-(bargiri[[#This Row],[نرخ استهلاک]]*bargiri[[#This Row],[مقدار]]))</f>
        <v>1130381250</v>
      </c>
    </row>
    <row r="1613" spans="1:17" s="22" customFormat="1" ht="13.8" x14ac:dyDescent="0.25">
      <c r="A1613" s="22">
        <v>1269</v>
      </c>
      <c r="B1613" s="22" t="s">
        <v>171</v>
      </c>
      <c r="C1613" s="22" t="s">
        <v>149</v>
      </c>
      <c r="D1613" s="22" t="s">
        <v>35</v>
      </c>
      <c r="E1613" s="158">
        <v>7530</v>
      </c>
      <c r="F1613" s="159">
        <v>75000</v>
      </c>
      <c r="G1613" s="159">
        <v>564750000</v>
      </c>
      <c r="H1613" s="159">
        <v>56475000</v>
      </c>
      <c r="I1613" s="159">
        <v>621225000</v>
      </c>
      <c r="J1613" s="159">
        <f>bargiri[[#This Row],[مقدار]]*INDEX(invoice[پیش دریافت به ازای هر کیلوگرم],MATCH(bargiri[[#This Row],[شماره سند مبنا]],invoice[شماره پیش فاکتور],0))</f>
        <v>93190583.976158246</v>
      </c>
      <c r="K1613" s="159">
        <f>bargiri[[#This Row],[مبلغ خالص]]-bargiri[[#This Row],[میزان استهلاک پیش دریافتی]]</f>
        <v>528034416.02384174</v>
      </c>
      <c r="L1613" s="160"/>
      <c r="M1613" s="159"/>
      <c r="N1613" s="159">
        <f>IF(bargiri[[#This Row],[مبلغ واریزی]]&lt;&gt;"",bargiri[[#This Row],[مانده مبلغ]]-bargiri[[#This Row],[مبلغ واریزی]],bargiri[[#This Row],[مانده مبلغ]])</f>
        <v>528034416.02384174</v>
      </c>
      <c r="O1613" s="159"/>
      <c r="P1613" s="159">
        <f>VLOOKUP(bargiri[[#This Row],[شماره سند مبنا]],invoice[[شماره پیش فاکتور]:[پیش دریافت به ازای هر کیلوگرم]],14,0)</f>
        <v>12375.907566554881</v>
      </c>
      <c r="Q1613" s="159">
        <f>IF(bargiri[[#This Row],[مبلغ ناخالص]]-(bargiri[[#This Row],[نرخ استهلاک]]*bargiri[[#This Row],[مقدار]])&lt;0,0,bargiri[[#This Row],[مبلغ ناخالص]]-(bargiri[[#This Row],[نرخ استهلاک]]*bargiri[[#This Row],[مقدار]]))</f>
        <v>471559416.02384174</v>
      </c>
    </row>
    <row r="1614" spans="1:17" s="22" customFormat="1" ht="13.8" x14ac:dyDescent="0.25">
      <c r="A1614" s="22">
        <v>1268</v>
      </c>
      <c r="B1614" s="22" t="s">
        <v>193</v>
      </c>
      <c r="C1614" s="22" t="s">
        <v>149</v>
      </c>
      <c r="D1614" s="22" t="s">
        <v>35</v>
      </c>
      <c r="E1614" s="158">
        <v>7190</v>
      </c>
      <c r="F1614" s="159">
        <v>75000</v>
      </c>
      <c r="G1614" s="159">
        <v>539250000</v>
      </c>
      <c r="H1614" s="159">
        <v>53925000</v>
      </c>
      <c r="I1614" s="159">
        <v>593175000</v>
      </c>
      <c r="J1614" s="159">
        <f>bargiri[[#This Row],[مقدار]]*INDEX(invoice[پیش دریافت به ازای هر کیلوگرم],MATCH(bargiri[[#This Row],[شماره سند مبنا]],invoice[شماره پیش فاکتور],0))</f>
        <v>88982775.403529599</v>
      </c>
      <c r="K1614" s="159">
        <f>bargiri[[#This Row],[مبلغ خالص]]-bargiri[[#This Row],[میزان استهلاک پیش دریافتی]]</f>
        <v>504192224.59647042</v>
      </c>
      <c r="L1614" s="160"/>
      <c r="M1614" s="159"/>
      <c r="N1614" s="159">
        <f>IF(bargiri[[#This Row],[مبلغ واریزی]]&lt;&gt;"",bargiri[[#This Row],[مانده مبلغ]]-bargiri[[#This Row],[مبلغ واریزی]],bargiri[[#This Row],[مانده مبلغ]])</f>
        <v>504192224.59647042</v>
      </c>
      <c r="O1614" s="159"/>
      <c r="P1614" s="159">
        <f>VLOOKUP(bargiri[[#This Row],[شماره سند مبنا]],invoice[[شماره پیش فاکتور]:[پیش دریافت به ازای هر کیلوگرم]],14,0)</f>
        <v>12375.907566554881</v>
      </c>
      <c r="Q1614" s="159">
        <f>IF(bargiri[[#This Row],[مبلغ ناخالص]]-(bargiri[[#This Row],[نرخ استهلاک]]*bargiri[[#This Row],[مقدار]])&lt;0,0,bargiri[[#This Row],[مبلغ ناخالص]]-(bargiri[[#This Row],[نرخ استهلاک]]*bargiri[[#This Row],[مقدار]]))</f>
        <v>450267224.59647042</v>
      </c>
    </row>
    <row r="1615" spans="1:17" s="22" customFormat="1" ht="13.8" x14ac:dyDescent="0.25">
      <c r="A1615" s="22">
        <v>1267</v>
      </c>
      <c r="B1615" s="22" t="s">
        <v>193</v>
      </c>
      <c r="C1615" s="22" t="s">
        <v>194</v>
      </c>
      <c r="D1615" s="22" t="s">
        <v>67</v>
      </c>
      <c r="E1615" s="158">
        <v>9950</v>
      </c>
      <c r="F1615" s="159">
        <v>92180</v>
      </c>
      <c r="G1615" s="159">
        <v>917191000</v>
      </c>
      <c r="H1615" s="159">
        <v>91719100</v>
      </c>
      <c r="I1615" s="159">
        <v>1008910100</v>
      </c>
      <c r="J1615" s="159" t="e">
        <f>bargiri[[#This Row],[مقدار]]*INDEX(invoice[پیش دریافت به ازای هر کیلوگرم],MATCH(bargiri[[#This Row],[شماره سند مبنا]],invoice[شماره پیش فاکتور],0))</f>
        <v>#N/A</v>
      </c>
      <c r="K1615" s="159" t="e">
        <f>bargiri[[#This Row],[مبلغ خالص]]-bargiri[[#This Row],[میزان استهلاک پیش دریافتی]]</f>
        <v>#N/A</v>
      </c>
      <c r="L1615" s="160"/>
      <c r="M1615" s="159"/>
      <c r="N1615" s="159" t="e">
        <f>IF(bargiri[[#This Row],[مبلغ واریزی]]&lt;&gt;"",bargiri[[#This Row],[مانده مبلغ]]-bargiri[[#This Row],[مبلغ واریزی]],bargiri[[#This Row],[مانده مبلغ]])</f>
        <v>#N/A</v>
      </c>
      <c r="O1615" s="159"/>
      <c r="P1615" s="159" t="e">
        <f>VLOOKUP(bargiri[[#This Row],[شماره سند مبنا]],invoice[[شماره پیش فاکتور]:[پیش دریافت به ازای هر کیلوگرم]],14,0)</f>
        <v>#N/A</v>
      </c>
      <c r="Q1615" s="159" t="e">
        <f>IF(bargiri[[#This Row],[مبلغ ناخالص]]-(bargiri[[#This Row],[نرخ استهلاک]]*bargiri[[#This Row],[مقدار]])&lt;0,0,bargiri[[#This Row],[مبلغ ناخالص]]-(bargiri[[#This Row],[نرخ استهلاک]]*bargiri[[#This Row],[مقدار]]))</f>
        <v>#N/A</v>
      </c>
    </row>
    <row r="1616" spans="1:17" s="22" customFormat="1" ht="13.8" x14ac:dyDescent="0.25">
      <c r="A1616" s="22">
        <v>1267</v>
      </c>
      <c r="B1616" s="22" t="s">
        <v>193</v>
      </c>
      <c r="C1616" s="22" t="s">
        <v>191</v>
      </c>
      <c r="D1616" s="22" t="s">
        <v>67</v>
      </c>
      <c r="E1616" s="158">
        <v>10060</v>
      </c>
      <c r="F1616" s="159">
        <v>65000</v>
      </c>
      <c r="G1616" s="159">
        <v>653900000</v>
      </c>
      <c r="H1616" s="159">
        <v>65390000</v>
      </c>
      <c r="I1616" s="159">
        <v>719290000</v>
      </c>
      <c r="J1616" s="159" t="e">
        <f>bargiri[[#This Row],[مقدار]]*INDEX(invoice[پیش دریافت به ازای هر کیلوگرم],MATCH(bargiri[[#This Row],[شماره سند مبنا]],invoice[شماره پیش فاکتور],0))</f>
        <v>#N/A</v>
      </c>
      <c r="K1616" s="159" t="e">
        <f>bargiri[[#This Row],[مبلغ خالص]]-bargiri[[#This Row],[میزان استهلاک پیش دریافتی]]</f>
        <v>#N/A</v>
      </c>
      <c r="L1616" s="160"/>
      <c r="M1616" s="159"/>
      <c r="N1616" s="159" t="e">
        <f>IF(bargiri[[#This Row],[مبلغ واریزی]]&lt;&gt;"",bargiri[[#This Row],[مانده مبلغ]]-bargiri[[#This Row],[مبلغ واریزی]],bargiri[[#This Row],[مانده مبلغ]])</f>
        <v>#N/A</v>
      </c>
      <c r="O1616" s="159"/>
      <c r="P1616" s="159" t="e">
        <f>VLOOKUP(bargiri[[#This Row],[شماره سند مبنا]],invoice[[شماره پیش فاکتور]:[پیش دریافت به ازای هر کیلوگرم]],14,0)</f>
        <v>#N/A</v>
      </c>
      <c r="Q1616" s="159" t="e">
        <f>IF(bargiri[[#This Row],[مبلغ ناخالص]]-(bargiri[[#This Row],[نرخ استهلاک]]*bargiri[[#This Row],[مقدار]])&lt;0,0,bargiri[[#This Row],[مبلغ ناخالص]]-(bargiri[[#This Row],[نرخ استهلاک]]*bargiri[[#This Row],[مقدار]]))</f>
        <v>#N/A</v>
      </c>
    </row>
    <row r="1617" spans="1:17" s="22" customFormat="1" ht="13.8" x14ac:dyDescent="0.25">
      <c r="A1617" s="22">
        <v>1266</v>
      </c>
      <c r="B1617" s="22" t="s">
        <v>193</v>
      </c>
      <c r="C1617" s="22" t="s">
        <v>167</v>
      </c>
      <c r="D1617" s="22" t="s">
        <v>43</v>
      </c>
      <c r="E1617" s="158">
        <v>20050</v>
      </c>
      <c r="F1617" s="159">
        <v>80000</v>
      </c>
      <c r="G1617" s="159">
        <v>1604000000</v>
      </c>
      <c r="H1617" s="159">
        <v>160400000</v>
      </c>
      <c r="I1617" s="159">
        <v>1764400000</v>
      </c>
      <c r="J1617" s="159">
        <f>bargiri[[#This Row],[مقدار]]*INDEX(invoice[پیش دریافت به ازای هر کیلوگرم],MATCH(bargiri[[#This Row],[شماره سند مبنا]],invoice[شماره پیش فاکتور],0))</f>
        <v>352880000</v>
      </c>
      <c r="K1617" s="159">
        <f>bargiri[[#This Row],[مبلغ خالص]]-bargiri[[#This Row],[میزان استهلاک پیش دریافتی]]</f>
        <v>1411520000</v>
      </c>
      <c r="L1617" s="160"/>
      <c r="M1617" s="159"/>
      <c r="N1617" s="159">
        <f>IF(bargiri[[#This Row],[مبلغ واریزی]]&lt;&gt;"",bargiri[[#This Row],[مانده مبلغ]]-bargiri[[#This Row],[مبلغ واریزی]],bargiri[[#This Row],[مانده مبلغ]])</f>
        <v>1411520000</v>
      </c>
      <c r="O1617" s="159"/>
      <c r="P1617" s="159">
        <f>VLOOKUP(bargiri[[#This Row],[شماره سند مبنا]],invoice[[شماره پیش فاکتور]:[پیش دریافت به ازای هر کیلوگرم]],14,0)</f>
        <v>17600</v>
      </c>
      <c r="Q1617" s="159">
        <f>IF(bargiri[[#This Row],[مبلغ ناخالص]]-(bargiri[[#This Row],[نرخ استهلاک]]*bargiri[[#This Row],[مقدار]])&lt;0,0,bargiri[[#This Row],[مبلغ ناخالص]]-(bargiri[[#This Row],[نرخ استهلاک]]*bargiri[[#This Row],[مقدار]]))</f>
        <v>1251120000</v>
      </c>
    </row>
    <row r="1618" spans="1:17" s="22" customFormat="1" ht="13.8" x14ac:dyDescent="0.25">
      <c r="A1618" s="22">
        <v>1265</v>
      </c>
      <c r="B1618" s="22" t="s">
        <v>193</v>
      </c>
      <c r="C1618" s="22" t="s">
        <v>176</v>
      </c>
      <c r="D1618" s="22" t="s">
        <v>70</v>
      </c>
      <c r="E1618" s="158">
        <v>19955</v>
      </c>
      <c r="F1618" s="159">
        <v>75000</v>
      </c>
      <c r="G1618" s="159">
        <v>1496625000</v>
      </c>
      <c r="H1618" s="159">
        <v>149662500</v>
      </c>
      <c r="I1618" s="159">
        <v>1646287500</v>
      </c>
      <c r="J1618" s="159" t="e">
        <f>bargiri[[#This Row],[مقدار]]*INDEX(invoice[پیش دریافت به ازای هر کیلوگرم],MATCH(bargiri[[#This Row],[شماره سند مبنا]],invoice[شماره پیش فاکتور],0))</f>
        <v>#N/A</v>
      </c>
      <c r="K1618" s="159" t="e">
        <f>bargiri[[#This Row],[مبلغ خالص]]-bargiri[[#This Row],[میزان استهلاک پیش دریافتی]]</f>
        <v>#N/A</v>
      </c>
      <c r="L1618" s="160"/>
      <c r="M1618" s="159"/>
      <c r="N1618" s="159" t="e">
        <f>IF(bargiri[[#This Row],[مبلغ واریزی]]&lt;&gt;"",bargiri[[#This Row],[مانده مبلغ]]-bargiri[[#This Row],[مبلغ واریزی]],bargiri[[#This Row],[مانده مبلغ]])</f>
        <v>#N/A</v>
      </c>
      <c r="O1618" s="159"/>
      <c r="P1618" s="159" t="e">
        <f>VLOOKUP(bargiri[[#This Row],[شماره سند مبنا]],invoice[[شماره پیش فاکتور]:[پیش دریافت به ازای هر کیلوگرم]],14,0)</f>
        <v>#N/A</v>
      </c>
      <c r="Q1618" s="159" t="e">
        <f>IF(bargiri[[#This Row],[مبلغ ناخالص]]-(bargiri[[#This Row],[نرخ استهلاک]]*bargiri[[#This Row],[مقدار]])&lt;0,0,bargiri[[#This Row],[مبلغ ناخالص]]-(bargiri[[#This Row],[نرخ استهلاک]]*bargiri[[#This Row],[مقدار]]))</f>
        <v>#N/A</v>
      </c>
    </row>
    <row r="1619" spans="1:17" s="22" customFormat="1" ht="13.8" x14ac:dyDescent="0.25">
      <c r="A1619" s="22">
        <v>1264</v>
      </c>
      <c r="B1619" s="22" t="s">
        <v>193</v>
      </c>
      <c r="C1619" s="22" t="s">
        <v>149</v>
      </c>
      <c r="D1619" s="22" t="s">
        <v>35</v>
      </c>
      <c r="E1619" s="158">
        <v>7525</v>
      </c>
      <c r="F1619" s="159">
        <v>75000</v>
      </c>
      <c r="G1619" s="159">
        <v>564375000</v>
      </c>
      <c r="H1619" s="159">
        <v>56437500</v>
      </c>
      <c r="I1619" s="159">
        <v>620812500</v>
      </c>
      <c r="J1619" s="159">
        <f>bargiri[[#This Row],[مقدار]]*INDEX(invoice[پیش دریافت به ازای هر کیلوگرم],MATCH(bargiri[[#This Row],[شماره سند مبنا]],invoice[شماره پیش فاکتور],0))</f>
        <v>93128704.43832548</v>
      </c>
      <c r="K1619" s="159">
        <f>bargiri[[#This Row],[مبلغ خالص]]-bargiri[[#This Row],[میزان استهلاک پیش دریافتی]]</f>
        <v>527683795.56167454</v>
      </c>
      <c r="L1619" s="160"/>
      <c r="M1619" s="159"/>
      <c r="N1619" s="159">
        <f>IF(bargiri[[#This Row],[مبلغ واریزی]]&lt;&gt;"",bargiri[[#This Row],[مانده مبلغ]]-bargiri[[#This Row],[مبلغ واریزی]],bargiri[[#This Row],[مانده مبلغ]])</f>
        <v>527683795.56167454</v>
      </c>
      <c r="O1619" s="159"/>
      <c r="P1619" s="159">
        <f>VLOOKUP(bargiri[[#This Row],[شماره سند مبنا]],invoice[[شماره پیش فاکتور]:[پیش دریافت به ازای هر کیلوگرم]],14,0)</f>
        <v>12375.907566554881</v>
      </c>
      <c r="Q1619" s="159">
        <f>IF(bargiri[[#This Row],[مبلغ ناخالص]]-(bargiri[[#This Row],[نرخ استهلاک]]*bargiri[[#This Row],[مقدار]])&lt;0,0,bargiri[[#This Row],[مبلغ ناخالص]]-(bargiri[[#This Row],[نرخ استهلاک]]*bargiri[[#This Row],[مقدار]]))</f>
        <v>471246295.56167454</v>
      </c>
    </row>
    <row r="1620" spans="1:17" s="22" customFormat="1" ht="13.8" x14ac:dyDescent="0.25">
      <c r="A1620" s="22">
        <v>1263</v>
      </c>
      <c r="B1620" s="22" t="s">
        <v>193</v>
      </c>
      <c r="C1620" s="22" t="s">
        <v>109</v>
      </c>
      <c r="D1620" s="22" t="s">
        <v>110</v>
      </c>
      <c r="E1620" s="158">
        <v>18960</v>
      </c>
      <c r="F1620" s="159">
        <v>70000</v>
      </c>
      <c r="G1620" s="159">
        <v>1327200000</v>
      </c>
      <c r="H1620" s="159">
        <v>132720000</v>
      </c>
      <c r="I1620" s="159">
        <v>1459920000</v>
      </c>
      <c r="J1620" s="159" t="e">
        <f>bargiri[[#This Row],[مقدار]]*INDEX(invoice[پیش دریافت به ازای هر کیلوگرم],MATCH(bargiri[[#This Row],[شماره سند مبنا]],invoice[شماره پیش فاکتور],0))</f>
        <v>#N/A</v>
      </c>
      <c r="K1620" s="159" t="e">
        <f>bargiri[[#This Row],[مبلغ خالص]]-bargiri[[#This Row],[میزان استهلاک پیش دریافتی]]</f>
        <v>#N/A</v>
      </c>
      <c r="L1620" s="160"/>
      <c r="M1620" s="159"/>
      <c r="N1620" s="159" t="e">
        <f>IF(bargiri[[#This Row],[مبلغ واریزی]]&lt;&gt;"",bargiri[[#This Row],[مانده مبلغ]]-bargiri[[#This Row],[مبلغ واریزی]],bargiri[[#This Row],[مانده مبلغ]])</f>
        <v>#N/A</v>
      </c>
      <c r="O1620" s="159"/>
      <c r="P1620" s="159" t="e">
        <f>VLOOKUP(bargiri[[#This Row],[شماره سند مبنا]],invoice[[شماره پیش فاکتور]:[پیش دریافت به ازای هر کیلوگرم]],14,0)</f>
        <v>#N/A</v>
      </c>
      <c r="Q1620" s="159" t="e">
        <f>IF(bargiri[[#This Row],[مبلغ ناخالص]]-(bargiri[[#This Row],[نرخ استهلاک]]*bargiri[[#This Row],[مقدار]])&lt;0,0,bargiri[[#This Row],[مبلغ ناخالص]]-(bargiri[[#This Row],[نرخ استهلاک]]*bargiri[[#This Row],[مقدار]]))</f>
        <v>#N/A</v>
      </c>
    </row>
    <row r="1621" spans="1:17" s="22" customFormat="1" ht="13.8" x14ac:dyDescent="0.25">
      <c r="A1621" s="22">
        <v>1262</v>
      </c>
      <c r="B1621" s="22" t="s">
        <v>193</v>
      </c>
      <c r="C1621" s="22" t="s">
        <v>172</v>
      </c>
      <c r="D1621" s="22" t="s">
        <v>173</v>
      </c>
      <c r="E1621" s="158">
        <v>22200</v>
      </c>
      <c r="F1621" s="159">
        <v>75000</v>
      </c>
      <c r="G1621" s="159">
        <v>1665000000</v>
      </c>
      <c r="H1621" s="159">
        <v>166500000</v>
      </c>
      <c r="I1621" s="159">
        <v>1831500000</v>
      </c>
      <c r="J1621" s="159">
        <f>bargiri[[#This Row],[مقدار]]*INDEX(invoice[پیش دریافت به ازای هر کیلوگرم],MATCH(bargiri[[#This Row],[شماره سند مبنا]],invoice[شماره پیش فاکتور],0))</f>
        <v>274725000</v>
      </c>
      <c r="K1621" s="159">
        <f>bargiri[[#This Row],[مبلغ خالص]]-bargiri[[#This Row],[میزان استهلاک پیش دریافتی]]</f>
        <v>1556775000</v>
      </c>
      <c r="L1621" s="160"/>
      <c r="M1621" s="159"/>
      <c r="N1621" s="159">
        <f>IF(bargiri[[#This Row],[مبلغ واریزی]]&lt;&gt;"",bargiri[[#This Row],[مانده مبلغ]]-bargiri[[#This Row],[مبلغ واریزی]],bargiri[[#This Row],[مانده مبلغ]])</f>
        <v>1556775000</v>
      </c>
      <c r="O1621" s="159"/>
      <c r="P1621" s="159">
        <f>VLOOKUP(bargiri[[#This Row],[شماره سند مبنا]],invoice[[شماره پیش فاکتور]:[پیش دریافت به ازای هر کیلوگرم]],14,0)</f>
        <v>12375</v>
      </c>
      <c r="Q1621" s="159">
        <f>IF(bargiri[[#This Row],[مبلغ ناخالص]]-(bargiri[[#This Row],[نرخ استهلاک]]*bargiri[[#This Row],[مقدار]])&lt;0,0,bargiri[[#This Row],[مبلغ ناخالص]]-(bargiri[[#This Row],[نرخ استهلاک]]*bargiri[[#This Row],[مقدار]]))</f>
        <v>1390275000</v>
      </c>
    </row>
    <row r="1622" spans="1:17" s="22" customFormat="1" ht="13.8" x14ac:dyDescent="0.25">
      <c r="A1622" s="22">
        <v>1261</v>
      </c>
      <c r="B1622" s="22" t="s">
        <v>193</v>
      </c>
      <c r="C1622" s="22" t="s">
        <v>59</v>
      </c>
      <c r="D1622" s="22" t="s">
        <v>57</v>
      </c>
      <c r="E1622" s="158">
        <v>10060</v>
      </c>
      <c r="F1622" s="159">
        <v>80000</v>
      </c>
      <c r="G1622" s="159">
        <v>804800000</v>
      </c>
      <c r="H1622" s="159">
        <v>72432000</v>
      </c>
      <c r="I1622" s="159">
        <v>877232000</v>
      </c>
      <c r="J1622" s="159" t="e">
        <f>bargiri[[#This Row],[مقدار]]*INDEX(invoice[پیش دریافت به ازای هر کیلوگرم],MATCH(bargiri[[#This Row],[شماره سند مبنا]],invoice[شماره پیش فاکتور],0))</f>
        <v>#N/A</v>
      </c>
      <c r="K1622" s="159" t="e">
        <f>bargiri[[#This Row],[مبلغ خالص]]-bargiri[[#This Row],[میزان استهلاک پیش دریافتی]]</f>
        <v>#N/A</v>
      </c>
      <c r="L1622" s="160"/>
      <c r="M1622" s="159"/>
      <c r="N1622" s="159" t="e">
        <f>IF(bargiri[[#This Row],[مبلغ واریزی]]&lt;&gt;"",bargiri[[#This Row],[مانده مبلغ]]-bargiri[[#This Row],[مبلغ واریزی]],bargiri[[#This Row],[مانده مبلغ]])</f>
        <v>#N/A</v>
      </c>
      <c r="O1622" s="159"/>
      <c r="P1622" s="159" t="e">
        <f>VLOOKUP(bargiri[[#This Row],[شماره سند مبنا]],invoice[[شماره پیش فاکتور]:[پیش دریافت به ازای هر کیلوگرم]],14,0)</f>
        <v>#N/A</v>
      </c>
      <c r="Q1622" s="159" t="e">
        <f>IF(bargiri[[#This Row],[مبلغ ناخالص]]-(bargiri[[#This Row],[نرخ استهلاک]]*bargiri[[#This Row],[مقدار]])&lt;0,0,bargiri[[#This Row],[مبلغ ناخالص]]-(bargiri[[#This Row],[نرخ استهلاک]]*bargiri[[#This Row],[مقدار]]))</f>
        <v>#N/A</v>
      </c>
    </row>
    <row r="1623" spans="1:17" s="22" customFormat="1" ht="13.8" x14ac:dyDescent="0.25">
      <c r="A1623" s="22">
        <v>1260</v>
      </c>
      <c r="B1623" s="22" t="s">
        <v>378</v>
      </c>
      <c r="C1623" s="22" t="s">
        <v>88</v>
      </c>
      <c r="D1623" s="22" t="s">
        <v>89</v>
      </c>
      <c r="E1623" s="158">
        <v>17935</v>
      </c>
      <c r="F1623" s="159">
        <v>78000</v>
      </c>
      <c r="G1623" s="159">
        <v>1398930000</v>
      </c>
      <c r="H1623" s="159">
        <v>139893000</v>
      </c>
      <c r="I1623" s="159">
        <v>1538823000</v>
      </c>
      <c r="J1623" s="159" t="e">
        <f>bargiri[[#This Row],[مقدار]]*INDEX(invoice[پیش دریافت به ازای هر کیلوگرم],MATCH(bargiri[[#This Row],[شماره سند مبنا]],invoice[شماره پیش فاکتور],0))</f>
        <v>#N/A</v>
      </c>
      <c r="K1623" s="159" t="e">
        <f>bargiri[[#This Row],[مبلغ خالص]]-bargiri[[#This Row],[میزان استهلاک پیش دریافتی]]</f>
        <v>#N/A</v>
      </c>
      <c r="L1623" s="160"/>
      <c r="M1623" s="159"/>
      <c r="N1623" s="159" t="e">
        <f>IF(bargiri[[#This Row],[مبلغ واریزی]]&lt;&gt;"",bargiri[[#This Row],[مانده مبلغ]]-bargiri[[#This Row],[مبلغ واریزی]],bargiri[[#This Row],[مانده مبلغ]])</f>
        <v>#N/A</v>
      </c>
      <c r="O1623" s="159"/>
      <c r="P1623" s="159" t="e">
        <f>VLOOKUP(bargiri[[#This Row],[شماره سند مبنا]],invoice[[شماره پیش فاکتور]:[پیش دریافت به ازای هر کیلوگرم]],14,0)</f>
        <v>#N/A</v>
      </c>
      <c r="Q1623" s="159" t="e">
        <f>IF(bargiri[[#This Row],[مبلغ ناخالص]]-(bargiri[[#This Row],[نرخ استهلاک]]*bargiri[[#This Row],[مقدار]])&lt;0,0,bargiri[[#This Row],[مبلغ ناخالص]]-(bargiri[[#This Row],[نرخ استهلاک]]*bargiri[[#This Row],[مقدار]]))</f>
        <v>#N/A</v>
      </c>
    </row>
    <row r="1624" spans="1:17" s="22" customFormat="1" ht="13.8" x14ac:dyDescent="0.25">
      <c r="A1624" s="22">
        <v>1259</v>
      </c>
      <c r="B1624" s="22" t="s">
        <v>378</v>
      </c>
      <c r="C1624" s="22" t="s">
        <v>155</v>
      </c>
      <c r="D1624" s="22" t="s">
        <v>156</v>
      </c>
      <c r="E1624" s="158">
        <v>22095</v>
      </c>
      <c r="F1624" s="159">
        <v>75000</v>
      </c>
      <c r="G1624" s="159">
        <v>1657125000</v>
      </c>
      <c r="H1624" s="159">
        <v>165712500</v>
      </c>
      <c r="I1624" s="159">
        <v>1822837500</v>
      </c>
      <c r="J1624" s="159">
        <f>bargiri[[#This Row],[مقدار]]*INDEX(invoice[پیش دریافت به ازای هر کیلوگرم],MATCH(bargiri[[#This Row],[شماره سند مبنا]],invoice[شماره پیش فاکتور],0))</f>
        <v>273425625</v>
      </c>
      <c r="K1624" s="159">
        <f>bargiri[[#This Row],[مبلغ خالص]]-bargiri[[#This Row],[میزان استهلاک پیش دریافتی]]</f>
        <v>1549411875</v>
      </c>
      <c r="L1624" s="160"/>
      <c r="M1624" s="159"/>
      <c r="N1624" s="159">
        <f>IF(bargiri[[#This Row],[مبلغ واریزی]]&lt;&gt;"",bargiri[[#This Row],[مانده مبلغ]]-bargiri[[#This Row],[مبلغ واریزی]],bargiri[[#This Row],[مانده مبلغ]])</f>
        <v>1549411875</v>
      </c>
      <c r="O1624" s="159"/>
      <c r="P1624" s="159">
        <f>VLOOKUP(bargiri[[#This Row],[شماره سند مبنا]],invoice[[شماره پیش فاکتور]:[پیش دریافت به ازای هر کیلوگرم]],14,0)</f>
        <v>12375</v>
      </c>
      <c r="Q1624" s="159">
        <f>IF(bargiri[[#This Row],[مبلغ ناخالص]]-(bargiri[[#This Row],[نرخ استهلاک]]*bargiri[[#This Row],[مقدار]])&lt;0,0,bargiri[[#This Row],[مبلغ ناخالص]]-(bargiri[[#This Row],[نرخ استهلاک]]*bargiri[[#This Row],[مقدار]]))</f>
        <v>1383699375</v>
      </c>
    </row>
    <row r="1625" spans="1:17" s="22" customFormat="1" ht="13.8" x14ac:dyDescent="0.25">
      <c r="A1625" s="22">
        <v>1258</v>
      </c>
      <c r="B1625" s="22" t="s">
        <v>251</v>
      </c>
      <c r="C1625" s="22" t="s">
        <v>72</v>
      </c>
      <c r="D1625" s="22" t="s">
        <v>73</v>
      </c>
      <c r="E1625" s="158">
        <v>20865</v>
      </c>
      <c r="F1625" s="159">
        <v>57273</v>
      </c>
      <c r="G1625" s="159">
        <v>1195001145</v>
      </c>
      <c r="H1625" s="159">
        <v>119500115</v>
      </c>
      <c r="I1625" s="159">
        <v>1314501260</v>
      </c>
      <c r="J1625" s="159" t="e">
        <f>bargiri[[#This Row],[مقدار]]*INDEX(invoice[پیش دریافت به ازای هر کیلوگرم],MATCH(bargiri[[#This Row],[شماره سند مبنا]],invoice[شماره پیش فاکتور],0))</f>
        <v>#N/A</v>
      </c>
      <c r="K1625" s="159" t="e">
        <f>bargiri[[#This Row],[مبلغ خالص]]-bargiri[[#This Row],[میزان استهلاک پیش دریافتی]]</f>
        <v>#N/A</v>
      </c>
      <c r="L1625" s="160"/>
      <c r="M1625" s="159"/>
      <c r="N1625" s="159" t="e">
        <f>IF(bargiri[[#This Row],[مبلغ واریزی]]&lt;&gt;"",bargiri[[#This Row],[مانده مبلغ]]-bargiri[[#This Row],[مبلغ واریزی]],bargiri[[#This Row],[مانده مبلغ]])</f>
        <v>#N/A</v>
      </c>
      <c r="O1625" s="159"/>
      <c r="P1625" s="159" t="e">
        <f>VLOOKUP(bargiri[[#This Row],[شماره سند مبنا]],invoice[[شماره پیش فاکتور]:[پیش دریافت به ازای هر کیلوگرم]],14,0)</f>
        <v>#N/A</v>
      </c>
      <c r="Q1625" s="159" t="e">
        <f>IF(bargiri[[#This Row],[مبلغ ناخالص]]-(bargiri[[#This Row],[نرخ استهلاک]]*bargiri[[#This Row],[مقدار]])&lt;0,0,bargiri[[#This Row],[مبلغ ناخالص]]-(bargiri[[#This Row],[نرخ استهلاک]]*bargiri[[#This Row],[مقدار]]))</f>
        <v>#N/A</v>
      </c>
    </row>
    <row r="1626" spans="1:17" s="22" customFormat="1" ht="13.8" x14ac:dyDescent="0.25">
      <c r="A1626" s="22">
        <v>1257</v>
      </c>
      <c r="B1626" s="22" t="s">
        <v>251</v>
      </c>
      <c r="C1626" s="22" t="s">
        <v>72</v>
      </c>
      <c r="D1626" s="22" t="s">
        <v>73</v>
      </c>
      <c r="E1626" s="158">
        <v>20735</v>
      </c>
      <c r="F1626" s="159">
        <v>57273</v>
      </c>
      <c r="G1626" s="159">
        <v>1187555655</v>
      </c>
      <c r="H1626" s="159">
        <v>118755566</v>
      </c>
      <c r="I1626" s="159">
        <v>1306311221</v>
      </c>
      <c r="J1626" s="159" t="e">
        <f>bargiri[[#This Row],[مقدار]]*INDEX(invoice[پیش دریافت به ازای هر کیلوگرم],MATCH(bargiri[[#This Row],[شماره سند مبنا]],invoice[شماره پیش فاکتور],0))</f>
        <v>#N/A</v>
      </c>
      <c r="K1626" s="159" t="e">
        <f>bargiri[[#This Row],[مبلغ خالص]]-bargiri[[#This Row],[میزان استهلاک پیش دریافتی]]</f>
        <v>#N/A</v>
      </c>
      <c r="L1626" s="160"/>
      <c r="M1626" s="159"/>
      <c r="N1626" s="159" t="e">
        <f>IF(bargiri[[#This Row],[مبلغ واریزی]]&lt;&gt;"",bargiri[[#This Row],[مانده مبلغ]]-bargiri[[#This Row],[مبلغ واریزی]],bargiri[[#This Row],[مانده مبلغ]])</f>
        <v>#N/A</v>
      </c>
      <c r="O1626" s="159"/>
      <c r="P1626" s="159" t="e">
        <f>VLOOKUP(bargiri[[#This Row],[شماره سند مبنا]],invoice[[شماره پیش فاکتور]:[پیش دریافت به ازای هر کیلوگرم]],14,0)</f>
        <v>#N/A</v>
      </c>
      <c r="Q1626" s="159" t="e">
        <f>IF(bargiri[[#This Row],[مبلغ ناخالص]]-(bargiri[[#This Row],[نرخ استهلاک]]*bargiri[[#This Row],[مقدار]])&lt;0,0,bargiri[[#This Row],[مبلغ ناخالص]]-(bargiri[[#This Row],[نرخ استهلاک]]*bargiri[[#This Row],[مقدار]]))</f>
        <v>#N/A</v>
      </c>
    </row>
    <row r="1627" spans="1:17" s="22" customFormat="1" ht="13.8" x14ac:dyDescent="0.25">
      <c r="A1627" s="22">
        <v>1256</v>
      </c>
      <c r="B1627" s="22" t="s">
        <v>251</v>
      </c>
      <c r="C1627" s="22" t="s">
        <v>128</v>
      </c>
      <c r="D1627" s="22" t="s">
        <v>129</v>
      </c>
      <c r="E1627" s="158">
        <v>9045</v>
      </c>
      <c r="F1627" s="159">
        <v>80000</v>
      </c>
      <c r="G1627" s="159">
        <v>723600000</v>
      </c>
      <c r="H1627" s="159">
        <v>72360000</v>
      </c>
      <c r="I1627" s="159">
        <v>795960000</v>
      </c>
      <c r="J1627" s="159">
        <f>bargiri[[#This Row],[مقدار]]*INDEX(invoice[پیش دریافت به ازای هر کیلوگرم],MATCH(bargiri[[#This Row],[شماره سند مبنا]],invoice[شماره پیش فاکتور],0))</f>
        <v>119973873.72299448</v>
      </c>
      <c r="K1627" s="159">
        <f>bargiri[[#This Row],[مبلغ خالص]]-bargiri[[#This Row],[میزان استهلاک پیش دریافتی]]</f>
        <v>675986126.27700555</v>
      </c>
      <c r="L1627" s="160"/>
      <c r="M1627" s="159"/>
      <c r="N1627" s="159">
        <f>IF(bargiri[[#This Row],[مبلغ واریزی]]&lt;&gt;"",bargiri[[#This Row],[مانده مبلغ]]-bargiri[[#This Row],[مبلغ واریزی]],bargiri[[#This Row],[مانده مبلغ]])</f>
        <v>675986126.27700555</v>
      </c>
      <c r="O1627" s="159"/>
      <c r="P1627" s="159">
        <f>VLOOKUP(bargiri[[#This Row],[شماره سند مبنا]],invoice[[شماره پیش فاکتور]:[پیش دریافت به ازای هر کیلوگرم]],14,0)</f>
        <v>13264.109864344331</v>
      </c>
      <c r="Q1627" s="159">
        <f>IF(bargiri[[#This Row],[مبلغ ناخالص]]-(bargiri[[#This Row],[نرخ استهلاک]]*bargiri[[#This Row],[مقدار]])&lt;0,0,bargiri[[#This Row],[مبلغ ناخالص]]-(bargiri[[#This Row],[نرخ استهلاک]]*bargiri[[#This Row],[مقدار]]))</f>
        <v>603626126.27700555</v>
      </c>
    </row>
    <row r="1628" spans="1:17" s="22" customFormat="1" ht="13.8" x14ac:dyDescent="0.25">
      <c r="A1628" s="22">
        <v>1255</v>
      </c>
      <c r="B1628" s="22" t="s">
        <v>251</v>
      </c>
      <c r="C1628" s="22" t="s">
        <v>72</v>
      </c>
      <c r="D1628" s="22" t="s">
        <v>73</v>
      </c>
      <c r="E1628" s="158">
        <v>20490</v>
      </c>
      <c r="F1628" s="159">
        <v>57273</v>
      </c>
      <c r="G1628" s="159">
        <v>1173523770</v>
      </c>
      <c r="H1628" s="159">
        <v>117352377</v>
      </c>
      <c r="I1628" s="159">
        <v>1290876147</v>
      </c>
      <c r="J1628" s="159" t="e">
        <f>bargiri[[#This Row],[مقدار]]*INDEX(invoice[پیش دریافت به ازای هر کیلوگرم],MATCH(bargiri[[#This Row],[شماره سند مبنا]],invoice[شماره پیش فاکتور],0))</f>
        <v>#N/A</v>
      </c>
      <c r="K1628" s="159" t="e">
        <f>bargiri[[#This Row],[مبلغ خالص]]-bargiri[[#This Row],[میزان استهلاک پیش دریافتی]]</f>
        <v>#N/A</v>
      </c>
      <c r="L1628" s="160"/>
      <c r="M1628" s="159"/>
      <c r="N1628" s="159" t="e">
        <f>IF(bargiri[[#This Row],[مبلغ واریزی]]&lt;&gt;"",bargiri[[#This Row],[مانده مبلغ]]-bargiri[[#This Row],[مبلغ واریزی]],bargiri[[#This Row],[مانده مبلغ]])</f>
        <v>#N/A</v>
      </c>
      <c r="O1628" s="159"/>
      <c r="P1628" s="159" t="e">
        <f>VLOOKUP(bargiri[[#This Row],[شماره سند مبنا]],invoice[[شماره پیش فاکتور]:[پیش دریافت به ازای هر کیلوگرم]],14,0)</f>
        <v>#N/A</v>
      </c>
      <c r="Q1628" s="159" t="e">
        <f>IF(bargiri[[#This Row],[مبلغ ناخالص]]-(bargiri[[#This Row],[نرخ استهلاک]]*bargiri[[#This Row],[مقدار]])&lt;0,0,bargiri[[#This Row],[مبلغ ناخالص]]-(bargiri[[#This Row],[نرخ استهلاک]]*bargiri[[#This Row],[مقدار]]))</f>
        <v>#N/A</v>
      </c>
    </row>
    <row r="1629" spans="1:17" s="22" customFormat="1" ht="13.8" x14ac:dyDescent="0.25">
      <c r="A1629" s="22">
        <v>1254</v>
      </c>
      <c r="B1629" s="22" t="s">
        <v>251</v>
      </c>
      <c r="C1629" s="22" t="s">
        <v>167</v>
      </c>
      <c r="D1629" s="22" t="s">
        <v>43</v>
      </c>
      <c r="E1629" s="158">
        <v>20310</v>
      </c>
      <c r="F1629" s="159">
        <v>80000</v>
      </c>
      <c r="G1629" s="159">
        <v>1624800000</v>
      </c>
      <c r="H1629" s="159">
        <v>162480000</v>
      </c>
      <c r="I1629" s="159">
        <v>1787280000</v>
      </c>
      <c r="J1629" s="159">
        <f>bargiri[[#This Row],[مقدار]]*INDEX(invoice[پیش دریافت به ازای هر کیلوگرم],MATCH(bargiri[[#This Row],[شماره سند مبنا]],invoice[شماره پیش فاکتور],0))</f>
        <v>357456000</v>
      </c>
      <c r="K1629" s="159">
        <f>bargiri[[#This Row],[مبلغ خالص]]-bargiri[[#This Row],[میزان استهلاک پیش دریافتی]]</f>
        <v>1429824000</v>
      </c>
      <c r="L1629" s="160"/>
      <c r="M1629" s="159"/>
      <c r="N1629" s="159">
        <f>IF(bargiri[[#This Row],[مبلغ واریزی]]&lt;&gt;"",bargiri[[#This Row],[مانده مبلغ]]-bargiri[[#This Row],[مبلغ واریزی]],bargiri[[#This Row],[مانده مبلغ]])</f>
        <v>1429824000</v>
      </c>
      <c r="O1629" s="159"/>
      <c r="P1629" s="159">
        <f>VLOOKUP(bargiri[[#This Row],[شماره سند مبنا]],invoice[[شماره پیش فاکتور]:[پیش دریافت به ازای هر کیلوگرم]],14,0)</f>
        <v>17600</v>
      </c>
      <c r="Q1629" s="159">
        <f>IF(bargiri[[#This Row],[مبلغ ناخالص]]-(bargiri[[#This Row],[نرخ استهلاک]]*bargiri[[#This Row],[مقدار]])&lt;0,0,bargiri[[#This Row],[مبلغ ناخالص]]-(bargiri[[#This Row],[نرخ استهلاک]]*bargiri[[#This Row],[مقدار]]))</f>
        <v>1267344000</v>
      </c>
    </row>
    <row r="1630" spans="1:17" s="22" customFormat="1" ht="13.8" x14ac:dyDescent="0.25">
      <c r="A1630" s="22">
        <v>1252</v>
      </c>
      <c r="B1630" s="22" t="s">
        <v>251</v>
      </c>
      <c r="C1630" s="22" t="s">
        <v>128</v>
      </c>
      <c r="D1630" s="22" t="s">
        <v>129</v>
      </c>
      <c r="E1630" s="158">
        <v>9115</v>
      </c>
      <c r="F1630" s="159">
        <v>80000</v>
      </c>
      <c r="G1630" s="159">
        <v>729200000</v>
      </c>
      <c r="H1630" s="159">
        <v>72920000</v>
      </c>
      <c r="I1630" s="159">
        <v>802120000</v>
      </c>
      <c r="J1630" s="159">
        <f>bargiri[[#This Row],[مقدار]]*INDEX(invoice[پیش دریافت به ازای هر کیلوگرم],MATCH(bargiri[[#This Row],[شماره سند مبنا]],invoice[شماره پیش فاکتور],0))</f>
        <v>120902361.41349858</v>
      </c>
      <c r="K1630" s="159">
        <f>bargiri[[#This Row],[مبلغ خالص]]-bargiri[[#This Row],[میزان استهلاک پیش دریافتی]]</f>
        <v>681217638.58650136</v>
      </c>
      <c r="L1630" s="160"/>
      <c r="M1630" s="159"/>
      <c r="N1630" s="159">
        <f>IF(bargiri[[#This Row],[مبلغ واریزی]]&lt;&gt;"",bargiri[[#This Row],[مانده مبلغ]]-bargiri[[#This Row],[مبلغ واریزی]],bargiri[[#This Row],[مانده مبلغ]])</f>
        <v>681217638.58650136</v>
      </c>
      <c r="O1630" s="159"/>
      <c r="P1630" s="159">
        <f>VLOOKUP(bargiri[[#This Row],[شماره سند مبنا]],invoice[[شماره پیش فاکتور]:[پیش دریافت به ازای هر کیلوگرم]],14,0)</f>
        <v>13264.109864344331</v>
      </c>
      <c r="Q1630" s="159">
        <f>IF(bargiri[[#This Row],[مبلغ ناخالص]]-(bargiri[[#This Row],[نرخ استهلاک]]*bargiri[[#This Row],[مقدار]])&lt;0,0,bargiri[[#This Row],[مبلغ ناخالص]]-(bargiri[[#This Row],[نرخ استهلاک]]*bargiri[[#This Row],[مقدار]]))</f>
        <v>608297638.58650136</v>
      </c>
    </row>
    <row r="1631" spans="1:17" s="22" customFormat="1" ht="13.8" x14ac:dyDescent="0.25">
      <c r="A1631" s="22">
        <v>1251</v>
      </c>
      <c r="B1631" s="22" t="s">
        <v>250</v>
      </c>
      <c r="C1631" s="22" t="s">
        <v>109</v>
      </c>
      <c r="D1631" s="22" t="s">
        <v>110</v>
      </c>
      <c r="E1631" s="158">
        <v>19095</v>
      </c>
      <c r="F1631" s="159">
        <v>70000</v>
      </c>
      <c r="G1631" s="159">
        <v>1336650000</v>
      </c>
      <c r="H1631" s="159">
        <v>133665000</v>
      </c>
      <c r="I1631" s="159">
        <v>1470315000</v>
      </c>
      <c r="J1631" s="159" t="e">
        <f>bargiri[[#This Row],[مقدار]]*INDEX(invoice[پیش دریافت به ازای هر کیلوگرم],MATCH(bargiri[[#This Row],[شماره سند مبنا]],invoice[شماره پیش فاکتور],0))</f>
        <v>#N/A</v>
      </c>
      <c r="K1631" s="159" t="e">
        <f>bargiri[[#This Row],[مبلغ خالص]]-bargiri[[#This Row],[میزان استهلاک پیش دریافتی]]</f>
        <v>#N/A</v>
      </c>
      <c r="L1631" s="160"/>
      <c r="M1631" s="159"/>
      <c r="N1631" s="159" t="e">
        <f>IF(bargiri[[#This Row],[مبلغ واریزی]]&lt;&gt;"",bargiri[[#This Row],[مانده مبلغ]]-bargiri[[#This Row],[مبلغ واریزی]],bargiri[[#This Row],[مانده مبلغ]])</f>
        <v>#N/A</v>
      </c>
      <c r="O1631" s="159"/>
      <c r="P1631" s="159" t="e">
        <f>VLOOKUP(bargiri[[#This Row],[شماره سند مبنا]],invoice[[شماره پیش فاکتور]:[پیش دریافت به ازای هر کیلوگرم]],14,0)</f>
        <v>#N/A</v>
      </c>
      <c r="Q1631" s="159" t="e">
        <f>IF(bargiri[[#This Row],[مبلغ ناخالص]]-(bargiri[[#This Row],[نرخ استهلاک]]*bargiri[[#This Row],[مقدار]])&lt;0,0,bargiri[[#This Row],[مبلغ ناخالص]]-(bargiri[[#This Row],[نرخ استهلاک]]*bargiri[[#This Row],[مقدار]]))</f>
        <v>#N/A</v>
      </c>
    </row>
    <row r="1632" spans="1:17" s="22" customFormat="1" ht="13.8" x14ac:dyDescent="0.25">
      <c r="A1632" s="22">
        <v>1250</v>
      </c>
      <c r="B1632" s="22" t="s">
        <v>250</v>
      </c>
      <c r="C1632" s="22" t="s">
        <v>194</v>
      </c>
      <c r="D1632" s="22" t="s">
        <v>67</v>
      </c>
      <c r="E1632" s="158">
        <v>20065</v>
      </c>
      <c r="F1632" s="159">
        <v>92180</v>
      </c>
      <c r="G1632" s="159">
        <v>1849591700</v>
      </c>
      <c r="H1632" s="159">
        <v>184959170</v>
      </c>
      <c r="I1632" s="159">
        <v>2034550870</v>
      </c>
      <c r="J1632" s="159" t="e">
        <f>bargiri[[#This Row],[مقدار]]*INDEX(invoice[پیش دریافت به ازای هر کیلوگرم],MATCH(bargiri[[#This Row],[شماره سند مبنا]],invoice[شماره پیش فاکتور],0))</f>
        <v>#N/A</v>
      </c>
      <c r="K1632" s="159" t="e">
        <f>bargiri[[#This Row],[مبلغ خالص]]-bargiri[[#This Row],[میزان استهلاک پیش دریافتی]]</f>
        <v>#N/A</v>
      </c>
      <c r="L1632" s="160"/>
      <c r="M1632" s="159"/>
      <c r="N1632" s="159" t="e">
        <f>IF(bargiri[[#This Row],[مبلغ واریزی]]&lt;&gt;"",bargiri[[#This Row],[مانده مبلغ]]-bargiri[[#This Row],[مبلغ واریزی]],bargiri[[#This Row],[مانده مبلغ]])</f>
        <v>#N/A</v>
      </c>
      <c r="O1632" s="159"/>
      <c r="P1632" s="159" t="e">
        <f>VLOOKUP(bargiri[[#This Row],[شماره سند مبنا]],invoice[[شماره پیش فاکتور]:[پیش دریافت به ازای هر کیلوگرم]],14,0)</f>
        <v>#N/A</v>
      </c>
      <c r="Q1632" s="159" t="e">
        <f>IF(bargiri[[#This Row],[مبلغ ناخالص]]-(bargiri[[#This Row],[نرخ استهلاک]]*bargiri[[#This Row],[مقدار]])&lt;0,0,bargiri[[#This Row],[مبلغ ناخالص]]-(bargiri[[#This Row],[نرخ استهلاک]]*bargiri[[#This Row],[مقدار]]))</f>
        <v>#N/A</v>
      </c>
    </row>
    <row r="1633" spans="1:17" s="22" customFormat="1" ht="13.8" x14ac:dyDescent="0.25">
      <c r="A1633" s="22">
        <v>1249</v>
      </c>
      <c r="B1633" s="22" t="s">
        <v>250</v>
      </c>
      <c r="C1633" s="22" t="s">
        <v>86</v>
      </c>
      <c r="D1633" s="22" t="s">
        <v>30</v>
      </c>
      <c r="E1633" s="158">
        <v>10125</v>
      </c>
      <c r="F1633" s="159">
        <v>65000</v>
      </c>
      <c r="G1633" s="159">
        <v>658125000</v>
      </c>
      <c r="H1633" s="159">
        <v>65812500</v>
      </c>
      <c r="I1633" s="159">
        <v>723937500</v>
      </c>
      <c r="J1633" s="159" t="e">
        <f>bargiri[[#This Row],[مقدار]]*INDEX(invoice[پیش دریافت به ازای هر کیلوگرم],MATCH(bargiri[[#This Row],[شماره سند مبنا]],invoice[شماره پیش فاکتور],0))</f>
        <v>#N/A</v>
      </c>
      <c r="K1633" s="159" t="e">
        <f>bargiri[[#This Row],[مبلغ خالص]]-bargiri[[#This Row],[میزان استهلاک پیش دریافتی]]</f>
        <v>#N/A</v>
      </c>
      <c r="L1633" s="160"/>
      <c r="M1633" s="159"/>
      <c r="N1633" s="159" t="e">
        <f>IF(bargiri[[#This Row],[مبلغ واریزی]]&lt;&gt;"",bargiri[[#This Row],[مانده مبلغ]]-bargiri[[#This Row],[مبلغ واریزی]],bargiri[[#This Row],[مانده مبلغ]])</f>
        <v>#N/A</v>
      </c>
      <c r="O1633" s="159"/>
      <c r="P1633" s="159" t="e">
        <f>VLOOKUP(bargiri[[#This Row],[شماره سند مبنا]],invoice[[شماره پیش فاکتور]:[پیش دریافت به ازای هر کیلوگرم]],14,0)</f>
        <v>#N/A</v>
      </c>
      <c r="Q1633" s="159" t="e">
        <f>IF(bargiri[[#This Row],[مبلغ ناخالص]]-(bargiri[[#This Row],[نرخ استهلاک]]*bargiri[[#This Row],[مقدار]])&lt;0,0,bargiri[[#This Row],[مبلغ ناخالص]]-(bargiri[[#This Row],[نرخ استهلاک]]*bargiri[[#This Row],[مقدار]]))</f>
        <v>#N/A</v>
      </c>
    </row>
    <row r="1634" spans="1:17" s="22" customFormat="1" ht="13.8" x14ac:dyDescent="0.25">
      <c r="A1634" s="22">
        <v>1248</v>
      </c>
      <c r="B1634" s="22" t="s">
        <v>250</v>
      </c>
      <c r="C1634" s="22" t="s">
        <v>97</v>
      </c>
      <c r="D1634" s="22" t="s">
        <v>40</v>
      </c>
      <c r="E1634" s="158">
        <v>18125</v>
      </c>
      <c r="F1634" s="159">
        <v>85000</v>
      </c>
      <c r="G1634" s="159">
        <v>1540625000</v>
      </c>
      <c r="H1634" s="159">
        <v>154062500</v>
      </c>
      <c r="I1634" s="159">
        <v>1694687500</v>
      </c>
      <c r="J1634" s="159" t="e">
        <f>bargiri[[#This Row],[مقدار]]*INDEX(invoice[پیش دریافت به ازای هر کیلوگرم],MATCH(bargiri[[#This Row],[شماره سند مبنا]],invoice[شماره پیش فاکتور],0))</f>
        <v>#N/A</v>
      </c>
      <c r="K1634" s="159" t="e">
        <f>bargiri[[#This Row],[مبلغ خالص]]-bargiri[[#This Row],[میزان استهلاک پیش دریافتی]]</f>
        <v>#N/A</v>
      </c>
      <c r="L1634" s="160"/>
      <c r="M1634" s="159"/>
      <c r="N1634" s="159" t="e">
        <f>IF(bargiri[[#This Row],[مبلغ واریزی]]&lt;&gt;"",bargiri[[#This Row],[مانده مبلغ]]-bargiri[[#This Row],[مبلغ واریزی]],bargiri[[#This Row],[مانده مبلغ]])</f>
        <v>#N/A</v>
      </c>
      <c r="O1634" s="159"/>
      <c r="P1634" s="159" t="e">
        <f>VLOOKUP(bargiri[[#This Row],[شماره سند مبنا]],invoice[[شماره پیش فاکتور]:[پیش دریافت به ازای هر کیلوگرم]],14,0)</f>
        <v>#N/A</v>
      </c>
      <c r="Q1634" s="159" t="e">
        <f>IF(bargiri[[#This Row],[مبلغ ناخالص]]-(bargiri[[#This Row],[نرخ استهلاک]]*bargiri[[#This Row],[مقدار]])&lt;0,0,bargiri[[#This Row],[مبلغ ناخالص]]-(bargiri[[#This Row],[نرخ استهلاک]]*bargiri[[#This Row],[مقدار]]))</f>
        <v>#N/A</v>
      </c>
    </row>
    <row r="1635" spans="1:17" s="22" customFormat="1" ht="13.8" x14ac:dyDescent="0.25">
      <c r="A1635" s="22">
        <v>1247</v>
      </c>
      <c r="B1635" s="22" t="s">
        <v>250</v>
      </c>
      <c r="C1635" s="22" t="s">
        <v>109</v>
      </c>
      <c r="D1635" s="22" t="s">
        <v>110</v>
      </c>
      <c r="E1635" s="158">
        <v>9935</v>
      </c>
      <c r="F1635" s="159">
        <v>70000</v>
      </c>
      <c r="G1635" s="159">
        <v>695450000</v>
      </c>
      <c r="H1635" s="159">
        <v>69545000</v>
      </c>
      <c r="I1635" s="159">
        <v>764995000</v>
      </c>
      <c r="J1635" s="159" t="e">
        <f>bargiri[[#This Row],[مقدار]]*INDEX(invoice[پیش دریافت به ازای هر کیلوگرم],MATCH(bargiri[[#This Row],[شماره سند مبنا]],invoice[شماره پیش فاکتور],0))</f>
        <v>#N/A</v>
      </c>
      <c r="K1635" s="159" t="e">
        <f>bargiri[[#This Row],[مبلغ خالص]]-bargiri[[#This Row],[میزان استهلاک پیش دریافتی]]</f>
        <v>#N/A</v>
      </c>
      <c r="L1635" s="160"/>
      <c r="M1635" s="159"/>
      <c r="N1635" s="159" t="e">
        <f>IF(bargiri[[#This Row],[مبلغ واریزی]]&lt;&gt;"",bargiri[[#This Row],[مانده مبلغ]]-bargiri[[#This Row],[مبلغ واریزی]],bargiri[[#This Row],[مانده مبلغ]])</f>
        <v>#N/A</v>
      </c>
      <c r="O1635" s="159"/>
      <c r="P1635" s="159" t="e">
        <f>VLOOKUP(bargiri[[#This Row],[شماره سند مبنا]],invoice[[شماره پیش فاکتور]:[پیش دریافت به ازای هر کیلوگرم]],14,0)</f>
        <v>#N/A</v>
      </c>
      <c r="Q1635" s="159" t="e">
        <f>IF(bargiri[[#This Row],[مبلغ ناخالص]]-(bargiri[[#This Row],[نرخ استهلاک]]*bargiri[[#This Row],[مقدار]])&lt;0,0,bargiri[[#This Row],[مبلغ ناخالص]]-(bargiri[[#This Row],[نرخ استهلاک]]*bargiri[[#This Row],[مقدار]]))</f>
        <v>#N/A</v>
      </c>
    </row>
    <row r="1636" spans="1:17" s="22" customFormat="1" ht="13.8" x14ac:dyDescent="0.25">
      <c r="A1636" s="22">
        <v>1246</v>
      </c>
      <c r="B1636" s="22" t="s">
        <v>250</v>
      </c>
      <c r="C1636" s="22" t="s">
        <v>59</v>
      </c>
      <c r="D1636" s="22" t="s">
        <v>57</v>
      </c>
      <c r="E1636" s="158">
        <v>9750</v>
      </c>
      <c r="F1636" s="159">
        <v>80000</v>
      </c>
      <c r="G1636" s="159">
        <v>780000000</v>
      </c>
      <c r="H1636" s="159">
        <v>70200000</v>
      </c>
      <c r="I1636" s="159">
        <v>850200000</v>
      </c>
      <c r="J1636" s="159" t="e">
        <f>bargiri[[#This Row],[مقدار]]*INDEX(invoice[پیش دریافت به ازای هر کیلوگرم],MATCH(bargiri[[#This Row],[شماره سند مبنا]],invoice[شماره پیش فاکتور],0))</f>
        <v>#N/A</v>
      </c>
      <c r="K1636" s="159" t="e">
        <f>bargiri[[#This Row],[مبلغ خالص]]-bargiri[[#This Row],[میزان استهلاک پیش دریافتی]]</f>
        <v>#N/A</v>
      </c>
      <c r="L1636" s="160"/>
      <c r="M1636" s="159"/>
      <c r="N1636" s="159" t="e">
        <f>IF(bargiri[[#This Row],[مبلغ واریزی]]&lt;&gt;"",bargiri[[#This Row],[مانده مبلغ]]-bargiri[[#This Row],[مبلغ واریزی]],bargiri[[#This Row],[مانده مبلغ]])</f>
        <v>#N/A</v>
      </c>
      <c r="O1636" s="159"/>
      <c r="P1636" s="159" t="e">
        <f>VLOOKUP(bargiri[[#This Row],[شماره سند مبنا]],invoice[[شماره پیش فاکتور]:[پیش دریافت به ازای هر کیلوگرم]],14,0)</f>
        <v>#N/A</v>
      </c>
      <c r="Q1636" s="159" t="e">
        <f>IF(bargiri[[#This Row],[مبلغ ناخالص]]-(bargiri[[#This Row],[نرخ استهلاک]]*bargiri[[#This Row],[مقدار]])&lt;0,0,bargiri[[#This Row],[مبلغ ناخالص]]-(bargiri[[#This Row],[نرخ استهلاک]]*bargiri[[#This Row],[مقدار]]))</f>
        <v>#N/A</v>
      </c>
    </row>
    <row r="1637" spans="1:17" s="22" customFormat="1" ht="13.8" x14ac:dyDescent="0.25">
      <c r="A1637" s="22">
        <v>1245</v>
      </c>
      <c r="B1637" s="22" t="s">
        <v>250</v>
      </c>
      <c r="C1637" s="22" t="s">
        <v>72</v>
      </c>
      <c r="D1637" s="22" t="s">
        <v>73</v>
      </c>
      <c r="E1637" s="158">
        <v>21055</v>
      </c>
      <c r="F1637" s="159">
        <v>57273</v>
      </c>
      <c r="G1637" s="159">
        <v>1205883015</v>
      </c>
      <c r="H1637" s="159">
        <v>120588302</v>
      </c>
      <c r="I1637" s="159">
        <v>1326471317</v>
      </c>
      <c r="J1637" s="159" t="e">
        <f>bargiri[[#This Row],[مقدار]]*INDEX(invoice[پیش دریافت به ازای هر کیلوگرم],MATCH(bargiri[[#This Row],[شماره سند مبنا]],invoice[شماره پیش فاکتور],0))</f>
        <v>#N/A</v>
      </c>
      <c r="K1637" s="159" t="e">
        <f>bargiri[[#This Row],[مبلغ خالص]]-bargiri[[#This Row],[میزان استهلاک پیش دریافتی]]</f>
        <v>#N/A</v>
      </c>
      <c r="L1637" s="160"/>
      <c r="M1637" s="159"/>
      <c r="N1637" s="159" t="e">
        <f>IF(bargiri[[#This Row],[مبلغ واریزی]]&lt;&gt;"",bargiri[[#This Row],[مانده مبلغ]]-bargiri[[#This Row],[مبلغ واریزی]],bargiri[[#This Row],[مانده مبلغ]])</f>
        <v>#N/A</v>
      </c>
      <c r="O1637" s="159"/>
      <c r="P1637" s="159" t="e">
        <f>VLOOKUP(bargiri[[#This Row],[شماره سند مبنا]],invoice[[شماره پیش فاکتور]:[پیش دریافت به ازای هر کیلوگرم]],14,0)</f>
        <v>#N/A</v>
      </c>
      <c r="Q1637" s="159" t="e">
        <f>IF(bargiri[[#This Row],[مبلغ ناخالص]]-(bargiri[[#This Row],[نرخ استهلاک]]*bargiri[[#This Row],[مقدار]])&lt;0,0,bargiri[[#This Row],[مبلغ ناخالص]]-(bargiri[[#This Row],[نرخ استهلاک]]*bargiri[[#This Row],[مقدار]]))</f>
        <v>#N/A</v>
      </c>
    </row>
    <row r="1638" spans="1:17" s="22" customFormat="1" ht="13.8" x14ac:dyDescent="0.25">
      <c r="A1638" s="22">
        <v>1244</v>
      </c>
      <c r="B1638" s="22" t="s">
        <v>250</v>
      </c>
      <c r="C1638" s="22" t="s">
        <v>72</v>
      </c>
      <c r="D1638" s="22" t="s">
        <v>73</v>
      </c>
      <c r="E1638" s="158">
        <v>20765</v>
      </c>
      <c r="F1638" s="159">
        <v>57273</v>
      </c>
      <c r="G1638" s="159">
        <v>1189273845</v>
      </c>
      <c r="H1638" s="159">
        <v>118927385</v>
      </c>
      <c r="I1638" s="159">
        <v>1308201230</v>
      </c>
      <c r="J1638" s="159" t="e">
        <f>bargiri[[#This Row],[مقدار]]*INDEX(invoice[پیش دریافت به ازای هر کیلوگرم],MATCH(bargiri[[#This Row],[شماره سند مبنا]],invoice[شماره پیش فاکتور],0))</f>
        <v>#N/A</v>
      </c>
      <c r="K1638" s="159" t="e">
        <f>bargiri[[#This Row],[مبلغ خالص]]-bargiri[[#This Row],[میزان استهلاک پیش دریافتی]]</f>
        <v>#N/A</v>
      </c>
      <c r="L1638" s="160"/>
      <c r="M1638" s="159"/>
      <c r="N1638" s="159" t="e">
        <f>IF(bargiri[[#This Row],[مبلغ واریزی]]&lt;&gt;"",bargiri[[#This Row],[مانده مبلغ]]-bargiri[[#This Row],[مبلغ واریزی]],bargiri[[#This Row],[مانده مبلغ]])</f>
        <v>#N/A</v>
      </c>
      <c r="O1638" s="159"/>
      <c r="P1638" s="159" t="e">
        <f>VLOOKUP(bargiri[[#This Row],[شماره سند مبنا]],invoice[[شماره پیش فاکتور]:[پیش دریافت به ازای هر کیلوگرم]],14,0)</f>
        <v>#N/A</v>
      </c>
      <c r="Q1638" s="159" t="e">
        <f>IF(bargiri[[#This Row],[مبلغ ناخالص]]-(bargiri[[#This Row],[نرخ استهلاک]]*bargiri[[#This Row],[مقدار]])&lt;0,0,bargiri[[#This Row],[مبلغ ناخالص]]-(bargiri[[#This Row],[نرخ استهلاک]]*bargiri[[#This Row],[مقدار]]))</f>
        <v>#N/A</v>
      </c>
    </row>
    <row r="1639" spans="1:17" s="22" customFormat="1" ht="13.8" x14ac:dyDescent="0.25">
      <c r="A1639" s="22">
        <v>1243</v>
      </c>
      <c r="B1639" s="22" t="s">
        <v>196</v>
      </c>
      <c r="C1639" s="22" t="s">
        <v>194</v>
      </c>
      <c r="D1639" s="22" t="s">
        <v>67</v>
      </c>
      <c r="E1639" s="158">
        <v>19985</v>
      </c>
      <c r="F1639" s="159">
        <v>92180</v>
      </c>
      <c r="G1639" s="159">
        <v>1842217300</v>
      </c>
      <c r="H1639" s="159">
        <v>184221730</v>
      </c>
      <c r="I1639" s="159">
        <v>2026439030</v>
      </c>
      <c r="J1639" s="159" t="e">
        <f>bargiri[[#This Row],[مقدار]]*INDEX(invoice[پیش دریافت به ازای هر کیلوگرم],MATCH(bargiri[[#This Row],[شماره سند مبنا]],invoice[شماره پیش فاکتور],0))</f>
        <v>#N/A</v>
      </c>
      <c r="K1639" s="159" t="e">
        <f>bargiri[[#This Row],[مبلغ خالص]]-bargiri[[#This Row],[میزان استهلاک پیش دریافتی]]</f>
        <v>#N/A</v>
      </c>
      <c r="L1639" s="160"/>
      <c r="M1639" s="159"/>
      <c r="N1639" s="159" t="e">
        <f>IF(bargiri[[#This Row],[مبلغ واریزی]]&lt;&gt;"",bargiri[[#This Row],[مانده مبلغ]]-bargiri[[#This Row],[مبلغ واریزی]],bargiri[[#This Row],[مانده مبلغ]])</f>
        <v>#N/A</v>
      </c>
      <c r="O1639" s="159"/>
      <c r="P1639" s="159" t="e">
        <f>VLOOKUP(bargiri[[#This Row],[شماره سند مبنا]],invoice[[شماره پیش فاکتور]:[پیش دریافت به ازای هر کیلوگرم]],14,0)</f>
        <v>#N/A</v>
      </c>
      <c r="Q1639" s="159" t="e">
        <f>IF(bargiri[[#This Row],[مبلغ ناخالص]]-(bargiri[[#This Row],[نرخ استهلاک]]*bargiri[[#This Row],[مقدار]])&lt;0,0,bargiri[[#This Row],[مبلغ ناخالص]]-(bargiri[[#This Row],[نرخ استهلاک]]*bargiri[[#This Row],[مقدار]]))</f>
        <v>#N/A</v>
      </c>
    </row>
    <row r="1640" spans="1:17" s="22" customFormat="1" ht="13.8" x14ac:dyDescent="0.25">
      <c r="A1640" s="22">
        <v>1242</v>
      </c>
      <c r="B1640" s="22" t="s">
        <v>196</v>
      </c>
      <c r="C1640" s="22" t="s">
        <v>172</v>
      </c>
      <c r="D1640" s="22" t="s">
        <v>173</v>
      </c>
      <c r="E1640" s="158">
        <v>21175</v>
      </c>
      <c r="F1640" s="159">
        <v>75000</v>
      </c>
      <c r="G1640" s="159">
        <v>1588125000</v>
      </c>
      <c r="H1640" s="159">
        <v>158812500</v>
      </c>
      <c r="I1640" s="159">
        <v>1746937500</v>
      </c>
      <c r="J1640" s="159">
        <f>bargiri[[#This Row],[مقدار]]*INDEX(invoice[پیش دریافت به ازای هر کیلوگرم],MATCH(bargiri[[#This Row],[شماره سند مبنا]],invoice[شماره پیش فاکتور],0))</f>
        <v>262040625</v>
      </c>
      <c r="K1640" s="159">
        <f>bargiri[[#This Row],[مبلغ خالص]]-bargiri[[#This Row],[میزان استهلاک پیش دریافتی]]</f>
        <v>1484896875</v>
      </c>
      <c r="L1640" s="160"/>
      <c r="M1640" s="159"/>
      <c r="N1640" s="159">
        <f>IF(bargiri[[#This Row],[مبلغ واریزی]]&lt;&gt;"",bargiri[[#This Row],[مانده مبلغ]]-bargiri[[#This Row],[مبلغ واریزی]],bargiri[[#This Row],[مانده مبلغ]])</f>
        <v>1484896875</v>
      </c>
      <c r="O1640" s="159"/>
      <c r="P1640" s="159">
        <f>VLOOKUP(bargiri[[#This Row],[شماره سند مبنا]],invoice[[شماره پیش فاکتور]:[پیش دریافت به ازای هر کیلوگرم]],14,0)</f>
        <v>12375</v>
      </c>
      <c r="Q1640" s="159">
        <f>IF(bargiri[[#This Row],[مبلغ ناخالص]]-(bargiri[[#This Row],[نرخ استهلاک]]*bargiri[[#This Row],[مقدار]])&lt;0,0,bargiri[[#This Row],[مبلغ ناخالص]]-(bargiri[[#This Row],[نرخ استهلاک]]*bargiri[[#This Row],[مقدار]]))</f>
        <v>1326084375</v>
      </c>
    </row>
    <row r="1641" spans="1:17" s="22" customFormat="1" ht="13.8" x14ac:dyDescent="0.25">
      <c r="A1641" s="22">
        <v>1241</v>
      </c>
      <c r="B1641" s="22" t="s">
        <v>196</v>
      </c>
      <c r="C1641" s="22" t="s">
        <v>167</v>
      </c>
      <c r="D1641" s="22" t="s">
        <v>43</v>
      </c>
      <c r="E1641" s="158">
        <v>18020</v>
      </c>
      <c r="F1641" s="159">
        <v>80000</v>
      </c>
      <c r="G1641" s="159">
        <v>1441600000</v>
      </c>
      <c r="H1641" s="159">
        <v>144160000</v>
      </c>
      <c r="I1641" s="159">
        <v>1585760000</v>
      </c>
      <c r="J1641" s="159">
        <f>bargiri[[#This Row],[مقدار]]*INDEX(invoice[پیش دریافت به ازای هر کیلوگرم],MATCH(bargiri[[#This Row],[شماره سند مبنا]],invoice[شماره پیش فاکتور],0))</f>
        <v>317152000</v>
      </c>
      <c r="K1641" s="159">
        <f>bargiri[[#This Row],[مبلغ خالص]]-bargiri[[#This Row],[میزان استهلاک پیش دریافتی]]</f>
        <v>1268608000</v>
      </c>
      <c r="L1641" s="160"/>
      <c r="M1641" s="159"/>
      <c r="N1641" s="159">
        <f>IF(bargiri[[#This Row],[مبلغ واریزی]]&lt;&gt;"",bargiri[[#This Row],[مانده مبلغ]]-bargiri[[#This Row],[مبلغ واریزی]],bargiri[[#This Row],[مانده مبلغ]])</f>
        <v>1268608000</v>
      </c>
      <c r="O1641" s="159"/>
      <c r="P1641" s="159">
        <f>VLOOKUP(bargiri[[#This Row],[شماره سند مبنا]],invoice[[شماره پیش فاکتور]:[پیش دریافت به ازای هر کیلوگرم]],14,0)</f>
        <v>17600</v>
      </c>
      <c r="Q1641" s="159">
        <f>IF(bargiri[[#This Row],[مبلغ ناخالص]]-(bargiri[[#This Row],[نرخ استهلاک]]*bargiri[[#This Row],[مقدار]])&lt;0,0,bargiri[[#This Row],[مبلغ ناخالص]]-(bargiri[[#This Row],[نرخ استهلاک]]*bargiri[[#This Row],[مقدار]]))</f>
        <v>1124448000</v>
      </c>
    </row>
    <row r="1642" spans="1:17" s="22" customFormat="1" ht="13.8" x14ac:dyDescent="0.25">
      <c r="A1642" s="22">
        <v>1240</v>
      </c>
      <c r="B1642" s="22" t="s">
        <v>196</v>
      </c>
      <c r="C1642" s="22" t="s">
        <v>149</v>
      </c>
      <c r="D1642" s="22" t="s">
        <v>35</v>
      </c>
      <c r="E1642" s="158">
        <v>7650</v>
      </c>
      <c r="F1642" s="159">
        <v>75000</v>
      </c>
      <c r="G1642" s="159">
        <v>573750000</v>
      </c>
      <c r="H1642" s="159">
        <v>57375000</v>
      </c>
      <c r="I1642" s="159">
        <v>631125000</v>
      </c>
      <c r="J1642" s="159">
        <f>bargiri[[#This Row],[مقدار]]*INDEX(invoice[پیش دریافت به ازای هر کیلوگرم],MATCH(bargiri[[#This Row],[شماره سند مبنا]],invoice[شماره پیش فاکتور],0))</f>
        <v>94675692.884144843</v>
      </c>
      <c r="K1642" s="159">
        <f>bargiri[[#This Row],[مبلغ خالص]]-bargiri[[#This Row],[میزان استهلاک پیش دریافتی]]</f>
        <v>536449307.11585516</v>
      </c>
      <c r="L1642" s="160"/>
      <c r="M1642" s="159"/>
      <c r="N1642" s="159">
        <f>IF(bargiri[[#This Row],[مبلغ واریزی]]&lt;&gt;"",bargiri[[#This Row],[مانده مبلغ]]-bargiri[[#This Row],[مبلغ واریزی]],bargiri[[#This Row],[مانده مبلغ]])</f>
        <v>536449307.11585516</v>
      </c>
      <c r="O1642" s="159"/>
      <c r="P1642" s="159">
        <f>VLOOKUP(bargiri[[#This Row],[شماره سند مبنا]],invoice[[شماره پیش فاکتور]:[پیش دریافت به ازای هر کیلوگرم]],14,0)</f>
        <v>12375.907566554881</v>
      </c>
      <c r="Q1642" s="159">
        <f>IF(bargiri[[#This Row],[مبلغ ناخالص]]-(bargiri[[#This Row],[نرخ استهلاک]]*bargiri[[#This Row],[مقدار]])&lt;0,0,bargiri[[#This Row],[مبلغ ناخالص]]-(bargiri[[#This Row],[نرخ استهلاک]]*bargiri[[#This Row],[مقدار]]))</f>
        <v>479074307.11585516</v>
      </c>
    </row>
    <row r="1643" spans="1:17" s="22" customFormat="1" ht="13.8" x14ac:dyDescent="0.25">
      <c r="A1643" s="22">
        <v>1239</v>
      </c>
      <c r="B1643" s="22" t="s">
        <v>196</v>
      </c>
      <c r="C1643" s="22" t="s">
        <v>128</v>
      </c>
      <c r="D1643" s="22" t="s">
        <v>129</v>
      </c>
      <c r="E1643" s="158">
        <v>9055</v>
      </c>
      <c r="F1643" s="159">
        <v>80000</v>
      </c>
      <c r="G1643" s="159">
        <v>724400000</v>
      </c>
      <c r="H1643" s="159">
        <v>72440000</v>
      </c>
      <c r="I1643" s="159">
        <v>796840000</v>
      </c>
      <c r="J1643" s="159">
        <f>bargiri[[#This Row],[مقدار]]*INDEX(invoice[پیش دریافت به ازای هر کیلوگرم],MATCH(bargiri[[#This Row],[شماره سند مبنا]],invoice[شماره پیش فاکتور],0))</f>
        <v>120106514.82163791</v>
      </c>
      <c r="K1643" s="159">
        <f>bargiri[[#This Row],[مبلغ خالص]]-bargiri[[#This Row],[میزان استهلاک پیش دریافتی]]</f>
        <v>676733485.17836213</v>
      </c>
      <c r="L1643" s="160"/>
      <c r="M1643" s="159"/>
      <c r="N1643" s="159">
        <f>IF(bargiri[[#This Row],[مبلغ واریزی]]&lt;&gt;"",bargiri[[#This Row],[مانده مبلغ]]-bargiri[[#This Row],[مبلغ واریزی]],bargiri[[#This Row],[مانده مبلغ]])</f>
        <v>676733485.17836213</v>
      </c>
      <c r="O1643" s="159"/>
      <c r="P1643" s="159">
        <f>VLOOKUP(bargiri[[#This Row],[شماره سند مبنا]],invoice[[شماره پیش فاکتور]:[پیش دریافت به ازای هر کیلوگرم]],14,0)</f>
        <v>13264.109864344331</v>
      </c>
      <c r="Q1643" s="159">
        <f>IF(bargiri[[#This Row],[مبلغ ناخالص]]-(bargiri[[#This Row],[نرخ استهلاک]]*bargiri[[#This Row],[مقدار]])&lt;0,0,bargiri[[#This Row],[مبلغ ناخالص]]-(bargiri[[#This Row],[نرخ استهلاک]]*bargiri[[#This Row],[مقدار]]))</f>
        <v>604293485.17836213</v>
      </c>
    </row>
    <row r="1644" spans="1:17" s="22" customFormat="1" ht="13.8" x14ac:dyDescent="0.25">
      <c r="A1644" s="22">
        <v>1238</v>
      </c>
      <c r="B1644" s="22" t="s">
        <v>196</v>
      </c>
      <c r="C1644" s="22" t="s">
        <v>115</v>
      </c>
      <c r="D1644" s="22" t="s">
        <v>116</v>
      </c>
      <c r="E1644" s="158">
        <v>10025</v>
      </c>
      <c r="F1644" s="159">
        <v>75000</v>
      </c>
      <c r="G1644" s="159">
        <v>751875000</v>
      </c>
      <c r="H1644" s="159">
        <v>75187500</v>
      </c>
      <c r="I1644" s="159">
        <v>827062500</v>
      </c>
      <c r="J1644" s="159">
        <f>bargiri[[#This Row],[مقدار]]*INDEX(invoice[پیش دریافت به ازای هر کیلوگرم],MATCH(bargiri[[#This Row],[شماره سند مبنا]],invoice[شماره پیش فاکتور],0))</f>
        <v>150477324.58071488</v>
      </c>
      <c r="K1644" s="159">
        <f>bargiri[[#This Row],[مبلغ خالص]]-bargiri[[#This Row],[میزان استهلاک پیش دریافتی]]</f>
        <v>676585175.41928506</v>
      </c>
      <c r="L1644" s="160"/>
      <c r="M1644" s="159"/>
      <c r="N1644" s="159">
        <f>IF(bargiri[[#This Row],[مبلغ واریزی]]&lt;&gt;"",bargiri[[#This Row],[مانده مبلغ]]-bargiri[[#This Row],[مبلغ واریزی]],bargiri[[#This Row],[مانده مبلغ]])</f>
        <v>676585175.41928506</v>
      </c>
      <c r="O1644" s="159"/>
      <c r="P1644" s="159">
        <f>VLOOKUP(bargiri[[#This Row],[شماره سند مبنا]],invoice[[شماره پیش فاکتور]:[پیش دریافت به ازای هر کیلوگرم]],14,0)</f>
        <v>15010.206940719689</v>
      </c>
      <c r="Q1644" s="159">
        <f>IF(bargiri[[#This Row],[مبلغ ناخالص]]-(bargiri[[#This Row],[نرخ استهلاک]]*bargiri[[#This Row],[مقدار]])&lt;0,0,bargiri[[#This Row],[مبلغ ناخالص]]-(bargiri[[#This Row],[نرخ استهلاک]]*bargiri[[#This Row],[مقدار]]))</f>
        <v>601397675.41928506</v>
      </c>
    </row>
    <row r="1645" spans="1:17" s="22" customFormat="1" ht="13.8" x14ac:dyDescent="0.25">
      <c r="A1645" s="22">
        <v>1237</v>
      </c>
      <c r="B1645" s="22" t="s">
        <v>360</v>
      </c>
      <c r="C1645" s="22" t="s">
        <v>86</v>
      </c>
      <c r="D1645" s="22" t="s">
        <v>30</v>
      </c>
      <c r="E1645" s="158">
        <v>11695</v>
      </c>
      <c r="F1645" s="159">
        <v>65000</v>
      </c>
      <c r="G1645" s="159">
        <v>760175000</v>
      </c>
      <c r="H1645" s="159">
        <v>76017500</v>
      </c>
      <c r="I1645" s="159">
        <v>836192500</v>
      </c>
      <c r="J1645" s="159" t="e">
        <f>bargiri[[#This Row],[مقدار]]*INDEX(invoice[پیش دریافت به ازای هر کیلوگرم],MATCH(bargiri[[#This Row],[شماره سند مبنا]],invoice[شماره پیش فاکتور],0))</f>
        <v>#N/A</v>
      </c>
      <c r="K1645" s="159" t="e">
        <f>bargiri[[#This Row],[مبلغ خالص]]-bargiri[[#This Row],[میزان استهلاک پیش دریافتی]]</f>
        <v>#N/A</v>
      </c>
      <c r="L1645" s="160"/>
      <c r="M1645" s="159"/>
      <c r="N1645" s="159" t="e">
        <f>IF(bargiri[[#This Row],[مبلغ واریزی]]&lt;&gt;"",bargiri[[#This Row],[مانده مبلغ]]-bargiri[[#This Row],[مبلغ واریزی]],bargiri[[#This Row],[مانده مبلغ]])</f>
        <v>#N/A</v>
      </c>
      <c r="O1645" s="159"/>
      <c r="P1645" s="159" t="e">
        <f>VLOOKUP(bargiri[[#This Row],[شماره سند مبنا]],invoice[[شماره پیش فاکتور]:[پیش دریافت به ازای هر کیلوگرم]],14,0)</f>
        <v>#N/A</v>
      </c>
      <c r="Q1645" s="159" t="e">
        <f>IF(bargiri[[#This Row],[مبلغ ناخالص]]-(bargiri[[#This Row],[نرخ استهلاک]]*bargiri[[#This Row],[مقدار]])&lt;0,0,bargiri[[#This Row],[مبلغ ناخالص]]-(bargiri[[#This Row],[نرخ استهلاک]]*bargiri[[#This Row],[مقدار]]))</f>
        <v>#N/A</v>
      </c>
    </row>
    <row r="1646" spans="1:17" s="22" customFormat="1" ht="13.8" x14ac:dyDescent="0.25">
      <c r="A1646" s="22">
        <v>1236</v>
      </c>
      <c r="B1646" s="22" t="s">
        <v>360</v>
      </c>
      <c r="C1646" s="22" t="s">
        <v>109</v>
      </c>
      <c r="D1646" s="22" t="s">
        <v>110</v>
      </c>
      <c r="E1646" s="158">
        <v>18940</v>
      </c>
      <c r="F1646" s="159">
        <v>70000</v>
      </c>
      <c r="G1646" s="159">
        <v>1325800000</v>
      </c>
      <c r="H1646" s="159">
        <v>132580000</v>
      </c>
      <c r="I1646" s="159">
        <v>1458380000</v>
      </c>
      <c r="J1646" s="159" t="e">
        <f>bargiri[[#This Row],[مقدار]]*INDEX(invoice[پیش دریافت به ازای هر کیلوگرم],MATCH(bargiri[[#This Row],[شماره سند مبنا]],invoice[شماره پیش فاکتور],0))</f>
        <v>#N/A</v>
      </c>
      <c r="K1646" s="159" t="e">
        <f>bargiri[[#This Row],[مبلغ خالص]]-bargiri[[#This Row],[میزان استهلاک پیش دریافتی]]</f>
        <v>#N/A</v>
      </c>
      <c r="L1646" s="160"/>
      <c r="M1646" s="159"/>
      <c r="N1646" s="159" t="e">
        <f>IF(bargiri[[#This Row],[مبلغ واریزی]]&lt;&gt;"",bargiri[[#This Row],[مانده مبلغ]]-bargiri[[#This Row],[مبلغ واریزی]],bargiri[[#This Row],[مانده مبلغ]])</f>
        <v>#N/A</v>
      </c>
      <c r="O1646" s="159"/>
      <c r="P1646" s="159" t="e">
        <f>VLOOKUP(bargiri[[#This Row],[شماره سند مبنا]],invoice[[شماره پیش فاکتور]:[پیش دریافت به ازای هر کیلوگرم]],14,0)</f>
        <v>#N/A</v>
      </c>
      <c r="Q1646" s="159" t="e">
        <f>IF(bargiri[[#This Row],[مبلغ ناخالص]]-(bargiri[[#This Row],[نرخ استهلاک]]*bargiri[[#This Row],[مقدار]])&lt;0,0,bargiri[[#This Row],[مبلغ ناخالص]]-(bargiri[[#This Row],[نرخ استهلاک]]*bargiri[[#This Row],[مقدار]]))</f>
        <v>#N/A</v>
      </c>
    </row>
    <row r="1647" spans="1:17" s="22" customFormat="1" ht="13.8" x14ac:dyDescent="0.25">
      <c r="A1647" s="22">
        <v>1235</v>
      </c>
      <c r="B1647" s="22" t="s">
        <v>360</v>
      </c>
      <c r="C1647" s="22" t="s">
        <v>144</v>
      </c>
      <c r="D1647" s="22" t="s">
        <v>25</v>
      </c>
      <c r="E1647" s="158">
        <v>20045</v>
      </c>
      <c r="F1647" s="159">
        <v>65000</v>
      </c>
      <c r="G1647" s="159">
        <v>1302925000</v>
      </c>
      <c r="H1647" s="159">
        <v>130292500</v>
      </c>
      <c r="I1647" s="159">
        <v>1433217500</v>
      </c>
      <c r="J1647" s="159" t="e">
        <f>bargiri[[#This Row],[مقدار]]*INDEX(invoice[پیش دریافت به ازای هر کیلوگرم],MATCH(bargiri[[#This Row],[شماره سند مبنا]],invoice[شماره پیش فاکتور],0))</f>
        <v>#N/A</v>
      </c>
      <c r="K1647" s="159" t="e">
        <f>bargiri[[#This Row],[مبلغ خالص]]-bargiri[[#This Row],[میزان استهلاک پیش دریافتی]]</f>
        <v>#N/A</v>
      </c>
      <c r="L1647" s="160"/>
      <c r="M1647" s="159"/>
      <c r="N1647" s="159" t="e">
        <f>IF(bargiri[[#This Row],[مبلغ واریزی]]&lt;&gt;"",bargiri[[#This Row],[مانده مبلغ]]-bargiri[[#This Row],[مبلغ واریزی]],bargiri[[#This Row],[مانده مبلغ]])</f>
        <v>#N/A</v>
      </c>
      <c r="O1647" s="159"/>
      <c r="P1647" s="159" t="e">
        <f>VLOOKUP(bargiri[[#This Row],[شماره سند مبنا]],invoice[[شماره پیش فاکتور]:[پیش دریافت به ازای هر کیلوگرم]],14,0)</f>
        <v>#N/A</v>
      </c>
      <c r="Q1647" s="159" t="e">
        <f>IF(bargiri[[#This Row],[مبلغ ناخالص]]-(bargiri[[#This Row],[نرخ استهلاک]]*bargiri[[#This Row],[مقدار]])&lt;0,0,bargiri[[#This Row],[مبلغ ناخالص]]-(bargiri[[#This Row],[نرخ استهلاک]]*bargiri[[#This Row],[مقدار]]))</f>
        <v>#N/A</v>
      </c>
    </row>
    <row r="1648" spans="1:17" s="22" customFormat="1" ht="13.8" x14ac:dyDescent="0.25">
      <c r="A1648" s="22">
        <v>1234</v>
      </c>
      <c r="B1648" s="22" t="s">
        <v>360</v>
      </c>
      <c r="C1648" s="22" t="s">
        <v>104</v>
      </c>
      <c r="D1648" s="22" t="s">
        <v>17</v>
      </c>
      <c r="E1648" s="158">
        <v>20015</v>
      </c>
      <c r="F1648" s="159">
        <v>72000</v>
      </c>
      <c r="G1648" s="159">
        <v>1441080000</v>
      </c>
      <c r="H1648" s="159">
        <v>144108000</v>
      </c>
      <c r="I1648" s="159">
        <v>1585188000</v>
      </c>
      <c r="J1648" s="159" t="e">
        <f>bargiri[[#This Row],[مقدار]]*INDEX(invoice[پیش دریافت به ازای هر کیلوگرم],MATCH(bargiri[[#This Row],[شماره سند مبنا]],invoice[شماره پیش فاکتور],0))</f>
        <v>#N/A</v>
      </c>
      <c r="K1648" s="159" t="e">
        <f>bargiri[[#This Row],[مبلغ خالص]]-bargiri[[#This Row],[میزان استهلاک پیش دریافتی]]</f>
        <v>#N/A</v>
      </c>
      <c r="L1648" s="160"/>
      <c r="M1648" s="159"/>
      <c r="N1648" s="159" t="e">
        <f>IF(bargiri[[#This Row],[مبلغ واریزی]]&lt;&gt;"",bargiri[[#This Row],[مانده مبلغ]]-bargiri[[#This Row],[مبلغ واریزی]],bargiri[[#This Row],[مانده مبلغ]])</f>
        <v>#N/A</v>
      </c>
      <c r="O1648" s="159"/>
      <c r="P1648" s="159" t="e">
        <f>VLOOKUP(bargiri[[#This Row],[شماره سند مبنا]],invoice[[شماره پیش فاکتور]:[پیش دریافت به ازای هر کیلوگرم]],14,0)</f>
        <v>#N/A</v>
      </c>
      <c r="Q1648" s="159" t="e">
        <f>IF(bargiri[[#This Row],[مبلغ ناخالص]]-(bargiri[[#This Row],[نرخ استهلاک]]*bargiri[[#This Row],[مقدار]])&lt;0,0,bargiri[[#This Row],[مبلغ ناخالص]]-(bargiri[[#This Row],[نرخ استهلاک]]*bargiri[[#This Row],[مقدار]]))</f>
        <v>#N/A</v>
      </c>
    </row>
    <row r="1649" spans="1:17" s="22" customFormat="1" ht="13.8" x14ac:dyDescent="0.25">
      <c r="A1649" s="22">
        <v>1233</v>
      </c>
      <c r="B1649" s="22" t="s">
        <v>360</v>
      </c>
      <c r="C1649" s="22" t="s">
        <v>115</v>
      </c>
      <c r="D1649" s="22" t="s">
        <v>116</v>
      </c>
      <c r="E1649" s="158">
        <v>18855</v>
      </c>
      <c r="F1649" s="159">
        <v>75000</v>
      </c>
      <c r="G1649" s="159">
        <v>1414125000</v>
      </c>
      <c r="H1649" s="159">
        <v>141412500</v>
      </c>
      <c r="I1649" s="159">
        <v>1555537500</v>
      </c>
      <c r="J1649" s="159">
        <f>bargiri[[#This Row],[مقدار]]*INDEX(invoice[پیش دریافت به ازای هر کیلوگرم],MATCH(bargiri[[#This Row],[شماره سند مبنا]],invoice[شماره پیش فاکتور],0))</f>
        <v>283017451.86726975</v>
      </c>
      <c r="K1649" s="159">
        <f>bargiri[[#This Row],[مبلغ خالص]]-bargiri[[#This Row],[میزان استهلاک پیش دریافتی]]</f>
        <v>1272520048.1327302</v>
      </c>
      <c r="L1649" s="160"/>
      <c r="M1649" s="159"/>
      <c r="N1649" s="159">
        <f>IF(bargiri[[#This Row],[مبلغ واریزی]]&lt;&gt;"",bargiri[[#This Row],[مانده مبلغ]]-bargiri[[#This Row],[مبلغ واریزی]],bargiri[[#This Row],[مانده مبلغ]])</f>
        <v>1272520048.1327302</v>
      </c>
      <c r="O1649" s="159"/>
      <c r="P1649" s="159">
        <f>VLOOKUP(bargiri[[#This Row],[شماره سند مبنا]],invoice[[شماره پیش فاکتور]:[پیش دریافت به ازای هر کیلوگرم]],14,0)</f>
        <v>15010.206940719689</v>
      </c>
      <c r="Q1649" s="159">
        <f>IF(bargiri[[#This Row],[مبلغ ناخالص]]-(bargiri[[#This Row],[نرخ استهلاک]]*bargiri[[#This Row],[مقدار]])&lt;0,0,bargiri[[#This Row],[مبلغ ناخالص]]-(bargiri[[#This Row],[نرخ استهلاک]]*bargiri[[#This Row],[مقدار]]))</f>
        <v>1131107548.1327302</v>
      </c>
    </row>
    <row r="1650" spans="1:17" s="22" customFormat="1" ht="13.8" x14ac:dyDescent="0.25">
      <c r="A1650" s="22">
        <v>1232</v>
      </c>
      <c r="B1650" s="22" t="s">
        <v>183</v>
      </c>
      <c r="C1650" s="22" t="s">
        <v>167</v>
      </c>
      <c r="D1650" s="22" t="s">
        <v>43</v>
      </c>
      <c r="E1650" s="158">
        <v>20015</v>
      </c>
      <c r="F1650" s="159">
        <v>80000</v>
      </c>
      <c r="G1650" s="159">
        <v>1601200000</v>
      </c>
      <c r="H1650" s="159">
        <v>160120000</v>
      </c>
      <c r="I1650" s="159">
        <v>1761320000</v>
      </c>
      <c r="J1650" s="159">
        <f>bargiri[[#This Row],[مقدار]]*INDEX(invoice[پیش دریافت به ازای هر کیلوگرم],MATCH(bargiri[[#This Row],[شماره سند مبنا]],invoice[شماره پیش فاکتور],0))</f>
        <v>352264000</v>
      </c>
      <c r="K1650" s="159">
        <f>bargiri[[#This Row],[مبلغ خالص]]-bargiri[[#This Row],[میزان استهلاک پیش دریافتی]]</f>
        <v>1409056000</v>
      </c>
      <c r="L1650" s="160"/>
      <c r="M1650" s="159"/>
      <c r="N1650" s="159">
        <f>IF(bargiri[[#This Row],[مبلغ واریزی]]&lt;&gt;"",bargiri[[#This Row],[مانده مبلغ]]-bargiri[[#This Row],[مبلغ واریزی]],bargiri[[#This Row],[مانده مبلغ]])</f>
        <v>1409056000</v>
      </c>
      <c r="O1650" s="159"/>
      <c r="P1650" s="159">
        <f>VLOOKUP(bargiri[[#This Row],[شماره سند مبنا]],invoice[[شماره پیش فاکتور]:[پیش دریافت به ازای هر کیلوگرم]],14,0)</f>
        <v>17600</v>
      </c>
      <c r="Q1650" s="159">
        <f>IF(bargiri[[#This Row],[مبلغ ناخالص]]-(bargiri[[#This Row],[نرخ استهلاک]]*bargiri[[#This Row],[مقدار]])&lt;0,0,bargiri[[#This Row],[مبلغ ناخالص]]-(bargiri[[#This Row],[نرخ استهلاک]]*bargiri[[#This Row],[مقدار]]))</f>
        <v>1248936000</v>
      </c>
    </row>
    <row r="1651" spans="1:17" s="22" customFormat="1" ht="13.8" x14ac:dyDescent="0.25">
      <c r="A1651" s="22">
        <v>1231</v>
      </c>
      <c r="B1651" s="22" t="s">
        <v>183</v>
      </c>
      <c r="C1651" s="22" t="s">
        <v>176</v>
      </c>
      <c r="D1651" s="22" t="s">
        <v>70</v>
      </c>
      <c r="E1651" s="158">
        <v>19870</v>
      </c>
      <c r="F1651" s="159">
        <v>75000</v>
      </c>
      <c r="G1651" s="159">
        <v>1490250000</v>
      </c>
      <c r="H1651" s="159">
        <v>149025000</v>
      </c>
      <c r="I1651" s="159">
        <v>1639275000</v>
      </c>
      <c r="J1651" s="159" t="e">
        <f>bargiri[[#This Row],[مقدار]]*INDEX(invoice[پیش دریافت به ازای هر کیلوگرم],MATCH(bargiri[[#This Row],[شماره سند مبنا]],invoice[شماره پیش فاکتور],0))</f>
        <v>#N/A</v>
      </c>
      <c r="K1651" s="159" t="e">
        <f>bargiri[[#This Row],[مبلغ خالص]]-bargiri[[#This Row],[میزان استهلاک پیش دریافتی]]</f>
        <v>#N/A</v>
      </c>
      <c r="L1651" s="160"/>
      <c r="M1651" s="159"/>
      <c r="N1651" s="159" t="e">
        <f>IF(bargiri[[#This Row],[مبلغ واریزی]]&lt;&gt;"",bargiri[[#This Row],[مانده مبلغ]]-bargiri[[#This Row],[مبلغ واریزی]],bargiri[[#This Row],[مانده مبلغ]])</f>
        <v>#N/A</v>
      </c>
      <c r="O1651" s="159"/>
      <c r="P1651" s="159" t="e">
        <f>VLOOKUP(bargiri[[#This Row],[شماره سند مبنا]],invoice[[شماره پیش فاکتور]:[پیش دریافت به ازای هر کیلوگرم]],14,0)</f>
        <v>#N/A</v>
      </c>
      <c r="Q1651" s="159" t="e">
        <f>IF(bargiri[[#This Row],[مبلغ ناخالص]]-(bargiri[[#This Row],[نرخ استهلاک]]*bargiri[[#This Row],[مقدار]])&lt;0,0,bargiri[[#This Row],[مبلغ ناخالص]]-(bargiri[[#This Row],[نرخ استهلاک]]*bargiri[[#This Row],[مقدار]]))</f>
        <v>#N/A</v>
      </c>
    </row>
    <row r="1652" spans="1:17" s="22" customFormat="1" ht="13.8" x14ac:dyDescent="0.25">
      <c r="A1652" s="22">
        <v>1230</v>
      </c>
      <c r="B1652" s="22" t="s">
        <v>183</v>
      </c>
      <c r="C1652" s="22" t="s">
        <v>149</v>
      </c>
      <c r="D1652" s="22" t="s">
        <v>35</v>
      </c>
      <c r="E1652" s="158">
        <v>6860</v>
      </c>
      <c r="F1652" s="159">
        <v>75000</v>
      </c>
      <c r="G1652" s="159">
        <v>514500000</v>
      </c>
      <c r="H1652" s="159">
        <v>51450000</v>
      </c>
      <c r="I1652" s="159">
        <v>565950000</v>
      </c>
      <c r="J1652" s="159">
        <f>bargiri[[#This Row],[مقدار]]*INDEX(invoice[پیش دریافت به ازای هر کیلوگرم],MATCH(bargiri[[#This Row],[شماره سند مبنا]],invoice[شماره پیش فاکتور],0))</f>
        <v>84898725.906566486</v>
      </c>
      <c r="K1652" s="159">
        <f>bargiri[[#This Row],[مبلغ خالص]]-bargiri[[#This Row],[میزان استهلاک پیش دریافتی]]</f>
        <v>481051274.0934335</v>
      </c>
      <c r="L1652" s="160"/>
      <c r="M1652" s="159"/>
      <c r="N1652" s="159">
        <f>IF(bargiri[[#This Row],[مبلغ واریزی]]&lt;&gt;"",bargiri[[#This Row],[مانده مبلغ]]-bargiri[[#This Row],[مبلغ واریزی]],bargiri[[#This Row],[مانده مبلغ]])</f>
        <v>481051274.0934335</v>
      </c>
      <c r="O1652" s="159"/>
      <c r="P1652" s="159">
        <f>VLOOKUP(bargiri[[#This Row],[شماره سند مبنا]],invoice[[شماره پیش فاکتور]:[پیش دریافت به ازای هر کیلوگرم]],14,0)</f>
        <v>12375.907566554881</v>
      </c>
      <c r="Q1652" s="159">
        <f>IF(bargiri[[#This Row],[مبلغ ناخالص]]-(bargiri[[#This Row],[نرخ استهلاک]]*bargiri[[#This Row],[مقدار]])&lt;0,0,bargiri[[#This Row],[مبلغ ناخالص]]-(bargiri[[#This Row],[نرخ استهلاک]]*bargiri[[#This Row],[مقدار]]))</f>
        <v>429601274.0934335</v>
      </c>
    </row>
    <row r="1653" spans="1:17" s="22" customFormat="1" ht="13.8" x14ac:dyDescent="0.25">
      <c r="A1653" s="22">
        <v>1229</v>
      </c>
      <c r="B1653" s="22" t="s">
        <v>183</v>
      </c>
      <c r="C1653" s="22" t="s">
        <v>155</v>
      </c>
      <c r="D1653" s="22" t="s">
        <v>156</v>
      </c>
      <c r="E1653" s="158">
        <v>19995</v>
      </c>
      <c r="F1653" s="159">
        <v>75000</v>
      </c>
      <c r="G1653" s="159">
        <v>1499625000</v>
      </c>
      <c r="H1653" s="159">
        <v>149962500</v>
      </c>
      <c r="I1653" s="159">
        <v>1649587500</v>
      </c>
      <c r="J1653" s="159">
        <f>bargiri[[#This Row],[مقدار]]*INDEX(invoice[پیش دریافت به ازای هر کیلوگرم],MATCH(bargiri[[#This Row],[شماره سند مبنا]],invoice[شماره پیش فاکتور],0))</f>
        <v>247438125</v>
      </c>
      <c r="K1653" s="159">
        <f>bargiri[[#This Row],[مبلغ خالص]]-bargiri[[#This Row],[میزان استهلاک پیش دریافتی]]</f>
        <v>1402149375</v>
      </c>
      <c r="L1653" s="160"/>
      <c r="M1653" s="159"/>
      <c r="N1653" s="159">
        <f>IF(bargiri[[#This Row],[مبلغ واریزی]]&lt;&gt;"",bargiri[[#This Row],[مانده مبلغ]]-bargiri[[#This Row],[مبلغ واریزی]],bargiri[[#This Row],[مانده مبلغ]])</f>
        <v>1402149375</v>
      </c>
      <c r="O1653" s="159"/>
      <c r="P1653" s="159">
        <f>VLOOKUP(bargiri[[#This Row],[شماره سند مبنا]],invoice[[شماره پیش فاکتور]:[پیش دریافت به ازای هر کیلوگرم]],14,0)</f>
        <v>12375</v>
      </c>
      <c r="Q1653" s="159">
        <f>IF(bargiri[[#This Row],[مبلغ ناخالص]]-(bargiri[[#This Row],[نرخ استهلاک]]*bargiri[[#This Row],[مقدار]])&lt;0,0,bargiri[[#This Row],[مبلغ ناخالص]]-(bargiri[[#This Row],[نرخ استهلاک]]*bargiri[[#This Row],[مقدار]]))</f>
        <v>1252186875</v>
      </c>
    </row>
    <row r="1654" spans="1:17" s="22" customFormat="1" ht="13.8" x14ac:dyDescent="0.25">
      <c r="A1654" s="22">
        <v>1228</v>
      </c>
      <c r="B1654" s="22" t="s">
        <v>183</v>
      </c>
      <c r="C1654" s="22" t="s">
        <v>88</v>
      </c>
      <c r="D1654" s="22" t="s">
        <v>89</v>
      </c>
      <c r="E1654" s="158">
        <v>21020</v>
      </c>
      <c r="F1654" s="159">
        <v>78000</v>
      </c>
      <c r="G1654" s="159">
        <v>1639560000</v>
      </c>
      <c r="H1654" s="159">
        <v>163956000</v>
      </c>
      <c r="I1654" s="159">
        <v>1803516000</v>
      </c>
      <c r="J1654" s="159" t="e">
        <f>bargiri[[#This Row],[مقدار]]*INDEX(invoice[پیش دریافت به ازای هر کیلوگرم],MATCH(bargiri[[#This Row],[شماره سند مبنا]],invoice[شماره پیش فاکتور],0))</f>
        <v>#N/A</v>
      </c>
      <c r="K1654" s="159" t="e">
        <f>bargiri[[#This Row],[مبلغ خالص]]-bargiri[[#This Row],[میزان استهلاک پیش دریافتی]]</f>
        <v>#N/A</v>
      </c>
      <c r="L1654" s="160"/>
      <c r="M1654" s="159"/>
      <c r="N1654" s="159" t="e">
        <f>IF(bargiri[[#This Row],[مبلغ واریزی]]&lt;&gt;"",bargiri[[#This Row],[مانده مبلغ]]-bargiri[[#This Row],[مبلغ واریزی]],bargiri[[#This Row],[مانده مبلغ]])</f>
        <v>#N/A</v>
      </c>
      <c r="O1654" s="159"/>
      <c r="P1654" s="159" t="e">
        <f>VLOOKUP(bargiri[[#This Row],[شماره سند مبنا]],invoice[[شماره پیش فاکتور]:[پیش دریافت به ازای هر کیلوگرم]],14,0)</f>
        <v>#N/A</v>
      </c>
      <c r="Q1654" s="159" t="e">
        <f>IF(bargiri[[#This Row],[مبلغ ناخالص]]-(bargiri[[#This Row],[نرخ استهلاک]]*bargiri[[#This Row],[مقدار]])&lt;0,0,bargiri[[#This Row],[مبلغ ناخالص]]-(bargiri[[#This Row],[نرخ استهلاک]]*bargiri[[#This Row],[مقدار]]))</f>
        <v>#N/A</v>
      </c>
    </row>
    <row r="1655" spans="1:17" s="22" customFormat="1" ht="13.8" x14ac:dyDescent="0.25">
      <c r="A1655" s="22">
        <v>1227</v>
      </c>
      <c r="B1655" s="22" t="s">
        <v>151</v>
      </c>
      <c r="C1655" s="22" t="s">
        <v>149</v>
      </c>
      <c r="D1655" s="22" t="s">
        <v>35</v>
      </c>
      <c r="E1655" s="158">
        <v>7070</v>
      </c>
      <c r="F1655" s="159">
        <v>75000</v>
      </c>
      <c r="G1655" s="159">
        <v>530250000</v>
      </c>
      <c r="H1655" s="159">
        <v>53025000</v>
      </c>
      <c r="I1655" s="159">
        <v>583275000</v>
      </c>
      <c r="J1655" s="159">
        <f>bargiri[[#This Row],[مقدار]]*INDEX(invoice[پیش دریافت به ازای هر کیلوگرم],MATCH(bargiri[[#This Row],[شماره سند مبنا]],invoice[شماره پیش فاکتور],0))</f>
        <v>87497666.495543003</v>
      </c>
      <c r="K1655" s="159">
        <f>bargiri[[#This Row],[مبلغ خالص]]-bargiri[[#This Row],[میزان استهلاک پیش دریافتی]]</f>
        <v>495777333.504457</v>
      </c>
      <c r="L1655" s="160"/>
      <c r="M1655" s="159"/>
      <c r="N1655" s="159">
        <f>IF(bargiri[[#This Row],[مبلغ واریزی]]&lt;&gt;"",bargiri[[#This Row],[مانده مبلغ]]-bargiri[[#This Row],[مبلغ واریزی]],bargiri[[#This Row],[مانده مبلغ]])</f>
        <v>495777333.504457</v>
      </c>
      <c r="O1655" s="159"/>
      <c r="P1655" s="159">
        <f>VLOOKUP(bargiri[[#This Row],[شماره سند مبنا]],invoice[[شماره پیش فاکتور]:[پیش دریافت به ازای هر کیلوگرم]],14,0)</f>
        <v>12375.907566554881</v>
      </c>
      <c r="Q1655" s="159">
        <f>IF(bargiri[[#This Row],[مبلغ ناخالص]]-(bargiri[[#This Row],[نرخ استهلاک]]*bargiri[[#This Row],[مقدار]])&lt;0,0,bargiri[[#This Row],[مبلغ ناخالص]]-(bargiri[[#This Row],[نرخ استهلاک]]*bargiri[[#This Row],[مقدار]]))</f>
        <v>442752333.504457</v>
      </c>
    </row>
    <row r="1656" spans="1:17" s="22" customFormat="1" ht="13.8" x14ac:dyDescent="0.25">
      <c r="A1656" s="22">
        <v>1226</v>
      </c>
      <c r="B1656" s="22" t="s">
        <v>151</v>
      </c>
      <c r="C1656" s="22" t="s">
        <v>81</v>
      </c>
      <c r="D1656" s="22" t="s">
        <v>35</v>
      </c>
      <c r="E1656" s="158">
        <v>5150</v>
      </c>
      <c r="F1656" s="159">
        <v>70000</v>
      </c>
      <c r="G1656" s="159">
        <v>360500000</v>
      </c>
      <c r="H1656" s="159">
        <v>36050000</v>
      </c>
      <c r="I1656" s="159">
        <v>396550000</v>
      </c>
      <c r="J1656" s="159" t="e">
        <f>bargiri[[#This Row],[مقدار]]*INDEX(invoice[پیش دریافت به ازای هر کیلوگرم],MATCH(bargiri[[#This Row],[شماره سند مبنا]],invoice[شماره پیش فاکتور],0))</f>
        <v>#N/A</v>
      </c>
      <c r="K1656" s="159" t="e">
        <f>bargiri[[#This Row],[مبلغ خالص]]-bargiri[[#This Row],[میزان استهلاک پیش دریافتی]]</f>
        <v>#N/A</v>
      </c>
      <c r="L1656" s="160"/>
      <c r="M1656" s="159"/>
      <c r="N1656" s="159" t="e">
        <f>IF(bargiri[[#This Row],[مبلغ واریزی]]&lt;&gt;"",bargiri[[#This Row],[مانده مبلغ]]-bargiri[[#This Row],[مبلغ واریزی]],bargiri[[#This Row],[مانده مبلغ]])</f>
        <v>#N/A</v>
      </c>
      <c r="O1656" s="159"/>
      <c r="P1656" s="159" t="e">
        <f>VLOOKUP(bargiri[[#This Row],[شماره سند مبنا]],invoice[[شماره پیش فاکتور]:[پیش دریافت به ازای هر کیلوگرم]],14,0)</f>
        <v>#N/A</v>
      </c>
      <c r="Q1656" s="159" t="e">
        <f>IF(bargiri[[#This Row],[مبلغ ناخالص]]-(bargiri[[#This Row],[نرخ استهلاک]]*bargiri[[#This Row],[مقدار]])&lt;0,0,bargiri[[#This Row],[مبلغ ناخالص]]-(bargiri[[#This Row],[نرخ استهلاک]]*bargiri[[#This Row],[مقدار]]))</f>
        <v>#N/A</v>
      </c>
    </row>
    <row r="1657" spans="1:17" s="22" customFormat="1" ht="13.8" x14ac:dyDescent="0.25">
      <c r="A1657" s="22">
        <v>1226</v>
      </c>
      <c r="B1657" s="22" t="s">
        <v>151</v>
      </c>
      <c r="C1657" s="22" t="s">
        <v>149</v>
      </c>
      <c r="D1657" s="22" t="s">
        <v>35</v>
      </c>
      <c r="E1657" s="158">
        <v>1840</v>
      </c>
      <c r="F1657" s="159">
        <v>75000</v>
      </c>
      <c r="G1657" s="159">
        <v>138000000</v>
      </c>
      <c r="H1657" s="159">
        <v>13800000</v>
      </c>
      <c r="I1657" s="159">
        <v>151800000</v>
      </c>
      <c r="J1657" s="159">
        <f>bargiri[[#This Row],[مقدار]]*INDEX(invoice[پیش دریافت به ازای هر کیلوگرم],MATCH(bargiri[[#This Row],[شماره سند مبنا]],invoice[شماره پیش فاکتور],0))</f>
        <v>22771669.922460981</v>
      </c>
      <c r="K1657" s="159">
        <f>bargiri[[#This Row],[مبلغ خالص]]-bargiri[[#This Row],[میزان استهلاک پیش دریافتی]]</f>
        <v>129028330.07753903</v>
      </c>
      <c r="L1657" s="160"/>
      <c r="M1657" s="159"/>
      <c r="N1657" s="159">
        <f>IF(bargiri[[#This Row],[مبلغ واریزی]]&lt;&gt;"",bargiri[[#This Row],[مانده مبلغ]]-bargiri[[#This Row],[مبلغ واریزی]],bargiri[[#This Row],[مانده مبلغ]])</f>
        <v>129028330.07753903</v>
      </c>
      <c r="O1657" s="159"/>
      <c r="P1657" s="159">
        <f>VLOOKUP(bargiri[[#This Row],[شماره سند مبنا]],invoice[[شماره پیش فاکتور]:[پیش دریافت به ازای هر کیلوگرم]],14,0)</f>
        <v>12375.907566554881</v>
      </c>
      <c r="Q1657" s="159">
        <f>IF(bargiri[[#This Row],[مبلغ ناخالص]]-(bargiri[[#This Row],[نرخ استهلاک]]*bargiri[[#This Row],[مقدار]])&lt;0,0,bargiri[[#This Row],[مبلغ ناخالص]]-(bargiri[[#This Row],[نرخ استهلاک]]*bargiri[[#This Row],[مقدار]]))</f>
        <v>115228330.07753903</v>
      </c>
    </row>
    <row r="1658" spans="1:17" s="22" customFormat="1" ht="13.8" x14ac:dyDescent="0.25">
      <c r="A1658" s="22">
        <v>1225</v>
      </c>
      <c r="B1658" s="22" t="s">
        <v>293</v>
      </c>
      <c r="C1658" s="22" t="s">
        <v>176</v>
      </c>
      <c r="D1658" s="22" t="s">
        <v>70</v>
      </c>
      <c r="E1658" s="158">
        <v>16170</v>
      </c>
      <c r="F1658" s="159">
        <v>75000</v>
      </c>
      <c r="G1658" s="159">
        <v>1212750000</v>
      </c>
      <c r="H1658" s="159">
        <v>121275000</v>
      </c>
      <c r="I1658" s="159">
        <v>1334025000</v>
      </c>
      <c r="J1658" s="159" t="e">
        <f>bargiri[[#This Row],[مقدار]]*INDEX(invoice[پیش دریافت به ازای هر کیلوگرم],MATCH(bargiri[[#This Row],[شماره سند مبنا]],invoice[شماره پیش فاکتور],0))</f>
        <v>#N/A</v>
      </c>
      <c r="K1658" s="159" t="e">
        <f>bargiri[[#This Row],[مبلغ خالص]]-bargiri[[#This Row],[میزان استهلاک پیش دریافتی]]</f>
        <v>#N/A</v>
      </c>
      <c r="L1658" s="160"/>
      <c r="M1658" s="159"/>
      <c r="N1658" s="159" t="e">
        <f>IF(bargiri[[#This Row],[مبلغ واریزی]]&lt;&gt;"",bargiri[[#This Row],[مانده مبلغ]]-bargiri[[#This Row],[مبلغ واریزی]],bargiri[[#This Row],[مانده مبلغ]])</f>
        <v>#N/A</v>
      </c>
      <c r="O1658" s="159"/>
      <c r="P1658" s="159" t="e">
        <f>VLOOKUP(bargiri[[#This Row],[شماره سند مبنا]],invoice[[شماره پیش فاکتور]:[پیش دریافت به ازای هر کیلوگرم]],14,0)</f>
        <v>#N/A</v>
      </c>
      <c r="Q1658" s="159" t="e">
        <f>IF(bargiri[[#This Row],[مبلغ ناخالص]]-(bargiri[[#This Row],[نرخ استهلاک]]*bargiri[[#This Row],[مقدار]])&lt;0,0,bargiri[[#This Row],[مبلغ ناخالص]]-(bargiri[[#This Row],[نرخ استهلاک]]*bargiri[[#This Row],[مقدار]]))</f>
        <v>#N/A</v>
      </c>
    </row>
    <row r="1659" spans="1:17" s="22" customFormat="1" ht="13.8" x14ac:dyDescent="0.25">
      <c r="A1659" s="22">
        <v>1224</v>
      </c>
      <c r="B1659" s="22" t="s">
        <v>293</v>
      </c>
      <c r="C1659" s="22" t="s">
        <v>86</v>
      </c>
      <c r="D1659" s="22" t="s">
        <v>30</v>
      </c>
      <c r="E1659" s="158">
        <v>11900</v>
      </c>
      <c r="F1659" s="159">
        <v>65000</v>
      </c>
      <c r="G1659" s="159">
        <v>773500000</v>
      </c>
      <c r="H1659" s="159">
        <v>77350000</v>
      </c>
      <c r="I1659" s="159">
        <v>850850000</v>
      </c>
      <c r="J1659" s="159" t="e">
        <f>bargiri[[#This Row],[مقدار]]*INDEX(invoice[پیش دریافت به ازای هر کیلوگرم],MATCH(bargiri[[#This Row],[شماره سند مبنا]],invoice[شماره پیش فاکتور],0))</f>
        <v>#N/A</v>
      </c>
      <c r="K1659" s="159" t="e">
        <f>bargiri[[#This Row],[مبلغ خالص]]-bargiri[[#This Row],[میزان استهلاک پیش دریافتی]]</f>
        <v>#N/A</v>
      </c>
      <c r="L1659" s="160"/>
      <c r="M1659" s="159"/>
      <c r="N1659" s="159" t="e">
        <f>IF(bargiri[[#This Row],[مبلغ واریزی]]&lt;&gt;"",bargiri[[#This Row],[مانده مبلغ]]-bargiri[[#This Row],[مبلغ واریزی]],bargiri[[#This Row],[مانده مبلغ]])</f>
        <v>#N/A</v>
      </c>
      <c r="O1659" s="159"/>
      <c r="P1659" s="159" t="e">
        <f>VLOOKUP(bargiri[[#This Row],[شماره سند مبنا]],invoice[[شماره پیش فاکتور]:[پیش دریافت به ازای هر کیلوگرم]],14,0)</f>
        <v>#N/A</v>
      </c>
      <c r="Q1659" s="159" t="e">
        <f>IF(bargiri[[#This Row],[مبلغ ناخالص]]-(bargiri[[#This Row],[نرخ استهلاک]]*bargiri[[#This Row],[مقدار]])&lt;0,0,bargiri[[#This Row],[مبلغ ناخالص]]-(bargiri[[#This Row],[نرخ استهلاک]]*bargiri[[#This Row],[مقدار]]))</f>
        <v>#N/A</v>
      </c>
    </row>
    <row r="1660" spans="1:17" s="22" customFormat="1" ht="13.8" x14ac:dyDescent="0.25">
      <c r="A1660" s="22">
        <v>1223</v>
      </c>
      <c r="B1660" s="22" t="s">
        <v>293</v>
      </c>
      <c r="C1660" s="22" t="s">
        <v>176</v>
      </c>
      <c r="D1660" s="22" t="s">
        <v>70</v>
      </c>
      <c r="E1660" s="158">
        <v>5765</v>
      </c>
      <c r="F1660" s="159">
        <v>75000</v>
      </c>
      <c r="G1660" s="159">
        <v>432375000</v>
      </c>
      <c r="H1660" s="159">
        <v>43237500</v>
      </c>
      <c r="I1660" s="159">
        <v>475612500</v>
      </c>
      <c r="J1660" s="159" t="e">
        <f>bargiri[[#This Row],[مقدار]]*INDEX(invoice[پیش دریافت به ازای هر کیلوگرم],MATCH(bargiri[[#This Row],[شماره سند مبنا]],invoice[شماره پیش فاکتور],0))</f>
        <v>#N/A</v>
      </c>
      <c r="K1660" s="159" t="e">
        <f>bargiri[[#This Row],[مبلغ خالص]]-bargiri[[#This Row],[میزان استهلاک پیش دریافتی]]</f>
        <v>#N/A</v>
      </c>
      <c r="L1660" s="160"/>
      <c r="M1660" s="159"/>
      <c r="N1660" s="159" t="e">
        <f>IF(bargiri[[#This Row],[مبلغ واریزی]]&lt;&gt;"",bargiri[[#This Row],[مانده مبلغ]]-bargiri[[#This Row],[مبلغ واریزی]],bargiri[[#This Row],[مانده مبلغ]])</f>
        <v>#N/A</v>
      </c>
      <c r="O1660" s="159"/>
      <c r="P1660" s="159" t="e">
        <f>VLOOKUP(bargiri[[#This Row],[شماره سند مبنا]],invoice[[شماره پیش فاکتور]:[پیش دریافت به ازای هر کیلوگرم]],14,0)</f>
        <v>#N/A</v>
      </c>
      <c r="Q1660" s="159" t="e">
        <f>IF(bargiri[[#This Row],[مبلغ ناخالص]]-(bargiri[[#This Row],[نرخ استهلاک]]*bargiri[[#This Row],[مقدار]])&lt;0,0,bargiri[[#This Row],[مبلغ ناخالص]]-(bargiri[[#This Row],[نرخ استهلاک]]*bargiri[[#This Row],[مقدار]]))</f>
        <v>#N/A</v>
      </c>
    </row>
    <row r="1661" spans="1:17" s="22" customFormat="1" ht="13.8" x14ac:dyDescent="0.25">
      <c r="A1661" s="22">
        <v>1222</v>
      </c>
      <c r="B1661" s="22" t="s">
        <v>293</v>
      </c>
      <c r="C1661" s="22" t="s">
        <v>144</v>
      </c>
      <c r="D1661" s="22" t="s">
        <v>25</v>
      </c>
      <c r="E1661" s="158">
        <v>21755</v>
      </c>
      <c r="F1661" s="159">
        <v>65000</v>
      </c>
      <c r="G1661" s="159">
        <v>1414075000</v>
      </c>
      <c r="H1661" s="159">
        <v>141407500</v>
      </c>
      <c r="I1661" s="159">
        <v>1555482500</v>
      </c>
      <c r="J1661" s="159" t="e">
        <f>bargiri[[#This Row],[مقدار]]*INDEX(invoice[پیش دریافت به ازای هر کیلوگرم],MATCH(bargiri[[#This Row],[شماره سند مبنا]],invoice[شماره پیش فاکتور],0))</f>
        <v>#N/A</v>
      </c>
      <c r="K1661" s="159" t="e">
        <f>bargiri[[#This Row],[مبلغ خالص]]-bargiri[[#This Row],[میزان استهلاک پیش دریافتی]]</f>
        <v>#N/A</v>
      </c>
      <c r="L1661" s="160"/>
      <c r="M1661" s="159"/>
      <c r="N1661" s="159" t="e">
        <f>IF(bargiri[[#This Row],[مبلغ واریزی]]&lt;&gt;"",bargiri[[#This Row],[مانده مبلغ]]-bargiri[[#This Row],[مبلغ واریزی]],bargiri[[#This Row],[مانده مبلغ]])</f>
        <v>#N/A</v>
      </c>
      <c r="O1661" s="159"/>
      <c r="P1661" s="159" t="e">
        <f>VLOOKUP(bargiri[[#This Row],[شماره سند مبنا]],invoice[[شماره پیش فاکتور]:[پیش دریافت به ازای هر کیلوگرم]],14,0)</f>
        <v>#N/A</v>
      </c>
      <c r="Q1661" s="159" t="e">
        <f>IF(bargiri[[#This Row],[مبلغ ناخالص]]-(bargiri[[#This Row],[نرخ استهلاک]]*bargiri[[#This Row],[مقدار]])&lt;0,0,bargiri[[#This Row],[مبلغ ناخالص]]-(bargiri[[#This Row],[نرخ استهلاک]]*bargiri[[#This Row],[مقدار]]))</f>
        <v>#N/A</v>
      </c>
    </row>
    <row r="1662" spans="1:17" s="22" customFormat="1" ht="13.8" x14ac:dyDescent="0.25">
      <c r="A1662" s="22">
        <v>1221</v>
      </c>
      <c r="B1662" s="22" t="s">
        <v>185</v>
      </c>
      <c r="C1662" s="22" t="s">
        <v>72</v>
      </c>
      <c r="D1662" s="22" t="s">
        <v>73</v>
      </c>
      <c r="E1662" s="158">
        <v>21080</v>
      </c>
      <c r="F1662" s="159">
        <v>57273</v>
      </c>
      <c r="G1662" s="159">
        <v>1207314840</v>
      </c>
      <c r="H1662" s="159">
        <v>120731484</v>
      </c>
      <c r="I1662" s="159">
        <v>1328046324</v>
      </c>
      <c r="J1662" s="159" t="e">
        <f>bargiri[[#This Row],[مقدار]]*INDEX(invoice[پیش دریافت به ازای هر کیلوگرم],MATCH(bargiri[[#This Row],[شماره سند مبنا]],invoice[شماره پیش فاکتور],0))</f>
        <v>#N/A</v>
      </c>
      <c r="K1662" s="159" t="e">
        <f>bargiri[[#This Row],[مبلغ خالص]]-bargiri[[#This Row],[میزان استهلاک پیش دریافتی]]</f>
        <v>#N/A</v>
      </c>
      <c r="L1662" s="160"/>
      <c r="M1662" s="159"/>
      <c r="N1662" s="159" t="e">
        <f>IF(bargiri[[#This Row],[مبلغ واریزی]]&lt;&gt;"",bargiri[[#This Row],[مانده مبلغ]]-bargiri[[#This Row],[مبلغ واریزی]],bargiri[[#This Row],[مانده مبلغ]])</f>
        <v>#N/A</v>
      </c>
      <c r="O1662" s="159"/>
      <c r="P1662" s="159" t="e">
        <f>VLOOKUP(bargiri[[#This Row],[شماره سند مبنا]],invoice[[شماره پیش فاکتور]:[پیش دریافت به ازای هر کیلوگرم]],14,0)</f>
        <v>#N/A</v>
      </c>
      <c r="Q1662" s="159" t="e">
        <f>IF(bargiri[[#This Row],[مبلغ ناخالص]]-(bargiri[[#This Row],[نرخ استهلاک]]*bargiri[[#This Row],[مقدار]])&lt;0,0,bargiri[[#This Row],[مبلغ ناخالص]]-(bargiri[[#This Row],[نرخ استهلاک]]*bargiri[[#This Row],[مقدار]]))</f>
        <v>#N/A</v>
      </c>
    </row>
    <row r="1663" spans="1:17" s="22" customFormat="1" ht="13.8" x14ac:dyDescent="0.25">
      <c r="A1663" s="22">
        <v>1220</v>
      </c>
      <c r="B1663" s="22" t="s">
        <v>185</v>
      </c>
      <c r="C1663" s="22" t="s">
        <v>72</v>
      </c>
      <c r="D1663" s="22" t="s">
        <v>73</v>
      </c>
      <c r="E1663" s="158">
        <v>20600</v>
      </c>
      <c r="F1663" s="159">
        <v>57273</v>
      </c>
      <c r="G1663" s="159">
        <v>1179823800</v>
      </c>
      <c r="H1663" s="159">
        <v>117982380</v>
      </c>
      <c r="I1663" s="159">
        <v>1297806180</v>
      </c>
      <c r="J1663" s="159" t="e">
        <f>bargiri[[#This Row],[مقدار]]*INDEX(invoice[پیش دریافت به ازای هر کیلوگرم],MATCH(bargiri[[#This Row],[شماره سند مبنا]],invoice[شماره پیش فاکتور],0))</f>
        <v>#N/A</v>
      </c>
      <c r="K1663" s="159" t="e">
        <f>bargiri[[#This Row],[مبلغ خالص]]-bargiri[[#This Row],[میزان استهلاک پیش دریافتی]]</f>
        <v>#N/A</v>
      </c>
      <c r="L1663" s="160"/>
      <c r="M1663" s="159"/>
      <c r="N1663" s="159" t="e">
        <f>IF(bargiri[[#This Row],[مبلغ واریزی]]&lt;&gt;"",bargiri[[#This Row],[مانده مبلغ]]-bargiri[[#This Row],[مبلغ واریزی]],bargiri[[#This Row],[مانده مبلغ]])</f>
        <v>#N/A</v>
      </c>
      <c r="O1663" s="159"/>
      <c r="P1663" s="159" t="e">
        <f>VLOOKUP(bargiri[[#This Row],[شماره سند مبنا]],invoice[[شماره پیش فاکتور]:[پیش دریافت به ازای هر کیلوگرم]],14,0)</f>
        <v>#N/A</v>
      </c>
      <c r="Q1663" s="159" t="e">
        <f>IF(bargiri[[#This Row],[مبلغ ناخالص]]-(bargiri[[#This Row],[نرخ استهلاک]]*bargiri[[#This Row],[مقدار]])&lt;0,0,bargiri[[#This Row],[مبلغ ناخالص]]-(bargiri[[#This Row],[نرخ استهلاک]]*bargiri[[#This Row],[مقدار]]))</f>
        <v>#N/A</v>
      </c>
    </row>
    <row r="1664" spans="1:17" s="22" customFormat="1" ht="13.8" x14ac:dyDescent="0.25">
      <c r="A1664" s="22">
        <v>1219</v>
      </c>
      <c r="B1664" s="22" t="s">
        <v>185</v>
      </c>
      <c r="C1664" s="22" t="s">
        <v>72</v>
      </c>
      <c r="D1664" s="22" t="s">
        <v>73</v>
      </c>
      <c r="E1664" s="158">
        <v>21020</v>
      </c>
      <c r="F1664" s="159">
        <v>57273</v>
      </c>
      <c r="G1664" s="159">
        <v>1203878460</v>
      </c>
      <c r="H1664" s="159">
        <v>120387846</v>
      </c>
      <c r="I1664" s="159">
        <v>1324266306</v>
      </c>
      <c r="J1664" s="159" t="e">
        <f>bargiri[[#This Row],[مقدار]]*INDEX(invoice[پیش دریافت به ازای هر کیلوگرم],MATCH(bargiri[[#This Row],[شماره سند مبنا]],invoice[شماره پیش فاکتور],0))</f>
        <v>#N/A</v>
      </c>
      <c r="K1664" s="159" t="e">
        <f>bargiri[[#This Row],[مبلغ خالص]]-bargiri[[#This Row],[میزان استهلاک پیش دریافتی]]</f>
        <v>#N/A</v>
      </c>
      <c r="L1664" s="160"/>
      <c r="M1664" s="159"/>
      <c r="N1664" s="159" t="e">
        <f>IF(bargiri[[#This Row],[مبلغ واریزی]]&lt;&gt;"",bargiri[[#This Row],[مانده مبلغ]]-bargiri[[#This Row],[مبلغ واریزی]],bargiri[[#This Row],[مانده مبلغ]])</f>
        <v>#N/A</v>
      </c>
      <c r="O1664" s="159"/>
      <c r="P1664" s="159" t="e">
        <f>VLOOKUP(bargiri[[#This Row],[شماره سند مبنا]],invoice[[شماره پیش فاکتور]:[پیش دریافت به ازای هر کیلوگرم]],14,0)</f>
        <v>#N/A</v>
      </c>
      <c r="Q1664" s="159" t="e">
        <f>IF(bargiri[[#This Row],[مبلغ ناخالص]]-(bargiri[[#This Row],[نرخ استهلاک]]*bargiri[[#This Row],[مقدار]])&lt;0,0,bargiri[[#This Row],[مبلغ ناخالص]]-(bargiri[[#This Row],[نرخ استهلاک]]*bargiri[[#This Row],[مقدار]]))</f>
        <v>#N/A</v>
      </c>
    </row>
    <row r="1665" spans="1:17" s="22" customFormat="1" ht="13.8" x14ac:dyDescent="0.25">
      <c r="A1665" s="22">
        <v>1218</v>
      </c>
      <c r="B1665" s="22" t="s">
        <v>185</v>
      </c>
      <c r="C1665" s="22" t="s">
        <v>72</v>
      </c>
      <c r="D1665" s="22" t="s">
        <v>73</v>
      </c>
      <c r="E1665" s="158">
        <v>20840</v>
      </c>
      <c r="F1665" s="159">
        <v>57273</v>
      </c>
      <c r="G1665" s="159">
        <v>1193569320</v>
      </c>
      <c r="H1665" s="159">
        <v>119356932</v>
      </c>
      <c r="I1665" s="159">
        <v>1312926252</v>
      </c>
      <c r="J1665" s="159" t="e">
        <f>bargiri[[#This Row],[مقدار]]*INDEX(invoice[پیش دریافت به ازای هر کیلوگرم],MATCH(bargiri[[#This Row],[شماره سند مبنا]],invoice[شماره پیش فاکتور],0))</f>
        <v>#N/A</v>
      </c>
      <c r="K1665" s="159" t="e">
        <f>bargiri[[#This Row],[مبلغ خالص]]-bargiri[[#This Row],[میزان استهلاک پیش دریافتی]]</f>
        <v>#N/A</v>
      </c>
      <c r="L1665" s="160"/>
      <c r="M1665" s="159"/>
      <c r="N1665" s="159" t="e">
        <f>IF(bargiri[[#This Row],[مبلغ واریزی]]&lt;&gt;"",bargiri[[#This Row],[مانده مبلغ]]-bargiri[[#This Row],[مبلغ واریزی]],bargiri[[#This Row],[مانده مبلغ]])</f>
        <v>#N/A</v>
      </c>
      <c r="O1665" s="159"/>
      <c r="P1665" s="159" t="e">
        <f>VLOOKUP(bargiri[[#This Row],[شماره سند مبنا]],invoice[[شماره پیش فاکتور]:[پیش دریافت به ازای هر کیلوگرم]],14,0)</f>
        <v>#N/A</v>
      </c>
      <c r="Q1665" s="159" t="e">
        <f>IF(bargiri[[#This Row],[مبلغ ناخالص]]-(bargiri[[#This Row],[نرخ استهلاک]]*bargiri[[#This Row],[مقدار]])&lt;0,0,bargiri[[#This Row],[مبلغ ناخالص]]-(bargiri[[#This Row],[نرخ استهلاک]]*bargiri[[#This Row],[مقدار]]))</f>
        <v>#N/A</v>
      </c>
    </row>
    <row r="1666" spans="1:17" s="22" customFormat="1" ht="13.8" x14ac:dyDescent="0.25">
      <c r="A1666" s="22">
        <v>1217</v>
      </c>
      <c r="B1666" s="22" t="s">
        <v>151</v>
      </c>
      <c r="C1666" s="22" t="s">
        <v>128</v>
      </c>
      <c r="D1666" s="22" t="s">
        <v>129</v>
      </c>
      <c r="E1666" s="158">
        <v>9040</v>
      </c>
      <c r="F1666" s="159">
        <v>80000</v>
      </c>
      <c r="G1666" s="159">
        <v>723200000</v>
      </c>
      <c r="H1666" s="159">
        <v>72320000</v>
      </c>
      <c r="I1666" s="159">
        <v>795520000</v>
      </c>
      <c r="J1666" s="159">
        <f>bargiri[[#This Row],[مقدار]]*INDEX(invoice[پیش دریافت به ازای هر کیلوگرم],MATCH(bargiri[[#This Row],[شماره سند مبنا]],invoice[شماره پیش فاکتور],0))</f>
        <v>119907553.17367275</v>
      </c>
      <c r="K1666" s="159">
        <f>bargiri[[#This Row],[مبلغ خالص]]-bargiri[[#This Row],[میزان استهلاک پیش دریافتی]]</f>
        <v>675612446.8263272</v>
      </c>
      <c r="L1666" s="160"/>
      <c r="M1666" s="159"/>
      <c r="N1666" s="159">
        <f>IF(bargiri[[#This Row],[مبلغ واریزی]]&lt;&gt;"",bargiri[[#This Row],[مانده مبلغ]]-bargiri[[#This Row],[مبلغ واریزی]],bargiri[[#This Row],[مانده مبلغ]])</f>
        <v>675612446.8263272</v>
      </c>
      <c r="O1666" s="159"/>
      <c r="P1666" s="159">
        <f>VLOOKUP(bargiri[[#This Row],[شماره سند مبنا]],invoice[[شماره پیش فاکتور]:[پیش دریافت به ازای هر کیلوگرم]],14,0)</f>
        <v>13264.109864344331</v>
      </c>
      <c r="Q1666" s="159">
        <f>IF(bargiri[[#This Row],[مبلغ ناخالص]]-(bargiri[[#This Row],[نرخ استهلاک]]*bargiri[[#This Row],[مقدار]])&lt;0,0,bargiri[[#This Row],[مبلغ ناخالص]]-(bargiri[[#This Row],[نرخ استهلاک]]*bargiri[[#This Row],[مقدار]]))</f>
        <v>603292446.8263272</v>
      </c>
    </row>
    <row r="1667" spans="1:17" s="22" customFormat="1" ht="13.8" x14ac:dyDescent="0.25">
      <c r="A1667" s="22">
        <v>1216</v>
      </c>
      <c r="B1667" s="22" t="s">
        <v>151</v>
      </c>
      <c r="C1667" s="22" t="s">
        <v>172</v>
      </c>
      <c r="D1667" s="22" t="s">
        <v>173</v>
      </c>
      <c r="E1667" s="158">
        <v>20045</v>
      </c>
      <c r="F1667" s="159">
        <v>75000</v>
      </c>
      <c r="G1667" s="159">
        <v>1503375000</v>
      </c>
      <c r="H1667" s="159">
        <v>150337500</v>
      </c>
      <c r="I1667" s="159">
        <v>1653712500</v>
      </c>
      <c r="J1667" s="159">
        <f>bargiri[[#This Row],[مقدار]]*INDEX(invoice[پیش دریافت به ازای هر کیلوگرم],MATCH(bargiri[[#This Row],[شماره سند مبنا]],invoice[شماره پیش فاکتور],0))</f>
        <v>248056875</v>
      </c>
      <c r="K1667" s="159">
        <f>bargiri[[#This Row],[مبلغ خالص]]-bargiri[[#This Row],[میزان استهلاک پیش دریافتی]]</f>
        <v>1405655625</v>
      </c>
      <c r="L1667" s="160"/>
      <c r="M1667" s="159"/>
      <c r="N1667" s="159">
        <f>IF(bargiri[[#This Row],[مبلغ واریزی]]&lt;&gt;"",bargiri[[#This Row],[مانده مبلغ]]-bargiri[[#This Row],[مبلغ واریزی]],bargiri[[#This Row],[مانده مبلغ]])</f>
        <v>1405655625</v>
      </c>
      <c r="O1667" s="159"/>
      <c r="P1667" s="159">
        <f>VLOOKUP(bargiri[[#This Row],[شماره سند مبنا]],invoice[[شماره پیش فاکتور]:[پیش دریافت به ازای هر کیلوگرم]],14,0)</f>
        <v>12375</v>
      </c>
      <c r="Q1667" s="159">
        <f>IF(bargiri[[#This Row],[مبلغ ناخالص]]-(bargiri[[#This Row],[نرخ استهلاک]]*bargiri[[#This Row],[مقدار]])&lt;0,0,bargiri[[#This Row],[مبلغ ناخالص]]-(bargiri[[#This Row],[نرخ استهلاک]]*bargiri[[#This Row],[مقدار]]))</f>
        <v>1255318125</v>
      </c>
    </row>
    <row r="1668" spans="1:17" s="22" customFormat="1" ht="13.8" x14ac:dyDescent="0.25">
      <c r="A1668" s="22">
        <v>1215</v>
      </c>
      <c r="B1668" s="22" t="s">
        <v>151</v>
      </c>
      <c r="C1668" s="22" t="s">
        <v>128</v>
      </c>
      <c r="D1668" s="22" t="s">
        <v>129</v>
      </c>
      <c r="E1668" s="158">
        <v>9015</v>
      </c>
      <c r="F1668" s="159">
        <v>80000</v>
      </c>
      <c r="G1668" s="159">
        <v>721200000</v>
      </c>
      <c r="H1668" s="159">
        <v>72120000</v>
      </c>
      <c r="I1668" s="159">
        <v>793320000</v>
      </c>
      <c r="J1668" s="159">
        <f>bargiri[[#This Row],[مقدار]]*INDEX(invoice[پیش دریافت به ازای هر کیلوگرم],MATCH(bargiri[[#This Row],[شماره سند مبنا]],invoice[شماره پیش فاکتور],0))</f>
        <v>119575950.42706415</v>
      </c>
      <c r="K1668" s="159">
        <f>bargiri[[#This Row],[مبلغ خالص]]-bargiri[[#This Row],[میزان استهلاک پیش دریافتی]]</f>
        <v>673744049.57293582</v>
      </c>
      <c r="L1668" s="160"/>
      <c r="M1668" s="159"/>
      <c r="N1668" s="159">
        <f>IF(bargiri[[#This Row],[مبلغ واریزی]]&lt;&gt;"",bargiri[[#This Row],[مانده مبلغ]]-bargiri[[#This Row],[مبلغ واریزی]],bargiri[[#This Row],[مانده مبلغ]])</f>
        <v>673744049.57293582</v>
      </c>
      <c r="O1668" s="159"/>
      <c r="P1668" s="159">
        <f>VLOOKUP(bargiri[[#This Row],[شماره سند مبنا]],invoice[[شماره پیش فاکتور]:[پیش دریافت به ازای هر کیلوگرم]],14,0)</f>
        <v>13264.109864344331</v>
      </c>
      <c r="Q1668" s="159">
        <f>IF(bargiri[[#This Row],[مبلغ ناخالص]]-(bargiri[[#This Row],[نرخ استهلاک]]*bargiri[[#This Row],[مقدار]])&lt;0,0,bargiri[[#This Row],[مبلغ ناخالص]]-(bargiri[[#This Row],[نرخ استهلاک]]*bargiri[[#This Row],[مقدار]]))</f>
        <v>601624049.57293582</v>
      </c>
    </row>
    <row r="1669" spans="1:17" s="22" customFormat="1" ht="13.8" x14ac:dyDescent="0.25">
      <c r="A1669" s="22">
        <v>1214</v>
      </c>
      <c r="B1669" s="22" t="s">
        <v>151</v>
      </c>
      <c r="C1669" s="22" t="s">
        <v>109</v>
      </c>
      <c r="D1669" s="22" t="s">
        <v>110</v>
      </c>
      <c r="E1669" s="158">
        <v>17970</v>
      </c>
      <c r="F1669" s="159">
        <v>70000</v>
      </c>
      <c r="G1669" s="159">
        <v>1257900000</v>
      </c>
      <c r="H1669" s="159">
        <v>125790000</v>
      </c>
      <c r="I1669" s="159">
        <v>1383690000</v>
      </c>
      <c r="J1669" s="159" t="e">
        <f>bargiri[[#This Row],[مقدار]]*INDEX(invoice[پیش دریافت به ازای هر کیلوگرم],MATCH(bargiri[[#This Row],[شماره سند مبنا]],invoice[شماره پیش فاکتور],0))</f>
        <v>#N/A</v>
      </c>
      <c r="K1669" s="159" t="e">
        <f>bargiri[[#This Row],[مبلغ خالص]]-bargiri[[#This Row],[میزان استهلاک پیش دریافتی]]</f>
        <v>#N/A</v>
      </c>
      <c r="L1669" s="160"/>
      <c r="M1669" s="159"/>
      <c r="N1669" s="159" t="e">
        <f>IF(bargiri[[#This Row],[مبلغ واریزی]]&lt;&gt;"",bargiri[[#This Row],[مانده مبلغ]]-bargiri[[#This Row],[مبلغ واریزی]],bargiri[[#This Row],[مانده مبلغ]])</f>
        <v>#N/A</v>
      </c>
      <c r="O1669" s="159"/>
      <c r="P1669" s="159" t="e">
        <f>VLOOKUP(bargiri[[#This Row],[شماره سند مبنا]],invoice[[شماره پیش فاکتور]:[پیش دریافت به ازای هر کیلوگرم]],14,0)</f>
        <v>#N/A</v>
      </c>
      <c r="Q1669" s="159" t="e">
        <f>IF(bargiri[[#This Row],[مبلغ ناخالص]]-(bargiri[[#This Row],[نرخ استهلاک]]*bargiri[[#This Row],[مقدار]])&lt;0,0,bargiri[[#This Row],[مبلغ ناخالص]]-(bargiri[[#This Row],[نرخ استهلاک]]*bargiri[[#This Row],[مقدار]]))</f>
        <v>#N/A</v>
      </c>
    </row>
    <row r="1670" spans="1:17" s="22" customFormat="1" ht="13.8" x14ac:dyDescent="0.25">
      <c r="A1670" s="22">
        <v>1213</v>
      </c>
      <c r="B1670" s="22" t="s">
        <v>151</v>
      </c>
      <c r="C1670" s="22" t="s">
        <v>66</v>
      </c>
      <c r="D1670" s="22" t="s">
        <v>67</v>
      </c>
      <c r="E1670" s="158">
        <v>18100</v>
      </c>
      <c r="F1670" s="159">
        <v>68500</v>
      </c>
      <c r="G1670" s="159">
        <v>1239850000</v>
      </c>
      <c r="H1670" s="159">
        <v>111586500</v>
      </c>
      <c r="I1670" s="159">
        <v>1351436500</v>
      </c>
      <c r="J1670" s="159" t="e">
        <f>bargiri[[#This Row],[مقدار]]*INDEX(invoice[پیش دریافت به ازای هر کیلوگرم],MATCH(bargiri[[#This Row],[شماره سند مبنا]],invoice[شماره پیش فاکتور],0))</f>
        <v>#N/A</v>
      </c>
      <c r="K1670" s="159" t="e">
        <f>bargiri[[#This Row],[مبلغ خالص]]-bargiri[[#This Row],[میزان استهلاک پیش دریافتی]]</f>
        <v>#N/A</v>
      </c>
      <c r="L1670" s="160"/>
      <c r="M1670" s="159"/>
      <c r="N1670" s="159" t="e">
        <f>IF(bargiri[[#This Row],[مبلغ واریزی]]&lt;&gt;"",bargiri[[#This Row],[مانده مبلغ]]-bargiri[[#This Row],[مبلغ واریزی]],bargiri[[#This Row],[مانده مبلغ]])</f>
        <v>#N/A</v>
      </c>
      <c r="O1670" s="159"/>
      <c r="P1670" s="159" t="e">
        <f>VLOOKUP(bargiri[[#This Row],[شماره سند مبنا]],invoice[[شماره پیش فاکتور]:[پیش دریافت به ازای هر کیلوگرم]],14,0)</f>
        <v>#N/A</v>
      </c>
      <c r="Q1670" s="159" t="e">
        <f>IF(bargiri[[#This Row],[مبلغ ناخالص]]-(bargiri[[#This Row],[نرخ استهلاک]]*bargiri[[#This Row],[مقدار]])&lt;0,0,bargiri[[#This Row],[مبلغ ناخالص]]-(bargiri[[#This Row],[نرخ استهلاک]]*bargiri[[#This Row],[مقدار]]))</f>
        <v>#N/A</v>
      </c>
    </row>
    <row r="1671" spans="1:17" s="22" customFormat="1" ht="13.8" x14ac:dyDescent="0.25">
      <c r="A1671" s="22">
        <v>1212</v>
      </c>
      <c r="B1671" s="22" t="s">
        <v>151</v>
      </c>
      <c r="C1671" s="22" t="s">
        <v>72</v>
      </c>
      <c r="D1671" s="22" t="s">
        <v>73</v>
      </c>
      <c r="E1671" s="158">
        <v>20445</v>
      </c>
      <c r="F1671" s="159">
        <v>57273</v>
      </c>
      <c r="G1671" s="159">
        <v>1170946485</v>
      </c>
      <c r="H1671" s="159">
        <v>117094649</v>
      </c>
      <c r="I1671" s="159">
        <v>1288041134</v>
      </c>
      <c r="J1671" s="159" t="e">
        <f>bargiri[[#This Row],[مقدار]]*INDEX(invoice[پیش دریافت به ازای هر کیلوگرم],MATCH(bargiri[[#This Row],[شماره سند مبنا]],invoice[شماره پیش فاکتور],0))</f>
        <v>#N/A</v>
      </c>
      <c r="K1671" s="159" t="e">
        <f>bargiri[[#This Row],[مبلغ خالص]]-bargiri[[#This Row],[میزان استهلاک پیش دریافتی]]</f>
        <v>#N/A</v>
      </c>
      <c r="L1671" s="160"/>
      <c r="M1671" s="159"/>
      <c r="N1671" s="159" t="e">
        <f>IF(bargiri[[#This Row],[مبلغ واریزی]]&lt;&gt;"",bargiri[[#This Row],[مانده مبلغ]]-bargiri[[#This Row],[مبلغ واریزی]],bargiri[[#This Row],[مانده مبلغ]])</f>
        <v>#N/A</v>
      </c>
      <c r="O1671" s="159"/>
      <c r="P1671" s="159" t="e">
        <f>VLOOKUP(bargiri[[#This Row],[شماره سند مبنا]],invoice[[شماره پیش فاکتور]:[پیش دریافت به ازای هر کیلوگرم]],14,0)</f>
        <v>#N/A</v>
      </c>
      <c r="Q1671" s="159" t="e">
        <f>IF(bargiri[[#This Row],[مبلغ ناخالص]]-(bargiri[[#This Row],[نرخ استهلاک]]*bargiri[[#This Row],[مقدار]])&lt;0,0,bargiri[[#This Row],[مبلغ ناخالص]]-(bargiri[[#This Row],[نرخ استهلاک]]*bargiri[[#This Row],[مقدار]]))</f>
        <v>#N/A</v>
      </c>
    </row>
    <row r="1672" spans="1:17" s="22" customFormat="1" ht="13.8" x14ac:dyDescent="0.25">
      <c r="A1672" s="22">
        <v>1210</v>
      </c>
      <c r="B1672" s="22" t="s">
        <v>168</v>
      </c>
      <c r="C1672" s="22" t="s">
        <v>167</v>
      </c>
      <c r="D1672" s="22" t="s">
        <v>43</v>
      </c>
      <c r="E1672" s="158">
        <v>14090</v>
      </c>
      <c r="F1672" s="159">
        <v>80000</v>
      </c>
      <c r="G1672" s="159">
        <v>1127200000</v>
      </c>
      <c r="H1672" s="159">
        <v>112720000</v>
      </c>
      <c r="I1672" s="159">
        <v>1239920000</v>
      </c>
      <c r="J1672" s="159">
        <f>bargiri[[#This Row],[مقدار]]*INDEX(invoice[پیش دریافت به ازای هر کیلوگرم],MATCH(bargiri[[#This Row],[شماره سند مبنا]],invoice[شماره پیش فاکتور],0))</f>
        <v>247984000</v>
      </c>
      <c r="K1672" s="159">
        <f>bargiri[[#This Row],[مبلغ خالص]]-bargiri[[#This Row],[میزان استهلاک پیش دریافتی]]</f>
        <v>991936000</v>
      </c>
      <c r="L1672" s="160"/>
      <c r="M1672" s="159"/>
      <c r="N1672" s="159">
        <f>IF(bargiri[[#This Row],[مبلغ واریزی]]&lt;&gt;"",bargiri[[#This Row],[مانده مبلغ]]-bargiri[[#This Row],[مبلغ واریزی]],bargiri[[#This Row],[مانده مبلغ]])</f>
        <v>991936000</v>
      </c>
      <c r="O1672" s="159"/>
      <c r="P1672" s="159">
        <f>VLOOKUP(bargiri[[#This Row],[شماره سند مبنا]],invoice[[شماره پیش فاکتور]:[پیش دریافت به ازای هر کیلوگرم]],14,0)</f>
        <v>17600</v>
      </c>
      <c r="Q1672" s="159">
        <f>IF(bargiri[[#This Row],[مبلغ ناخالص]]-(bargiri[[#This Row],[نرخ استهلاک]]*bargiri[[#This Row],[مقدار]])&lt;0,0,bargiri[[#This Row],[مبلغ ناخالص]]-(bargiri[[#This Row],[نرخ استهلاک]]*bargiri[[#This Row],[مقدار]]))</f>
        <v>879216000</v>
      </c>
    </row>
    <row r="1673" spans="1:17" s="22" customFormat="1" ht="13.8" x14ac:dyDescent="0.25">
      <c r="A1673" s="22">
        <v>1209</v>
      </c>
      <c r="B1673" s="22" t="s">
        <v>168</v>
      </c>
      <c r="C1673" s="22" t="s">
        <v>81</v>
      </c>
      <c r="D1673" s="22" t="s">
        <v>35</v>
      </c>
      <c r="E1673" s="158">
        <v>7430</v>
      </c>
      <c r="F1673" s="159">
        <v>70000</v>
      </c>
      <c r="G1673" s="159">
        <v>520100000</v>
      </c>
      <c r="H1673" s="159">
        <v>52010000</v>
      </c>
      <c r="I1673" s="159">
        <v>572110000</v>
      </c>
      <c r="J1673" s="159" t="e">
        <f>bargiri[[#This Row],[مقدار]]*INDEX(invoice[پیش دریافت به ازای هر کیلوگرم],MATCH(bargiri[[#This Row],[شماره سند مبنا]],invoice[شماره پیش فاکتور],0))</f>
        <v>#N/A</v>
      </c>
      <c r="K1673" s="159" t="e">
        <f>bargiri[[#This Row],[مبلغ خالص]]-bargiri[[#This Row],[میزان استهلاک پیش دریافتی]]</f>
        <v>#N/A</v>
      </c>
      <c r="L1673" s="160"/>
      <c r="M1673" s="159"/>
      <c r="N1673" s="159" t="e">
        <f>IF(bargiri[[#This Row],[مبلغ واریزی]]&lt;&gt;"",bargiri[[#This Row],[مانده مبلغ]]-bargiri[[#This Row],[مبلغ واریزی]],bargiri[[#This Row],[مانده مبلغ]])</f>
        <v>#N/A</v>
      </c>
      <c r="O1673" s="159"/>
      <c r="P1673" s="159" t="e">
        <f>VLOOKUP(bargiri[[#This Row],[شماره سند مبنا]],invoice[[شماره پیش فاکتور]:[پیش دریافت به ازای هر کیلوگرم]],14,0)</f>
        <v>#N/A</v>
      </c>
      <c r="Q1673" s="159" t="e">
        <f>IF(bargiri[[#This Row],[مبلغ ناخالص]]-(bargiri[[#This Row],[نرخ استهلاک]]*bargiri[[#This Row],[مقدار]])&lt;0,0,bargiri[[#This Row],[مبلغ ناخالص]]-(bargiri[[#This Row],[نرخ استهلاک]]*bargiri[[#This Row],[مقدار]]))</f>
        <v>#N/A</v>
      </c>
    </row>
    <row r="1674" spans="1:17" s="22" customFormat="1" ht="13.8" x14ac:dyDescent="0.25">
      <c r="A1674" s="22">
        <v>1208</v>
      </c>
      <c r="B1674" s="22" t="s">
        <v>168</v>
      </c>
      <c r="C1674" s="22" t="s">
        <v>144</v>
      </c>
      <c r="D1674" s="22" t="s">
        <v>25</v>
      </c>
      <c r="E1674" s="158">
        <v>19975</v>
      </c>
      <c r="F1674" s="159">
        <v>65000</v>
      </c>
      <c r="G1674" s="159">
        <v>1298375000</v>
      </c>
      <c r="H1674" s="159">
        <v>129837500</v>
      </c>
      <c r="I1674" s="159">
        <v>1428212500</v>
      </c>
      <c r="J1674" s="159" t="e">
        <f>bargiri[[#This Row],[مقدار]]*INDEX(invoice[پیش دریافت به ازای هر کیلوگرم],MATCH(bargiri[[#This Row],[شماره سند مبنا]],invoice[شماره پیش فاکتور],0))</f>
        <v>#N/A</v>
      </c>
      <c r="K1674" s="159" t="e">
        <f>bargiri[[#This Row],[مبلغ خالص]]-bargiri[[#This Row],[میزان استهلاک پیش دریافتی]]</f>
        <v>#N/A</v>
      </c>
      <c r="L1674" s="160"/>
      <c r="M1674" s="159"/>
      <c r="N1674" s="159" t="e">
        <f>IF(bargiri[[#This Row],[مبلغ واریزی]]&lt;&gt;"",bargiri[[#This Row],[مانده مبلغ]]-bargiri[[#This Row],[مبلغ واریزی]],bargiri[[#This Row],[مانده مبلغ]])</f>
        <v>#N/A</v>
      </c>
      <c r="O1674" s="159"/>
      <c r="P1674" s="159" t="e">
        <f>VLOOKUP(bargiri[[#This Row],[شماره سند مبنا]],invoice[[شماره پیش فاکتور]:[پیش دریافت به ازای هر کیلوگرم]],14,0)</f>
        <v>#N/A</v>
      </c>
      <c r="Q1674" s="159" t="e">
        <f>IF(bargiri[[#This Row],[مبلغ ناخالص]]-(bargiri[[#This Row],[نرخ استهلاک]]*bargiri[[#This Row],[مقدار]])&lt;0,0,bargiri[[#This Row],[مبلغ ناخالص]]-(bargiri[[#This Row],[نرخ استهلاک]]*bargiri[[#This Row],[مقدار]]))</f>
        <v>#N/A</v>
      </c>
    </row>
    <row r="1675" spans="1:17" s="22" customFormat="1" ht="13.8" x14ac:dyDescent="0.25">
      <c r="A1675" s="22">
        <v>1207</v>
      </c>
      <c r="B1675" s="22" t="s">
        <v>168</v>
      </c>
      <c r="C1675" s="22" t="s">
        <v>42</v>
      </c>
      <c r="D1675" s="22" t="s">
        <v>43</v>
      </c>
      <c r="E1675" s="158">
        <v>19960</v>
      </c>
      <c r="F1675" s="159">
        <v>70000</v>
      </c>
      <c r="G1675" s="159">
        <v>1397200000</v>
      </c>
      <c r="H1675" s="159">
        <v>139720000</v>
      </c>
      <c r="I1675" s="159">
        <v>1536920000</v>
      </c>
      <c r="J1675" s="159" t="e">
        <f>bargiri[[#This Row],[مقدار]]*INDEX(invoice[پیش دریافت به ازای هر کیلوگرم],MATCH(bargiri[[#This Row],[شماره سند مبنا]],invoice[شماره پیش فاکتور],0))</f>
        <v>#N/A</v>
      </c>
      <c r="K1675" s="159" t="e">
        <f>bargiri[[#This Row],[مبلغ خالص]]-bargiri[[#This Row],[میزان استهلاک پیش دریافتی]]</f>
        <v>#N/A</v>
      </c>
      <c r="L1675" s="160"/>
      <c r="M1675" s="159"/>
      <c r="N1675" s="159" t="e">
        <f>IF(bargiri[[#This Row],[مبلغ واریزی]]&lt;&gt;"",bargiri[[#This Row],[مانده مبلغ]]-bargiri[[#This Row],[مبلغ واریزی]],bargiri[[#This Row],[مانده مبلغ]])</f>
        <v>#N/A</v>
      </c>
      <c r="O1675" s="159"/>
      <c r="P1675" s="159" t="e">
        <f>VLOOKUP(bargiri[[#This Row],[شماره سند مبنا]],invoice[[شماره پیش فاکتور]:[پیش دریافت به ازای هر کیلوگرم]],14,0)</f>
        <v>#N/A</v>
      </c>
      <c r="Q1675" s="159" t="e">
        <f>IF(bargiri[[#This Row],[مبلغ ناخالص]]-(bargiri[[#This Row],[نرخ استهلاک]]*bargiri[[#This Row],[مقدار]])&lt;0,0,bargiri[[#This Row],[مبلغ ناخالص]]-(bargiri[[#This Row],[نرخ استهلاک]]*bargiri[[#This Row],[مقدار]]))</f>
        <v>#N/A</v>
      </c>
    </row>
    <row r="1676" spans="1:17" s="22" customFormat="1" ht="13.8" x14ac:dyDescent="0.25">
      <c r="A1676" s="22">
        <v>1207</v>
      </c>
      <c r="B1676" s="22" t="s">
        <v>168</v>
      </c>
      <c r="C1676" s="22" t="s">
        <v>167</v>
      </c>
      <c r="D1676" s="22" t="s">
        <v>43</v>
      </c>
      <c r="E1676" s="158">
        <v>130</v>
      </c>
      <c r="F1676" s="159">
        <v>80000</v>
      </c>
      <c r="G1676" s="159">
        <v>10400000</v>
      </c>
      <c r="H1676" s="159">
        <v>1040000</v>
      </c>
      <c r="I1676" s="159">
        <v>11440000</v>
      </c>
      <c r="J1676" s="159">
        <f>bargiri[[#This Row],[مقدار]]*INDEX(invoice[پیش دریافت به ازای هر کیلوگرم],MATCH(bargiri[[#This Row],[شماره سند مبنا]],invoice[شماره پیش فاکتور],0))</f>
        <v>2288000</v>
      </c>
      <c r="K1676" s="159">
        <f>bargiri[[#This Row],[مبلغ خالص]]-bargiri[[#This Row],[میزان استهلاک پیش دریافتی]]</f>
        <v>9152000</v>
      </c>
      <c r="L1676" s="160"/>
      <c r="M1676" s="159"/>
      <c r="N1676" s="159">
        <f>IF(bargiri[[#This Row],[مبلغ واریزی]]&lt;&gt;"",bargiri[[#This Row],[مانده مبلغ]]-bargiri[[#This Row],[مبلغ واریزی]],bargiri[[#This Row],[مانده مبلغ]])</f>
        <v>9152000</v>
      </c>
      <c r="O1676" s="159"/>
      <c r="P1676" s="159">
        <f>VLOOKUP(bargiri[[#This Row],[شماره سند مبنا]],invoice[[شماره پیش فاکتور]:[پیش دریافت به ازای هر کیلوگرم]],14,0)</f>
        <v>17600</v>
      </c>
      <c r="Q1676" s="159">
        <f>IF(bargiri[[#This Row],[مبلغ ناخالص]]-(bargiri[[#This Row],[نرخ استهلاک]]*bargiri[[#This Row],[مقدار]])&lt;0,0,bargiri[[#This Row],[مبلغ ناخالص]]-(bargiri[[#This Row],[نرخ استهلاک]]*bargiri[[#This Row],[مقدار]]))</f>
        <v>8112000</v>
      </c>
    </row>
    <row r="1677" spans="1:17" s="22" customFormat="1" ht="13.8" x14ac:dyDescent="0.25">
      <c r="A1677" s="22">
        <v>1206</v>
      </c>
      <c r="B1677" s="22" t="s">
        <v>151</v>
      </c>
      <c r="C1677" s="22" t="s">
        <v>88</v>
      </c>
      <c r="D1677" s="22" t="s">
        <v>89</v>
      </c>
      <c r="E1677" s="158">
        <v>9840</v>
      </c>
      <c r="F1677" s="159">
        <v>78000</v>
      </c>
      <c r="G1677" s="159">
        <v>767520000</v>
      </c>
      <c r="H1677" s="159">
        <v>76752000</v>
      </c>
      <c r="I1677" s="159">
        <v>844272000</v>
      </c>
      <c r="J1677" s="159" t="e">
        <f>bargiri[[#This Row],[مقدار]]*INDEX(invoice[پیش دریافت به ازای هر کیلوگرم],MATCH(bargiri[[#This Row],[شماره سند مبنا]],invoice[شماره پیش فاکتور],0))</f>
        <v>#N/A</v>
      </c>
      <c r="K1677" s="159" t="e">
        <f>bargiri[[#This Row],[مبلغ خالص]]-bargiri[[#This Row],[میزان استهلاک پیش دریافتی]]</f>
        <v>#N/A</v>
      </c>
      <c r="L1677" s="160"/>
      <c r="M1677" s="159"/>
      <c r="N1677" s="159" t="e">
        <f>IF(bargiri[[#This Row],[مبلغ واریزی]]&lt;&gt;"",bargiri[[#This Row],[مانده مبلغ]]-bargiri[[#This Row],[مبلغ واریزی]],bargiri[[#This Row],[مانده مبلغ]])</f>
        <v>#N/A</v>
      </c>
      <c r="O1677" s="159"/>
      <c r="P1677" s="159" t="e">
        <f>VLOOKUP(bargiri[[#This Row],[شماره سند مبنا]],invoice[[شماره پیش فاکتور]:[پیش دریافت به ازای هر کیلوگرم]],14,0)</f>
        <v>#N/A</v>
      </c>
      <c r="Q1677" s="159" t="e">
        <f>IF(bargiri[[#This Row],[مبلغ ناخالص]]-(bargiri[[#This Row],[نرخ استهلاک]]*bargiri[[#This Row],[مقدار]])&lt;0,0,bargiri[[#This Row],[مبلغ ناخالص]]-(bargiri[[#This Row],[نرخ استهلاک]]*bargiri[[#This Row],[مقدار]]))</f>
        <v>#N/A</v>
      </c>
    </row>
    <row r="1678" spans="1:17" s="22" customFormat="1" ht="13.8" x14ac:dyDescent="0.25">
      <c r="A1678" s="22">
        <v>1205</v>
      </c>
      <c r="B1678" s="22" t="s">
        <v>249</v>
      </c>
      <c r="C1678" s="22" t="s">
        <v>66</v>
      </c>
      <c r="D1678" s="22" t="s">
        <v>67</v>
      </c>
      <c r="E1678" s="158">
        <v>20105</v>
      </c>
      <c r="F1678" s="159">
        <v>68500</v>
      </c>
      <c r="G1678" s="159">
        <v>1377192500</v>
      </c>
      <c r="H1678" s="159">
        <v>123947325</v>
      </c>
      <c r="I1678" s="159">
        <v>1501139825</v>
      </c>
      <c r="J1678" s="159" t="e">
        <f>bargiri[[#This Row],[مقدار]]*INDEX(invoice[پیش دریافت به ازای هر کیلوگرم],MATCH(bargiri[[#This Row],[شماره سند مبنا]],invoice[شماره پیش فاکتور],0))</f>
        <v>#N/A</v>
      </c>
      <c r="K1678" s="159" t="e">
        <f>bargiri[[#This Row],[مبلغ خالص]]-bargiri[[#This Row],[میزان استهلاک پیش دریافتی]]</f>
        <v>#N/A</v>
      </c>
      <c r="L1678" s="160"/>
      <c r="M1678" s="159"/>
      <c r="N1678" s="159" t="e">
        <f>IF(bargiri[[#This Row],[مبلغ واریزی]]&lt;&gt;"",bargiri[[#This Row],[مانده مبلغ]]-bargiri[[#This Row],[مبلغ واریزی]],bargiri[[#This Row],[مانده مبلغ]])</f>
        <v>#N/A</v>
      </c>
      <c r="O1678" s="159"/>
      <c r="P1678" s="159" t="e">
        <f>VLOOKUP(bargiri[[#This Row],[شماره سند مبنا]],invoice[[شماره پیش فاکتور]:[پیش دریافت به ازای هر کیلوگرم]],14,0)</f>
        <v>#N/A</v>
      </c>
      <c r="Q1678" s="159" t="e">
        <f>IF(bargiri[[#This Row],[مبلغ ناخالص]]-(bargiri[[#This Row],[نرخ استهلاک]]*bargiri[[#This Row],[مقدار]])&lt;0,0,bargiri[[#This Row],[مبلغ ناخالص]]-(bargiri[[#This Row],[نرخ استهلاک]]*bargiri[[#This Row],[مقدار]]))</f>
        <v>#N/A</v>
      </c>
    </row>
    <row r="1679" spans="1:17" s="22" customFormat="1" ht="13.8" x14ac:dyDescent="0.25">
      <c r="A1679" s="22">
        <v>1204</v>
      </c>
      <c r="B1679" s="22" t="s">
        <v>247</v>
      </c>
      <c r="C1679" s="22" t="s">
        <v>66</v>
      </c>
      <c r="D1679" s="22" t="s">
        <v>67</v>
      </c>
      <c r="E1679" s="158">
        <v>20020</v>
      </c>
      <c r="F1679" s="159">
        <v>68500</v>
      </c>
      <c r="G1679" s="159">
        <v>1371370000</v>
      </c>
      <c r="H1679" s="159">
        <v>123423300</v>
      </c>
      <c r="I1679" s="159">
        <v>1494793300</v>
      </c>
      <c r="J1679" s="159" t="e">
        <f>bargiri[[#This Row],[مقدار]]*INDEX(invoice[پیش دریافت به ازای هر کیلوگرم],MATCH(bargiri[[#This Row],[شماره سند مبنا]],invoice[شماره پیش فاکتور],0))</f>
        <v>#N/A</v>
      </c>
      <c r="K1679" s="159" t="e">
        <f>bargiri[[#This Row],[مبلغ خالص]]-bargiri[[#This Row],[میزان استهلاک پیش دریافتی]]</f>
        <v>#N/A</v>
      </c>
      <c r="L1679" s="160"/>
      <c r="M1679" s="159"/>
      <c r="N1679" s="159" t="e">
        <f>IF(bargiri[[#This Row],[مبلغ واریزی]]&lt;&gt;"",bargiri[[#This Row],[مانده مبلغ]]-bargiri[[#This Row],[مبلغ واریزی]],bargiri[[#This Row],[مانده مبلغ]])</f>
        <v>#N/A</v>
      </c>
      <c r="O1679" s="159"/>
      <c r="P1679" s="159" t="e">
        <f>VLOOKUP(bargiri[[#This Row],[شماره سند مبنا]],invoice[[شماره پیش فاکتور]:[پیش دریافت به ازای هر کیلوگرم]],14,0)</f>
        <v>#N/A</v>
      </c>
      <c r="Q1679" s="159" t="e">
        <f>IF(bargiri[[#This Row],[مبلغ ناخالص]]-(bargiri[[#This Row],[نرخ استهلاک]]*bargiri[[#This Row],[مقدار]])&lt;0,0,bargiri[[#This Row],[مبلغ ناخالص]]-(bargiri[[#This Row],[نرخ استهلاک]]*bargiri[[#This Row],[مقدار]]))</f>
        <v>#N/A</v>
      </c>
    </row>
    <row r="1680" spans="1:17" s="22" customFormat="1" ht="13.8" x14ac:dyDescent="0.25">
      <c r="A1680" s="22">
        <v>1203</v>
      </c>
      <c r="B1680" s="22" t="s">
        <v>146</v>
      </c>
      <c r="C1680" s="22" t="s">
        <v>119</v>
      </c>
      <c r="D1680" s="22" t="s">
        <v>25</v>
      </c>
      <c r="E1680" s="158">
        <v>10095</v>
      </c>
      <c r="F1680" s="159">
        <v>0</v>
      </c>
      <c r="G1680" s="159">
        <v>0</v>
      </c>
      <c r="H1680" s="159">
        <v>0</v>
      </c>
      <c r="I1680" s="159">
        <v>0</v>
      </c>
      <c r="J1680" s="159">
        <f>bargiri[[#This Row],[مقدار]]*INDEX(invoice[پیش دریافت به ازای هر کیلوگرم],MATCH(bargiri[[#This Row],[شماره سند مبنا]],invoice[شماره پیش فاکتور],0))</f>
        <v>124925625</v>
      </c>
      <c r="K1680" s="159">
        <f>bargiri[[#This Row],[مبلغ خالص]]-bargiri[[#This Row],[میزان استهلاک پیش دریافتی]]</f>
        <v>-124925625</v>
      </c>
      <c r="L1680" s="160"/>
      <c r="M1680" s="159"/>
      <c r="N1680" s="159">
        <f>IF(bargiri[[#This Row],[مبلغ واریزی]]&lt;&gt;"",bargiri[[#This Row],[مانده مبلغ]]-bargiri[[#This Row],[مبلغ واریزی]],bargiri[[#This Row],[مانده مبلغ]])</f>
        <v>-124925625</v>
      </c>
      <c r="O1680" s="159"/>
      <c r="P1680" s="159">
        <f>VLOOKUP(bargiri[[#This Row],[شماره سند مبنا]],invoice[[شماره پیش فاکتور]:[پیش دریافت به ازای هر کیلوگرم]],14,0)</f>
        <v>12375</v>
      </c>
      <c r="Q1680" s="159">
        <f>IF(bargiri[[#This Row],[مبلغ ناخالص]]-(bargiri[[#This Row],[نرخ استهلاک]]*bargiri[[#This Row],[مقدار]])&lt;0,0,bargiri[[#This Row],[مبلغ ناخالص]]-(bargiri[[#This Row],[نرخ استهلاک]]*bargiri[[#This Row],[مقدار]]))</f>
        <v>0</v>
      </c>
    </row>
    <row r="1681" spans="1:17" s="22" customFormat="1" ht="13.8" x14ac:dyDescent="0.25">
      <c r="A1681" s="22">
        <v>1202</v>
      </c>
      <c r="B1681" s="22" t="s">
        <v>249</v>
      </c>
      <c r="C1681" s="22" t="s">
        <v>72</v>
      </c>
      <c r="D1681" s="22" t="s">
        <v>73</v>
      </c>
      <c r="E1681" s="158">
        <v>20885</v>
      </c>
      <c r="F1681" s="159">
        <v>57273</v>
      </c>
      <c r="G1681" s="159">
        <v>1196146605</v>
      </c>
      <c r="H1681" s="159">
        <v>119614661</v>
      </c>
      <c r="I1681" s="159">
        <v>1315761266</v>
      </c>
      <c r="J1681" s="159" t="e">
        <f>bargiri[[#This Row],[مقدار]]*INDEX(invoice[پیش دریافت به ازای هر کیلوگرم],MATCH(bargiri[[#This Row],[شماره سند مبنا]],invoice[شماره پیش فاکتور],0))</f>
        <v>#N/A</v>
      </c>
      <c r="K1681" s="159" t="e">
        <f>bargiri[[#This Row],[مبلغ خالص]]-bargiri[[#This Row],[میزان استهلاک پیش دریافتی]]</f>
        <v>#N/A</v>
      </c>
      <c r="L1681" s="160"/>
      <c r="M1681" s="159"/>
      <c r="N1681" s="159" t="e">
        <f>IF(bargiri[[#This Row],[مبلغ واریزی]]&lt;&gt;"",bargiri[[#This Row],[مانده مبلغ]]-bargiri[[#This Row],[مبلغ واریزی]],bargiri[[#This Row],[مانده مبلغ]])</f>
        <v>#N/A</v>
      </c>
      <c r="O1681" s="159"/>
      <c r="P1681" s="159" t="e">
        <f>VLOOKUP(bargiri[[#This Row],[شماره سند مبنا]],invoice[[شماره پیش فاکتور]:[پیش دریافت به ازای هر کیلوگرم]],14,0)</f>
        <v>#N/A</v>
      </c>
      <c r="Q1681" s="159" t="e">
        <f>IF(bargiri[[#This Row],[مبلغ ناخالص]]-(bargiri[[#This Row],[نرخ استهلاک]]*bargiri[[#This Row],[مقدار]])&lt;0,0,bargiri[[#This Row],[مبلغ ناخالص]]-(bargiri[[#This Row],[نرخ استهلاک]]*bargiri[[#This Row],[مقدار]]))</f>
        <v>#N/A</v>
      </c>
    </row>
    <row r="1682" spans="1:17" s="22" customFormat="1" ht="13.8" x14ac:dyDescent="0.25">
      <c r="A1682" s="22">
        <v>1201</v>
      </c>
      <c r="B1682" s="22" t="s">
        <v>249</v>
      </c>
      <c r="C1682" s="22" t="s">
        <v>72</v>
      </c>
      <c r="D1682" s="22" t="s">
        <v>73</v>
      </c>
      <c r="E1682" s="158">
        <v>20740</v>
      </c>
      <c r="F1682" s="159">
        <v>57273</v>
      </c>
      <c r="G1682" s="159">
        <v>1187842020</v>
      </c>
      <c r="H1682" s="159">
        <v>118784202</v>
      </c>
      <c r="I1682" s="159">
        <v>1306626222</v>
      </c>
      <c r="J1682" s="159" t="e">
        <f>bargiri[[#This Row],[مقدار]]*INDEX(invoice[پیش دریافت به ازای هر کیلوگرم],MATCH(bargiri[[#This Row],[شماره سند مبنا]],invoice[شماره پیش فاکتور],0))</f>
        <v>#N/A</v>
      </c>
      <c r="K1682" s="159" t="e">
        <f>bargiri[[#This Row],[مبلغ خالص]]-bargiri[[#This Row],[میزان استهلاک پیش دریافتی]]</f>
        <v>#N/A</v>
      </c>
      <c r="L1682" s="160"/>
      <c r="M1682" s="159"/>
      <c r="N1682" s="159" t="e">
        <f>IF(bargiri[[#This Row],[مبلغ واریزی]]&lt;&gt;"",bargiri[[#This Row],[مانده مبلغ]]-bargiri[[#This Row],[مبلغ واریزی]],bargiri[[#This Row],[مانده مبلغ]])</f>
        <v>#N/A</v>
      </c>
      <c r="O1682" s="159"/>
      <c r="P1682" s="159" t="e">
        <f>VLOOKUP(bargiri[[#This Row],[شماره سند مبنا]],invoice[[شماره پیش فاکتور]:[پیش دریافت به ازای هر کیلوگرم]],14,0)</f>
        <v>#N/A</v>
      </c>
      <c r="Q1682" s="159" t="e">
        <f>IF(bargiri[[#This Row],[مبلغ ناخالص]]-(bargiri[[#This Row],[نرخ استهلاک]]*bargiri[[#This Row],[مقدار]])&lt;0,0,bargiri[[#This Row],[مبلغ ناخالص]]-(bargiri[[#This Row],[نرخ استهلاک]]*bargiri[[#This Row],[مقدار]]))</f>
        <v>#N/A</v>
      </c>
    </row>
    <row r="1683" spans="1:17" s="22" customFormat="1" ht="13.8" x14ac:dyDescent="0.25">
      <c r="A1683" s="22">
        <v>1200</v>
      </c>
      <c r="B1683" s="22" t="s">
        <v>249</v>
      </c>
      <c r="C1683" s="22" t="s">
        <v>128</v>
      </c>
      <c r="D1683" s="22" t="s">
        <v>129</v>
      </c>
      <c r="E1683" s="158">
        <v>9070</v>
      </c>
      <c r="F1683" s="159">
        <v>80000</v>
      </c>
      <c r="G1683" s="159">
        <v>725600000</v>
      </c>
      <c r="H1683" s="159">
        <v>72560000</v>
      </c>
      <c r="I1683" s="159">
        <v>798160000</v>
      </c>
      <c r="J1683" s="159">
        <f>bargiri[[#This Row],[مقدار]]*INDEX(invoice[پیش دریافت به ازای هر کیلوگرم],MATCH(bargiri[[#This Row],[شماره سند مبنا]],invoice[شماره پیش فاکتور],0))</f>
        <v>120305476.46960308</v>
      </c>
      <c r="K1683" s="159">
        <f>bargiri[[#This Row],[مبلغ خالص]]-bargiri[[#This Row],[میزان استهلاک پیش دریافتی]]</f>
        <v>677854523.53039694</v>
      </c>
      <c r="L1683" s="160"/>
      <c r="M1683" s="159"/>
      <c r="N1683" s="159">
        <f>IF(bargiri[[#This Row],[مبلغ واریزی]]&lt;&gt;"",bargiri[[#This Row],[مانده مبلغ]]-bargiri[[#This Row],[مبلغ واریزی]],bargiri[[#This Row],[مانده مبلغ]])</f>
        <v>677854523.53039694</v>
      </c>
      <c r="O1683" s="159"/>
      <c r="P1683" s="159">
        <f>VLOOKUP(bargiri[[#This Row],[شماره سند مبنا]],invoice[[شماره پیش فاکتور]:[پیش دریافت به ازای هر کیلوگرم]],14,0)</f>
        <v>13264.109864344331</v>
      </c>
      <c r="Q1683" s="159">
        <f>IF(bargiri[[#This Row],[مبلغ ناخالص]]-(bargiri[[#This Row],[نرخ استهلاک]]*bargiri[[#This Row],[مقدار]])&lt;0,0,bargiri[[#This Row],[مبلغ ناخالص]]-(bargiri[[#This Row],[نرخ استهلاک]]*bargiri[[#This Row],[مقدار]]))</f>
        <v>605294523.53039694</v>
      </c>
    </row>
    <row r="1684" spans="1:17" s="22" customFormat="1" ht="13.8" x14ac:dyDescent="0.25">
      <c r="A1684" s="22">
        <v>1199</v>
      </c>
      <c r="B1684" s="22" t="s">
        <v>190</v>
      </c>
      <c r="C1684" s="22" t="s">
        <v>86</v>
      </c>
      <c r="D1684" s="22" t="s">
        <v>30</v>
      </c>
      <c r="E1684" s="158">
        <v>11590</v>
      </c>
      <c r="F1684" s="159">
        <v>65000</v>
      </c>
      <c r="G1684" s="159">
        <v>753350000</v>
      </c>
      <c r="H1684" s="159">
        <v>75335000</v>
      </c>
      <c r="I1684" s="159">
        <v>828685000</v>
      </c>
      <c r="J1684" s="159" t="e">
        <f>bargiri[[#This Row],[مقدار]]*INDEX(invoice[پیش دریافت به ازای هر کیلوگرم],MATCH(bargiri[[#This Row],[شماره سند مبنا]],invoice[شماره پیش فاکتور],0))</f>
        <v>#N/A</v>
      </c>
      <c r="K1684" s="159" t="e">
        <f>bargiri[[#This Row],[مبلغ خالص]]-bargiri[[#This Row],[میزان استهلاک پیش دریافتی]]</f>
        <v>#N/A</v>
      </c>
      <c r="L1684" s="160"/>
      <c r="M1684" s="159"/>
      <c r="N1684" s="159" t="e">
        <f>IF(bargiri[[#This Row],[مبلغ واریزی]]&lt;&gt;"",bargiri[[#This Row],[مانده مبلغ]]-bargiri[[#This Row],[مبلغ واریزی]],bargiri[[#This Row],[مانده مبلغ]])</f>
        <v>#N/A</v>
      </c>
      <c r="O1684" s="159"/>
      <c r="P1684" s="159" t="e">
        <f>VLOOKUP(bargiri[[#This Row],[شماره سند مبنا]],invoice[[شماره پیش فاکتور]:[پیش دریافت به ازای هر کیلوگرم]],14,0)</f>
        <v>#N/A</v>
      </c>
      <c r="Q1684" s="159" t="e">
        <f>IF(bargiri[[#This Row],[مبلغ ناخالص]]-(bargiri[[#This Row],[نرخ استهلاک]]*bargiri[[#This Row],[مقدار]])&lt;0,0,bargiri[[#This Row],[مبلغ ناخالص]]-(bargiri[[#This Row],[نرخ استهلاک]]*bargiri[[#This Row],[مقدار]]))</f>
        <v>#N/A</v>
      </c>
    </row>
    <row r="1685" spans="1:17" s="22" customFormat="1" ht="13.8" x14ac:dyDescent="0.25">
      <c r="A1685" s="22">
        <v>1198</v>
      </c>
      <c r="B1685" s="22" t="s">
        <v>190</v>
      </c>
      <c r="C1685" s="22" t="s">
        <v>42</v>
      </c>
      <c r="D1685" s="22" t="s">
        <v>43</v>
      </c>
      <c r="E1685" s="158">
        <v>22010</v>
      </c>
      <c r="F1685" s="159">
        <v>70000</v>
      </c>
      <c r="G1685" s="159">
        <v>1540700000</v>
      </c>
      <c r="H1685" s="159">
        <v>154070000</v>
      </c>
      <c r="I1685" s="159">
        <v>1694770000</v>
      </c>
      <c r="J1685" s="159" t="e">
        <f>bargiri[[#This Row],[مقدار]]*INDEX(invoice[پیش دریافت به ازای هر کیلوگرم],MATCH(bargiri[[#This Row],[شماره سند مبنا]],invoice[شماره پیش فاکتور],0))</f>
        <v>#N/A</v>
      </c>
      <c r="K1685" s="159" t="e">
        <f>bargiri[[#This Row],[مبلغ خالص]]-bargiri[[#This Row],[میزان استهلاک پیش دریافتی]]</f>
        <v>#N/A</v>
      </c>
      <c r="L1685" s="160"/>
      <c r="M1685" s="159"/>
      <c r="N1685" s="159" t="e">
        <f>IF(bargiri[[#This Row],[مبلغ واریزی]]&lt;&gt;"",bargiri[[#This Row],[مانده مبلغ]]-bargiri[[#This Row],[مبلغ واریزی]],bargiri[[#This Row],[مانده مبلغ]])</f>
        <v>#N/A</v>
      </c>
      <c r="O1685" s="159"/>
      <c r="P1685" s="159" t="e">
        <f>VLOOKUP(bargiri[[#This Row],[شماره سند مبنا]],invoice[[شماره پیش فاکتور]:[پیش دریافت به ازای هر کیلوگرم]],14,0)</f>
        <v>#N/A</v>
      </c>
      <c r="Q1685" s="159" t="e">
        <f>IF(bargiri[[#This Row],[مبلغ ناخالص]]-(bargiri[[#This Row],[نرخ استهلاک]]*bargiri[[#This Row],[مقدار]])&lt;0,0,bargiri[[#This Row],[مبلغ ناخالص]]-(bargiri[[#This Row],[نرخ استهلاک]]*bargiri[[#This Row],[مقدار]]))</f>
        <v>#N/A</v>
      </c>
    </row>
    <row r="1686" spans="1:17" s="22" customFormat="1" ht="13.8" x14ac:dyDescent="0.25">
      <c r="A1686" s="22">
        <v>1197</v>
      </c>
      <c r="B1686" s="22" t="s">
        <v>190</v>
      </c>
      <c r="C1686" s="22" t="s">
        <v>155</v>
      </c>
      <c r="D1686" s="22" t="s">
        <v>156</v>
      </c>
      <c r="E1686" s="158">
        <v>20270</v>
      </c>
      <c r="F1686" s="159">
        <v>75000</v>
      </c>
      <c r="G1686" s="159">
        <v>1520250000</v>
      </c>
      <c r="H1686" s="159">
        <v>152025000</v>
      </c>
      <c r="I1686" s="159">
        <v>1672275000</v>
      </c>
      <c r="J1686" s="159">
        <f>bargiri[[#This Row],[مقدار]]*INDEX(invoice[پیش دریافت به ازای هر کیلوگرم],MATCH(bargiri[[#This Row],[شماره سند مبنا]],invoice[شماره پیش فاکتور],0))</f>
        <v>250841250</v>
      </c>
      <c r="K1686" s="159">
        <f>bargiri[[#This Row],[مبلغ خالص]]-bargiri[[#This Row],[میزان استهلاک پیش دریافتی]]</f>
        <v>1421433750</v>
      </c>
      <c r="L1686" s="160"/>
      <c r="M1686" s="159"/>
      <c r="N1686" s="159">
        <f>IF(bargiri[[#This Row],[مبلغ واریزی]]&lt;&gt;"",bargiri[[#This Row],[مانده مبلغ]]-bargiri[[#This Row],[مبلغ واریزی]],bargiri[[#This Row],[مانده مبلغ]])</f>
        <v>1421433750</v>
      </c>
      <c r="O1686" s="159"/>
      <c r="P1686" s="159">
        <f>VLOOKUP(bargiri[[#This Row],[شماره سند مبنا]],invoice[[شماره پیش فاکتور]:[پیش دریافت به ازای هر کیلوگرم]],14,0)</f>
        <v>12375</v>
      </c>
      <c r="Q1686" s="159">
        <f>IF(bargiri[[#This Row],[مبلغ ناخالص]]-(bargiri[[#This Row],[نرخ استهلاک]]*bargiri[[#This Row],[مقدار]])&lt;0,0,bargiri[[#This Row],[مبلغ ناخالص]]-(bargiri[[#This Row],[نرخ استهلاک]]*bargiri[[#This Row],[مقدار]]))</f>
        <v>1269408750</v>
      </c>
    </row>
    <row r="1687" spans="1:17" s="22" customFormat="1" ht="13.8" x14ac:dyDescent="0.25">
      <c r="A1687" s="22">
        <v>1196</v>
      </c>
      <c r="B1687" s="22" t="s">
        <v>392</v>
      </c>
      <c r="C1687" s="22" t="s">
        <v>88</v>
      </c>
      <c r="D1687" s="22" t="s">
        <v>89</v>
      </c>
      <c r="E1687" s="158">
        <v>21115</v>
      </c>
      <c r="F1687" s="159">
        <v>78000</v>
      </c>
      <c r="G1687" s="159">
        <v>1646970000</v>
      </c>
      <c r="H1687" s="159">
        <v>164697000</v>
      </c>
      <c r="I1687" s="159">
        <v>1811667000</v>
      </c>
      <c r="J1687" s="159" t="e">
        <f>bargiri[[#This Row],[مقدار]]*INDEX(invoice[پیش دریافت به ازای هر کیلوگرم],MATCH(bargiri[[#This Row],[شماره سند مبنا]],invoice[شماره پیش فاکتور],0))</f>
        <v>#N/A</v>
      </c>
      <c r="K1687" s="159" t="e">
        <f>bargiri[[#This Row],[مبلغ خالص]]-bargiri[[#This Row],[میزان استهلاک پیش دریافتی]]</f>
        <v>#N/A</v>
      </c>
      <c r="L1687" s="160"/>
      <c r="M1687" s="159"/>
      <c r="N1687" s="159" t="e">
        <f>IF(bargiri[[#This Row],[مبلغ واریزی]]&lt;&gt;"",bargiri[[#This Row],[مانده مبلغ]]-bargiri[[#This Row],[مبلغ واریزی]],bargiri[[#This Row],[مانده مبلغ]])</f>
        <v>#N/A</v>
      </c>
      <c r="O1687" s="159"/>
      <c r="P1687" s="159" t="e">
        <f>VLOOKUP(bargiri[[#This Row],[شماره سند مبنا]],invoice[[شماره پیش فاکتور]:[پیش دریافت به ازای هر کیلوگرم]],14,0)</f>
        <v>#N/A</v>
      </c>
      <c r="Q1687" s="159" t="e">
        <f>IF(bargiri[[#This Row],[مبلغ ناخالص]]-(bargiri[[#This Row],[نرخ استهلاک]]*bargiri[[#This Row],[مقدار]])&lt;0,0,bargiri[[#This Row],[مبلغ ناخالص]]-(bargiri[[#This Row],[نرخ استهلاک]]*bargiri[[#This Row],[مقدار]]))</f>
        <v>#N/A</v>
      </c>
    </row>
    <row r="1688" spans="1:17" s="22" customFormat="1" ht="13.8" x14ac:dyDescent="0.25">
      <c r="A1688" s="22">
        <v>1195</v>
      </c>
      <c r="B1688" s="22" t="s">
        <v>392</v>
      </c>
      <c r="C1688" s="22" t="s">
        <v>115</v>
      </c>
      <c r="D1688" s="22" t="s">
        <v>116</v>
      </c>
      <c r="E1688" s="158">
        <v>18895</v>
      </c>
      <c r="F1688" s="159">
        <v>75000</v>
      </c>
      <c r="G1688" s="159">
        <v>1417125000</v>
      </c>
      <c r="H1688" s="159">
        <v>141712500</v>
      </c>
      <c r="I1688" s="159">
        <v>1558837500</v>
      </c>
      <c r="J1688" s="159">
        <f>bargiri[[#This Row],[مقدار]]*INDEX(invoice[پیش دریافت به ازای هر کیلوگرم],MATCH(bargiri[[#This Row],[شماره سند مبنا]],invoice[شماره پیش فاکتور],0))</f>
        <v>283617860.14489853</v>
      </c>
      <c r="K1688" s="159">
        <f>bargiri[[#This Row],[مبلغ خالص]]-bargiri[[#This Row],[میزان استهلاک پیش دریافتی]]</f>
        <v>1275219639.8551016</v>
      </c>
      <c r="L1688" s="160"/>
      <c r="M1688" s="159"/>
      <c r="N1688" s="159">
        <f>IF(bargiri[[#This Row],[مبلغ واریزی]]&lt;&gt;"",bargiri[[#This Row],[مانده مبلغ]]-bargiri[[#This Row],[مبلغ واریزی]],bargiri[[#This Row],[مانده مبلغ]])</f>
        <v>1275219639.8551016</v>
      </c>
      <c r="O1688" s="159"/>
      <c r="P1688" s="159">
        <f>VLOOKUP(bargiri[[#This Row],[شماره سند مبنا]],invoice[[شماره پیش فاکتور]:[پیش دریافت به ازای هر کیلوگرم]],14,0)</f>
        <v>15010.206940719689</v>
      </c>
      <c r="Q1688" s="159">
        <f>IF(bargiri[[#This Row],[مبلغ ناخالص]]-(bargiri[[#This Row],[نرخ استهلاک]]*bargiri[[#This Row],[مقدار]])&lt;0,0,bargiri[[#This Row],[مبلغ ناخالص]]-(bargiri[[#This Row],[نرخ استهلاک]]*bargiri[[#This Row],[مقدار]]))</f>
        <v>1133507139.8551016</v>
      </c>
    </row>
    <row r="1689" spans="1:17" s="22" customFormat="1" ht="13.8" x14ac:dyDescent="0.25">
      <c r="A1689" s="22">
        <v>1194</v>
      </c>
      <c r="B1689" s="22" t="s">
        <v>247</v>
      </c>
      <c r="C1689" s="22" t="s">
        <v>42</v>
      </c>
      <c r="D1689" s="22" t="s">
        <v>43</v>
      </c>
      <c r="E1689" s="158">
        <v>18000</v>
      </c>
      <c r="F1689" s="159">
        <v>70000</v>
      </c>
      <c r="G1689" s="159">
        <v>1260000000</v>
      </c>
      <c r="H1689" s="159">
        <v>126000000</v>
      </c>
      <c r="I1689" s="159">
        <v>1386000000</v>
      </c>
      <c r="J1689" s="159" t="e">
        <f>bargiri[[#This Row],[مقدار]]*INDEX(invoice[پیش دریافت به ازای هر کیلوگرم],MATCH(bargiri[[#This Row],[شماره سند مبنا]],invoice[شماره پیش فاکتور],0))</f>
        <v>#N/A</v>
      </c>
      <c r="K1689" s="159" t="e">
        <f>bargiri[[#This Row],[مبلغ خالص]]-bargiri[[#This Row],[میزان استهلاک پیش دریافتی]]</f>
        <v>#N/A</v>
      </c>
      <c r="L1689" s="160"/>
      <c r="M1689" s="159"/>
      <c r="N1689" s="159" t="e">
        <f>IF(bargiri[[#This Row],[مبلغ واریزی]]&lt;&gt;"",bargiri[[#This Row],[مانده مبلغ]]-bargiri[[#This Row],[مبلغ واریزی]],bargiri[[#This Row],[مانده مبلغ]])</f>
        <v>#N/A</v>
      </c>
      <c r="O1689" s="159"/>
      <c r="P1689" s="159" t="e">
        <f>VLOOKUP(bargiri[[#This Row],[شماره سند مبنا]],invoice[[شماره پیش فاکتور]:[پیش دریافت به ازای هر کیلوگرم]],14,0)</f>
        <v>#N/A</v>
      </c>
      <c r="Q1689" s="159" t="e">
        <f>IF(bargiri[[#This Row],[مبلغ ناخالص]]-(bargiri[[#This Row],[نرخ استهلاک]]*bargiri[[#This Row],[مقدار]])&lt;0,0,bargiri[[#This Row],[مبلغ ناخالص]]-(bargiri[[#This Row],[نرخ استهلاک]]*bargiri[[#This Row],[مقدار]]))</f>
        <v>#N/A</v>
      </c>
    </row>
    <row r="1690" spans="1:17" s="22" customFormat="1" ht="13.8" x14ac:dyDescent="0.25">
      <c r="A1690" s="22">
        <v>1193</v>
      </c>
      <c r="B1690" s="22" t="s">
        <v>247</v>
      </c>
      <c r="C1690" s="22" t="s">
        <v>109</v>
      </c>
      <c r="D1690" s="22" t="s">
        <v>110</v>
      </c>
      <c r="E1690" s="158">
        <v>18980</v>
      </c>
      <c r="F1690" s="159">
        <v>70000</v>
      </c>
      <c r="G1690" s="159">
        <v>1328600000</v>
      </c>
      <c r="H1690" s="159">
        <v>132860000</v>
      </c>
      <c r="I1690" s="159">
        <v>1461460000</v>
      </c>
      <c r="J1690" s="159" t="e">
        <f>bargiri[[#This Row],[مقدار]]*INDEX(invoice[پیش دریافت به ازای هر کیلوگرم],MATCH(bargiri[[#This Row],[شماره سند مبنا]],invoice[شماره پیش فاکتور],0))</f>
        <v>#N/A</v>
      </c>
      <c r="K1690" s="159" t="e">
        <f>bargiri[[#This Row],[مبلغ خالص]]-bargiri[[#This Row],[میزان استهلاک پیش دریافتی]]</f>
        <v>#N/A</v>
      </c>
      <c r="L1690" s="160"/>
      <c r="M1690" s="159"/>
      <c r="N1690" s="159" t="e">
        <f>IF(bargiri[[#This Row],[مبلغ واریزی]]&lt;&gt;"",bargiri[[#This Row],[مانده مبلغ]]-bargiri[[#This Row],[مبلغ واریزی]],bargiri[[#This Row],[مانده مبلغ]])</f>
        <v>#N/A</v>
      </c>
      <c r="O1690" s="159"/>
      <c r="P1690" s="159" t="e">
        <f>VLOOKUP(bargiri[[#This Row],[شماره سند مبنا]],invoice[[شماره پیش فاکتور]:[پیش دریافت به ازای هر کیلوگرم]],14,0)</f>
        <v>#N/A</v>
      </c>
      <c r="Q1690" s="159" t="e">
        <f>IF(bargiri[[#This Row],[مبلغ ناخالص]]-(bargiri[[#This Row],[نرخ استهلاک]]*bargiri[[#This Row],[مقدار]])&lt;0,0,bargiri[[#This Row],[مبلغ ناخالص]]-(bargiri[[#This Row],[نرخ استهلاک]]*bargiri[[#This Row],[مقدار]]))</f>
        <v>#N/A</v>
      </c>
    </row>
    <row r="1691" spans="1:17" s="22" customFormat="1" ht="13.8" x14ac:dyDescent="0.25">
      <c r="A1691" s="22">
        <v>1192</v>
      </c>
      <c r="B1691" s="22" t="s">
        <v>247</v>
      </c>
      <c r="C1691" s="22" t="s">
        <v>128</v>
      </c>
      <c r="D1691" s="22" t="s">
        <v>129</v>
      </c>
      <c r="E1691" s="158">
        <v>9075</v>
      </c>
      <c r="F1691" s="159">
        <v>80000</v>
      </c>
      <c r="G1691" s="159">
        <v>726000000</v>
      </c>
      <c r="H1691" s="159">
        <v>72600000</v>
      </c>
      <c r="I1691" s="159">
        <v>798600000</v>
      </c>
      <c r="J1691" s="159">
        <f>bargiri[[#This Row],[مقدار]]*INDEX(invoice[پیش دریافت به ازای هر کیلوگرم],MATCH(bargiri[[#This Row],[شماره سند مبنا]],invoice[شماره پیش فاکتور],0))</f>
        <v>120371797.0189248</v>
      </c>
      <c r="K1691" s="159">
        <f>bargiri[[#This Row],[مبلغ خالص]]-bargiri[[#This Row],[میزان استهلاک پیش دریافتی]]</f>
        <v>678228202.98107517</v>
      </c>
      <c r="L1691" s="160"/>
      <c r="M1691" s="159"/>
      <c r="N1691" s="159">
        <f>IF(bargiri[[#This Row],[مبلغ واریزی]]&lt;&gt;"",bargiri[[#This Row],[مانده مبلغ]]-bargiri[[#This Row],[مبلغ واریزی]],bargiri[[#This Row],[مانده مبلغ]])</f>
        <v>678228202.98107517</v>
      </c>
      <c r="O1691" s="159"/>
      <c r="P1691" s="159">
        <f>VLOOKUP(bargiri[[#This Row],[شماره سند مبنا]],invoice[[شماره پیش فاکتور]:[پیش دریافت به ازای هر کیلوگرم]],14,0)</f>
        <v>13264.109864344331</v>
      </c>
      <c r="Q1691" s="159">
        <f>IF(bargiri[[#This Row],[مبلغ ناخالص]]-(bargiri[[#This Row],[نرخ استهلاک]]*bargiri[[#This Row],[مقدار]])&lt;0,0,bargiri[[#This Row],[مبلغ ناخالص]]-(bargiri[[#This Row],[نرخ استهلاک]]*bargiri[[#This Row],[مقدار]]))</f>
        <v>605628202.98107517</v>
      </c>
    </row>
    <row r="1692" spans="1:17" s="22" customFormat="1" ht="13.8" x14ac:dyDescent="0.25">
      <c r="A1692" s="22">
        <v>1191</v>
      </c>
      <c r="B1692" s="22" t="s">
        <v>247</v>
      </c>
      <c r="C1692" s="22" t="s">
        <v>72</v>
      </c>
      <c r="D1692" s="22" t="s">
        <v>73</v>
      </c>
      <c r="E1692" s="158">
        <v>21020</v>
      </c>
      <c r="F1692" s="159">
        <v>57273</v>
      </c>
      <c r="G1692" s="159">
        <v>1203878460</v>
      </c>
      <c r="H1692" s="159">
        <v>120387846</v>
      </c>
      <c r="I1692" s="159">
        <v>1324266306</v>
      </c>
      <c r="J1692" s="159" t="e">
        <f>bargiri[[#This Row],[مقدار]]*INDEX(invoice[پیش دریافت به ازای هر کیلوگرم],MATCH(bargiri[[#This Row],[شماره سند مبنا]],invoice[شماره پیش فاکتور],0))</f>
        <v>#N/A</v>
      </c>
      <c r="K1692" s="159" t="e">
        <f>bargiri[[#This Row],[مبلغ خالص]]-bargiri[[#This Row],[میزان استهلاک پیش دریافتی]]</f>
        <v>#N/A</v>
      </c>
      <c r="L1692" s="160"/>
      <c r="M1692" s="159"/>
      <c r="N1692" s="159" t="e">
        <f>IF(bargiri[[#This Row],[مبلغ واریزی]]&lt;&gt;"",bargiri[[#This Row],[مانده مبلغ]]-bargiri[[#This Row],[مبلغ واریزی]],bargiri[[#This Row],[مانده مبلغ]])</f>
        <v>#N/A</v>
      </c>
      <c r="O1692" s="159"/>
      <c r="P1692" s="159" t="e">
        <f>VLOOKUP(bargiri[[#This Row],[شماره سند مبنا]],invoice[[شماره پیش فاکتور]:[پیش دریافت به ازای هر کیلوگرم]],14,0)</f>
        <v>#N/A</v>
      </c>
      <c r="Q1692" s="159" t="e">
        <f>IF(bargiri[[#This Row],[مبلغ ناخالص]]-(bargiri[[#This Row],[نرخ استهلاک]]*bargiri[[#This Row],[مقدار]])&lt;0,0,bargiri[[#This Row],[مبلغ ناخالص]]-(bargiri[[#This Row],[نرخ استهلاک]]*bargiri[[#This Row],[مقدار]]))</f>
        <v>#N/A</v>
      </c>
    </row>
    <row r="1693" spans="1:17" s="22" customFormat="1" ht="13.8" x14ac:dyDescent="0.25">
      <c r="A1693" s="22">
        <v>1190</v>
      </c>
      <c r="B1693" s="22" t="s">
        <v>247</v>
      </c>
      <c r="C1693" s="22" t="s">
        <v>72</v>
      </c>
      <c r="D1693" s="22" t="s">
        <v>73</v>
      </c>
      <c r="E1693" s="158">
        <v>20910</v>
      </c>
      <c r="F1693" s="159">
        <v>57273</v>
      </c>
      <c r="G1693" s="159">
        <v>1197578430</v>
      </c>
      <c r="H1693" s="159">
        <v>119757843</v>
      </c>
      <c r="I1693" s="159">
        <v>1317336273</v>
      </c>
      <c r="J1693" s="159" t="e">
        <f>bargiri[[#This Row],[مقدار]]*INDEX(invoice[پیش دریافت به ازای هر کیلوگرم],MATCH(bargiri[[#This Row],[شماره سند مبنا]],invoice[شماره پیش فاکتور],0))</f>
        <v>#N/A</v>
      </c>
      <c r="K1693" s="159" t="e">
        <f>bargiri[[#This Row],[مبلغ خالص]]-bargiri[[#This Row],[میزان استهلاک پیش دریافتی]]</f>
        <v>#N/A</v>
      </c>
      <c r="L1693" s="160"/>
      <c r="M1693" s="159"/>
      <c r="N1693" s="159" t="e">
        <f>IF(bargiri[[#This Row],[مبلغ واریزی]]&lt;&gt;"",bargiri[[#This Row],[مانده مبلغ]]-bargiri[[#This Row],[مبلغ واریزی]],bargiri[[#This Row],[مانده مبلغ]])</f>
        <v>#N/A</v>
      </c>
      <c r="O1693" s="159"/>
      <c r="P1693" s="159" t="e">
        <f>VLOOKUP(bargiri[[#This Row],[شماره سند مبنا]],invoice[[شماره پیش فاکتور]:[پیش دریافت به ازای هر کیلوگرم]],14,0)</f>
        <v>#N/A</v>
      </c>
      <c r="Q1693" s="159" t="e">
        <f>IF(bargiri[[#This Row],[مبلغ ناخالص]]-(bargiri[[#This Row],[نرخ استهلاک]]*bargiri[[#This Row],[مقدار]])&lt;0,0,bargiri[[#This Row],[مبلغ ناخالص]]-(bargiri[[#This Row],[نرخ استهلاک]]*bargiri[[#This Row],[مقدار]]))</f>
        <v>#N/A</v>
      </c>
    </row>
    <row r="1694" spans="1:17" s="22" customFormat="1" ht="13.8" x14ac:dyDescent="0.25">
      <c r="A1694" s="22">
        <v>1189</v>
      </c>
      <c r="B1694" s="22" t="s">
        <v>146</v>
      </c>
      <c r="C1694" s="22" t="s">
        <v>42</v>
      </c>
      <c r="D1694" s="22" t="s">
        <v>43</v>
      </c>
      <c r="E1694" s="158">
        <v>18125</v>
      </c>
      <c r="F1694" s="159">
        <v>70000</v>
      </c>
      <c r="G1694" s="159">
        <v>1268750000</v>
      </c>
      <c r="H1694" s="159">
        <v>126875000</v>
      </c>
      <c r="I1694" s="159">
        <v>1395625000</v>
      </c>
      <c r="J1694" s="159" t="e">
        <f>bargiri[[#This Row],[مقدار]]*INDEX(invoice[پیش دریافت به ازای هر کیلوگرم],MATCH(bargiri[[#This Row],[شماره سند مبنا]],invoice[شماره پیش فاکتور],0))</f>
        <v>#N/A</v>
      </c>
      <c r="K1694" s="159" t="e">
        <f>bargiri[[#This Row],[مبلغ خالص]]-bargiri[[#This Row],[میزان استهلاک پیش دریافتی]]</f>
        <v>#N/A</v>
      </c>
      <c r="L1694" s="160"/>
      <c r="M1694" s="159"/>
      <c r="N1694" s="159" t="e">
        <f>IF(bargiri[[#This Row],[مبلغ واریزی]]&lt;&gt;"",bargiri[[#This Row],[مانده مبلغ]]-bargiri[[#This Row],[مبلغ واریزی]],bargiri[[#This Row],[مانده مبلغ]])</f>
        <v>#N/A</v>
      </c>
      <c r="O1694" s="159"/>
      <c r="P1694" s="159" t="e">
        <f>VLOOKUP(bargiri[[#This Row],[شماره سند مبنا]],invoice[[شماره پیش فاکتور]:[پیش دریافت به ازای هر کیلوگرم]],14,0)</f>
        <v>#N/A</v>
      </c>
      <c r="Q1694" s="159" t="e">
        <f>IF(bargiri[[#This Row],[مبلغ ناخالص]]-(bargiri[[#This Row],[نرخ استهلاک]]*bargiri[[#This Row],[مقدار]])&lt;0,0,bargiri[[#This Row],[مبلغ ناخالص]]-(bargiri[[#This Row],[نرخ استهلاک]]*bargiri[[#This Row],[مقدار]]))</f>
        <v>#N/A</v>
      </c>
    </row>
    <row r="1695" spans="1:17" s="22" customFormat="1" ht="13.8" x14ac:dyDescent="0.25">
      <c r="A1695" s="22">
        <v>1188</v>
      </c>
      <c r="B1695" s="22" t="s">
        <v>146</v>
      </c>
      <c r="C1695" s="22" t="s">
        <v>172</v>
      </c>
      <c r="D1695" s="22" t="s">
        <v>173</v>
      </c>
      <c r="E1695" s="158">
        <v>22100</v>
      </c>
      <c r="F1695" s="159">
        <v>75000</v>
      </c>
      <c r="G1695" s="159">
        <v>1657500000</v>
      </c>
      <c r="H1695" s="159">
        <v>165750000</v>
      </c>
      <c r="I1695" s="159">
        <v>1823250000</v>
      </c>
      <c r="J1695" s="159">
        <f>bargiri[[#This Row],[مقدار]]*INDEX(invoice[پیش دریافت به ازای هر کیلوگرم],MATCH(bargiri[[#This Row],[شماره سند مبنا]],invoice[شماره پیش فاکتور],0))</f>
        <v>273487500</v>
      </c>
      <c r="K1695" s="159">
        <f>bargiri[[#This Row],[مبلغ خالص]]-bargiri[[#This Row],[میزان استهلاک پیش دریافتی]]</f>
        <v>1549762500</v>
      </c>
      <c r="L1695" s="160"/>
      <c r="M1695" s="159"/>
      <c r="N1695" s="159">
        <f>IF(bargiri[[#This Row],[مبلغ واریزی]]&lt;&gt;"",bargiri[[#This Row],[مانده مبلغ]]-bargiri[[#This Row],[مبلغ واریزی]],bargiri[[#This Row],[مانده مبلغ]])</f>
        <v>1549762500</v>
      </c>
      <c r="O1695" s="159"/>
      <c r="P1695" s="159">
        <f>VLOOKUP(bargiri[[#This Row],[شماره سند مبنا]],invoice[[شماره پیش فاکتور]:[پیش دریافت به ازای هر کیلوگرم]],14,0)</f>
        <v>12375</v>
      </c>
      <c r="Q1695" s="159">
        <f>IF(bargiri[[#This Row],[مبلغ ناخالص]]-(bargiri[[#This Row],[نرخ استهلاک]]*bargiri[[#This Row],[مقدار]])&lt;0,0,bargiri[[#This Row],[مبلغ ناخالص]]-(bargiri[[#This Row],[نرخ استهلاک]]*bargiri[[#This Row],[مقدار]]))</f>
        <v>1384012500</v>
      </c>
    </row>
    <row r="1696" spans="1:17" s="22" customFormat="1" ht="13.8" x14ac:dyDescent="0.25">
      <c r="A1696" s="22">
        <v>1187</v>
      </c>
      <c r="B1696" s="22" t="s">
        <v>306</v>
      </c>
      <c r="C1696" s="22" t="s">
        <v>109</v>
      </c>
      <c r="D1696" s="22" t="s">
        <v>110</v>
      </c>
      <c r="E1696" s="158">
        <v>19045</v>
      </c>
      <c r="F1696" s="159">
        <v>70000</v>
      </c>
      <c r="G1696" s="159">
        <v>1333150000</v>
      </c>
      <c r="H1696" s="159">
        <v>133315000</v>
      </c>
      <c r="I1696" s="159">
        <v>1466465000</v>
      </c>
      <c r="J1696" s="159" t="e">
        <f>bargiri[[#This Row],[مقدار]]*INDEX(invoice[پیش دریافت به ازای هر کیلوگرم],MATCH(bargiri[[#This Row],[شماره سند مبنا]],invoice[شماره پیش فاکتور],0))</f>
        <v>#N/A</v>
      </c>
      <c r="K1696" s="159" t="e">
        <f>bargiri[[#This Row],[مبلغ خالص]]-bargiri[[#This Row],[میزان استهلاک پیش دریافتی]]</f>
        <v>#N/A</v>
      </c>
      <c r="L1696" s="160"/>
      <c r="M1696" s="159"/>
      <c r="N1696" s="159" t="e">
        <f>IF(bargiri[[#This Row],[مبلغ واریزی]]&lt;&gt;"",bargiri[[#This Row],[مانده مبلغ]]-bargiri[[#This Row],[مبلغ واریزی]],bargiri[[#This Row],[مانده مبلغ]])</f>
        <v>#N/A</v>
      </c>
      <c r="O1696" s="159"/>
      <c r="P1696" s="159" t="e">
        <f>VLOOKUP(bargiri[[#This Row],[شماره سند مبنا]],invoice[[شماره پیش فاکتور]:[پیش دریافت به ازای هر کیلوگرم]],14,0)</f>
        <v>#N/A</v>
      </c>
      <c r="Q1696" s="159" t="e">
        <f>IF(bargiri[[#This Row],[مبلغ ناخالص]]-(bargiri[[#This Row],[نرخ استهلاک]]*bargiri[[#This Row],[مقدار]])&lt;0,0,bargiri[[#This Row],[مبلغ ناخالص]]-(bargiri[[#This Row],[نرخ استهلاک]]*bargiri[[#This Row],[مقدار]]))</f>
        <v>#N/A</v>
      </c>
    </row>
    <row r="1697" spans="1:17" s="22" customFormat="1" ht="13.8" x14ac:dyDescent="0.25">
      <c r="A1697" s="22">
        <v>1186</v>
      </c>
      <c r="B1697" s="22" t="s">
        <v>306</v>
      </c>
      <c r="C1697" s="22" t="s">
        <v>128</v>
      </c>
      <c r="D1697" s="22" t="s">
        <v>129</v>
      </c>
      <c r="E1697" s="158">
        <v>8985</v>
      </c>
      <c r="F1697" s="159">
        <v>80000</v>
      </c>
      <c r="G1697" s="159">
        <v>718800000</v>
      </c>
      <c r="H1697" s="159">
        <v>71880000</v>
      </c>
      <c r="I1697" s="159">
        <v>790680000</v>
      </c>
      <c r="J1697" s="159">
        <f>bargiri[[#This Row],[مقدار]]*INDEX(invoice[پیش دریافت به ازای هر کیلوگرم],MATCH(bargiri[[#This Row],[شماره سند مبنا]],invoice[شماره پیش فاکتور],0))</f>
        <v>119178027.13113381</v>
      </c>
      <c r="K1697" s="159">
        <f>bargiri[[#This Row],[مبلغ خالص]]-bargiri[[#This Row],[میزان استهلاک پیش دریافتی]]</f>
        <v>671501972.86886621</v>
      </c>
      <c r="L1697" s="160"/>
      <c r="M1697" s="159"/>
      <c r="N1697" s="159">
        <f>IF(bargiri[[#This Row],[مبلغ واریزی]]&lt;&gt;"",bargiri[[#This Row],[مانده مبلغ]]-bargiri[[#This Row],[مبلغ واریزی]],bargiri[[#This Row],[مانده مبلغ]])</f>
        <v>671501972.86886621</v>
      </c>
      <c r="O1697" s="159"/>
      <c r="P1697" s="159">
        <f>VLOOKUP(bargiri[[#This Row],[شماره سند مبنا]],invoice[[شماره پیش فاکتور]:[پیش دریافت به ازای هر کیلوگرم]],14,0)</f>
        <v>13264.109864344331</v>
      </c>
      <c r="Q1697" s="159">
        <f>IF(bargiri[[#This Row],[مبلغ ناخالص]]-(bargiri[[#This Row],[نرخ استهلاک]]*bargiri[[#This Row],[مقدار]])&lt;0,0,bargiri[[#This Row],[مبلغ ناخالص]]-(bargiri[[#This Row],[نرخ استهلاک]]*bargiri[[#This Row],[مقدار]]))</f>
        <v>599621972.86886621</v>
      </c>
    </row>
    <row r="1698" spans="1:17" s="22" customFormat="1" ht="13.8" x14ac:dyDescent="0.25">
      <c r="A1698" s="22">
        <v>1185</v>
      </c>
      <c r="B1698" s="22" t="s">
        <v>306</v>
      </c>
      <c r="C1698" s="22" t="s">
        <v>59</v>
      </c>
      <c r="D1698" s="22" t="s">
        <v>57</v>
      </c>
      <c r="E1698" s="158">
        <v>9950</v>
      </c>
      <c r="F1698" s="159">
        <v>80000</v>
      </c>
      <c r="G1698" s="159">
        <v>796000000</v>
      </c>
      <c r="H1698" s="159">
        <v>71640000</v>
      </c>
      <c r="I1698" s="159">
        <v>867640000</v>
      </c>
      <c r="J1698" s="159" t="e">
        <f>bargiri[[#This Row],[مقدار]]*INDEX(invoice[پیش دریافت به ازای هر کیلوگرم],MATCH(bargiri[[#This Row],[شماره سند مبنا]],invoice[شماره پیش فاکتور],0))</f>
        <v>#N/A</v>
      </c>
      <c r="K1698" s="159" t="e">
        <f>bargiri[[#This Row],[مبلغ خالص]]-bargiri[[#This Row],[میزان استهلاک پیش دریافتی]]</f>
        <v>#N/A</v>
      </c>
      <c r="L1698" s="160"/>
      <c r="M1698" s="159"/>
      <c r="N1698" s="159" t="e">
        <f>IF(bargiri[[#This Row],[مبلغ واریزی]]&lt;&gt;"",bargiri[[#This Row],[مانده مبلغ]]-bargiri[[#This Row],[مبلغ واریزی]],bargiri[[#This Row],[مانده مبلغ]])</f>
        <v>#N/A</v>
      </c>
      <c r="O1698" s="159"/>
      <c r="P1698" s="159" t="e">
        <f>VLOOKUP(bargiri[[#This Row],[شماره سند مبنا]],invoice[[شماره پیش فاکتور]:[پیش دریافت به ازای هر کیلوگرم]],14,0)</f>
        <v>#N/A</v>
      </c>
      <c r="Q1698" s="159" t="e">
        <f>IF(bargiri[[#This Row],[مبلغ ناخالص]]-(bargiri[[#This Row],[نرخ استهلاک]]*bargiri[[#This Row],[مقدار]])&lt;0,0,bargiri[[#This Row],[مبلغ ناخالص]]-(bargiri[[#This Row],[نرخ استهلاک]]*bargiri[[#This Row],[مقدار]]))</f>
        <v>#N/A</v>
      </c>
    </row>
    <row r="1699" spans="1:17" s="22" customFormat="1" ht="13.8" x14ac:dyDescent="0.25">
      <c r="A1699" s="22">
        <v>1184</v>
      </c>
      <c r="B1699" s="22" t="s">
        <v>306</v>
      </c>
      <c r="C1699" s="22" t="s">
        <v>155</v>
      </c>
      <c r="D1699" s="22" t="s">
        <v>156</v>
      </c>
      <c r="E1699" s="158">
        <v>10065</v>
      </c>
      <c r="F1699" s="159">
        <v>75000</v>
      </c>
      <c r="G1699" s="159">
        <v>754875000</v>
      </c>
      <c r="H1699" s="159">
        <v>75487500</v>
      </c>
      <c r="I1699" s="159">
        <v>830362500</v>
      </c>
      <c r="J1699" s="159">
        <f>bargiri[[#This Row],[مقدار]]*INDEX(invoice[پیش دریافت به ازای هر کیلوگرم],MATCH(bargiri[[#This Row],[شماره سند مبنا]],invoice[شماره پیش فاکتور],0))</f>
        <v>124554375</v>
      </c>
      <c r="K1699" s="159">
        <f>bargiri[[#This Row],[مبلغ خالص]]-bargiri[[#This Row],[میزان استهلاک پیش دریافتی]]</f>
        <v>705808125</v>
      </c>
      <c r="L1699" s="160"/>
      <c r="M1699" s="159"/>
      <c r="N1699" s="159">
        <f>IF(bargiri[[#This Row],[مبلغ واریزی]]&lt;&gt;"",bargiri[[#This Row],[مانده مبلغ]]-bargiri[[#This Row],[مبلغ واریزی]],bargiri[[#This Row],[مانده مبلغ]])</f>
        <v>705808125</v>
      </c>
      <c r="O1699" s="159"/>
      <c r="P1699" s="159">
        <f>VLOOKUP(bargiri[[#This Row],[شماره سند مبنا]],invoice[[شماره پیش فاکتور]:[پیش دریافت به ازای هر کیلوگرم]],14,0)</f>
        <v>12375</v>
      </c>
      <c r="Q1699" s="159">
        <f>IF(bargiri[[#This Row],[مبلغ ناخالص]]-(bargiri[[#This Row],[نرخ استهلاک]]*bargiri[[#This Row],[مقدار]])&lt;0,0,bargiri[[#This Row],[مبلغ ناخالص]]-(bargiri[[#This Row],[نرخ استهلاک]]*bargiri[[#This Row],[مقدار]]))</f>
        <v>630320625</v>
      </c>
    </row>
    <row r="1700" spans="1:17" s="22" customFormat="1" ht="13.8" x14ac:dyDescent="0.25">
      <c r="A1700" s="22">
        <v>1182</v>
      </c>
      <c r="B1700" s="22" t="s">
        <v>306</v>
      </c>
      <c r="C1700" s="22" t="s">
        <v>42</v>
      </c>
      <c r="D1700" s="22" t="s">
        <v>43</v>
      </c>
      <c r="E1700" s="158">
        <v>18115</v>
      </c>
      <c r="F1700" s="159">
        <v>70000</v>
      </c>
      <c r="G1700" s="159">
        <v>1268050000</v>
      </c>
      <c r="H1700" s="159">
        <v>126805000</v>
      </c>
      <c r="I1700" s="159">
        <v>1394855000</v>
      </c>
      <c r="J1700" s="159" t="e">
        <f>bargiri[[#This Row],[مقدار]]*INDEX(invoice[پیش دریافت به ازای هر کیلوگرم],MATCH(bargiri[[#This Row],[شماره سند مبنا]],invoice[شماره پیش فاکتور],0))</f>
        <v>#N/A</v>
      </c>
      <c r="K1700" s="159" t="e">
        <f>bargiri[[#This Row],[مبلغ خالص]]-bargiri[[#This Row],[میزان استهلاک پیش دریافتی]]</f>
        <v>#N/A</v>
      </c>
      <c r="L1700" s="160"/>
      <c r="M1700" s="159"/>
      <c r="N1700" s="159" t="e">
        <f>IF(bargiri[[#This Row],[مبلغ واریزی]]&lt;&gt;"",bargiri[[#This Row],[مانده مبلغ]]-bargiri[[#This Row],[مبلغ واریزی]],bargiri[[#This Row],[مانده مبلغ]])</f>
        <v>#N/A</v>
      </c>
      <c r="O1700" s="159"/>
      <c r="P1700" s="159" t="e">
        <f>VLOOKUP(bargiri[[#This Row],[شماره سند مبنا]],invoice[[شماره پیش فاکتور]:[پیش دریافت به ازای هر کیلوگرم]],14,0)</f>
        <v>#N/A</v>
      </c>
      <c r="Q1700" s="159" t="e">
        <f>IF(bargiri[[#This Row],[مبلغ ناخالص]]-(bargiri[[#This Row],[نرخ استهلاک]]*bargiri[[#This Row],[مقدار]])&lt;0,0,bargiri[[#This Row],[مبلغ ناخالص]]-(bargiri[[#This Row],[نرخ استهلاک]]*bargiri[[#This Row],[مقدار]]))</f>
        <v>#N/A</v>
      </c>
    </row>
    <row r="1701" spans="1:17" s="22" customFormat="1" ht="13.8" x14ac:dyDescent="0.25">
      <c r="A1701" s="22">
        <v>1180</v>
      </c>
      <c r="B1701" s="22" t="s">
        <v>192</v>
      </c>
      <c r="C1701" s="22" t="s">
        <v>66</v>
      </c>
      <c r="D1701" s="22" t="s">
        <v>67</v>
      </c>
      <c r="E1701" s="158">
        <v>19095</v>
      </c>
      <c r="F1701" s="159">
        <v>68500</v>
      </c>
      <c r="G1701" s="159">
        <v>1308007500</v>
      </c>
      <c r="H1701" s="159">
        <v>117720675</v>
      </c>
      <c r="I1701" s="159">
        <v>1425728175</v>
      </c>
      <c r="J1701" s="159" t="e">
        <f>bargiri[[#This Row],[مقدار]]*INDEX(invoice[پیش دریافت به ازای هر کیلوگرم],MATCH(bargiri[[#This Row],[شماره سند مبنا]],invoice[شماره پیش فاکتور],0))</f>
        <v>#N/A</v>
      </c>
      <c r="K1701" s="159" t="e">
        <f>bargiri[[#This Row],[مبلغ خالص]]-bargiri[[#This Row],[میزان استهلاک پیش دریافتی]]</f>
        <v>#N/A</v>
      </c>
      <c r="L1701" s="160"/>
      <c r="M1701" s="159"/>
      <c r="N1701" s="159" t="e">
        <f>IF(bargiri[[#This Row],[مبلغ واریزی]]&lt;&gt;"",bargiri[[#This Row],[مانده مبلغ]]-bargiri[[#This Row],[مبلغ واریزی]],bargiri[[#This Row],[مانده مبلغ]])</f>
        <v>#N/A</v>
      </c>
      <c r="O1701" s="159"/>
      <c r="P1701" s="159" t="e">
        <f>VLOOKUP(bargiri[[#This Row],[شماره سند مبنا]],invoice[[شماره پیش فاکتور]:[پیش دریافت به ازای هر کیلوگرم]],14,0)</f>
        <v>#N/A</v>
      </c>
      <c r="Q1701" s="159" t="e">
        <f>IF(bargiri[[#This Row],[مبلغ ناخالص]]-(bargiri[[#This Row],[نرخ استهلاک]]*bargiri[[#This Row],[مقدار]])&lt;0,0,bargiri[[#This Row],[مبلغ ناخالص]]-(bargiri[[#This Row],[نرخ استهلاک]]*bargiri[[#This Row],[مقدار]]))</f>
        <v>#N/A</v>
      </c>
    </row>
    <row r="1702" spans="1:17" s="22" customFormat="1" ht="13.8" x14ac:dyDescent="0.25">
      <c r="A1702" s="22">
        <v>1179</v>
      </c>
      <c r="B1702" s="22" t="s">
        <v>192</v>
      </c>
      <c r="C1702" s="22" t="s">
        <v>42</v>
      </c>
      <c r="D1702" s="22" t="s">
        <v>43</v>
      </c>
      <c r="E1702" s="158">
        <v>17950</v>
      </c>
      <c r="F1702" s="159">
        <v>70000</v>
      </c>
      <c r="G1702" s="159">
        <v>1256500000</v>
      </c>
      <c r="H1702" s="159">
        <v>125650000</v>
      </c>
      <c r="I1702" s="159">
        <v>1382150000</v>
      </c>
      <c r="J1702" s="159" t="e">
        <f>bargiri[[#This Row],[مقدار]]*INDEX(invoice[پیش دریافت به ازای هر کیلوگرم],MATCH(bargiri[[#This Row],[شماره سند مبنا]],invoice[شماره پیش فاکتور],0))</f>
        <v>#N/A</v>
      </c>
      <c r="K1702" s="159" t="e">
        <f>bargiri[[#This Row],[مبلغ خالص]]-bargiri[[#This Row],[میزان استهلاک پیش دریافتی]]</f>
        <v>#N/A</v>
      </c>
      <c r="L1702" s="160"/>
      <c r="M1702" s="159"/>
      <c r="N1702" s="159" t="e">
        <f>IF(bargiri[[#This Row],[مبلغ واریزی]]&lt;&gt;"",bargiri[[#This Row],[مانده مبلغ]]-bargiri[[#This Row],[مبلغ واریزی]],bargiri[[#This Row],[مانده مبلغ]])</f>
        <v>#N/A</v>
      </c>
      <c r="O1702" s="159"/>
      <c r="P1702" s="159" t="e">
        <f>VLOOKUP(bargiri[[#This Row],[شماره سند مبنا]],invoice[[شماره پیش فاکتور]:[پیش دریافت به ازای هر کیلوگرم]],14,0)</f>
        <v>#N/A</v>
      </c>
      <c r="Q1702" s="159" t="e">
        <f>IF(bargiri[[#This Row],[مبلغ ناخالص]]-(bargiri[[#This Row],[نرخ استهلاک]]*bargiri[[#This Row],[مقدار]])&lt;0,0,bargiri[[#This Row],[مبلغ ناخالص]]-(bargiri[[#This Row],[نرخ استهلاک]]*bargiri[[#This Row],[مقدار]]))</f>
        <v>#N/A</v>
      </c>
    </row>
    <row r="1703" spans="1:17" s="22" customFormat="1" ht="13.8" x14ac:dyDescent="0.25">
      <c r="A1703" s="22">
        <v>1178</v>
      </c>
      <c r="B1703" s="22" t="s">
        <v>192</v>
      </c>
      <c r="C1703" s="22" t="s">
        <v>86</v>
      </c>
      <c r="D1703" s="22" t="s">
        <v>30</v>
      </c>
      <c r="E1703" s="158">
        <v>7065</v>
      </c>
      <c r="F1703" s="159">
        <v>65000</v>
      </c>
      <c r="G1703" s="159">
        <v>459225000</v>
      </c>
      <c r="H1703" s="159">
        <v>45922500</v>
      </c>
      <c r="I1703" s="159">
        <v>505147500</v>
      </c>
      <c r="J1703" s="159" t="e">
        <f>bargiri[[#This Row],[مقدار]]*INDEX(invoice[پیش دریافت به ازای هر کیلوگرم],MATCH(bargiri[[#This Row],[شماره سند مبنا]],invoice[شماره پیش فاکتور],0))</f>
        <v>#N/A</v>
      </c>
      <c r="K1703" s="159" t="e">
        <f>bargiri[[#This Row],[مبلغ خالص]]-bargiri[[#This Row],[میزان استهلاک پیش دریافتی]]</f>
        <v>#N/A</v>
      </c>
      <c r="L1703" s="160"/>
      <c r="M1703" s="159"/>
      <c r="N1703" s="159" t="e">
        <f>IF(bargiri[[#This Row],[مبلغ واریزی]]&lt;&gt;"",bargiri[[#This Row],[مانده مبلغ]]-bargiri[[#This Row],[مبلغ واریزی]],bargiri[[#This Row],[مانده مبلغ]])</f>
        <v>#N/A</v>
      </c>
      <c r="O1703" s="159"/>
      <c r="P1703" s="159" t="e">
        <f>VLOOKUP(bargiri[[#This Row],[شماره سند مبنا]],invoice[[شماره پیش فاکتور]:[پیش دریافت به ازای هر کیلوگرم]],14,0)</f>
        <v>#N/A</v>
      </c>
      <c r="Q1703" s="159" t="e">
        <f>IF(bargiri[[#This Row],[مبلغ ناخالص]]-(bargiri[[#This Row],[نرخ استهلاک]]*bargiri[[#This Row],[مقدار]])&lt;0,0,bargiri[[#This Row],[مبلغ ناخالص]]-(bargiri[[#This Row],[نرخ استهلاک]]*bargiri[[#This Row],[مقدار]]))</f>
        <v>#N/A</v>
      </c>
    </row>
    <row r="1704" spans="1:17" s="22" customFormat="1" ht="13.8" x14ac:dyDescent="0.25">
      <c r="A1704" s="22">
        <v>1177</v>
      </c>
      <c r="B1704" s="22" t="s">
        <v>192</v>
      </c>
      <c r="C1704" s="22" t="s">
        <v>81</v>
      </c>
      <c r="D1704" s="22" t="s">
        <v>35</v>
      </c>
      <c r="E1704" s="158">
        <v>7460</v>
      </c>
      <c r="F1704" s="159">
        <v>70000</v>
      </c>
      <c r="G1704" s="159">
        <v>522200000</v>
      </c>
      <c r="H1704" s="159">
        <v>52220000</v>
      </c>
      <c r="I1704" s="159">
        <v>574420000</v>
      </c>
      <c r="J1704" s="159" t="e">
        <f>bargiri[[#This Row],[مقدار]]*INDEX(invoice[پیش دریافت به ازای هر کیلوگرم],MATCH(bargiri[[#This Row],[شماره سند مبنا]],invoice[شماره پیش فاکتور],0))</f>
        <v>#N/A</v>
      </c>
      <c r="K1704" s="159" t="e">
        <f>bargiri[[#This Row],[مبلغ خالص]]-bargiri[[#This Row],[میزان استهلاک پیش دریافتی]]</f>
        <v>#N/A</v>
      </c>
      <c r="L1704" s="160"/>
      <c r="M1704" s="159"/>
      <c r="N1704" s="159" t="e">
        <f>IF(bargiri[[#This Row],[مبلغ واریزی]]&lt;&gt;"",bargiri[[#This Row],[مانده مبلغ]]-bargiri[[#This Row],[مبلغ واریزی]],bargiri[[#This Row],[مانده مبلغ]])</f>
        <v>#N/A</v>
      </c>
      <c r="O1704" s="159"/>
      <c r="P1704" s="159" t="e">
        <f>VLOOKUP(bargiri[[#This Row],[شماره سند مبنا]],invoice[[شماره پیش فاکتور]:[پیش دریافت به ازای هر کیلوگرم]],14,0)</f>
        <v>#N/A</v>
      </c>
      <c r="Q1704" s="159" t="e">
        <f>IF(bargiri[[#This Row],[مبلغ ناخالص]]-(bargiri[[#This Row],[نرخ استهلاک]]*bargiri[[#This Row],[مقدار]])&lt;0,0,bargiri[[#This Row],[مبلغ ناخالص]]-(bargiri[[#This Row],[نرخ استهلاک]]*bargiri[[#This Row],[مقدار]]))</f>
        <v>#N/A</v>
      </c>
    </row>
    <row r="1705" spans="1:17" s="22" customFormat="1" ht="13.8" x14ac:dyDescent="0.25">
      <c r="A1705" s="22">
        <v>1176</v>
      </c>
      <c r="B1705" s="22" t="s">
        <v>192</v>
      </c>
      <c r="C1705" s="22" t="s">
        <v>104</v>
      </c>
      <c r="D1705" s="22" t="s">
        <v>17</v>
      </c>
      <c r="E1705" s="158">
        <v>20180</v>
      </c>
      <c r="F1705" s="159">
        <v>72000</v>
      </c>
      <c r="G1705" s="159">
        <v>1452960000</v>
      </c>
      <c r="H1705" s="159">
        <v>145296000</v>
      </c>
      <c r="I1705" s="159">
        <v>1598256000</v>
      </c>
      <c r="J1705" s="159" t="e">
        <f>bargiri[[#This Row],[مقدار]]*INDEX(invoice[پیش دریافت به ازای هر کیلوگرم],MATCH(bargiri[[#This Row],[شماره سند مبنا]],invoice[شماره پیش فاکتور],0))</f>
        <v>#N/A</v>
      </c>
      <c r="K1705" s="159" t="e">
        <f>bargiri[[#This Row],[مبلغ خالص]]-bargiri[[#This Row],[میزان استهلاک پیش دریافتی]]</f>
        <v>#N/A</v>
      </c>
      <c r="L1705" s="160"/>
      <c r="M1705" s="159"/>
      <c r="N1705" s="159" t="e">
        <f>IF(bargiri[[#This Row],[مبلغ واریزی]]&lt;&gt;"",bargiri[[#This Row],[مانده مبلغ]]-bargiri[[#This Row],[مبلغ واریزی]],bargiri[[#This Row],[مانده مبلغ]])</f>
        <v>#N/A</v>
      </c>
      <c r="O1705" s="159"/>
      <c r="P1705" s="159" t="e">
        <f>VLOOKUP(bargiri[[#This Row],[شماره سند مبنا]],invoice[[شماره پیش فاکتور]:[پیش دریافت به ازای هر کیلوگرم]],14,0)</f>
        <v>#N/A</v>
      </c>
      <c r="Q1705" s="159" t="e">
        <f>IF(bargiri[[#This Row],[مبلغ ناخالص]]-(bargiri[[#This Row],[نرخ استهلاک]]*bargiri[[#This Row],[مقدار]])&lt;0,0,bargiri[[#This Row],[مبلغ ناخالص]]-(bargiri[[#This Row],[نرخ استهلاک]]*bargiri[[#This Row],[مقدار]]))</f>
        <v>#N/A</v>
      </c>
    </row>
    <row r="1706" spans="1:17" s="22" customFormat="1" ht="13.8" x14ac:dyDescent="0.25">
      <c r="A1706" s="22">
        <v>1175</v>
      </c>
      <c r="B1706" s="22" t="s">
        <v>192</v>
      </c>
      <c r="C1706" s="22" t="s">
        <v>115</v>
      </c>
      <c r="D1706" s="22" t="s">
        <v>116</v>
      </c>
      <c r="E1706" s="158">
        <v>20305</v>
      </c>
      <c r="F1706" s="159">
        <v>75000</v>
      </c>
      <c r="G1706" s="159">
        <v>1522875000</v>
      </c>
      <c r="H1706" s="159">
        <v>152287500</v>
      </c>
      <c r="I1706" s="159">
        <v>1675162500</v>
      </c>
      <c r="J1706" s="159">
        <f>bargiri[[#This Row],[مقدار]]*INDEX(invoice[پیش دریافت به ازای هر کیلوگرم],MATCH(bargiri[[#This Row],[شماره سند مبنا]],invoice[شماره پیش فاکتور],0))</f>
        <v>304782251.93131328</v>
      </c>
      <c r="K1706" s="159">
        <f>bargiri[[#This Row],[مبلغ خالص]]-bargiri[[#This Row],[میزان استهلاک پیش دریافتی]]</f>
        <v>1370380248.0686867</v>
      </c>
      <c r="L1706" s="160"/>
      <c r="M1706" s="159"/>
      <c r="N1706" s="159">
        <f>IF(bargiri[[#This Row],[مبلغ واریزی]]&lt;&gt;"",bargiri[[#This Row],[مانده مبلغ]]-bargiri[[#This Row],[مبلغ واریزی]],bargiri[[#This Row],[مانده مبلغ]])</f>
        <v>1370380248.0686867</v>
      </c>
      <c r="O1706" s="159"/>
      <c r="P1706" s="159">
        <f>VLOOKUP(bargiri[[#This Row],[شماره سند مبنا]],invoice[[شماره پیش فاکتور]:[پیش دریافت به ازای هر کیلوگرم]],14,0)</f>
        <v>15010.206940719689</v>
      </c>
      <c r="Q1706" s="159">
        <f>IF(bargiri[[#This Row],[مبلغ ناخالص]]-(bargiri[[#This Row],[نرخ استهلاک]]*bargiri[[#This Row],[مقدار]])&lt;0,0,bargiri[[#This Row],[مبلغ ناخالص]]-(bargiri[[#This Row],[نرخ استهلاک]]*bargiri[[#This Row],[مقدار]]))</f>
        <v>1218092748.0686867</v>
      </c>
    </row>
    <row r="1707" spans="1:17" s="22" customFormat="1" ht="13.8" x14ac:dyDescent="0.25">
      <c r="A1707" s="22">
        <v>1174</v>
      </c>
      <c r="B1707" s="22" t="s">
        <v>305</v>
      </c>
      <c r="C1707" s="22" t="s">
        <v>66</v>
      </c>
      <c r="D1707" s="22" t="s">
        <v>67</v>
      </c>
      <c r="E1707" s="158">
        <v>20115</v>
      </c>
      <c r="F1707" s="159">
        <v>68500</v>
      </c>
      <c r="G1707" s="159">
        <v>1377877500</v>
      </c>
      <c r="H1707" s="159">
        <v>124008975</v>
      </c>
      <c r="I1707" s="159">
        <v>1501886475</v>
      </c>
      <c r="J1707" s="159" t="e">
        <f>bargiri[[#This Row],[مقدار]]*INDEX(invoice[پیش دریافت به ازای هر کیلوگرم],MATCH(bargiri[[#This Row],[شماره سند مبنا]],invoice[شماره پیش فاکتور],0))</f>
        <v>#N/A</v>
      </c>
      <c r="K1707" s="159" t="e">
        <f>bargiri[[#This Row],[مبلغ خالص]]-bargiri[[#This Row],[میزان استهلاک پیش دریافتی]]</f>
        <v>#N/A</v>
      </c>
      <c r="L1707" s="160"/>
      <c r="M1707" s="159"/>
      <c r="N1707" s="159" t="e">
        <f>IF(bargiri[[#This Row],[مبلغ واریزی]]&lt;&gt;"",bargiri[[#This Row],[مانده مبلغ]]-bargiri[[#This Row],[مبلغ واریزی]],bargiri[[#This Row],[مانده مبلغ]])</f>
        <v>#N/A</v>
      </c>
      <c r="O1707" s="159"/>
      <c r="P1707" s="159" t="e">
        <f>VLOOKUP(bargiri[[#This Row],[شماره سند مبنا]],invoice[[شماره پیش فاکتور]:[پیش دریافت به ازای هر کیلوگرم]],14,0)</f>
        <v>#N/A</v>
      </c>
      <c r="Q1707" s="159" t="e">
        <f>IF(bargiri[[#This Row],[مبلغ ناخالص]]-(bargiri[[#This Row],[نرخ استهلاک]]*bargiri[[#This Row],[مقدار]])&lt;0,0,bargiri[[#This Row],[مبلغ ناخالص]]-(bargiri[[#This Row],[نرخ استهلاک]]*bargiri[[#This Row],[مقدار]]))</f>
        <v>#N/A</v>
      </c>
    </row>
    <row r="1708" spans="1:17" s="22" customFormat="1" ht="13.8" x14ac:dyDescent="0.25">
      <c r="A1708" s="22">
        <v>1173</v>
      </c>
      <c r="B1708" s="22" t="s">
        <v>305</v>
      </c>
      <c r="C1708" s="22" t="s">
        <v>109</v>
      </c>
      <c r="D1708" s="22" t="s">
        <v>110</v>
      </c>
      <c r="E1708" s="158">
        <v>18980</v>
      </c>
      <c r="F1708" s="159">
        <v>70000</v>
      </c>
      <c r="G1708" s="159">
        <v>1328600000</v>
      </c>
      <c r="H1708" s="159">
        <v>132860000</v>
      </c>
      <c r="I1708" s="159">
        <v>1461460000</v>
      </c>
      <c r="J1708" s="159" t="e">
        <f>bargiri[[#This Row],[مقدار]]*INDEX(invoice[پیش دریافت به ازای هر کیلوگرم],MATCH(bargiri[[#This Row],[شماره سند مبنا]],invoice[شماره پیش فاکتور],0))</f>
        <v>#N/A</v>
      </c>
      <c r="K1708" s="159" t="e">
        <f>bargiri[[#This Row],[مبلغ خالص]]-bargiri[[#This Row],[میزان استهلاک پیش دریافتی]]</f>
        <v>#N/A</v>
      </c>
      <c r="L1708" s="160"/>
      <c r="M1708" s="159"/>
      <c r="N1708" s="159" t="e">
        <f>IF(bargiri[[#This Row],[مبلغ واریزی]]&lt;&gt;"",bargiri[[#This Row],[مانده مبلغ]]-bargiri[[#This Row],[مبلغ واریزی]],bargiri[[#This Row],[مانده مبلغ]])</f>
        <v>#N/A</v>
      </c>
      <c r="O1708" s="159"/>
      <c r="P1708" s="159" t="e">
        <f>VLOOKUP(bargiri[[#This Row],[شماره سند مبنا]],invoice[[شماره پیش فاکتور]:[پیش دریافت به ازای هر کیلوگرم]],14,0)</f>
        <v>#N/A</v>
      </c>
      <c r="Q1708" s="159" t="e">
        <f>IF(bargiri[[#This Row],[مبلغ ناخالص]]-(bargiri[[#This Row],[نرخ استهلاک]]*bargiri[[#This Row],[مقدار]])&lt;0,0,bargiri[[#This Row],[مبلغ ناخالص]]-(bargiri[[#This Row],[نرخ استهلاک]]*bargiri[[#This Row],[مقدار]]))</f>
        <v>#N/A</v>
      </c>
    </row>
    <row r="1709" spans="1:17" s="22" customFormat="1" ht="13.8" x14ac:dyDescent="0.25">
      <c r="A1709" s="22">
        <v>1172</v>
      </c>
      <c r="B1709" s="22" t="s">
        <v>305</v>
      </c>
      <c r="C1709" s="22" t="s">
        <v>59</v>
      </c>
      <c r="D1709" s="22" t="s">
        <v>57</v>
      </c>
      <c r="E1709" s="158">
        <v>9855</v>
      </c>
      <c r="F1709" s="159">
        <v>80000</v>
      </c>
      <c r="G1709" s="159">
        <v>788400000</v>
      </c>
      <c r="H1709" s="159">
        <v>70956000</v>
      </c>
      <c r="I1709" s="159">
        <v>859356000</v>
      </c>
      <c r="J1709" s="159" t="e">
        <f>bargiri[[#This Row],[مقدار]]*INDEX(invoice[پیش دریافت به ازای هر کیلوگرم],MATCH(bargiri[[#This Row],[شماره سند مبنا]],invoice[شماره پیش فاکتور],0))</f>
        <v>#N/A</v>
      </c>
      <c r="K1709" s="159" t="e">
        <f>bargiri[[#This Row],[مبلغ خالص]]-bargiri[[#This Row],[میزان استهلاک پیش دریافتی]]</f>
        <v>#N/A</v>
      </c>
      <c r="L1709" s="160"/>
      <c r="M1709" s="159"/>
      <c r="N1709" s="159" t="e">
        <f>IF(bargiri[[#This Row],[مبلغ واریزی]]&lt;&gt;"",bargiri[[#This Row],[مانده مبلغ]]-bargiri[[#This Row],[مبلغ واریزی]],bargiri[[#This Row],[مانده مبلغ]])</f>
        <v>#N/A</v>
      </c>
      <c r="O1709" s="159"/>
      <c r="P1709" s="159" t="e">
        <f>VLOOKUP(bargiri[[#This Row],[شماره سند مبنا]],invoice[[شماره پیش فاکتور]:[پیش دریافت به ازای هر کیلوگرم]],14,0)</f>
        <v>#N/A</v>
      </c>
      <c r="Q1709" s="159" t="e">
        <f>IF(bargiri[[#This Row],[مبلغ ناخالص]]-(bargiri[[#This Row],[نرخ استهلاک]]*bargiri[[#This Row],[مقدار]])&lt;0,0,bargiri[[#This Row],[مبلغ ناخالص]]-(bargiri[[#This Row],[نرخ استهلاک]]*bargiri[[#This Row],[مقدار]]))</f>
        <v>#N/A</v>
      </c>
    </row>
    <row r="1710" spans="1:17" s="22" customFormat="1" ht="13.8" x14ac:dyDescent="0.25">
      <c r="A1710" s="22">
        <v>1171</v>
      </c>
      <c r="B1710" s="22" t="s">
        <v>304</v>
      </c>
      <c r="C1710" s="22" t="s">
        <v>172</v>
      </c>
      <c r="D1710" s="22" t="s">
        <v>173</v>
      </c>
      <c r="E1710" s="158">
        <v>21985</v>
      </c>
      <c r="F1710" s="159">
        <v>75000</v>
      </c>
      <c r="G1710" s="159">
        <v>1648875000</v>
      </c>
      <c r="H1710" s="159">
        <v>164887500</v>
      </c>
      <c r="I1710" s="159">
        <v>1813762500</v>
      </c>
      <c r="J1710" s="159">
        <f>bargiri[[#This Row],[مقدار]]*INDEX(invoice[پیش دریافت به ازای هر کیلوگرم],MATCH(bargiri[[#This Row],[شماره سند مبنا]],invoice[شماره پیش فاکتور],0))</f>
        <v>272064375</v>
      </c>
      <c r="K1710" s="159">
        <f>bargiri[[#This Row],[مبلغ خالص]]-bargiri[[#This Row],[میزان استهلاک پیش دریافتی]]</f>
        <v>1541698125</v>
      </c>
      <c r="L1710" s="160"/>
      <c r="M1710" s="159"/>
      <c r="N1710" s="159">
        <f>IF(bargiri[[#This Row],[مبلغ واریزی]]&lt;&gt;"",bargiri[[#This Row],[مانده مبلغ]]-bargiri[[#This Row],[مبلغ واریزی]],bargiri[[#This Row],[مانده مبلغ]])</f>
        <v>1541698125</v>
      </c>
      <c r="O1710" s="159"/>
      <c r="P1710" s="159">
        <f>VLOOKUP(bargiri[[#This Row],[شماره سند مبنا]],invoice[[شماره پیش فاکتور]:[پیش دریافت به ازای هر کیلوگرم]],14,0)</f>
        <v>12375</v>
      </c>
      <c r="Q1710" s="159">
        <f>IF(bargiri[[#This Row],[مبلغ ناخالص]]-(bargiri[[#This Row],[نرخ استهلاک]]*bargiri[[#This Row],[مقدار]])&lt;0,0,bargiri[[#This Row],[مبلغ ناخالص]]-(bargiri[[#This Row],[نرخ استهلاک]]*bargiri[[#This Row],[مقدار]]))</f>
        <v>1376810625</v>
      </c>
    </row>
    <row r="1711" spans="1:17" s="22" customFormat="1" ht="13.8" x14ac:dyDescent="0.25">
      <c r="A1711" s="22">
        <v>1170</v>
      </c>
      <c r="B1711" s="22" t="s">
        <v>304</v>
      </c>
      <c r="C1711" s="22" t="s">
        <v>155</v>
      </c>
      <c r="D1711" s="22" t="s">
        <v>156</v>
      </c>
      <c r="E1711" s="158">
        <v>20165</v>
      </c>
      <c r="F1711" s="159">
        <v>75000</v>
      </c>
      <c r="G1711" s="159">
        <v>1512375000</v>
      </c>
      <c r="H1711" s="159">
        <v>151237500</v>
      </c>
      <c r="I1711" s="159">
        <v>1663612500</v>
      </c>
      <c r="J1711" s="159">
        <f>bargiri[[#This Row],[مقدار]]*INDEX(invoice[پیش دریافت به ازای هر کیلوگرم],MATCH(bargiri[[#This Row],[شماره سند مبنا]],invoice[شماره پیش فاکتور],0))</f>
        <v>249541875</v>
      </c>
      <c r="K1711" s="159">
        <f>bargiri[[#This Row],[مبلغ خالص]]-bargiri[[#This Row],[میزان استهلاک پیش دریافتی]]</f>
        <v>1414070625</v>
      </c>
      <c r="L1711" s="160"/>
      <c r="M1711" s="159"/>
      <c r="N1711" s="159">
        <f>IF(bargiri[[#This Row],[مبلغ واریزی]]&lt;&gt;"",bargiri[[#This Row],[مانده مبلغ]]-bargiri[[#This Row],[مبلغ واریزی]],bargiri[[#This Row],[مانده مبلغ]])</f>
        <v>1414070625</v>
      </c>
      <c r="O1711" s="159"/>
      <c r="P1711" s="159">
        <f>VLOOKUP(bargiri[[#This Row],[شماره سند مبنا]],invoice[[شماره پیش فاکتور]:[پیش دریافت به ازای هر کیلوگرم]],14,0)</f>
        <v>12375</v>
      </c>
      <c r="Q1711" s="159">
        <f>IF(bargiri[[#This Row],[مبلغ ناخالص]]-(bargiri[[#This Row],[نرخ استهلاک]]*bargiri[[#This Row],[مقدار]])&lt;0,0,bargiri[[#This Row],[مبلغ ناخالص]]-(bargiri[[#This Row],[نرخ استهلاک]]*bargiri[[#This Row],[مقدار]]))</f>
        <v>1262833125</v>
      </c>
    </row>
    <row r="1712" spans="1:17" s="22" customFormat="1" ht="13.8" x14ac:dyDescent="0.25">
      <c r="A1712" s="22">
        <v>1169</v>
      </c>
      <c r="B1712" s="22" t="s">
        <v>246</v>
      </c>
      <c r="C1712" s="22" t="s">
        <v>72</v>
      </c>
      <c r="D1712" s="22" t="s">
        <v>73</v>
      </c>
      <c r="E1712" s="158">
        <v>20440</v>
      </c>
      <c r="F1712" s="159">
        <v>57273</v>
      </c>
      <c r="G1712" s="159">
        <v>1170660120</v>
      </c>
      <c r="H1712" s="159">
        <v>117066012</v>
      </c>
      <c r="I1712" s="159">
        <v>1287726132</v>
      </c>
      <c r="J1712" s="159" t="e">
        <f>bargiri[[#This Row],[مقدار]]*INDEX(invoice[پیش دریافت به ازای هر کیلوگرم],MATCH(bargiri[[#This Row],[شماره سند مبنا]],invoice[شماره پیش فاکتور],0))</f>
        <v>#N/A</v>
      </c>
      <c r="K1712" s="159" t="e">
        <f>bargiri[[#This Row],[مبلغ خالص]]-bargiri[[#This Row],[میزان استهلاک پیش دریافتی]]</f>
        <v>#N/A</v>
      </c>
      <c r="L1712" s="160"/>
      <c r="M1712" s="159"/>
      <c r="N1712" s="159" t="e">
        <f>IF(bargiri[[#This Row],[مبلغ واریزی]]&lt;&gt;"",bargiri[[#This Row],[مانده مبلغ]]-bargiri[[#This Row],[مبلغ واریزی]],bargiri[[#This Row],[مانده مبلغ]])</f>
        <v>#N/A</v>
      </c>
      <c r="O1712" s="159"/>
      <c r="P1712" s="159" t="e">
        <f>VLOOKUP(bargiri[[#This Row],[شماره سند مبنا]],invoice[[شماره پیش فاکتور]:[پیش دریافت به ازای هر کیلوگرم]],14,0)</f>
        <v>#N/A</v>
      </c>
      <c r="Q1712" s="159" t="e">
        <f>IF(bargiri[[#This Row],[مبلغ ناخالص]]-(bargiri[[#This Row],[نرخ استهلاک]]*bargiri[[#This Row],[مقدار]])&lt;0,0,bargiri[[#This Row],[مبلغ ناخالص]]-(bargiri[[#This Row],[نرخ استهلاک]]*bargiri[[#This Row],[مقدار]]))</f>
        <v>#N/A</v>
      </c>
    </row>
    <row r="1713" spans="1:17" s="22" customFormat="1" ht="13.8" x14ac:dyDescent="0.25">
      <c r="A1713" s="22">
        <v>1168</v>
      </c>
      <c r="B1713" s="22" t="s">
        <v>246</v>
      </c>
      <c r="C1713" s="22" t="s">
        <v>72</v>
      </c>
      <c r="D1713" s="22" t="s">
        <v>73</v>
      </c>
      <c r="E1713" s="158">
        <v>20745</v>
      </c>
      <c r="F1713" s="159">
        <v>57273</v>
      </c>
      <c r="G1713" s="159">
        <v>1188128385</v>
      </c>
      <c r="H1713" s="159">
        <v>118812839</v>
      </c>
      <c r="I1713" s="159">
        <v>1306941224</v>
      </c>
      <c r="J1713" s="159" t="e">
        <f>bargiri[[#This Row],[مقدار]]*INDEX(invoice[پیش دریافت به ازای هر کیلوگرم],MATCH(bargiri[[#This Row],[شماره سند مبنا]],invoice[شماره پیش فاکتور],0))</f>
        <v>#N/A</v>
      </c>
      <c r="K1713" s="159" t="e">
        <f>bargiri[[#This Row],[مبلغ خالص]]-bargiri[[#This Row],[میزان استهلاک پیش دریافتی]]</f>
        <v>#N/A</v>
      </c>
      <c r="L1713" s="160"/>
      <c r="M1713" s="159"/>
      <c r="N1713" s="159" t="e">
        <f>IF(bargiri[[#This Row],[مبلغ واریزی]]&lt;&gt;"",bargiri[[#This Row],[مانده مبلغ]]-bargiri[[#This Row],[مبلغ واریزی]],bargiri[[#This Row],[مانده مبلغ]])</f>
        <v>#N/A</v>
      </c>
      <c r="O1713" s="159"/>
      <c r="P1713" s="159" t="e">
        <f>VLOOKUP(bargiri[[#This Row],[شماره سند مبنا]],invoice[[شماره پیش فاکتور]:[پیش دریافت به ازای هر کیلوگرم]],14,0)</f>
        <v>#N/A</v>
      </c>
      <c r="Q1713" s="159" t="e">
        <f>IF(bargiri[[#This Row],[مبلغ ناخالص]]-(bargiri[[#This Row],[نرخ استهلاک]]*bargiri[[#This Row],[مقدار]])&lt;0,0,bargiri[[#This Row],[مبلغ ناخالص]]-(bargiri[[#This Row],[نرخ استهلاک]]*bargiri[[#This Row],[مقدار]]))</f>
        <v>#N/A</v>
      </c>
    </row>
    <row r="1714" spans="1:17" s="22" customFormat="1" ht="13.8" x14ac:dyDescent="0.25">
      <c r="A1714" s="22">
        <v>1167</v>
      </c>
      <c r="B1714" s="22" t="s">
        <v>246</v>
      </c>
      <c r="C1714" s="22" t="s">
        <v>72</v>
      </c>
      <c r="D1714" s="22" t="s">
        <v>73</v>
      </c>
      <c r="E1714" s="158">
        <v>20485</v>
      </c>
      <c r="F1714" s="159">
        <v>57273</v>
      </c>
      <c r="G1714" s="159">
        <v>1173237405</v>
      </c>
      <c r="H1714" s="159">
        <v>117323741</v>
      </c>
      <c r="I1714" s="159">
        <v>1290561146</v>
      </c>
      <c r="J1714" s="159" t="e">
        <f>bargiri[[#This Row],[مقدار]]*INDEX(invoice[پیش دریافت به ازای هر کیلوگرم],MATCH(bargiri[[#This Row],[شماره سند مبنا]],invoice[شماره پیش فاکتور],0))</f>
        <v>#N/A</v>
      </c>
      <c r="K1714" s="159" t="e">
        <f>bargiri[[#This Row],[مبلغ خالص]]-bargiri[[#This Row],[میزان استهلاک پیش دریافتی]]</f>
        <v>#N/A</v>
      </c>
      <c r="L1714" s="160"/>
      <c r="M1714" s="159"/>
      <c r="N1714" s="159" t="e">
        <f>IF(bargiri[[#This Row],[مبلغ واریزی]]&lt;&gt;"",bargiri[[#This Row],[مانده مبلغ]]-bargiri[[#This Row],[مبلغ واریزی]],bargiri[[#This Row],[مانده مبلغ]])</f>
        <v>#N/A</v>
      </c>
      <c r="O1714" s="159"/>
      <c r="P1714" s="159" t="e">
        <f>VLOOKUP(bargiri[[#This Row],[شماره سند مبنا]],invoice[[شماره پیش فاکتور]:[پیش دریافت به ازای هر کیلوگرم]],14,0)</f>
        <v>#N/A</v>
      </c>
      <c r="Q1714" s="159" t="e">
        <f>IF(bargiri[[#This Row],[مبلغ ناخالص]]-(bargiri[[#This Row],[نرخ استهلاک]]*bargiri[[#This Row],[مقدار]])&lt;0,0,bargiri[[#This Row],[مبلغ ناخالص]]-(bargiri[[#This Row],[نرخ استهلاک]]*bargiri[[#This Row],[مقدار]]))</f>
        <v>#N/A</v>
      </c>
    </row>
    <row r="1715" spans="1:17" s="22" customFormat="1" ht="13.8" x14ac:dyDescent="0.25">
      <c r="A1715" s="22">
        <v>1166</v>
      </c>
      <c r="B1715" s="22" t="s">
        <v>246</v>
      </c>
      <c r="C1715" s="22" t="s">
        <v>128</v>
      </c>
      <c r="D1715" s="22" t="s">
        <v>129</v>
      </c>
      <c r="E1715" s="158">
        <v>9025</v>
      </c>
      <c r="F1715" s="159">
        <v>80000</v>
      </c>
      <c r="G1715" s="159">
        <v>722000000</v>
      </c>
      <c r="H1715" s="159">
        <v>72200000</v>
      </c>
      <c r="I1715" s="159">
        <v>794200000</v>
      </c>
      <c r="J1715" s="159">
        <f>bargiri[[#This Row],[مقدار]]*INDEX(invoice[پیش دریافت به ازای هر کیلوگرم],MATCH(bargiri[[#This Row],[شماره سند مبنا]],invoice[شماره پیش فاکتور],0))</f>
        <v>119708591.52570759</v>
      </c>
      <c r="K1715" s="159">
        <f>bargiri[[#This Row],[مبلغ خالص]]-bargiri[[#This Row],[میزان استهلاک پیش دریافتی]]</f>
        <v>674491408.4742924</v>
      </c>
      <c r="L1715" s="160"/>
      <c r="M1715" s="159"/>
      <c r="N1715" s="159">
        <f>IF(bargiri[[#This Row],[مبلغ واریزی]]&lt;&gt;"",bargiri[[#This Row],[مانده مبلغ]]-bargiri[[#This Row],[مبلغ واریزی]],bargiri[[#This Row],[مانده مبلغ]])</f>
        <v>674491408.4742924</v>
      </c>
      <c r="O1715" s="159"/>
      <c r="P1715" s="159">
        <f>VLOOKUP(bargiri[[#This Row],[شماره سند مبنا]],invoice[[شماره پیش فاکتور]:[پیش دریافت به ازای هر کیلوگرم]],14,0)</f>
        <v>13264.109864344331</v>
      </c>
      <c r="Q1715" s="159">
        <f>IF(bargiri[[#This Row],[مبلغ ناخالص]]-(bargiri[[#This Row],[نرخ استهلاک]]*bargiri[[#This Row],[مقدار]])&lt;0,0,bargiri[[#This Row],[مبلغ ناخالص]]-(bargiri[[#This Row],[نرخ استهلاک]]*bargiri[[#This Row],[مقدار]]))</f>
        <v>602291408.4742924</v>
      </c>
    </row>
    <row r="1716" spans="1:17" s="22" customFormat="1" ht="13.8" x14ac:dyDescent="0.25">
      <c r="A1716" s="22">
        <v>1165</v>
      </c>
      <c r="B1716" s="22" t="s">
        <v>246</v>
      </c>
      <c r="C1716" s="22" t="s">
        <v>109</v>
      </c>
      <c r="D1716" s="22" t="s">
        <v>110</v>
      </c>
      <c r="E1716" s="158">
        <v>18910</v>
      </c>
      <c r="F1716" s="159">
        <v>70000</v>
      </c>
      <c r="G1716" s="159">
        <v>1323700000</v>
      </c>
      <c r="H1716" s="159">
        <v>132370000</v>
      </c>
      <c r="I1716" s="159">
        <v>1456070000</v>
      </c>
      <c r="J1716" s="159" t="e">
        <f>bargiri[[#This Row],[مقدار]]*INDEX(invoice[پیش دریافت به ازای هر کیلوگرم],MATCH(bargiri[[#This Row],[شماره سند مبنا]],invoice[شماره پیش فاکتور],0))</f>
        <v>#N/A</v>
      </c>
      <c r="K1716" s="159" t="e">
        <f>bargiri[[#This Row],[مبلغ خالص]]-bargiri[[#This Row],[میزان استهلاک پیش دریافتی]]</f>
        <v>#N/A</v>
      </c>
      <c r="L1716" s="160"/>
      <c r="M1716" s="159"/>
      <c r="N1716" s="159" t="e">
        <f>IF(bargiri[[#This Row],[مبلغ واریزی]]&lt;&gt;"",bargiri[[#This Row],[مانده مبلغ]]-bargiri[[#This Row],[مبلغ واریزی]],bargiri[[#This Row],[مانده مبلغ]])</f>
        <v>#N/A</v>
      </c>
      <c r="O1716" s="159"/>
      <c r="P1716" s="159" t="e">
        <f>VLOOKUP(bargiri[[#This Row],[شماره سند مبنا]],invoice[[شماره پیش فاکتور]:[پیش دریافت به ازای هر کیلوگرم]],14,0)</f>
        <v>#N/A</v>
      </c>
      <c r="Q1716" s="159" t="e">
        <f>IF(bargiri[[#This Row],[مبلغ ناخالص]]-(bargiri[[#This Row],[نرخ استهلاک]]*bargiri[[#This Row],[مقدار]])&lt;0,0,bargiri[[#This Row],[مبلغ ناخالص]]-(bargiri[[#This Row],[نرخ استهلاک]]*bargiri[[#This Row],[مقدار]]))</f>
        <v>#N/A</v>
      </c>
    </row>
    <row r="1717" spans="1:17" s="22" customFormat="1" ht="13.8" x14ac:dyDescent="0.25">
      <c r="A1717" s="22">
        <v>1164</v>
      </c>
      <c r="B1717" s="22" t="s">
        <v>246</v>
      </c>
      <c r="C1717" s="22" t="s">
        <v>42</v>
      </c>
      <c r="D1717" s="22" t="s">
        <v>43</v>
      </c>
      <c r="E1717" s="158">
        <v>20025</v>
      </c>
      <c r="F1717" s="159">
        <v>70000</v>
      </c>
      <c r="G1717" s="159">
        <v>1401750000</v>
      </c>
      <c r="H1717" s="159">
        <v>140175000</v>
      </c>
      <c r="I1717" s="159">
        <v>1541925000</v>
      </c>
      <c r="J1717" s="159" t="e">
        <f>bargiri[[#This Row],[مقدار]]*INDEX(invoice[پیش دریافت به ازای هر کیلوگرم],MATCH(bargiri[[#This Row],[شماره سند مبنا]],invoice[شماره پیش فاکتور],0))</f>
        <v>#N/A</v>
      </c>
      <c r="K1717" s="159" t="e">
        <f>bargiri[[#This Row],[مبلغ خالص]]-bargiri[[#This Row],[میزان استهلاک پیش دریافتی]]</f>
        <v>#N/A</v>
      </c>
      <c r="L1717" s="160"/>
      <c r="M1717" s="159"/>
      <c r="N1717" s="159" t="e">
        <f>IF(bargiri[[#This Row],[مبلغ واریزی]]&lt;&gt;"",bargiri[[#This Row],[مانده مبلغ]]-bargiri[[#This Row],[مبلغ واریزی]],bargiri[[#This Row],[مانده مبلغ]])</f>
        <v>#N/A</v>
      </c>
      <c r="O1717" s="159"/>
      <c r="P1717" s="159" t="e">
        <f>VLOOKUP(bargiri[[#This Row],[شماره سند مبنا]],invoice[[شماره پیش فاکتور]:[پیش دریافت به ازای هر کیلوگرم]],14,0)</f>
        <v>#N/A</v>
      </c>
      <c r="Q1717" s="159" t="e">
        <f>IF(bargiri[[#This Row],[مبلغ ناخالص]]-(bargiri[[#This Row],[نرخ استهلاک]]*bargiri[[#This Row],[مقدار]])&lt;0,0,bargiri[[#This Row],[مبلغ ناخالص]]-(bargiri[[#This Row],[نرخ استهلاک]]*bargiri[[#This Row],[مقدار]]))</f>
        <v>#N/A</v>
      </c>
    </row>
    <row r="1718" spans="1:17" s="22" customFormat="1" ht="13.8" x14ac:dyDescent="0.25">
      <c r="A1718" s="22">
        <v>1163</v>
      </c>
      <c r="B1718" s="22" t="s">
        <v>246</v>
      </c>
      <c r="C1718" s="22" t="s">
        <v>72</v>
      </c>
      <c r="D1718" s="22" t="s">
        <v>73</v>
      </c>
      <c r="E1718" s="158">
        <v>20800</v>
      </c>
      <c r="F1718" s="159">
        <v>57273</v>
      </c>
      <c r="G1718" s="159">
        <v>1191278400</v>
      </c>
      <c r="H1718" s="159">
        <v>119127840</v>
      </c>
      <c r="I1718" s="159">
        <v>1310406240</v>
      </c>
      <c r="J1718" s="159" t="e">
        <f>bargiri[[#This Row],[مقدار]]*INDEX(invoice[پیش دریافت به ازای هر کیلوگرم],MATCH(bargiri[[#This Row],[شماره سند مبنا]],invoice[شماره پیش فاکتور],0))</f>
        <v>#N/A</v>
      </c>
      <c r="K1718" s="159" t="e">
        <f>bargiri[[#This Row],[مبلغ خالص]]-bargiri[[#This Row],[میزان استهلاک پیش دریافتی]]</f>
        <v>#N/A</v>
      </c>
      <c r="L1718" s="160"/>
      <c r="M1718" s="159"/>
      <c r="N1718" s="159" t="e">
        <f>IF(bargiri[[#This Row],[مبلغ واریزی]]&lt;&gt;"",bargiri[[#This Row],[مانده مبلغ]]-bargiri[[#This Row],[مبلغ واریزی]],bargiri[[#This Row],[مانده مبلغ]])</f>
        <v>#N/A</v>
      </c>
      <c r="O1718" s="159"/>
      <c r="P1718" s="159" t="e">
        <f>VLOOKUP(bargiri[[#This Row],[شماره سند مبنا]],invoice[[شماره پیش فاکتور]:[پیش دریافت به ازای هر کیلوگرم]],14,0)</f>
        <v>#N/A</v>
      </c>
      <c r="Q1718" s="159" t="e">
        <f>IF(bargiri[[#This Row],[مبلغ ناخالص]]-(bargiri[[#This Row],[نرخ استهلاک]]*bargiri[[#This Row],[مقدار]])&lt;0,0,bargiri[[#This Row],[مبلغ ناخالص]]-(bargiri[[#This Row],[نرخ استهلاک]]*bargiri[[#This Row],[مقدار]]))</f>
        <v>#N/A</v>
      </c>
    </row>
    <row r="1719" spans="1:17" s="22" customFormat="1" ht="13.8" x14ac:dyDescent="0.25">
      <c r="A1719" s="22">
        <v>1162</v>
      </c>
      <c r="B1719" s="22" t="s">
        <v>246</v>
      </c>
      <c r="C1719" s="22" t="s">
        <v>72</v>
      </c>
      <c r="D1719" s="22" t="s">
        <v>73</v>
      </c>
      <c r="E1719" s="158">
        <v>20715</v>
      </c>
      <c r="F1719" s="159">
        <v>57273</v>
      </c>
      <c r="G1719" s="159">
        <v>1186410195</v>
      </c>
      <c r="H1719" s="159">
        <v>118641020</v>
      </c>
      <c r="I1719" s="159">
        <v>1305051215</v>
      </c>
      <c r="J1719" s="159" t="e">
        <f>bargiri[[#This Row],[مقدار]]*INDEX(invoice[پیش دریافت به ازای هر کیلوگرم],MATCH(bargiri[[#This Row],[شماره سند مبنا]],invoice[شماره پیش فاکتور],0))</f>
        <v>#N/A</v>
      </c>
      <c r="K1719" s="159" t="e">
        <f>bargiri[[#This Row],[مبلغ خالص]]-bargiri[[#This Row],[میزان استهلاک پیش دریافتی]]</f>
        <v>#N/A</v>
      </c>
      <c r="L1719" s="160"/>
      <c r="M1719" s="159"/>
      <c r="N1719" s="159" t="e">
        <f>IF(bargiri[[#This Row],[مبلغ واریزی]]&lt;&gt;"",bargiri[[#This Row],[مانده مبلغ]]-bargiri[[#This Row],[مبلغ واریزی]],bargiri[[#This Row],[مانده مبلغ]])</f>
        <v>#N/A</v>
      </c>
      <c r="O1719" s="159"/>
      <c r="P1719" s="159" t="e">
        <f>VLOOKUP(bargiri[[#This Row],[شماره سند مبنا]],invoice[[شماره پیش فاکتور]:[پیش دریافت به ازای هر کیلوگرم]],14,0)</f>
        <v>#N/A</v>
      </c>
      <c r="Q1719" s="159" t="e">
        <f>IF(bargiri[[#This Row],[مبلغ ناخالص]]-(bargiri[[#This Row],[نرخ استهلاک]]*bargiri[[#This Row],[مقدار]])&lt;0,0,bargiri[[#This Row],[مبلغ ناخالص]]-(bargiri[[#This Row],[نرخ استهلاک]]*bargiri[[#This Row],[مقدار]]))</f>
        <v>#N/A</v>
      </c>
    </row>
    <row r="1720" spans="1:17" s="22" customFormat="1" ht="13.8" x14ac:dyDescent="0.25">
      <c r="A1720" s="22">
        <v>1161</v>
      </c>
      <c r="B1720" s="22" t="s">
        <v>291</v>
      </c>
      <c r="C1720" s="22" t="s">
        <v>81</v>
      </c>
      <c r="D1720" s="22" t="s">
        <v>35</v>
      </c>
      <c r="E1720" s="158">
        <v>7550</v>
      </c>
      <c r="F1720" s="159">
        <v>70000</v>
      </c>
      <c r="G1720" s="159">
        <v>528500000</v>
      </c>
      <c r="H1720" s="159">
        <v>52850000</v>
      </c>
      <c r="I1720" s="159">
        <v>581350000</v>
      </c>
      <c r="J1720" s="159" t="e">
        <f>bargiri[[#This Row],[مقدار]]*INDEX(invoice[پیش دریافت به ازای هر کیلوگرم],MATCH(bargiri[[#This Row],[شماره سند مبنا]],invoice[شماره پیش فاکتور],0))</f>
        <v>#N/A</v>
      </c>
      <c r="K1720" s="159" t="e">
        <f>bargiri[[#This Row],[مبلغ خالص]]-bargiri[[#This Row],[میزان استهلاک پیش دریافتی]]</f>
        <v>#N/A</v>
      </c>
      <c r="L1720" s="160"/>
      <c r="M1720" s="159"/>
      <c r="N1720" s="159" t="e">
        <f>IF(bargiri[[#This Row],[مبلغ واریزی]]&lt;&gt;"",bargiri[[#This Row],[مانده مبلغ]]-bargiri[[#This Row],[مبلغ واریزی]],bargiri[[#This Row],[مانده مبلغ]])</f>
        <v>#N/A</v>
      </c>
      <c r="O1720" s="159"/>
      <c r="P1720" s="159" t="e">
        <f>VLOOKUP(bargiri[[#This Row],[شماره سند مبنا]],invoice[[شماره پیش فاکتور]:[پیش دریافت به ازای هر کیلوگرم]],14,0)</f>
        <v>#N/A</v>
      </c>
      <c r="Q1720" s="159" t="e">
        <f>IF(bargiri[[#This Row],[مبلغ ناخالص]]-(bargiri[[#This Row],[نرخ استهلاک]]*bargiri[[#This Row],[مقدار]])&lt;0,0,bargiri[[#This Row],[مبلغ ناخالص]]-(bargiri[[#This Row],[نرخ استهلاک]]*bargiri[[#This Row],[مقدار]]))</f>
        <v>#N/A</v>
      </c>
    </row>
    <row r="1721" spans="1:17" s="22" customFormat="1" ht="13.8" x14ac:dyDescent="0.25">
      <c r="A1721" s="22">
        <v>1160</v>
      </c>
      <c r="B1721" s="22" t="s">
        <v>188</v>
      </c>
      <c r="C1721" s="22" t="s">
        <v>84</v>
      </c>
      <c r="D1721" s="22" t="s">
        <v>51</v>
      </c>
      <c r="E1721" s="158">
        <v>20140</v>
      </c>
      <c r="F1721" s="159">
        <v>70000</v>
      </c>
      <c r="G1721" s="159">
        <v>1409800000</v>
      </c>
      <c r="H1721" s="159">
        <v>140980000</v>
      </c>
      <c r="I1721" s="159">
        <v>1550780000</v>
      </c>
      <c r="J1721" s="159" t="e">
        <f>bargiri[[#This Row],[مقدار]]*INDEX(invoice[پیش دریافت به ازای هر کیلوگرم],MATCH(bargiri[[#This Row],[شماره سند مبنا]],invoice[شماره پیش فاکتور],0))</f>
        <v>#N/A</v>
      </c>
      <c r="K1721" s="159" t="e">
        <f>bargiri[[#This Row],[مبلغ خالص]]-bargiri[[#This Row],[میزان استهلاک پیش دریافتی]]</f>
        <v>#N/A</v>
      </c>
      <c r="L1721" s="160"/>
      <c r="M1721" s="159"/>
      <c r="N1721" s="159" t="e">
        <f>IF(bargiri[[#This Row],[مبلغ واریزی]]&lt;&gt;"",bargiri[[#This Row],[مانده مبلغ]]-bargiri[[#This Row],[مبلغ واریزی]],bargiri[[#This Row],[مانده مبلغ]])</f>
        <v>#N/A</v>
      </c>
      <c r="O1721" s="159"/>
      <c r="P1721" s="159" t="e">
        <f>VLOOKUP(bargiri[[#This Row],[شماره سند مبنا]],invoice[[شماره پیش فاکتور]:[پیش دریافت به ازای هر کیلوگرم]],14,0)</f>
        <v>#N/A</v>
      </c>
      <c r="Q1721" s="159" t="e">
        <f>IF(bargiri[[#This Row],[مبلغ ناخالص]]-(bargiri[[#This Row],[نرخ استهلاک]]*bargiri[[#This Row],[مقدار]])&lt;0,0,bargiri[[#This Row],[مبلغ ناخالص]]-(bargiri[[#This Row],[نرخ استهلاک]]*bargiri[[#This Row],[مقدار]]))</f>
        <v>#N/A</v>
      </c>
    </row>
    <row r="1722" spans="1:17" s="22" customFormat="1" ht="13.8" x14ac:dyDescent="0.25">
      <c r="A1722" s="22">
        <v>1159</v>
      </c>
      <c r="B1722" s="22" t="s">
        <v>188</v>
      </c>
      <c r="C1722" s="22" t="s">
        <v>109</v>
      </c>
      <c r="D1722" s="22" t="s">
        <v>110</v>
      </c>
      <c r="E1722" s="158">
        <v>19010</v>
      </c>
      <c r="F1722" s="159">
        <v>70000</v>
      </c>
      <c r="G1722" s="159">
        <v>1330700000</v>
      </c>
      <c r="H1722" s="159">
        <v>133070000</v>
      </c>
      <c r="I1722" s="159">
        <v>1463770000</v>
      </c>
      <c r="J1722" s="159" t="e">
        <f>bargiri[[#This Row],[مقدار]]*INDEX(invoice[پیش دریافت به ازای هر کیلوگرم],MATCH(bargiri[[#This Row],[شماره سند مبنا]],invoice[شماره پیش فاکتور],0))</f>
        <v>#N/A</v>
      </c>
      <c r="K1722" s="159" t="e">
        <f>bargiri[[#This Row],[مبلغ خالص]]-bargiri[[#This Row],[میزان استهلاک پیش دریافتی]]</f>
        <v>#N/A</v>
      </c>
      <c r="L1722" s="160"/>
      <c r="M1722" s="159"/>
      <c r="N1722" s="159" t="e">
        <f>IF(bargiri[[#This Row],[مبلغ واریزی]]&lt;&gt;"",bargiri[[#This Row],[مانده مبلغ]]-bargiri[[#This Row],[مبلغ واریزی]],bargiri[[#This Row],[مانده مبلغ]])</f>
        <v>#N/A</v>
      </c>
      <c r="O1722" s="159"/>
      <c r="P1722" s="159" t="e">
        <f>VLOOKUP(bargiri[[#This Row],[شماره سند مبنا]],invoice[[شماره پیش فاکتور]:[پیش دریافت به ازای هر کیلوگرم]],14,0)</f>
        <v>#N/A</v>
      </c>
      <c r="Q1722" s="159" t="e">
        <f>IF(bargiri[[#This Row],[مبلغ ناخالص]]-(bargiri[[#This Row],[نرخ استهلاک]]*bargiri[[#This Row],[مقدار]])&lt;0,0,bargiri[[#This Row],[مبلغ ناخالص]]-(bargiri[[#This Row],[نرخ استهلاک]]*bargiri[[#This Row],[مقدار]]))</f>
        <v>#N/A</v>
      </c>
    </row>
    <row r="1723" spans="1:17" s="22" customFormat="1" ht="13.8" x14ac:dyDescent="0.25">
      <c r="A1723" s="22">
        <v>1158</v>
      </c>
      <c r="B1723" s="22" t="s">
        <v>195</v>
      </c>
      <c r="C1723" s="22" t="s">
        <v>152</v>
      </c>
      <c r="D1723" s="22" t="s">
        <v>67</v>
      </c>
      <c r="E1723" s="158">
        <v>16555</v>
      </c>
      <c r="F1723" s="159">
        <v>75000</v>
      </c>
      <c r="G1723" s="159">
        <v>1241625000</v>
      </c>
      <c r="H1723" s="159">
        <v>124162500</v>
      </c>
      <c r="I1723" s="159">
        <v>1365787500</v>
      </c>
      <c r="J1723" s="159" t="e">
        <f>bargiri[[#This Row],[مقدار]]*INDEX(invoice[پیش دریافت به ازای هر کیلوگرم],MATCH(bargiri[[#This Row],[شماره سند مبنا]],invoice[شماره پیش فاکتور],0))</f>
        <v>#N/A</v>
      </c>
      <c r="K1723" s="159" t="e">
        <f>bargiri[[#This Row],[مبلغ خالص]]-bargiri[[#This Row],[میزان استهلاک پیش دریافتی]]</f>
        <v>#N/A</v>
      </c>
      <c r="L1723" s="160"/>
      <c r="M1723" s="159"/>
      <c r="N1723" s="159" t="e">
        <f>IF(bargiri[[#This Row],[مبلغ واریزی]]&lt;&gt;"",bargiri[[#This Row],[مانده مبلغ]]-bargiri[[#This Row],[مبلغ واریزی]],bargiri[[#This Row],[مانده مبلغ]])</f>
        <v>#N/A</v>
      </c>
      <c r="O1723" s="159"/>
      <c r="P1723" s="159" t="e">
        <f>VLOOKUP(bargiri[[#This Row],[شماره سند مبنا]],invoice[[شماره پیش فاکتور]:[پیش دریافت به ازای هر کیلوگرم]],14,0)</f>
        <v>#N/A</v>
      </c>
      <c r="Q1723" s="159" t="e">
        <f>IF(bargiri[[#This Row],[مبلغ ناخالص]]-(bargiri[[#This Row],[نرخ استهلاک]]*bargiri[[#This Row],[مقدار]])&lt;0,0,bargiri[[#This Row],[مبلغ ناخالص]]-(bargiri[[#This Row],[نرخ استهلاک]]*bargiri[[#This Row],[مقدار]]))</f>
        <v>#N/A</v>
      </c>
    </row>
    <row r="1724" spans="1:17" s="22" customFormat="1" ht="13.8" x14ac:dyDescent="0.25">
      <c r="A1724" s="22">
        <v>1158</v>
      </c>
      <c r="B1724" s="22" t="s">
        <v>195</v>
      </c>
      <c r="C1724" s="22" t="s">
        <v>66</v>
      </c>
      <c r="D1724" s="22" t="s">
        <v>67</v>
      </c>
      <c r="E1724" s="158">
        <v>3480</v>
      </c>
      <c r="F1724" s="159">
        <v>68500</v>
      </c>
      <c r="G1724" s="159">
        <v>238380000</v>
      </c>
      <c r="H1724" s="159">
        <v>21454200</v>
      </c>
      <c r="I1724" s="159">
        <v>259834200</v>
      </c>
      <c r="J1724" s="159" t="e">
        <f>bargiri[[#This Row],[مقدار]]*INDEX(invoice[پیش دریافت به ازای هر کیلوگرم],MATCH(bargiri[[#This Row],[شماره سند مبنا]],invoice[شماره پیش فاکتور],0))</f>
        <v>#N/A</v>
      </c>
      <c r="K1724" s="159" t="e">
        <f>bargiri[[#This Row],[مبلغ خالص]]-bargiri[[#This Row],[میزان استهلاک پیش دریافتی]]</f>
        <v>#N/A</v>
      </c>
      <c r="L1724" s="160"/>
      <c r="M1724" s="159"/>
      <c r="N1724" s="159" t="e">
        <f>IF(bargiri[[#This Row],[مبلغ واریزی]]&lt;&gt;"",bargiri[[#This Row],[مانده مبلغ]]-bargiri[[#This Row],[مبلغ واریزی]],bargiri[[#This Row],[مانده مبلغ]])</f>
        <v>#N/A</v>
      </c>
      <c r="O1724" s="159"/>
      <c r="P1724" s="159" t="e">
        <f>VLOOKUP(bargiri[[#This Row],[شماره سند مبنا]],invoice[[شماره پیش فاکتور]:[پیش دریافت به ازای هر کیلوگرم]],14,0)</f>
        <v>#N/A</v>
      </c>
      <c r="Q1724" s="159" t="e">
        <f>IF(bargiri[[#This Row],[مبلغ ناخالص]]-(bargiri[[#This Row],[نرخ استهلاک]]*bargiri[[#This Row],[مقدار]])&lt;0,0,bargiri[[#This Row],[مبلغ ناخالص]]-(bargiri[[#This Row],[نرخ استهلاک]]*bargiri[[#This Row],[مقدار]]))</f>
        <v>#N/A</v>
      </c>
    </row>
    <row r="1725" spans="1:17" s="22" customFormat="1" ht="13.8" x14ac:dyDescent="0.25">
      <c r="A1725" s="22">
        <v>1157</v>
      </c>
      <c r="B1725" s="22" t="s">
        <v>195</v>
      </c>
      <c r="C1725" s="22" t="s">
        <v>155</v>
      </c>
      <c r="D1725" s="22" t="s">
        <v>156</v>
      </c>
      <c r="E1725" s="158">
        <v>10055</v>
      </c>
      <c r="F1725" s="159">
        <v>75000</v>
      </c>
      <c r="G1725" s="159">
        <v>754125000</v>
      </c>
      <c r="H1725" s="159">
        <v>75412500</v>
      </c>
      <c r="I1725" s="159">
        <v>829537500</v>
      </c>
      <c r="J1725" s="159">
        <f>bargiri[[#This Row],[مقدار]]*INDEX(invoice[پیش دریافت به ازای هر کیلوگرم],MATCH(bargiri[[#This Row],[شماره سند مبنا]],invoice[شماره پیش فاکتور],0))</f>
        <v>124430625</v>
      </c>
      <c r="K1725" s="159">
        <f>bargiri[[#This Row],[مبلغ خالص]]-bargiri[[#This Row],[میزان استهلاک پیش دریافتی]]</f>
        <v>705106875</v>
      </c>
      <c r="L1725" s="160"/>
      <c r="M1725" s="159"/>
      <c r="N1725" s="159">
        <f>IF(bargiri[[#This Row],[مبلغ واریزی]]&lt;&gt;"",bargiri[[#This Row],[مانده مبلغ]]-bargiri[[#This Row],[مبلغ واریزی]],bargiri[[#This Row],[مانده مبلغ]])</f>
        <v>705106875</v>
      </c>
      <c r="O1725" s="159"/>
      <c r="P1725" s="159">
        <f>VLOOKUP(bargiri[[#This Row],[شماره سند مبنا]],invoice[[شماره پیش فاکتور]:[پیش دریافت به ازای هر کیلوگرم]],14,0)</f>
        <v>12375</v>
      </c>
      <c r="Q1725" s="159">
        <f>IF(bargiri[[#This Row],[مبلغ ناخالص]]-(bargiri[[#This Row],[نرخ استهلاک]]*bargiri[[#This Row],[مقدار]])&lt;0,0,bargiri[[#This Row],[مبلغ ناخالص]]-(bargiri[[#This Row],[نرخ استهلاک]]*bargiri[[#This Row],[مقدار]]))</f>
        <v>629694375</v>
      </c>
    </row>
    <row r="1726" spans="1:17" s="22" customFormat="1" ht="13.8" x14ac:dyDescent="0.25">
      <c r="A1726" s="22">
        <v>1156</v>
      </c>
      <c r="B1726" s="22" t="s">
        <v>195</v>
      </c>
      <c r="C1726" s="22" t="s">
        <v>115</v>
      </c>
      <c r="D1726" s="22" t="s">
        <v>116</v>
      </c>
      <c r="E1726" s="158">
        <v>18710</v>
      </c>
      <c r="F1726" s="159">
        <v>75000</v>
      </c>
      <c r="G1726" s="159">
        <v>1403250000</v>
      </c>
      <c r="H1726" s="159">
        <v>140325000</v>
      </c>
      <c r="I1726" s="159">
        <v>1543575000</v>
      </c>
      <c r="J1726" s="159">
        <f>bargiri[[#This Row],[مقدار]]*INDEX(invoice[پیش دریافت به ازای هر کیلوگرم],MATCH(bargiri[[#This Row],[شماره سند مبنا]],invoice[شماره پیش فاکتور],0))</f>
        <v>280840971.86086535</v>
      </c>
      <c r="K1726" s="159">
        <f>bargiri[[#This Row],[مبلغ خالص]]-bargiri[[#This Row],[میزان استهلاک پیش دریافتی]]</f>
        <v>1262734028.1391346</v>
      </c>
      <c r="L1726" s="160"/>
      <c r="M1726" s="159"/>
      <c r="N1726" s="159">
        <f>IF(bargiri[[#This Row],[مبلغ واریزی]]&lt;&gt;"",bargiri[[#This Row],[مانده مبلغ]]-bargiri[[#This Row],[مبلغ واریزی]],bargiri[[#This Row],[مانده مبلغ]])</f>
        <v>1262734028.1391346</v>
      </c>
      <c r="O1726" s="159"/>
      <c r="P1726" s="159">
        <f>VLOOKUP(bargiri[[#This Row],[شماره سند مبنا]],invoice[[شماره پیش فاکتور]:[پیش دریافت به ازای هر کیلوگرم]],14,0)</f>
        <v>15010.206940719689</v>
      </c>
      <c r="Q1726" s="159">
        <f>IF(bargiri[[#This Row],[مبلغ ناخالص]]-(bargiri[[#This Row],[نرخ استهلاک]]*bargiri[[#This Row],[مقدار]])&lt;0,0,bargiri[[#This Row],[مبلغ ناخالص]]-(bargiri[[#This Row],[نرخ استهلاک]]*bargiri[[#This Row],[مقدار]]))</f>
        <v>1122409028.1391346</v>
      </c>
    </row>
    <row r="1727" spans="1:17" s="22" customFormat="1" ht="13.8" x14ac:dyDescent="0.25">
      <c r="A1727" s="22">
        <v>1155</v>
      </c>
      <c r="B1727" s="22" t="s">
        <v>195</v>
      </c>
      <c r="C1727" s="22" t="s">
        <v>119</v>
      </c>
      <c r="D1727" s="22" t="s">
        <v>25</v>
      </c>
      <c r="E1727" s="158">
        <v>20220</v>
      </c>
      <c r="F1727" s="159">
        <v>75000</v>
      </c>
      <c r="G1727" s="159">
        <v>1516500000</v>
      </c>
      <c r="H1727" s="159">
        <v>151650000</v>
      </c>
      <c r="I1727" s="159">
        <v>1668150000</v>
      </c>
      <c r="J1727" s="159">
        <f>bargiri[[#This Row],[مقدار]]*INDEX(invoice[پیش دریافت به ازای هر کیلوگرم],MATCH(bargiri[[#This Row],[شماره سند مبنا]],invoice[شماره پیش فاکتور],0))</f>
        <v>250222500</v>
      </c>
      <c r="K1727" s="159">
        <f>bargiri[[#This Row],[مبلغ خالص]]-bargiri[[#This Row],[میزان استهلاک پیش دریافتی]]</f>
        <v>1417927500</v>
      </c>
      <c r="L1727" s="160"/>
      <c r="M1727" s="159"/>
      <c r="N1727" s="159">
        <f>IF(bargiri[[#This Row],[مبلغ واریزی]]&lt;&gt;"",bargiri[[#This Row],[مانده مبلغ]]-bargiri[[#This Row],[مبلغ واریزی]],bargiri[[#This Row],[مانده مبلغ]])</f>
        <v>1417927500</v>
      </c>
      <c r="O1727" s="159"/>
      <c r="P1727" s="159">
        <f>VLOOKUP(bargiri[[#This Row],[شماره سند مبنا]],invoice[[شماره پیش فاکتور]:[پیش دریافت به ازای هر کیلوگرم]],14,0)</f>
        <v>12375</v>
      </c>
      <c r="Q1727" s="159">
        <f>IF(bargiri[[#This Row],[مبلغ ناخالص]]-(bargiri[[#This Row],[نرخ استهلاک]]*bargiri[[#This Row],[مقدار]])&lt;0,0,bargiri[[#This Row],[مبلغ ناخالص]]-(bargiri[[#This Row],[نرخ استهلاک]]*bargiri[[#This Row],[مقدار]]))</f>
        <v>1266277500</v>
      </c>
    </row>
    <row r="1728" spans="1:17" s="22" customFormat="1" ht="13.8" x14ac:dyDescent="0.25">
      <c r="A1728" s="22">
        <v>1154</v>
      </c>
      <c r="B1728" s="22" t="s">
        <v>195</v>
      </c>
      <c r="C1728" s="22" t="s">
        <v>72</v>
      </c>
      <c r="D1728" s="22" t="s">
        <v>73</v>
      </c>
      <c r="E1728" s="158">
        <v>20475</v>
      </c>
      <c r="F1728" s="159">
        <v>57273</v>
      </c>
      <c r="G1728" s="159">
        <v>1172664675</v>
      </c>
      <c r="H1728" s="159">
        <v>117266468</v>
      </c>
      <c r="I1728" s="159">
        <v>1289931143</v>
      </c>
      <c r="J1728" s="159" t="e">
        <f>bargiri[[#This Row],[مقدار]]*INDEX(invoice[پیش دریافت به ازای هر کیلوگرم],MATCH(bargiri[[#This Row],[شماره سند مبنا]],invoice[شماره پیش فاکتور],0))</f>
        <v>#N/A</v>
      </c>
      <c r="K1728" s="159" t="e">
        <f>bargiri[[#This Row],[مبلغ خالص]]-bargiri[[#This Row],[میزان استهلاک پیش دریافتی]]</f>
        <v>#N/A</v>
      </c>
      <c r="L1728" s="160"/>
      <c r="M1728" s="159"/>
      <c r="N1728" s="159" t="e">
        <f>IF(bargiri[[#This Row],[مبلغ واریزی]]&lt;&gt;"",bargiri[[#This Row],[مانده مبلغ]]-bargiri[[#This Row],[مبلغ واریزی]],bargiri[[#This Row],[مانده مبلغ]])</f>
        <v>#N/A</v>
      </c>
      <c r="O1728" s="159"/>
      <c r="P1728" s="159" t="e">
        <f>VLOOKUP(bargiri[[#This Row],[شماره سند مبنا]],invoice[[شماره پیش فاکتور]:[پیش دریافت به ازای هر کیلوگرم]],14,0)</f>
        <v>#N/A</v>
      </c>
      <c r="Q1728" s="159" t="e">
        <f>IF(bargiri[[#This Row],[مبلغ ناخالص]]-(bargiri[[#This Row],[نرخ استهلاک]]*bargiri[[#This Row],[مقدار]])&lt;0,0,bargiri[[#This Row],[مبلغ ناخالص]]-(bargiri[[#This Row],[نرخ استهلاک]]*bargiri[[#This Row],[مقدار]]))</f>
        <v>#N/A</v>
      </c>
    </row>
    <row r="1729" spans="1:17" s="22" customFormat="1" ht="13.8" x14ac:dyDescent="0.25">
      <c r="A1729" s="22">
        <v>1153</v>
      </c>
      <c r="B1729" s="22" t="s">
        <v>195</v>
      </c>
      <c r="C1729" s="22" t="s">
        <v>72</v>
      </c>
      <c r="D1729" s="22" t="s">
        <v>73</v>
      </c>
      <c r="E1729" s="158">
        <v>20485</v>
      </c>
      <c r="F1729" s="159">
        <v>57273</v>
      </c>
      <c r="G1729" s="159">
        <v>1173237405</v>
      </c>
      <c r="H1729" s="159">
        <v>117323741</v>
      </c>
      <c r="I1729" s="159">
        <v>1290561146</v>
      </c>
      <c r="J1729" s="159" t="e">
        <f>bargiri[[#This Row],[مقدار]]*INDEX(invoice[پیش دریافت به ازای هر کیلوگرم],MATCH(bargiri[[#This Row],[شماره سند مبنا]],invoice[شماره پیش فاکتور],0))</f>
        <v>#N/A</v>
      </c>
      <c r="K1729" s="159" t="e">
        <f>bargiri[[#This Row],[مبلغ خالص]]-bargiri[[#This Row],[میزان استهلاک پیش دریافتی]]</f>
        <v>#N/A</v>
      </c>
      <c r="L1729" s="160"/>
      <c r="M1729" s="159"/>
      <c r="N1729" s="159" t="e">
        <f>IF(bargiri[[#This Row],[مبلغ واریزی]]&lt;&gt;"",bargiri[[#This Row],[مانده مبلغ]]-bargiri[[#This Row],[مبلغ واریزی]],bargiri[[#This Row],[مانده مبلغ]])</f>
        <v>#N/A</v>
      </c>
      <c r="O1729" s="159"/>
      <c r="P1729" s="159" t="e">
        <f>VLOOKUP(bargiri[[#This Row],[شماره سند مبنا]],invoice[[شماره پیش فاکتور]:[پیش دریافت به ازای هر کیلوگرم]],14,0)</f>
        <v>#N/A</v>
      </c>
      <c r="Q1729" s="159" t="e">
        <f>IF(bargiri[[#This Row],[مبلغ ناخالص]]-(bargiri[[#This Row],[نرخ استهلاک]]*bargiri[[#This Row],[مقدار]])&lt;0,0,bargiri[[#This Row],[مبلغ ناخالص]]-(bargiri[[#This Row],[نرخ استهلاک]]*bargiri[[#This Row],[مقدار]]))</f>
        <v>#N/A</v>
      </c>
    </row>
    <row r="1730" spans="1:17" s="22" customFormat="1" ht="13.8" x14ac:dyDescent="0.25">
      <c r="A1730" s="22">
        <v>1152</v>
      </c>
      <c r="B1730" s="22" t="s">
        <v>195</v>
      </c>
      <c r="C1730" s="22" t="s">
        <v>81</v>
      </c>
      <c r="D1730" s="22" t="s">
        <v>35</v>
      </c>
      <c r="E1730" s="158">
        <v>7500</v>
      </c>
      <c r="F1730" s="159">
        <v>70000</v>
      </c>
      <c r="G1730" s="159">
        <v>525000000</v>
      </c>
      <c r="H1730" s="159">
        <v>52500000</v>
      </c>
      <c r="I1730" s="159">
        <v>577500000</v>
      </c>
      <c r="J1730" s="159" t="e">
        <f>bargiri[[#This Row],[مقدار]]*INDEX(invoice[پیش دریافت به ازای هر کیلوگرم],MATCH(bargiri[[#This Row],[شماره سند مبنا]],invoice[شماره پیش فاکتور],0))</f>
        <v>#N/A</v>
      </c>
      <c r="K1730" s="159" t="e">
        <f>bargiri[[#This Row],[مبلغ خالص]]-bargiri[[#This Row],[میزان استهلاک پیش دریافتی]]</f>
        <v>#N/A</v>
      </c>
      <c r="L1730" s="160"/>
      <c r="M1730" s="159"/>
      <c r="N1730" s="159" t="e">
        <f>IF(bargiri[[#This Row],[مبلغ واریزی]]&lt;&gt;"",bargiri[[#This Row],[مانده مبلغ]]-bargiri[[#This Row],[مبلغ واریزی]],bargiri[[#This Row],[مانده مبلغ]])</f>
        <v>#N/A</v>
      </c>
      <c r="O1730" s="159"/>
      <c r="P1730" s="159" t="e">
        <f>VLOOKUP(bargiri[[#This Row],[شماره سند مبنا]],invoice[[شماره پیش فاکتور]:[پیش دریافت به ازای هر کیلوگرم]],14,0)</f>
        <v>#N/A</v>
      </c>
      <c r="Q1730" s="159" t="e">
        <f>IF(bargiri[[#This Row],[مبلغ ناخالص]]-(bargiri[[#This Row],[نرخ استهلاک]]*bargiri[[#This Row],[مقدار]])&lt;0,0,bargiri[[#This Row],[مبلغ ناخالص]]-(bargiri[[#This Row],[نرخ استهلاک]]*bargiri[[#This Row],[مقدار]]))</f>
        <v>#N/A</v>
      </c>
    </row>
    <row r="1731" spans="1:17" s="22" customFormat="1" ht="13.8" x14ac:dyDescent="0.25">
      <c r="A1731" s="22">
        <v>1151</v>
      </c>
      <c r="B1731" s="22" t="s">
        <v>195</v>
      </c>
      <c r="C1731" s="22" t="s">
        <v>155</v>
      </c>
      <c r="D1731" s="22" t="s">
        <v>156</v>
      </c>
      <c r="E1731" s="158">
        <v>10240</v>
      </c>
      <c r="F1731" s="159">
        <v>75000</v>
      </c>
      <c r="G1731" s="159">
        <v>768000000</v>
      </c>
      <c r="H1731" s="159">
        <v>76800000</v>
      </c>
      <c r="I1731" s="159">
        <v>844800000</v>
      </c>
      <c r="J1731" s="159">
        <f>bargiri[[#This Row],[مقدار]]*INDEX(invoice[پیش دریافت به ازای هر کیلوگرم],MATCH(bargiri[[#This Row],[شماره سند مبنا]],invoice[شماره پیش فاکتور],0))</f>
        <v>126720000</v>
      </c>
      <c r="K1731" s="159">
        <f>bargiri[[#This Row],[مبلغ خالص]]-bargiri[[#This Row],[میزان استهلاک پیش دریافتی]]</f>
        <v>718080000</v>
      </c>
      <c r="L1731" s="160"/>
      <c r="M1731" s="159"/>
      <c r="N1731" s="159">
        <f>IF(bargiri[[#This Row],[مبلغ واریزی]]&lt;&gt;"",bargiri[[#This Row],[مانده مبلغ]]-bargiri[[#This Row],[مبلغ واریزی]],bargiri[[#This Row],[مانده مبلغ]])</f>
        <v>718080000</v>
      </c>
      <c r="O1731" s="159"/>
      <c r="P1731" s="159">
        <f>VLOOKUP(bargiri[[#This Row],[شماره سند مبنا]],invoice[[شماره پیش فاکتور]:[پیش دریافت به ازای هر کیلوگرم]],14,0)</f>
        <v>12375</v>
      </c>
      <c r="Q1731" s="159">
        <f>IF(bargiri[[#This Row],[مبلغ ناخالص]]-(bargiri[[#This Row],[نرخ استهلاک]]*bargiri[[#This Row],[مقدار]])&lt;0,0,bargiri[[#This Row],[مبلغ ناخالص]]-(bargiri[[#This Row],[نرخ استهلاک]]*bargiri[[#This Row],[مقدار]]))</f>
        <v>641280000</v>
      </c>
    </row>
    <row r="1732" spans="1:17" s="22" customFormat="1" ht="13.8" x14ac:dyDescent="0.25">
      <c r="A1732" s="22">
        <v>1150</v>
      </c>
      <c r="B1732" s="22" t="s">
        <v>245</v>
      </c>
      <c r="C1732" s="22" t="s">
        <v>66</v>
      </c>
      <c r="D1732" s="22" t="s">
        <v>67</v>
      </c>
      <c r="E1732" s="158">
        <v>20045</v>
      </c>
      <c r="F1732" s="159">
        <v>68500</v>
      </c>
      <c r="G1732" s="159">
        <v>1373082500</v>
      </c>
      <c r="H1732" s="159">
        <v>123577425</v>
      </c>
      <c r="I1732" s="159">
        <v>1496659925</v>
      </c>
      <c r="J1732" s="159" t="e">
        <f>bargiri[[#This Row],[مقدار]]*INDEX(invoice[پیش دریافت به ازای هر کیلوگرم],MATCH(bargiri[[#This Row],[شماره سند مبنا]],invoice[شماره پیش فاکتور],0))</f>
        <v>#N/A</v>
      </c>
      <c r="K1732" s="159" t="e">
        <f>bargiri[[#This Row],[مبلغ خالص]]-bargiri[[#This Row],[میزان استهلاک پیش دریافتی]]</f>
        <v>#N/A</v>
      </c>
      <c r="L1732" s="160"/>
      <c r="M1732" s="159"/>
      <c r="N1732" s="159" t="e">
        <f>IF(bargiri[[#This Row],[مبلغ واریزی]]&lt;&gt;"",bargiri[[#This Row],[مانده مبلغ]]-bargiri[[#This Row],[مبلغ واریزی]],bargiri[[#This Row],[مانده مبلغ]])</f>
        <v>#N/A</v>
      </c>
      <c r="O1732" s="159"/>
      <c r="P1732" s="159" t="e">
        <f>VLOOKUP(bargiri[[#This Row],[شماره سند مبنا]],invoice[[شماره پیش فاکتور]:[پیش دریافت به ازای هر کیلوگرم]],14,0)</f>
        <v>#N/A</v>
      </c>
      <c r="Q1732" s="159" t="e">
        <f>IF(bargiri[[#This Row],[مبلغ ناخالص]]-(bargiri[[#This Row],[نرخ استهلاک]]*bargiri[[#This Row],[مقدار]])&lt;0,0,bargiri[[#This Row],[مبلغ ناخالص]]-(bargiri[[#This Row],[نرخ استهلاک]]*bargiri[[#This Row],[مقدار]]))</f>
        <v>#N/A</v>
      </c>
    </row>
    <row r="1733" spans="1:17" s="22" customFormat="1" ht="13.8" x14ac:dyDescent="0.25">
      <c r="A1733" s="22">
        <v>1149</v>
      </c>
      <c r="B1733" s="22" t="s">
        <v>245</v>
      </c>
      <c r="C1733" s="22" t="s">
        <v>109</v>
      </c>
      <c r="D1733" s="22" t="s">
        <v>110</v>
      </c>
      <c r="E1733" s="158">
        <v>18560</v>
      </c>
      <c r="F1733" s="159">
        <v>70000</v>
      </c>
      <c r="G1733" s="159">
        <v>1299200000</v>
      </c>
      <c r="H1733" s="159">
        <v>129920000</v>
      </c>
      <c r="I1733" s="159">
        <v>1429120000</v>
      </c>
      <c r="J1733" s="159" t="e">
        <f>bargiri[[#This Row],[مقدار]]*INDEX(invoice[پیش دریافت به ازای هر کیلوگرم],MATCH(bargiri[[#This Row],[شماره سند مبنا]],invoice[شماره پیش فاکتور],0))</f>
        <v>#N/A</v>
      </c>
      <c r="K1733" s="159" t="e">
        <f>bargiri[[#This Row],[مبلغ خالص]]-bargiri[[#This Row],[میزان استهلاک پیش دریافتی]]</f>
        <v>#N/A</v>
      </c>
      <c r="L1733" s="160"/>
      <c r="M1733" s="159"/>
      <c r="N1733" s="159" t="e">
        <f>IF(bargiri[[#This Row],[مبلغ واریزی]]&lt;&gt;"",bargiri[[#This Row],[مانده مبلغ]]-bargiri[[#This Row],[مبلغ واریزی]],bargiri[[#This Row],[مانده مبلغ]])</f>
        <v>#N/A</v>
      </c>
      <c r="O1733" s="159"/>
      <c r="P1733" s="159" t="e">
        <f>VLOOKUP(bargiri[[#This Row],[شماره سند مبنا]],invoice[[شماره پیش فاکتور]:[پیش دریافت به ازای هر کیلوگرم]],14,0)</f>
        <v>#N/A</v>
      </c>
      <c r="Q1733" s="159" t="e">
        <f>IF(bargiri[[#This Row],[مبلغ ناخالص]]-(bargiri[[#This Row],[نرخ استهلاک]]*bargiri[[#This Row],[مقدار]])&lt;0,0,bargiri[[#This Row],[مبلغ ناخالص]]-(bargiri[[#This Row],[نرخ استهلاک]]*bargiri[[#This Row],[مقدار]]))</f>
        <v>#N/A</v>
      </c>
    </row>
    <row r="1734" spans="1:17" s="22" customFormat="1" ht="13.8" x14ac:dyDescent="0.25">
      <c r="A1734" s="22">
        <v>1148</v>
      </c>
      <c r="B1734" s="22" t="s">
        <v>245</v>
      </c>
      <c r="C1734" s="22" t="s">
        <v>72</v>
      </c>
      <c r="D1734" s="22" t="s">
        <v>73</v>
      </c>
      <c r="E1734" s="158">
        <v>20980</v>
      </c>
      <c r="F1734" s="159">
        <v>57273</v>
      </c>
      <c r="G1734" s="159">
        <v>1201587540</v>
      </c>
      <c r="H1734" s="159">
        <v>120158754</v>
      </c>
      <c r="I1734" s="159">
        <v>1321746294</v>
      </c>
      <c r="J1734" s="159" t="e">
        <f>bargiri[[#This Row],[مقدار]]*INDEX(invoice[پیش دریافت به ازای هر کیلوگرم],MATCH(bargiri[[#This Row],[شماره سند مبنا]],invoice[شماره پیش فاکتور],0))</f>
        <v>#N/A</v>
      </c>
      <c r="K1734" s="159" t="e">
        <f>bargiri[[#This Row],[مبلغ خالص]]-bargiri[[#This Row],[میزان استهلاک پیش دریافتی]]</f>
        <v>#N/A</v>
      </c>
      <c r="L1734" s="160"/>
      <c r="M1734" s="159"/>
      <c r="N1734" s="159" t="e">
        <f>IF(bargiri[[#This Row],[مبلغ واریزی]]&lt;&gt;"",bargiri[[#This Row],[مانده مبلغ]]-bargiri[[#This Row],[مبلغ واریزی]],bargiri[[#This Row],[مانده مبلغ]])</f>
        <v>#N/A</v>
      </c>
      <c r="O1734" s="159"/>
      <c r="P1734" s="159" t="e">
        <f>VLOOKUP(bargiri[[#This Row],[شماره سند مبنا]],invoice[[شماره پیش فاکتور]:[پیش دریافت به ازای هر کیلوگرم]],14,0)</f>
        <v>#N/A</v>
      </c>
      <c r="Q1734" s="159" t="e">
        <f>IF(bargiri[[#This Row],[مبلغ ناخالص]]-(bargiri[[#This Row],[نرخ استهلاک]]*bargiri[[#This Row],[مقدار]])&lt;0,0,bargiri[[#This Row],[مبلغ ناخالص]]-(bargiri[[#This Row],[نرخ استهلاک]]*bargiri[[#This Row],[مقدار]]))</f>
        <v>#N/A</v>
      </c>
    </row>
    <row r="1735" spans="1:17" s="22" customFormat="1" ht="13.8" x14ac:dyDescent="0.25">
      <c r="A1735" s="22">
        <v>1147</v>
      </c>
      <c r="B1735" s="22" t="s">
        <v>245</v>
      </c>
      <c r="C1735" s="22" t="s">
        <v>72</v>
      </c>
      <c r="D1735" s="22" t="s">
        <v>73</v>
      </c>
      <c r="E1735" s="158">
        <v>20760</v>
      </c>
      <c r="F1735" s="159">
        <v>57273</v>
      </c>
      <c r="G1735" s="159">
        <v>1188987480</v>
      </c>
      <c r="H1735" s="159">
        <v>118898748</v>
      </c>
      <c r="I1735" s="159">
        <v>1307886228</v>
      </c>
      <c r="J1735" s="159" t="e">
        <f>bargiri[[#This Row],[مقدار]]*INDEX(invoice[پیش دریافت به ازای هر کیلوگرم],MATCH(bargiri[[#This Row],[شماره سند مبنا]],invoice[شماره پیش فاکتور],0))</f>
        <v>#N/A</v>
      </c>
      <c r="K1735" s="159" t="e">
        <f>bargiri[[#This Row],[مبلغ خالص]]-bargiri[[#This Row],[میزان استهلاک پیش دریافتی]]</f>
        <v>#N/A</v>
      </c>
      <c r="L1735" s="160"/>
      <c r="M1735" s="159"/>
      <c r="N1735" s="159" t="e">
        <f>IF(bargiri[[#This Row],[مبلغ واریزی]]&lt;&gt;"",bargiri[[#This Row],[مانده مبلغ]]-bargiri[[#This Row],[مبلغ واریزی]],bargiri[[#This Row],[مانده مبلغ]])</f>
        <v>#N/A</v>
      </c>
      <c r="O1735" s="159"/>
      <c r="P1735" s="159" t="e">
        <f>VLOOKUP(bargiri[[#This Row],[شماره سند مبنا]],invoice[[شماره پیش فاکتور]:[پیش دریافت به ازای هر کیلوگرم]],14,0)</f>
        <v>#N/A</v>
      </c>
      <c r="Q1735" s="159" t="e">
        <f>IF(bargiri[[#This Row],[مبلغ ناخالص]]-(bargiri[[#This Row],[نرخ استهلاک]]*bargiri[[#This Row],[مقدار]])&lt;0,0,bargiri[[#This Row],[مبلغ ناخالص]]-(bargiri[[#This Row],[نرخ استهلاک]]*bargiri[[#This Row],[مقدار]]))</f>
        <v>#N/A</v>
      </c>
    </row>
    <row r="1736" spans="1:17" s="22" customFormat="1" ht="13.8" x14ac:dyDescent="0.25">
      <c r="A1736" s="22">
        <v>1146</v>
      </c>
      <c r="B1736" s="22" t="s">
        <v>178</v>
      </c>
      <c r="C1736" s="22" t="s">
        <v>91</v>
      </c>
      <c r="D1736" s="22" t="s">
        <v>70</v>
      </c>
      <c r="E1736" s="158">
        <v>8335</v>
      </c>
      <c r="F1736" s="159">
        <v>70000</v>
      </c>
      <c r="G1736" s="159">
        <v>583450000</v>
      </c>
      <c r="H1736" s="159">
        <v>58345000</v>
      </c>
      <c r="I1736" s="159">
        <v>641795000</v>
      </c>
      <c r="J1736" s="159" t="e">
        <f>bargiri[[#This Row],[مقدار]]*INDEX(invoice[پیش دریافت به ازای هر کیلوگرم],MATCH(bargiri[[#This Row],[شماره سند مبنا]],invoice[شماره پیش فاکتور],0))</f>
        <v>#N/A</v>
      </c>
      <c r="K1736" s="159" t="e">
        <f>bargiri[[#This Row],[مبلغ خالص]]-bargiri[[#This Row],[میزان استهلاک پیش دریافتی]]</f>
        <v>#N/A</v>
      </c>
      <c r="L1736" s="160"/>
      <c r="M1736" s="159"/>
      <c r="N1736" s="159" t="e">
        <f>IF(bargiri[[#This Row],[مبلغ واریزی]]&lt;&gt;"",bargiri[[#This Row],[مانده مبلغ]]-bargiri[[#This Row],[مبلغ واریزی]],bargiri[[#This Row],[مانده مبلغ]])</f>
        <v>#N/A</v>
      </c>
      <c r="O1736" s="159"/>
      <c r="P1736" s="159" t="e">
        <f>VLOOKUP(bargiri[[#This Row],[شماره سند مبنا]],invoice[[شماره پیش فاکتور]:[پیش دریافت به ازای هر کیلوگرم]],14,0)</f>
        <v>#N/A</v>
      </c>
      <c r="Q1736" s="159" t="e">
        <f>IF(bargiri[[#This Row],[مبلغ ناخالص]]-(bargiri[[#This Row],[نرخ استهلاک]]*bargiri[[#This Row],[مقدار]])&lt;0,0,bargiri[[#This Row],[مبلغ ناخالص]]-(bargiri[[#This Row],[نرخ استهلاک]]*bargiri[[#This Row],[مقدار]]))</f>
        <v>#N/A</v>
      </c>
    </row>
    <row r="1737" spans="1:17" s="22" customFormat="1" ht="13.8" x14ac:dyDescent="0.25">
      <c r="A1737" s="22">
        <v>1146</v>
      </c>
      <c r="B1737" s="22" t="s">
        <v>178</v>
      </c>
      <c r="C1737" s="22" t="s">
        <v>69</v>
      </c>
      <c r="D1737" s="22" t="s">
        <v>70</v>
      </c>
      <c r="E1737" s="158">
        <v>8320</v>
      </c>
      <c r="F1737" s="159">
        <v>70000</v>
      </c>
      <c r="G1737" s="159">
        <v>582400000</v>
      </c>
      <c r="H1737" s="159">
        <v>52416000</v>
      </c>
      <c r="I1737" s="159">
        <v>634816000</v>
      </c>
      <c r="J1737" s="159" t="e">
        <f>bargiri[[#This Row],[مقدار]]*INDEX(invoice[پیش دریافت به ازای هر کیلوگرم],MATCH(bargiri[[#This Row],[شماره سند مبنا]],invoice[شماره پیش فاکتور],0))</f>
        <v>#N/A</v>
      </c>
      <c r="K1737" s="159" t="e">
        <f>bargiri[[#This Row],[مبلغ خالص]]-bargiri[[#This Row],[میزان استهلاک پیش دریافتی]]</f>
        <v>#N/A</v>
      </c>
      <c r="L1737" s="160"/>
      <c r="M1737" s="159"/>
      <c r="N1737" s="159" t="e">
        <f>IF(bargiri[[#This Row],[مبلغ واریزی]]&lt;&gt;"",bargiri[[#This Row],[مانده مبلغ]]-bargiri[[#This Row],[مبلغ واریزی]],bargiri[[#This Row],[مانده مبلغ]])</f>
        <v>#N/A</v>
      </c>
      <c r="O1737" s="159"/>
      <c r="P1737" s="159" t="e">
        <f>VLOOKUP(bargiri[[#This Row],[شماره سند مبنا]],invoice[[شماره پیش فاکتور]:[پیش دریافت به ازای هر کیلوگرم]],14,0)</f>
        <v>#N/A</v>
      </c>
      <c r="Q1737" s="159" t="e">
        <f>IF(bargiri[[#This Row],[مبلغ ناخالص]]-(bargiri[[#This Row],[نرخ استهلاک]]*bargiri[[#This Row],[مقدار]])&lt;0,0,bargiri[[#This Row],[مبلغ ناخالص]]-(bargiri[[#This Row],[نرخ استهلاک]]*bargiri[[#This Row],[مقدار]]))</f>
        <v>#N/A</v>
      </c>
    </row>
    <row r="1738" spans="1:17" s="22" customFormat="1" ht="13.8" x14ac:dyDescent="0.25">
      <c r="A1738" s="22">
        <v>1146</v>
      </c>
      <c r="B1738" s="22" t="s">
        <v>178</v>
      </c>
      <c r="C1738" s="22" t="s">
        <v>176</v>
      </c>
      <c r="D1738" s="22" t="s">
        <v>70</v>
      </c>
      <c r="E1738" s="158">
        <v>3250</v>
      </c>
      <c r="F1738" s="159">
        <v>75000</v>
      </c>
      <c r="G1738" s="159">
        <v>243750000</v>
      </c>
      <c r="H1738" s="159">
        <v>24375000</v>
      </c>
      <c r="I1738" s="159">
        <v>268125000</v>
      </c>
      <c r="J1738" s="159" t="e">
        <f>bargiri[[#This Row],[مقدار]]*INDEX(invoice[پیش دریافت به ازای هر کیلوگرم],MATCH(bargiri[[#This Row],[شماره سند مبنا]],invoice[شماره پیش فاکتور],0))</f>
        <v>#N/A</v>
      </c>
      <c r="K1738" s="159" t="e">
        <f>bargiri[[#This Row],[مبلغ خالص]]-bargiri[[#This Row],[میزان استهلاک پیش دریافتی]]</f>
        <v>#N/A</v>
      </c>
      <c r="L1738" s="160"/>
      <c r="M1738" s="159"/>
      <c r="N1738" s="159" t="e">
        <f>IF(bargiri[[#This Row],[مبلغ واریزی]]&lt;&gt;"",bargiri[[#This Row],[مانده مبلغ]]-bargiri[[#This Row],[مبلغ واریزی]],bargiri[[#This Row],[مانده مبلغ]])</f>
        <v>#N/A</v>
      </c>
      <c r="O1738" s="159"/>
      <c r="P1738" s="159" t="e">
        <f>VLOOKUP(bargiri[[#This Row],[شماره سند مبنا]],invoice[[شماره پیش فاکتور]:[پیش دریافت به ازای هر کیلوگرم]],14,0)</f>
        <v>#N/A</v>
      </c>
      <c r="Q1738" s="159" t="e">
        <f>IF(bargiri[[#This Row],[مبلغ ناخالص]]-(bargiri[[#This Row],[نرخ استهلاک]]*bargiri[[#This Row],[مقدار]])&lt;0,0,bargiri[[#This Row],[مبلغ ناخالص]]-(bargiri[[#This Row],[نرخ استهلاک]]*bargiri[[#This Row],[مقدار]]))</f>
        <v>#N/A</v>
      </c>
    </row>
    <row r="1739" spans="1:17" s="22" customFormat="1" ht="13.8" x14ac:dyDescent="0.25">
      <c r="A1739" s="22">
        <v>1145</v>
      </c>
      <c r="B1739" s="22" t="s">
        <v>240</v>
      </c>
      <c r="C1739" s="22" t="s">
        <v>91</v>
      </c>
      <c r="D1739" s="22" t="s">
        <v>70</v>
      </c>
      <c r="E1739" s="158">
        <v>20175</v>
      </c>
      <c r="F1739" s="159">
        <v>70000</v>
      </c>
      <c r="G1739" s="159">
        <v>1412250000</v>
      </c>
      <c r="H1739" s="159">
        <v>141225000</v>
      </c>
      <c r="I1739" s="159">
        <v>1553475000</v>
      </c>
      <c r="J1739" s="159" t="e">
        <f>bargiri[[#This Row],[مقدار]]*INDEX(invoice[پیش دریافت به ازای هر کیلوگرم],MATCH(bargiri[[#This Row],[شماره سند مبنا]],invoice[شماره پیش فاکتور],0))</f>
        <v>#N/A</v>
      </c>
      <c r="K1739" s="159" t="e">
        <f>bargiri[[#This Row],[مبلغ خالص]]-bargiri[[#This Row],[میزان استهلاک پیش دریافتی]]</f>
        <v>#N/A</v>
      </c>
      <c r="L1739" s="160"/>
      <c r="M1739" s="159"/>
      <c r="N1739" s="159" t="e">
        <f>IF(bargiri[[#This Row],[مبلغ واریزی]]&lt;&gt;"",bargiri[[#This Row],[مانده مبلغ]]-bargiri[[#This Row],[مبلغ واریزی]],bargiri[[#This Row],[مانده مبلغ]])</f>
        <v>#N/A</v>
      </c>
      <c r="O1739" s="159"/>
      <c r="P1739" s="159" t="e">
        <f>VLOOKUP(bargiri[[#This Row],[شماره سند مبنا]],invoice[[شماره پیش فاکتور]:[پیش دریافت به ازای هر کیلوگرم]],14,0)</f>
        <v>#N/A</v>
      </c>
      <c r="Q1739" s="159" t="e">
        <f>IF(bargiri[[#This Row],[مبلغ ناخالص]]-(bargiri[[#This Row],[نرخ استهلاک]]*bargiri[[#This Row],[مقدار]])&lt;0,0,bargiri[[#This Row],[مبلغ ناخالص]]-(bargiri[[#This Row],[نرخ استهلاک]]*bargiri[[#This Row],[مقدار]]))</f>
        <v>#N/A</v>
      </c>
    </row>
    <row r="1740" spans="1:17" s="22" customFormat="1" ht="13.8" x14ac:dyDescent="0.25">
      <c r="A1740" s="22">
        <v>1144</v>
      </c>
      <c r="B1740" s="22" t="s">
        <v>286</v>
      </c>
      <c r="C1740" s="22" t="s">
        <v>91</v>
      </c>
      <c r="D1740" s="22" t="s">
        <v>70</v>
      </c>
      <c r="E1740" s="158">
        <v>20060</v>
      </c>
      <c r="F1740" s="159">
        <v>70000</v>
      </c>
      <c r="G1740" s="159">
        <v>1404200000</v>
      </c>
      <c r="H1740" s="159">
        <v>140420000</v>
      </c>
      <c r="I1740" s="159">
        <v>1544620000</v>
      </c>
      <c r="J1740" s="159" t="e">
        <f>bargiri[[#This Row],[مقدار]]*INDEX(invoice[پیش دریافت به ازای هر کیلوگرم],MATCH(bargiri[[#This Row],[شماره سند مبنا]],invoice[شماره پیش فاکتور],0))</f>
        <v>#N/A</v>
      </c>
      <c r="K1740" s="159" t="e">
        <f>bargiri[[#This Row],[مبلغ خالص]]-bargiri[[#This Row],[میزان استهلاک پیش دریافتی]]</f>
        <v>#N/A</v>
      </c>
      <c r="L1740" s="160"/>
      <c r="M1740" s="159"/>
      <c r="N1740" s="159" t="e">
        <f>IF(bargiri[[#This Row],[مبلغ واریزی]]&lt;&gt;"",bargiri[[#This Row],[مانده مبلغ]]-bargiri[[#This Row],[مبلغ واریزی]],bargiri[[#This Row],[مانده مبلغ]])</f>
        <v>#N/A</v>
      </c>
      <c r="O1740" s="159"/>
      <c r="P1740" s="159" t="e">
        <f>VLOOKUP(bargiri[[#This Row],[شماره سند مبنا]],invoice[[شماره پیش فاکتور]:[پیش دریافت به ازای هر کیلوگرم]],14,0)</f>
        <v>#N/A</v>
      </c>
      <c r="Q1740" s="159" t="e">
        <f>IF(bargiri[[#This Row],[مبلغ ناخالص]]-(bargiri[[#This Row],[نرخ استهلاک]]*bargiri[[#This Row],[مقدار]])&lt;0,0,bargiri[[#This Row],[مبلغ ناخالص]]-(bargiri[[#This Row],[نرخ استهلاک]]*bargiri[[#This Row],[مقدار]]))</f>
        <v>#N/A</v>
      </c>
    </row>
    <row r="1741" spans="1:17" s="22" customFormat="1" ht="13.8" x14ac:dyDescent="0.25">
      <c r="A1741" s="22">
        <v>1143</v>
      </c>
      <c r="B1741" s="22" t="s">
        <v>178</v>
      </c>
      <c r="C1741" s="22" t="s">
        <v>86</v>
      </c>
      <c r="D1741" s="22" t="s">
        <v>30</v>
      </c>
      <c r="E1741" s="158">
        <v>11920</v>
      </c>
      <c r="F1741" s="159">
        <v>65000</v>
      </c>
      <c r="G1741" s="159">
        <v>774800000</v>
      </c>
      <c r="H1741" s="159">
        <v>77480000</v>
      </c>
      <c r="I1741" s="159">
        <v>852280000</v>
      </c>
      <c r="J1741" s="159" t="e">
        <f>bargiri[[#This Row],[مقدار]]*INDEX(invoice[پیش دریافت به ازای هر کیلوگرم],MATCH(bargiri[[#This Row],[شماره سند مبنا]],invoice[شماره پیش فاکتور],0))</f>
        <v>#N/A</v>
      </c>
      <c r="K1741" s="159" t="e">
        <f>bargiri[[#This Row],[مبلغ خالص]]-bargiri[[#This Row],[میزان استهلاک پیش دریافتی]]</f>
        <v>#N/A</v>
      </c>
      <c r="L1741" s="160"/>
      <c r="M1741" s="159"/>
      <c r="N1741" s="159" t="e">
        <f>IF(bargiri[[#This Row],[مبلغ واریزی]]&lt;&gt;"",bargiri[[#This Row],[مانده مبلغ]]-bargiri[[#This Row],[مبلغ واریزی]],bargiri[[#This Row],[مانده مبلغ]])</f>
        <v>#N/A</v>
      </c>
      <c r="O1741" s="159"/>
      <c r="P1741" s="159" t="e">
        <f>VLOOKUP(bargiri[[#This Row],[شماره سند مبنا]],invoice[[شماره پیش فاکتور]:[پیش دریافت به ازای هر کیلوگرم]],14,0)</f>
        <v>#N/A</v>
      </c>
      <c r="Q1741" s="159" t="e">
        <f>IF(bargiri[[#This Row],[مبلغ ناخالص]]-(bargiri[[#This Row],[نرخ استهلاک]]*bargiri[[#This Row],[مقدار]])&lt;0,0,bargiri[[#This Row],[مبلغ ناخالص]]-(bargiri[[#This Row],[نرخ استهلاک]]*bargiri[[#This Row],[مقدار]]))</f>
        <v>#N/A</v>
      </c>
    </row>
    <row r="1742" spans="1:17" s="22" customFormat="1" ht="13.8" x14ac:dyDescent="0.25">
      <c r="A1742" s="22">
        <v>1142</v>
      </c>
      <c r="B1742" s="22" t="s">
        <v>178</v>
      </c>
      <c r="C1742" s="22" t="s">
        <v>42</v>
      </c>
      <c r="D1742" s="22" t="s">
        <v>43</v>
      </c>
      <c r="E1742" s="158">
        <v>20070</v>
      </c>
      <c r="F1742" s="159">
        <v>70000</v>
      </c>
      <c r="G1742" s="159">
        <v>1404900000</v>
      </c>
      <c r="H1742" s="159">
        <v>140490000</v>
      </c>
      <c r="I1742" s="159">
        <v>1545390000</v>
      </c>
      <c r="J1742" s="159" t="e">
        <f>bargiri[[#This Row],[مقدار]]*INDEX(invoice[پیش دریافت به ازای هر کیلوگرم],MATCH(bargiri[[#This Row],[شماره سند مبنا]],invoice[شماره پیش فاکتور],0))</f>
        <v>#N/A</v>
      </c>
      <c r="K1742" s="159" t="e">
        <f>bargiri[[#This Row],[مبلغ خالص]]-bargiri[[#This Row],[میزان استهلاک پیش دریافتی]]</f>
        <v>#N/A</v>
      </c>
      <c r="L1742" s="160"/>
      <c r="M1742" s="159"/>
      <c r="N1742" s="159" t="e">
        <f>IF(bargiri[[#This Row],[مبلغ واریزی]]&lt;&gt;"",bargiri[[#This Row],[مانده مبلغ]]-bargiri[[#This Row],[مبلغ واریزی]],bargiri[[#This Row],[مانده مبلغ]])</f>
        <v>#N/A</v>
      </c>
      <c r="O1742" s="159"/>
      <c r="P1742" s="159" t="e">
        <f>VLOOKUP(bargiri[[#This Row],[شماره سند مبنا]],invoice[[شماره پیش فاکتور]:[پیش دریافت به ازای هر کیلوگرم]],14,0)</f>
        <v>#N/A</v>
      </c>
      <c r="Q1742" s="159" t="e">
        <f>IF(bargiri[[#This Row],[مبلغ ناخالص]]-(bargiri[[#This Row],[نرخ استهلاک]]*bargiri[[#This Row],[مقدار]])&lt;0,0,bargiri[[#This Row],[مبلغ ناخالص]]-(bargiri[[#This Row],[نرخ استهلاک]]*bargiri[[#This Row],[مقدار]]))</f>
        <v>#N/A</v>
      </c>
    </row>
    <row r="1743" spans="1:17" s="22" customFormat="1" ht="13.8" x14ac:dyDescent="0.25">
      <c r="A1743" s="22">
        <v>1141</v>
      </c>
      <c r="B1743" s="22" t="s">
        <v>178</v>
      </c>
      <c r="C1743" s="22" t="s">
        <v>155</v>
      </c>
      <c r="D1743" s="22" t="s">
        <v>156</v>
      </c>
      <c r="E1743" s="158">
        <v>10070</v>
      </c>
      <c r="F1743" s="159">
        <v>75000</v>
      </c>
      <c r="G1743" s="159">
        <v>755250000</v>
      </c>
      <c r="H1743" s="159">
        <v>75525000</v>
      </c>
      <c r="I1743" s="159">
        <v>830775000</v>
      </c>
      <c r="J1743" s="159">
        <f>bargiri[[#This Row],[مقدار]]*INDEX(invoice[پیش دریافت به ازای هر کیلوگرم],MATCH(bargiri[[#This Row],[شماره سند مبنا]],invoice[شماره پیش فاکتور],0))</f>
        <v>124616250</v>
      </c>
      <c r="K1743" s="159">
        <f>bargiri[[#This Row],[مبلغ خالص]]-bargiri[[#This Row],[میزان استهلاک پیش دریافتی]]</f>
        <v>706158750</v>
      </c>
      <c r="L1743" s="160"/>
      <c r="M1743" s="159"/>
      <c r="N1743" s="159">
        <f>IF(bargiri[[#This Row],[مبلغ واریزی]]&lt;&gt;"",bargiri[[#This Row],[مانده مبلغ]]-bargiri[[#This Row],[مبلغ واریزی]],bargiri[[#This Row],[مانده مبلغ]])</f>
        <v>706158750</v>
      </c>
      <c r="O1743" s="159"/>
      <c r="P1743" s="159">
        <f>VLOOKUP(bargiri[[#This Row],[شماره سند مبنا]],invoice[[شماره پیش فاکتور]:[پیش دریافت به ازای هر کیلوگرم]],14,0)</f>
        <v>12375</v>
      </c>
      <c r="Q1743" s="159">
        <f>IF(bargiri[[#This Row],[مبلغ ناخالص]]-(bargiri[[#This Row],[نرخ استهلاک]]*bargiri[[#This Row],[مقدار]])&lt;0,0,bargiri[[#This Row],[مبلغ ناخالص]]-(bargiri[[#This Row],[نرخ استهلاک]]*bargiri[[#This Row],[مقدار]]))</f>
        <v>630633750</v>
      </c>
    </row>
    <row r="1744" spans="1:17" s="22" customFormat="1" ht="13.8" x14ac:dyDescent="0.25">
      <c r="A1744" s="22">
        <v>1140</v>
      </c>
      <c r="B1744" s="22" t="s">
        <v>178</v>
      </c>
      <c r="C1744" s="22" t="s">
        <v>66</v>
      </c>
      <c r="D1744" s="22" t="s">
        <v>67</v>
      </c>
      <c r="E1744" s="158">
        <v>19950</v>
      </c>
      <c r="F1744" s="159">
        <v>68500</v>
      </c>
      <c r="G1744" s="159">
        <v>1366575000</v>
      </c>
      <c r="H1744" s="159">
        <v>122991750</v>
      </c>
      <c r="I1744" s="159">
        <v>1489566750</v>
      </c>
      <c r="J1744" s="159" t="e">
        <f>bargiri[[#This Row],[مقدار]]*INDEX(invoice[پیش دریافت به ازای هر کیلوگرم],MATCH(bargiri[[#This Row],[شماره سند مبنا]],invoice[شماره پیش فاکتور],0))</f>
        <v>#N/A</v>
      </c>
      <c r="K1744" s="159" t="e">
        <f>bargiri[[#This Row],[مبلغ خالص]]-bargiri[[#This Row],[میزان استهلاک پیش دریافتی]]</f>
        <v>#N/A</v>
      </c>
      <c r="L1744" s="160"/>
      <c r="M1744" s="159"/>
      <c r="N1744" s="159" t="e">
        <f>IF(bargiri[[#This Row],[مبلغ واریزی]]&lt;&gt;"",bargiri[[#This Row],[مانده مبلغ]]-bargiri[[#This Row],[مبلغ واریزی]],bargiri[[#This Row],[مانده مبلغ]])</f>
        <v>#N/A</v>
      </c>
      <c r="O1744" s="159"/>
      <c r="P1744" s="159" t="e">
        <f>VLOOKUP(bargiri[[#This Row],[شماره سند مبنا]],invoice[[شماره پیش فاکتور]:[پیش دریافت به ازای هر کیلوگرم]],14,0)</f>
        <v>#N/A</v>
      </c>
      <c r="Q1744" s="159" t="e">
        <f>IF(bargiri[[#This Row],[مبلغ ناخالص]]-(bargiri[[#This Row],[نرخ استهلاک]]*bargiri[[#This Row],[مقدار]])&lt;0,0,bargiri[[#This Row],[مبلغ ناخالص]]-(bargiri[[#This Row],[نرخ استهلاک]]*bargiri[[#This Row],[مقدار]]))</f>
        <v>#N/A</v>
      </c>
    </row>
    <row r="1745" spans="1:17" s="22" customFormat="1" ht="13.8" x14ac:dyDescent="0.25">
      <c r="A1745" s="22">
        <v>1139</v>
      </c>
      <c r="B1745" s="22" t="s">
        <v>178</v>
      </c>
      <c r="C1745" s="22" t="s">
        <v>42</v>
      </c>
      <c r="D1745" s="22" t="s">
        <v>43</v>
      </c>
      <c r="E1745" s="158">
        <v>18065</v>
      </c>
      <c r="F1745" s="159">
        <v>70000</v>
      </c>
      <c r="G1745" s="159">
        <v>1264550000</v>
      </c>
      <c r="H1745" s="159">
        <v>126455000</v>
      </c>
      <c r="I1745" s="159">
        <v>1391005000</v>
      </c>
      <c r="J1745" s="159" t="e">
        <f>bargiri[[#This Row],[مقدار]]*INDEX(invoice[پیش دریافت به ازای هر کیلوگرم],MATCH(bargiri[[#This Row],[شماره سند مبنا]],invoice[شماره پیش فاکتور],0))</f>
        <v>#N/A</v>
      </c>
      <c r="K1745" s="159" t="e">
        <f>bargiri[[#This Row],[مبلغ خالص]]-bargiri[[#This Row],[میزان استهلاک پیش دریافتی]]</f>
        <v>#N/A</v>
      </c>
      <c r="L1745" s="160"/>
      <c r="M1745" s="159"/>
      <c r="N1745" s="159" t="e">
        <f>IF(bargiri[[#This Row],[مبلغ واریزی]]&lt;&gt;"",bargiri[[#This Row],[مانده مبلغ]]-bargiri[[#This Row],[مبلغ واریزی]],bargiri[[#This Row],[مانده مبلغ]])</f>
        <v>#N/A</v>
      </c>
      <c r="O1745" s="159"/>
      <c r="P1745" s="159" t="e">
        <f>VLOOKUP(bargiri[[#This Row],[شماره سند مبنا]],invoice[[شماره پیش فاکتور]:[پیش دریافت به ازای هر کیلوگرم]],14,0)</f>
        <v>#N/A</v>
      </c>
      <c r="Q1745" s="159" t="e">
        <f>IF(bargiri[[#This Row],[مبلغ ناخالص]]-(bargiri[[#This Row],[نرخ استهلاک]]*bargiri[[#This Row],[مقدار]])&lt;0,0,bargiri[[#This Row],[مبلغ ناخالص]]-(bargiri[[#This Row],[نرخ استهلاک]]*bargiri[[#This Row],[مقدار]]))</f>
        <v>#N/A</v>
      </c>
    </row>
    <row r="1746" spans="1:17" s="22" customFormat="1" ht="13.8" x14ac:dyDescent="0.25">
      <c r="A1746" s="22">
        <v>1138</v>
      </c>
      <c r="B1746" s="22" t="s">
        <v>178</v>
      </c>
      <c r="C1746" s="22" t="s">
        <v>66</v>
      </c>
      <c r="D1746" s="22" t="s">
        <v>67</v>
      </c>
      <c r="E1746" s="158">
        <v>20120</v>
      </c>
      <c r="F1746" s="159">
        <v>68500</v>
      </c>
      <c r="G1746" s="159">
        <v>1378220000</v>
      </c>
      <c r="H1746" s="159">
        <v>124039800</v>
      </c>
      <c r="I1746" s="159">
        <v>1502259800</v>
      </c>
      <c r="J1746" s="159" t="e">
        <f>bargiri[[#This Row],[مقدار]]*INDEX(invoice[پیش دریافت به ازای هر کیلوگرم],MATCH(bargiri[[#This Row],[شماره سند مبنا]],invoice[شماره پیش فاکتور],0))</f>
        <v>#N/A</v>
      </c>
      <c r="K1746" s="159" t="e">
        <f>bargiri[[#This Row],[مبلغ خالص]]-bargiri[[#This Row],[میزان استهلاک پیش دریافتی]]</f>
        <v>#N/A</v>
      </c>
      <c r="L1746" s="160"/>
      <c r="M1746" s="159"/>
      <c r="N1746" s="159" t="e">
        <f>IF(bargiri[[#This Row],[مبلغ واریزی]]&lt;&gt;"",bargiri[[#This Row],[مانده مبلغ]]-bargiri[[#This Row],[مبلغ واریزی]],bargiri[[#This Row],[مانده مبلغ]])</f>
        <v>#N/A</v>
      </c>
      <c r="O1746" s="159"/>
      <c r="P1746" s="159" t="e">
        <f>VLOOKUP(bargiri[[#This Row],[شماره سند مبنا]],invoice[[شماره پیش فاکتور]:[پیش دریافت به ازای هر کیلوگرم]],14,0)</f>
        <v>#N/A</v>
      </c>
      <c r="Q1746" s="159" t="e">
        <f>IF(bargiri[[#This Row],[مبلغ ناخالص]]-(bargiri[[#This Row],[نرخ استهلاک]]*bargiri[[#This Row],[مقدار]])&lt;0,0,bargiri[[#This Row],[مبلغ ناخالص]]-(bargiri[[#This Row],[نرخ استهلاک]]*bargiri[[#This Row],[مقدار]]))</f>
        <v>#N/A</v>
      </c>
    </row>
    <row r="1747" spans="1:17" s="22" customFormat="1" ht="13.8" x14ac:dyDescent="0.25">
      <c r="A1747" s="22">
        <v>1137</v>
      </c>
      <c r="B1747" s="22" t="s">
        <v>162</v>
      </c>
      <c r="C1747" s="22" t="s">
        <v>66</v>
      </c>
      <c r="D1747" s="22" t="s">
        <v>67</v>
      </c>
      <c r="E1747" s="158">
        <v>19980</v>
      </c>
      <c r="F1747" s="159">
        <v>68500</v>
      </c>
      <c r="G1747" s="159">
        <v>1368630000</v>
      </c>
      <c r="H1747" s="159">
        <v>123176700</v>
      </c>
      <c r="I1747" s="159">
        <v>1491806700</v>
      </c>
      <c r="J1747" s="159" t="e">
        <f>bargiri[[#This Row],[مقدار]]*INDEX(invoice[پیش دریافت به ازای هر کیلوگرم],MATCH(bargiri[[#This Row],[شماره سند مبنا]],invoice[شماره پیش فاکتور],0))</f>
        <v>#N/A</v>
      </c>
      <c r="K1747" s="159" t="e">
        <f>bargiri[[#This Row],[مبلغ خالص]]-bargiri[[#This Row],[میزان استهلاک پیش دریافتی]]</f>
        <v>#N/A</v>
      </c>
      <c r="L1747" s="160"/>
      <c r="M1747" s="159"/>
      <c r="N1747" s="159" t="e">
        <f>IF(bargiri[[#This Row],[مبلغ واریزی]]&lt;&gt;"",bargiri[[#This Row],[مانده مبلغ]]-bargiri[[#This Row],[مبلغ واریزی]],bargiri[[#This Row],[مانده مبلغ]])</f>
        <v>#N/A</v>
      </c>
      <c r="O1747" s="159"/>
      <c r="P1747" s="159" t="e">
        <f>VLOOKUP(bargiri[[#This Row],[شماره سند مبنا]],invoice[[شماره پیش فاکتور]:[پیش دریافت به ازای هر کیلوگرم]],14,0)</f>
        <v>#N/A</v>
      </c>
      <c r="Q1747" s="159" t="e">
        <f>IF(bargiri[[#This Row],[مبلغ ناخالص]]-(bargiri[[#This Row],[نرخ استهلاک]]*bargiri[[#This Row],[مقدار]])&lt;0,0,bargiri[[#This Row],[مبلغ ناخالص]]-(bargiri[[#This Row],[نرخ استهلاک]]*bargiri[[#This Row],[مقدار]]))</f>
        <v>#N/A</v>
      </c>
    </row>
    <row r="1748" spans="1:17" s="22" customFormat="1" ht="13.8" x14ac:dyDescent="0.25">
      <c r="A1748" s="22">
        <v>1136</v>
      </c>
      <c r="B1748" s="22" t="s">
        <v>162</v>
      </c>
      <c r="C1748" s="22" t="s">
        <v>66</v>
      </c>
      <c r="D1748" s="22" t="s">
        <v>67</v>
      </c>
      <c r="E1748" s="158">
        <v>20060</v>
      </c>
      <c r="F1748" s="159">
        <v>68500</v>
      </c>
      <c r="G1748" s="159">
        <v>1374110000</v>
      </c>
      <c r="H1748" s="159">
        <v>123669900</v>
      </c>
      <c r="I1748" s="159">
        <v>1497779900</v>
      </c>
      <c r="J1748" s="159" t="e">
        <f>bargiri[[#This Row],[مقدار]]*INDEX(invoice[پیش دریافت به ازای هر کیلوگرم],MATCH(bargiri[[#This Row],[شماره سند مبنا]],invoice[شماره پیش فاکتور],0))</f>
        <v>#N/A</v>
      </c>
      <c r="K1748" s="159" t="e">
        <f>bargiri[[#This Row],[مبلغ خالص]]-bargiri[[#This Row],[میزان استهلاک پیش دریافتی]]</f>
        <v>#N/A</v>
      </c>
      <c r="L1748" s="160"/>
      <c r="M1748" s="159"/>
      <c r="N1748" s="159" t="e">
        <f>IF(bargiri[[#This Row],[مبلغ واریزی]]&lt;&gt;"",bargiri[[#This Row],[مانده مبلغ]]-bargiri[[#This Row],[مبلغ واریزی]],bargiri[[#This Row],[مانده مبلغ]])</f>
        <v>#N/A</v>
      </c>
      <c r="O1748" s="159"/>
      <c r="P1748" s="159" t="e">
        <f>VLOOKUP(bargiri[[#This Row],[شماره سند مبنا]],invoice[[شماره پیش فاکتور]:[پیش دریافت به ازای هر کیلوگرم]],14,0)</f>
        <v>#N/A</v>
      </c>
      <c r="Q1748" s="159" t="e">
        <f>IF(bargiri[[#This Row],[مبلغ ناخالص]]-(bargiri[[#This Row],[نرخ استهلاک]]*bargiri[[#This Row],[مقدار]])&lt;0,0,bargiri[[#This Row],[مبلغ ناخالص]]-(bargiri[[#This Row],[نرخ استهلاک]]*bargiri[[#This Row],[مقدار]]))</f>
        <v>#N/A</v>
      </c>
    </row>
    <row r="1749" spans="1:17" s="22" customFormat="1" ht="13.8" x14ac:dyDescent="0.25">
      <c r="A1749" s="22">
        <v>1135</v>
      </c>
      <c r="B1749" s="22" t="s">
        <v>45</v>
      </c>
      <c r="C1749" s="22" t="s">
        <v>175</v>
      </c>
      <c r="D1749" s="22" t="s">
        <v>64</v>
      </c>
      <c r="E1749" s="158">
        <v>18725</v>
      </c>
      <c r="F1749" s="159">
        <v>75000</v>
      </c>
      <c r="G1749" s="159">
        <v>1404375000</v>
      </c>
      <c r="H1749" s="159">
        <v>140437500</v>
      </c>
      <c r="I1749" s="159">
        <v>1544812500</v>
      </c>
      <c r="J1749" s="159" t="e">
        <f>bargiri[[#This Row],[مقدار]]*INDEX(invoice[پیش دریافت به ازای هر کیلوگرم],MATCH(bargiri[[#This Row],[شماره سند مبنا]],invoice[شماره پیش فاکتور],0))</f>
        <v>#N/A</v>
      </c>
      <c r="K1749" s="159" t="e">
        <f>bargiri[[#This Row],[مبلغ خالص]]-bargiri[[#This Row],[میزان استهلاک پیش دریافتی]]</f>
        <v>#N/A</v>
      </c>
      <c r="L1749" s="160"/>
      <c r="M1749" s="159"/>
      <c r="N1749" s="159" t="e">
        <f>IF(bargiri[[#This Row],[مبلغ واریزی]]&lt;&gt;"",bargiri[[#This Row],[مانده مبلغ]]-bargiri[[#This Row],[مبلغ واریزی]],bargiri[[#This Row],[مانده مبلغ]])</f>
        <v>#N/A</v>
      </c>
      <c r="O1749" s="159"/>
      <c r="P1749" s="159" t="e">
        <f>VLOOKUP(bargiri[[#This Row],[شماره سند مبنا]],invoice[[شماره پیش فاکتور]:[پیش دریافت به ازای هر کیلوگرم]],14,0)</f>
        <v>#N/A</v>
      </c>
      <c r="Q1749" s="159" t="e">
        <f>IF(bargiri[[#This Row],[مبلغ ناخالص]]-(bargiri[[#This Row],[نرخ استهلاک]]*bargiri[[#This Row],[مقدار]])&lt;0,0,bargiri[[#This Row],[مبلغ ناخالص]]-(bargiri[[#This Row],[نرخ استهلاک]]*bargiri[[#This Row],[مقدار]]))</f>
        <v>#N/A</v>
      </c>
    </row>
    <row r="1750" spans="1:17" s="22" customFormat="1" ht="13.8" x14ac:dyDescent="0.25">
      <c r="A1750" s="22">
        <v>1135</v>
      </c>
      <c r="B1750" s="22" t="s">
        <v>45</v>
      </c>
      <c r="C1750" s="22" t="s">
        <v>99</v>
      </c>
      <c r="D1750" s="22" t="s">
        <v>64</v>
      </c>
      <c r="E1750" s="158">
        <v>4585</v>
      </c>
      <c r="F1750" s="159">
        <v>75000</v>
      </c>
      <c r="G1750" s="159">
        <v>343875000</v>
      </c>
      <c r="H1750" s="159">
        <v>34387500</v>
      </c>
      <c r="I1750" s="159">
        <v>378262500</v>
      </c>
      <c r="J1750" s="159" t="e">
        <f>bargiri[[#This Row],[مقدار]]*INDEX(invoice[پیش دریافت به ازای هر کیلوگرم],MATCH(bargiri[[#This Row],[شماره سند مبنا]],invoice[شماره پیش فاکتور],0))</f>
        <v>#N/A</v>
      </c>
      <c r="K1750" s="159" t="e">
        <f>bargiri[[#This Row],[مبلغ خالص]]-bargiri[[#This Row],[میزان استهلاک پیش دریافتی]]</f>
        <v>#N/A</v>
      </c>
      <c r="L1750" s="160"/>
      <c r="M1750" s="159"/>
      <c r="N1750" s="159" t="e">
        <f>IF(bargiri[[#This Row],[مبلغ واریزی]]&lt;&gt;"",bargiri[[#This Row],[مانده مبلغ]]-bargiri[[#This Row],[مبلغ واریزی]],bargiri[[#This Row],[مانده مبلغ]])</f>
        <v>#N/A</v>
      </c>
      <c r="O1750" s="159"/>
      <c r="P1750" s="159" t="e">
        <f>VLOOKUP(bargiri[[#This Row],[شماره سند مبنا]],invoice[[شماره پیش فاکتور]:[پیش دریافت به ازای هر کیلوگرم]],14,0)</f>
        <v>#N/A</v>
      </c>
      <c r="Q1750" s="159" t="e">
        <f>IF(bargiri[[#This Row],[مبلغ ناخالص]]-(bargiri[[#This Row],[نرخ استهلاک]]*bargiri[[#This Row],[مقدار]])&lt;0,0,bargiri[[#This Row],[مبلغ ناخالص]]-(bargiri[[#This Row],[نرخ استهلاک]]*bargiri[[#This Row],[مقدار]]))</f>
        <v>#N/A</v>
      </c>
    </row>
    <row r="1751" spans="1:17" s="22" customFormat="1" ht="13.8" x14ac:dyDescent="0.25">
      <c r="A1751" s="22">
        <v>1134</v>
      </c>
      <c r="B1751" s="22" t="s">
        <v>162</v>
      </c>
      <c r="C1751" s="22" t="s">
        <v>128</v>
      </c>
      <c r="D1751" s="22" t="s">
        <v>129</v>
      </c>
      <c r="E1751" s="158">
        <v>9020</v>
      </c>
      <c r="F1751" s="159">
        <v>80000</v>
      </c>
      <c r="G1751" s="159">
        <v>721600000</v>
      </c>
      <c r="H1751" s="159">
        <v>72160000</v>
      </c>
      <c r="I1751" s="159">
        <v>793760000</v>
      </c>
      <c r="J1751" s="159">
        <f>bargiri[[#This Row],[مقدار]]*INDEX(invoice[پیش دریافت به ازای هر کیلوگرم],MATCH(bargiri[[#This Row],[شماره سند مبنا]],invoice[شماره پیش فاکتور],0))</f>
        <v>119642270.97638586</v>
      </c>
      <c r="K1751" s="159">
        <f>bargiri[[#This Row],[مبلغ خالص]]-bargiri[[#This Row],[میزان استهلاک پیش دریافتی]]</f>
        <v>674117729.02361417</v>
      </c>
      <c r="L1751" s="160"/>
      <c r="M1751" s="159"/>
      <c r="N1751" s="159">
        <f>IF(bargiri[[#This Row],[مبلغ واریزی]]&lt;&gt;"",bargiri[[#This Row],[مانده مبلغ]]-bargiri[[#This Row],[مبلغ واریزی]],bargiri[[#This Row],[مانده مبلغ]])</f>
        <v>674117729.02361417</v>
      </c>
      <c r="O1751" s="159"/>
      <c r="P1751" s="159">
        <f>VLOOKUP(bargiri[[#This Row],[شماره سند مبنا]],invoice[[شماره پیش فاکتور]:[پیش دریافت به ازای هر کیلوگرم]],14,0)</f>
        <v>13264.109864344331</v>
      </c>
      <c r="Q1751" s="159">
        <f>IF(bargiri[[#This Row],[مبلغ ناخالص]]-(bargiri[[#This Row],[نرخ استهلاک]]*bargiri[[#This Row],[مقدار]])&lt;0,0,bargiri[[#This Row],[مبلغ ناخالص]]-(bargiri[[#This Row],[نرخ استهلاک]]*bargiri[[#This Row],[مقدار]]))</f>
        <v>601957729.02361417</v>
      </c>
    </row>
    <row r="1752" spans="1:17" s="22" customFormat="1" ht="13.8" x14ac:dyDescent="0.25">
      <c r="A1752" s="22">
        <v>1133</v>
      </c>
      <c r="B1752" s="22" t="s">
        <v>162</v>
      </c>
      <c r="C1752" s="22" t="s">
        <v>109</v>
      </c>
      <c r="D1752" s="22" t="s">
        <v>110</v>
      </c>
      <c r="E1752" s="158">
        <v>19075</v>
      </c>
      <c r="F1752" s="159">
        <v>70000</v>
      </c>
      <c r="G1752" s="159">
        <v>1335250000</v>
      </c>
      <c r="H1752" s="159">
        <v>133525000</v>
      </c>
      <c r="I1752" s="159">
        <v>1468775000</v>
      </c>
      <c r="J1752" s="159" t="e">
        <f>bargiri[[#This Row],[مقدار]]*INDEX(invoice[پیش دریافت به ازای هر کیلوگرم],MATCH(bargiri[[#This Row],[شماره سند مبنا]],invoice[شماره پیش فاکتور],0))</f>
        <v>#N/A</v>
      </c>
      <c r="K1752" s="159" t="e">
        <f>bargiri[[#This Row],[مبلغ خالص]]-bargiri[[#This Row],[میزان استهلاک پیش دریافتی]]</f>
        <v>#N/A</v>
      </c>
      <c r="L1752" s="160"/>
      <c r="M1752" s="159"/>
      <c r="N1752" s="159" t="e">
        <f>IF(bargiri[[#This Row],[مبلغ واریزی]]&lt;&gt;"",bargiri[[#This Row],[مانده مبلغ]]-bargiri[[#This Row],[مبلغ واریزی]],bargiri[[#This Row],[مانده مبلغ]])</f>
        <v>#N/A</v>
      </c>
      <c r="O1752" s="159"/>
      <c r="P1752" s="159" t="e">
        <f>VLOOKUP(bargiri[[#This Row],[شماره سند مبنا]],invoice[[شماره پیش فاکتور]:[پیش دریافت به ازای هر کیلوگرم]],14,0)</f>
        <v>#N/A</v>
      </c>
      <c r="Q1752" s="159" t="e">
        <f>IF(bargiri[[#This Row],[مبلغ ناخالص]]-(bargiri[[#This Row],[نرخ استهلاک]]*bargiri[[#This Row],[مقدار]])&lt;0,0,bargiri[[#This Row],[مبلغ ناخالص]]-(bargiri[[#This Row],[نرخ استهلاک]]*bargiri[[#This Row],[مقدار]]))</f>
        <v>#N/A</v>
      </c>
    </row>
    <row r="1753" spans="1:17" s="22" customFormat="1" ht="13.8" x14ac:dyDescent="0.25">
      <c r="A1753" s="22">
        <v>1132</v>
      </c>
      <c r="B1753" s="22" t="s">
        <v>162</v>
      </c>
      <c r="C1753" s="22" t="s">
        <v>128</v>
      </c>
      <c r="D1753" s="22" t="s">
        <v>129</v>
      </c>
      <c r="E1753" s="158">
        <v>9125</v>
      </c>
      <c r="F1753" s="159">
        <v>80000</v>
      </c>
      <c r="G1753" s="159">
        <v>730000000</v>
      </c>
      <c r="H1753" s="159">
        <v>73000000</v>
      </c>
      <c r="I1753" s="159">
        <v>803000000</v>
      </c>
      <c r="J1753" s="159">
        <f>bargiri[[#This Row],[مقدار]]*INDEX(invoice[پیش دریافت به ازای هر کیلوگرم],MATCH(bargiri[[#This Row],[شماره سند مبنا]],invoice[شماره پیش فاکتور],0))</f>
        <v>121035002.51214202</v>
      </c>
      <c r="K1753" s="159">
        <f>bargiri[[#This Row],[مبلغ خالص]]-bargiri[[#This Row],[میزان استهلاک پیش دریافتی]]</f>
        <v>681964997.48785794</v>
      </c>
      <c r="L1753" s="160"/>
      <c r="M1753" s="159"/>
      <c r="N1753" s="159">
        <f>IF(bargiri[[#This Row],[مبلغ واریزی]]&lt;&gt;"",bargiri[[#This Row],[مانده مبلغ]]-bargiri[[#This Row],[مبلغ واریزی]],bargiri[[#This Row],[مانده مبلغ]])</f>
        <v>681964997.48785794</v>
      </c>
      <c r="O1753" s="159"/>
      <c r="P1753" s="159">
        <f>VLOOKUP(bargiri[[#This Row],[شماره سند مبنا]],invoice[[شماره پیش فاکتور]:[پیش دریافت به ازای هر کیلوگرم]],14,0)</f>
        <v>13264.109864344331</v>
      </c>
      <c r="Q1753" s="159">
        <f>IF(bargiri[[#This Row],[مبلغ ناخالص]]-(bargiri[[#This Row],[نرخ استهلاک]]*bargiri[[#This Row],[مقدار]])&lt;0,0,bargiri[[#This Row],[مبلغ ناخالص]]-(bargiri[[#This Row],[نرخ استهلاک]]*bargiri[[#This Row],[مقدار]]))</f>
        <v>608964997.48785794</v>
      </c>
    </row>
    <row r="1754" spans="1:17" s="22" customFormat="1" ht="13.8" x14ac:dyDescent="0.25">
      <c r="A1754" s="22">
        <v>1131</v>
      </c>
      <c r="B1754" s="22" t="s">
        <v>174</v>
      </c>
      <c r="C1754" s="22" t="s">
        <v>172</v>
      </c>
      <c r="D1754" s="22" t="s">
        <v>173</v>
      </c>
      <c r="E1754" s="158">
        <v>23670</v>
      </c>
      <c r="F1754" s="159">
        <v>75000</v>
      </c>
      <c r="G1754" s="159">
        <v>1775250000</v>
      </c>
      <c r="H1754" s="159">
        <v>177525000</v>
      </c>
      <c r="I1754" s="159">
        <v>1952775000</v>
      </c>
      <c r="J1754" s="159">
        <f>bargiri[[#This Row],[مقدار]]*INDEX(invoice[پیش دریافت به ازای هر کیلوگرم],MATCH(bargiri[[#This Row],[شماره سند مبنا]],invoice[شماره پیش فاکتور],0))</f>
        <v>292916250</v>
      </c>
      <c r="K1754" s="159">
        <f>bargiri[[#This Row],[مبلغ خالص]]-bargiri[[#This Row],[میزان استهلاک پیش دریافتی]]</f>
        <v>1659858750</v>
      </c>
      <c r="L1754" s="160"/>
      <c r="M1754" s="159"/>
      <c r="N1754" s="159">
        <f>IF(bargiri[[#This Row],[مبلغ واریزی]]&lt;&gt;"",bargiri[[#This Row],[مانده مبلغ]]-bargiri[[#This Row],[مبلغ واریزی]],bargiri[[#This Row],[مانده مبلغ]])</f>
        <v>1659858750</v>
      </c>
      <c r="O1754" s="159"/>
      <c r="P1754" s="159">
        <f>VLOOKUP(bargiri[[#This Row],[شماره سند مبنا]],invoice[[شماره پیش فاکتور]:[پیش دریافت به ازای هر کیلوگرم]],14,0)</f>
        <v>12375</v>
      </c>
      <c r="Q1754" s="159">
        <f>IF(bargiri[[#This Row],[مبلغ ناخالص]]-(bargiri[[#This Row],[نرخ استهلاک]]*bargiri[[#This Row],[مقدار]])&lt;0,0,bargiri[[#This Row],[مبلغ ناخالص]]-(bargiri[[#This Row],[نرخ استهلاک]]*bargiri[[#This Row],[مقدار]]))</f>
        <v>1482333750</v>
      </c>
    </row>
    <row r="1755" spans="1:17" s="22" customFormat="1" ht="13.8" x14ac:dyDescent="0.25">
      <c r="A1755" s="22">
        <v>1130</v>
      </c>
      <c r="B1755" s="22" t="s">
        <v>240</v>
      </c>
      <c r="C1755" s="22" t="s">
        <v>72</v>
      </c>
      <c r="D1755" s="22" t="s">
        <v>73</v>
      </c>
      <c r="E1755" s="158">
        <v>21095</v>
      </c>
      <c r="F1755" s="159">
        <v>57273</v>
      </c>
      <c r="G1755" s="159">
        <v>1208173935</v>
      </c>
      <c r="H1755" s="159">
        <v>120817394</v>
      </c>
      <c r="I1755" s="159">
        <v>1328991329</v>
      </c>
      <c r="J1755" s="159" t="e">
        <f>bargiri[[#This Row],[مقدار]]*INDEX(invoice[پیش دریافت به ازای هر کیلوگرم],MATCH(bargiri[[#This Row],[شماره سند مبنا]],invoice[شماره پیش فاکتور],0))</f>
        <v>#N/A</v>
      </c>
      <c r="K1755" s="159" t="e">
        <f>bargiri[[#This Row],[مبلغ خالص]]-bargiri[[#This Row],[میزان استهلاک پیش دریافتی]]</f>
        <v>#N/A</v>
      </c>
      <c r="L1755" s="160"/>
      <c r="M1755" s="159"/>
      <c r="N1755" s="159" t="e">
        <f>IF(bargiri[[#This Row],[مبلغ واریزی]]&lt;&gt;"",bargiri[[#This Row],[مانده مبلغ]]-bargiri[[#This Row],[مبلغ واریزی]],bargiri[[#This Row],[مانده مبلغ]])</f>
        <v>#N/A</v>
      </c>
      <c r="O1755" s="159"/>
      <c r="P1755" s="159" t="e">
        <f>VLOOKUP(bargiri[[#This Row],[شماره سند مبنا]],invoice[[شماره پیش فاکتور]:[پیش دریافت به ازای هر کیلوگرم]],14,0)</f>
        <v>#N/A</v>
      </c>
      <c r="Q1755" s="159" t="e">
        <f>IF(bargiri[[#This Row],[مبلغ ناخالص]]-(bargiri[[#This Row],[نرخ استهلاک]]*bargiri[[#This Row],[مقدار]])&lt;0,0,bargiri[[#This Row],[مبلغ ناخالص]]-(bargiri[[#This Row],[نرخ استهلاک]]*bargiri[[#This Row],[مقدار]]))</f>
        <v>#N/A</v>
      </c>
    </row>
    <row r="1756" spans="1:17" s="22" customFormat="1" ht="13.8" x14ac:dyDescent="0.25">
      <c r="A1756" s="22">
        <v>1129</v>
      </c>
      <c r="B1756" s="22" t="s">
        <v>240</v>
      </c>
      <c r="C1756" s="22" t="s">
        <v>66</v>
      </c>
      <c r="D1756" s="22" t="s">
        <v>67</v>
      </c>
      <c r="E1756" s="158">
        <v>18090</v>
      </c>
      <c r="F1756" s="159">
        <v>68500</v>
      </c>
      <c r="G1756" s="159">
        <v>1239165000</v>
      </c>
      <c r="H1756" s="159">
        <v>111524850</v>
      </c>
      <c r="I1756" s="159">
        <v>1350689850</v>
      </c>
      <c r="J1756" s="159" t="e">
        <f>bargiri[[#This Row],[مقدار]]*INDEX(invoice[پیش دریافت به ازای هر کیلوگرم],MATCH(bargiri[[#This Row],[شماره سند مبنا]],invoice[شماره پیش فاکتور],0))</f>
        <v>#N/A</v>
      </c>
      <c r="K1756" s="159" t="e">
        <f>bargiri[[#This Row],[مبلغ خالص]]-bargiri[[#This Row],[میزان استهلاک پیش دریافتی]]</f>
        <v>#N/A</v>
      </c>
      <c r="L1756" s="160"/>
      <c r="M1756" s="159"/>
      <c r="N1756" s="159" t="e">
        <f>IF(bargiri[[#This Row],[مبلغ واریزی]]&lt;&gt;"",bargiri[[#This Row],[مانده مبلغ]]-bargiri[[#This Row],[مبلغ واریزی]],bargiri[[#This Row],[مانده مبلغ]])</f>
        <v>#N/A</v>
      </c>
      <c r="O1756" s="159"/>
      <c r="P1756" s="159" t="e">
        <f>VLOOKUP(bargiri[[#This Row],[شماره سند مبنا]],invoice[[شماره پیش فاکتور]:[پیش دریافت به ازای هر کیلوگرم]],14,0)</f>
        <v>#N/A</v>
      </c>
      <c r="Q1756" s="159" t="e">
        <f>IF(bargiri[[#This Row],[مبلغ ناخالص]]-(bargiri[[#This Row],[نرخ استهلاک]]*bargiri[[#This Row],[مقدار]])&lt;0,0,bargiri[[#This Row],[مبلغ ناخالص]]-(bargiri[[#This Row],[نرخ استهلاک]]*bargiri[[#This Row],[مقدار]]))</f>
        <v>#N/A</v>
      </c>
    </row>
    <row r="1757" spans="1:17" s="22" customFormat="1" ht="13.8" x14ac:dyDescent="0.25">
      <c r="A1757" s="22">
        <v>1128</v>
      </c>
      <c r="B1757" s="22" t="s">
        <v>162</v>
      </c>
      <c r="C1757" s="22" t="s">
        <v>88</v>
      </c>
      <c r="D1757" s="22" t="s">
        <v>89</v>
      </c>
      <c r="E1757" s="158">
        <v>20355</v>
      </c>
      <c r="F1757" s="159">
        <v>78000</v>
      </c>
      <c r="G1757" s="159">
        <v>1587690000</v>
      </c>
      <c r="H1757" s="159">
        <v>158769000</v>
      </c>
      <c r="I1757" s="159">
        <v>1746459000</v>
      </c>
      <c r="J1757" s="159" t="e">
        <f>bargiri[[#This Row],[مقدار]]*INDEX(invoice[پیش دریافت به ازای هر کیلوگرم],MATCH(bargiri[[#This Row],[شماره سند مبنا]],invoice[شماره پیش فاکتور],0))</f>
        <v>#N/A</v>
      </c>
      <c r="K1757" s="159" t="e">
        <f>bargiri[[#This Row],[مبلغ خالص]]-bargiri[[#This Row],[میزان استهلاک پیش دریافتی]]</f>
        <v>#N/A</v>
      </c>
      <c r="L1757" s="160"/>
      <c r="M1757" s="159"/>
      <c r="N1757" s="159" t="e">
        <f>IF(bargiri[[#This Row],[مبلغ واریزی]]&lt;&gt;"",bargiri[[#This Row],[مانده مبلغ]]-bargiri[[#This Row],[مبلغ واریزی]],bargiri[[#This Row],[مانده مبلغ]])</f>
        <v>#N/A</v>
      </c>
      <c r="O1757" s="159"/>
      <c r="P1757" s="159" t="e">
        <f>VLOOKUP(bargiri[[#This Row],[شماره سند مبنا]],invoice[[شماره پیش فاکتور]:[پیش دریافت به ازای هر کیلوگرم]],14,0)</f>
        <v>#N/A</v>
      </c>
      <c r="Q1757" s="159" t="e">
        <f>IF(bargiri[[#This Row],[مبلغ ناخالص]]-(bargiri[[#This Row],[نرخ استهلاک]]*bargiri[[#This Row],[مقدار]])&lt;0,0,bargiri[[#This Row],[مبلغ ناخالص]]-(bargiri[[#This Row],[نرخ استهلاک]]*bargiri[[#This Row],[مقدار]]))</f>
        <v>#N/A</v>
      </c>
    </row>
    <row r="1758" spans="1:17" s="22" customFormat="1" ht="13.8" x14ac:dyDescent="0.25">
      <c r="A1758" s="22">
        <v>1126</v>
      </c>
      <c r="B1758" s="22" t="s">
        <v>240</v>
      </c>
      <c r="C1758" s="22" t="s">
        <v>72</v>
      </c>
      <c r="D1758" s="22" t="s">
        <v>73</v>
      </c>
      <c r="E1758" s="158">
        <v>20630</v>
      </c>
      <c r="F1758" s="159">
        <v>57273</v>
      </c>
      <c r="G1758" s="159">
        <v>1181541990</v>
      </c>
      <c r="H1758" s="159">
        <v>118154199</v>
      </c>
      <c r="I1758" s="159">
        <v>1299696189</v>
      </c>
      <c r="J1758" s="159" t="e">
        <f>bargiri[[#This Row],[مقدار]]*INDEX(invoice[پیش دریافت به ازای هر کیلوگرم],MATCH(bargiri[[#This Row],[شماره سند مبنا]],invoice[شماره پیش فاکتور],0))</f>
        <v>#N/A</v>
      </c>
      <c r="K1758" s="159" t="e">
        <f>bargiri[[#This Row],[مبلغ خالص]]-bargiri[[#This Row],[میزان استهلاک پیش دریافتی]]</f>
        <v>#N/A</v>
      </c>
      <c r="L1758" s="160"/>
      <c r="M1758" s="159"/>
      <c r="N1758" s="159" t="e">
        <f>IF(bargiri[[#This Row],[مبلغ واریزی]]&lt;&gt;"",bargiri[[#This Row],[مانده مبلغ]]-bargiri[[#This Row],[مبلغ واریزی]],bargiri[[#This Row],[مانده مبلغ]])</f>
        <v>#N/A</v>
      </c>
      <c r="O1758" s="159"/>
      <c r="P1758" s="159" t="e">
        <f>VLOOKUP(bargiri[[#This Row],[شماره سند مبنا]],invoice[[شماره پیش فاکتور]:[پیش دریافت به ازای هر کیلوگرم]],14,0)</f>
        <v>#N/A</v>
      </c>
      <c r="Q1758" s="159" t="e">
        <f>IF(bargiri[[#This Row],[مبلغ ناخالص]]-(bargiri[[#This Row],[نرخ استهلاک]]*bargiri[[#This Row],[مقدار]])&lt;0,0,bargiri[[#This Row],[مبلغ ناخالص]]-(bargiri[[#This Row],[نرخ استهلاک]]*bargiri[[#This Row],[مقدار]]))</f>
        <v>#N/A</v>
      </c>
    </row>
    <row r="1759" spans="1:17" s="22" customFormat="1" ht="13.8" x14ac:dyDescent="0.25">
      <c r="A1759" s="22">
        <v>1125</v>
      </c>
      <c r="B1759" s="22" t="s">
        <v>240</v>
      </c>
      <c r="C1759" s="22" t="s">
        <v>72</v>
      </c>
      <c r="D1759" s="22" t="s">
        <v>73</v>
      </c>
      <c r="E1759" s="158">
        <v>21255</v>
      </c>
      <c r="F1759" s="159">
        <v>57273</v>
      </c>
      <c r="G1759" s="159">
        <v>1217337615</v>
      </c>
      <c r="H1759" s="159">
        <v>121733762</v>
      </c>
      <c r="I1759" s="159">
        <v>1339071377</v>
      </c>
      <c r="J1759" s="159" t="e">
        <f>bargiri[[#This Row],[مقدار]]*INDEX(invoice[پیش دریافت به ازای هر کیلوگرم],MATCH(bargiri[[#This Row],[شماره سند مبنا]],invoice[شماره پیش فاکتور],0))</f>
        <v>#N/A</v>
      </c>
      <c r="K1759" s="159" t="e">
        <f>bargiri[[#This Row],[مبلغ خالص]]-bargiri[[#This Row],[میزان استهلاک پیش دریافتی]]</f>
        <v>#N/A</v>
      </c>
      <c r="L1759" s="160"/>
      <c r="M1759" s="159"/>
      <c r="N1759" s="159" t="e">
        <f>IF(bargiri[[#This Row],[مبلغ واریزی]]&lt;&gt;"",bargiri[[#This Row],[مانده مبلغ]]-bargiri[[#This Row],[مبلغ واریزی]],bargiri[[#This Row],[مانده مبلغ]])</f>
        <v>#N/A</v>
      </c>
      <c r="O1759" s="159"/>
      <c r="P1759" s="159" t="e">
        <f>VLOOKUP(bargiri[[#This Row],[شماره سند مبنا]],invoice[[شماره پیش فاکتور]:[پیش دریافت به ازای هر کیلوگرم]],14,0)</f>
        <v>#N/A</v>
      </c>
      <c r="Q1759" s="159" t="e">
        <f>IF(bargiri[[#This Row],[مبلغ ناخالص]]-(bargiri[[#This Row],[نرخ استهلاک]]*bargiri[[#This Row],[مقدار]])&lt;0,0,bargiri[[#This Row],[مبلغ ناخالص]]-(bargiri[[#This Row],[نرخ استهلاک]]*bargiri[[#This Row],[مقدار]]))</f>
        <v>#N/A</v>
      </c>
    </row>
    <row r="1760" spans="1:17" s="22" customFormat="1" ht="13.8" x14ac:dyDescent="0.25">
      <c r="A1760" s="22">
        <v>1124</v>
      </c>
      <c r="B1760" s="22" t="s">
        <v>240</v>
      </c>
      <c r="C1760" s="22" t="s">
        <v>72</v>
      </c>
      <c r="D1760" s="22" t="s">
        <v>73</v>
      </c>
      <c r="E1760" s="158">
        <v>20770</v>
      </c>
      <c r="F1760" s="159">
        <v>57273</v>
      </c>
      <c r="G1760" s="159">
        <v>1189560210</v>
      </c>
      <c r="H1760" s="159">
        <v>118956021</v>
      </c>
      <c r="I1760" s="159">
        <v>1308516231</v>
      </c>
      <c r="J1760" s="159" t="e">
        <f>bargiri[[#This Row],[مقدار]]*INDEX(invoice[پیش دریافت به ازای هر کیلوگرم],MATCH(bargiri[[#This Row],[شماره سند مبنا]],invoice[شماره پیش فاکتور],0))</f>
        <v>#N/A</v>
      </c>
      <c r="K1760" s="159" t="e">
        <f>bargiri[[#This Row],[مبلغ خالص]]-bargiri[[#This Row],[میزان استهلاک پیش دریافتی]]</f>
        <v>#N/A</v>
      </c>
      <c r="L1760" s="160"/>
      <c r="M1760" s="159"/>
      <c r="N1760" s="159" t="e">
        <f>IF(bargiri[[#This Row],[مبلغ واریزی]]&lt;&gt;"",bargiri[[#This Row],[مانده مبلغ]]-bargiri[[#This Row],[مبلغ واریزی]],bargiri[[#This Row],[مانده مبلغ]])</f>
        <v>#N/A</v>
      </c>
      <c r="O1760" s="159"/>
      <c r="P1760" s="159" t="e">
        <f>VLOOKUP(bargiri[[#This Row],[شماره سند مبنا]],invoice[[شماره پیش فاکتور]:[پیش دریافت به ازای هر کیلوگرم]],14,0)</f>
        <v>#N/A</v>
      </c>
      <c r="Q1760" s="159" t="e">
        <f>IF(bargiri[[#This Row],[مبلغ ناخالص]]-(bargiri[[#This Row],[نرخ استهلاک]]*bargiri[[#This Row],[مقدار]])&lt;0,0,bargiri[[#This Row],[مبلغ ناخالص]]-(bargiri[[#This Row],[نرخ استهلاک]]*bargiri[[#This Row],[مقدار]]))</f>
        <v>#N/A</v>
      </c>
    </row>
    <row r="1761" spans="1:17" s="22" customFormat="1" ht="13.8" x14ac:dyDescent="0.25">
      <c r="A1761" s="22">
        <v>1123</v>
      </c>
      <c r="B1761" s="22" t="s">
        <v>240</v>
      </c>
      <c r="C1761" s="22" t="s">
        <v>72</v>
      </c>
      <c r="D1761" s="22" t="s">
        <v>73</v>
      </c>
      <c r="E1761" s="158">
        <v>21060</v>
      </c>
      <c r="F1761" s="159">
        <v>57273</v>
      </c>
      <c r="G1761" s="159">
        <v>1206169380</v>
      </c>
      <c r="H1761" s="159">
        <v>120616938</v>
      </c>
      <c r="I1761" s="159">
        <v>1326786318</v>
      </c>
      <c r="J1761" s="159" t="e">
        <f>bargiri[[#This Row],[مقدار]]*INDEX(invoice[پیش دریافت به ازای هر کیلوگرم],MATCH(bargiri[[#This Row],[شماره سند مبنا]],invoice[شماره پیش فاکتور],0))</f>
        <v>#N/A</v>
      </c>
      <c r="K1761" s="159" t="e">
        <f>bargiri[[#This Row],[مبلغ خالص]]-bargiri[[#This Row],[میزان استهلاک پیش دریافتی]]</f>
        <v>#N/A</v>
      </c>
      <c r="L1761" s="160"/>
      <c r="M1761" s="159"/>
      <c r="N1761" s="159" t="e">
        <f>IF(bargiri[[#This Row],[مبلغ واریزی]]&lt;&gt;"",bargiri[[#This Row],[مانده مبلغ]]-bargiri[[#This Row],[مبلغ واریزی]],bargiri[[#This Row],[مانده مبلغ]])</f>
        <v>#N/A</v>
      </c>
      <c r="O1761" s="159"/>
      <c r="P1761" s="159" t="e">
        <f>VLOOKUP(bargiri[[#This Row],[شماره سند مبنا]],invoice[[شماره پیش فاکتور]:[پیش دریافت به ازای هر کیلوگرم]],14,0)</f>
        <v>#N/A</v>
      </c>
      <c r="Q1761" s="159" t="e">
        <f>IF(bargiri[[#This Row],[مبلغ ناخالص]]-(bargiri[[#This Row],[نرخ استهلاک]]*bargiri[[#This Row],[مقدار]])&lt;0,0,bargiri[[#This Row],[مبلغ ناخالص]]-(bargiri[[#This Row],[نرخ استهلاک]]*bargiri[[#This Row],[مقدار]]))</f>
        <v>#N/A</v>
      </c>
    </row>
    <row r="1762" spans="1:17" s="22" customFormat="1" ht="13.8" x14ac:dyDescent="0.25">
      <c r="A1762" s="22">
        <v>1122</v>
      </c>
      <c r="B1762" s="22" t="s">
        <v>45</v>
      </c>
      <c r="C1762" s="22" t="s">
        <v>66</v>
      </c>
      <c r="D1762" s="22" t="s">
        <v>67</v>
      </c>
      <c r="E1762" s="158">
        <v>21205</v>
      </c>
      <c r="F1762" s="159">
        <v>68500</v>
      </c>
      <c r="G1762" s="159">
        <v>1452542500</v>
      </c>
      <c r="H1762" s="159">
        <v>130728825</v>
      </c>
      <c r="I1762" s="159">
        <v>1583271325</v>
      </c>
      <c r="J1762" s="159" t="e">
        <f>bargiri[[#This Row],[مقدار]]*INDEX(invoice[پیش دریافت به ازای هر کیلوگرم],MATCH(bargiri[[#This Row],[شماره سند مبنا]],invoice[شماره پیش فاکتور],0))</f>
        <v>#N/A</v>
      </c>
      <c r="K1762" s="159" t="e">
        <f>bargiri[[#This Row],[مبلغ خالص]]-bargiri[[#This Row],[میزان استهلاک پیش دریافتی]]</f>
        <v>#N/A</v>
      </c>
      <c r="L1762" s="160"/>
      <c r="M1762" s="159"/>
      <c r="N1762" s="159" t="e">
        <f>IF(bargiri[[#This Row],[مبلغ واریزی]]&lt;&gt;"",bargiri[[#This Row],[مانده مبلغ]]-bargiri[[#This Row],[مبلغ واریزی]],bargiri[[#This Row],[مانده مبلغ]])</f>
        <v>#N/A</v>
      </c>
      <c r="O1762" s="159"/>
      <c r="P1762" s="159" t="e">
        <f>VLOOKUP(bargiri[[#This Row],[شماره سند مبنا]],invoice[[شماره پیش فاکتور]:[پیش دریافت به ازای هر کیلوگرم]],14,0)</f>
        <v>#N/A</v>
      </c>
      <c r="Q1762" s="159" t="e">
        <f>IF(bargiri[[#This Row],[مبلغ ناخالص]]-(bargiri[[#This Row],[نرخ استهلاک]]*bargiri[[#This Row],[مقدار]])&lt;0,0,bargiri[[#This Row],[مبلغ ناخالص]]-(bargiri[[#This Row],[نرخ استهلاک]]*bargiri[[#This Row],[مقدار]]))</f>
        <v>#N/A</v>
      </c>
    </row>
    <row r="1763" spans="1:17" s="22" customFormat="1" ht="13.8" x14ac:dyDescent="0.25">
      <c r="A1763" s="22">
        <v>1121</v>
      </c>
      <c r="B1763" s="22" t="s">
        <v>45</v>
      </c>
      <c r="C1763" s="22" t="s">
        <v>42</v>
      </c>
      <c r="D1763" s="22" t="s">
        <v>43</v>
      </c>
      <c r="E1763" s="158">
        <v>12620</v>
      </c>
      <c r="F1763" s="159">
        <v>70000</v>
      </c>
      <c r="G1763" s="159">
        <v>883400000</v>
      </c>
      <c r="H1763" s="159">
        <v>88340000</v>
      </c>
      <c r="I1763" s="159">
        <v>971740000</v>
      </c>
      <c r="J1763" s="159" t="e">
        <f>bargiri[[#This Row],[مقدار]]*INDEX(invoice[پیش دریافت به ازای هر کیلوگرم],MATCH(bargiri[[#This Row],[شماره سند مبنا]],invoice[شماره پیش فاکتور],0))</f>
        <v>#N/A</v>
      </c>
      <c r="K1763" s="159" t="e">
        <f>bargiri[[#This Row],[مبلغ خالص]]-bargiri[[#This Row],[میزان استهلاک پیش دریافتی]]</f>
        <v>#N/A</v>
      </c>
      <c r="L1763" s="160"/>
      <c r="M1763" s="159"/>
      <c r="N1763" s="159" t="e">
        <f>IF(bargiri[[#This Row],[مبلغ واریزی]]&lt;&gt;"",bargiri[[#This Row],[مانده مبلغ]]-bargiri[[#This Row],[مبلغ واریزی]],bargiri[[#This Row],[مانده مبلغ]])</f>
        <v>#N/A</v>
      </c>
      <c r="O1763" s="159"/>
      <c r="P1763" s="159" t="e">
        <f>VLOOKUP(bargiri[[#This Row],[شماره سند مبنا]],invoice[[شماره پیش فاکتور]:[پیش دریافت به ازای هر کیلوگرم]],14,0)</f>
        <v>#N/A</v>
      </c>
      <c r="Q1763" s="159" t="e">
        <f>IF(bargiri[[#This Row],[مبلغ ناخالص]]-(bargiri[[#This Row],[نرخ استهلاک]]*bargiri[[#This Row],[مقدار]])&lt;0,0,bargiri[[#This Row],[مبلغ ناخالص]]-(bargiri[[#This Row],[نرخ استهلاک]]*bargiri[[#This Row],[مقدار]]))</f>
        <v>#N/A</v>
      </c>
    </row>
    <row r="1764" spans="1:17" s="22" customFormat="1" ht="13.8" x14ac:dyDescent="0.25">
      <c r="A1764" s="22">
        <v>1120</v>
      </c>
      <c r="B1764" s="22" t="s">
        <v>45</v>
      </c>
      <c r="C1764" s="22" t="s">
        <v>47</v>
      </c>
      <c r="D1764" s="22" t="s">
        <v>43</v>
      </c>
      <c r="E1764" s="158">
        <v>6700</v>
      </c>
      <c r="F1764" s="159">
        <v>65000</v>
      </c>
      <c r="G1764" s="159">
        <v>435500000</v>
      </c>
      <c r="H1764" s="159">
        <v>39195000</v>
      </c>
      <c r="I1764" s="159">
        <v>474695000</v>
      </c>
      <c r="J1764" s="159" t="e">
        <f>bargiri[[#This Row],[مقدار]]*INDEX(invoice[پیش دریافت به ازای هر کیلوگرم],MATCH(bargiri[[#This Row],[شماره سند مبنا]],invoice[شماره پیش فاکتور],0))</f>
        <v>#N/A</v>
      </c>
      <c r="K1764" s="159" t="e">
        <f>bargiri[[#This Row],[مبلغ خالص]]-bargiri[[#This Row],[میزان استهلاک پیش دریافتی]]</f>
        <v>#N/A</v>
      </c>
      <c r="L1764" s="160"/>
      <c r="M1764" s="159"/>
      <c r="N1764" s="159" t="e">
        <f>IF(bargiri[[#This Row],[مبلغ واریزی]]&lt;&gt;"",bargiri[[#This Row],[مانده مبلغ]]-bargiri[[#This Row],[مبلغ واریزی]],bargiri[[#This Row],[مانده مبلغ]])</f>
        <v>#N/A</v>
      </c>
      <c r="O1764" s="159"/>
      <c r="P1764" s="159" t="e">
        <f>VLOOKUP(bargiri[[#This Row],[شماره سند مبنا]],invoice[[شماره پیش فاکتور]:[پیش دریافت به ازای هر کیلوگرم]],14,0)</f>
        <v>#N/A</v>
      </c>
      <c r="Q1764" s="159" t="e">
        <f>IF(bargiri[[#This Row],[مبلغ ناخالص]]-(bargiri[[#This Row],[نرخ استهلاک]]*bargiri[[#This Row],[مقدار]])&lt;0,0,bargiri[[#This Row],[مبلغ ناخالص]]-(bargiri[[#This Row],[نرخ استهلاک]]*bargiri[[#This Row],[مقدار]]))</f>
        <v>#N/A</v>
      </c>
    </row>
    <row r="1765" spans="1:17" s="22" customFormat="1" ht="13.8" x14ac:dyDescent="0.25">
      <c r="A1765" s="22">
        <v>1120</v>
      </c>
      <c r="B1765" s="22" t="s">
        <v>45</v>
      </c>
      <c r="C1765" s="22" t="s">
        <v>42</v>
      </c>
      <c r="D1765" s="22" t="s">
        <v>43</v>
      </c>
      <c r="E1765" s="158">
        <v>15060</v>
      </c>
      <c r="F1765" s="159">
        <v>70000</v>
      </c>
      <c r="G1765" s="159">
        <v>1054200000</v>
      </c>
      <c r="H1765" s="159">
        <v>105420000</v>
      </c>
      <c r="I1765" s="159">
        <v>1159620000</v>
      </c>
      <c r="J1765" s="159" t="e">
        <f>bargiri[[#This Row],[مقدار]]*INDEX(invoice[پیش دریافت به ازای هر کیلوگرم],MATCH(bargiri[[#This Row],[شماره سند مبنا]],invoice[شماره پیش فاکتور],0))</f>
        <v>#N/A</v>
      </c>
      <c r="K1765" s="159" t="e">
        <f>bargiri[[#This Row],[مبلغ خالص]]-bargiri[[#This Row],[میزان استهلاک پیش دریافتی]]</f>
        <v>#N/A</v>
      </c>
      <c r="L1765" s="160"/>
      <c r="M1765" s="159"/>
      <c r="N1765" s="159" t="e">
        <f>IF(bargiri[[#This Row],[مبلغ واریزی]]&lt;&gt;"",bargiri[[#This Row],[مانده مبلغ]]-bargiri[[#This Row],[مبلغ واریزی]],bargiri[[#This Row],[مانده مبلغ]])</f>
        <v>#N/A</v>
      </c>
      <c r="O1765" s="159"/>
      <c r="P1765" s="159" t="e">
        <f>VLOOKUP(bargiri[[#This Row],[شماره سند مبنا]],invoice[[شماره پیش فاکتور]:[پیش دریافت به ازای هر کیلوگرم]],14,0)</f>
        <v>#N/A</v>
      </c>
      <c r="Q1765" s="159" t="e">
        <f>IF(bargiri[[#This Row],[مبلغ ناخالص]]-(bargiri[[#This Row],[نرخ استهلاک]]*bargiri[[#This Row],[مقدار]])&lt;0,0,bargiri[[#This Row],[مبلغ ناخالص]]-(bargiri[[#This Row],[نرخ استهلاک]]*bargiri[[#This Row],[مقدار]]))</f>
        <v>#N/A</v>
      </c>
    </row>
    <row r="1766" spans="1:17" s="22" customFormat="1" ht="13.8" x14ac:dyDescent="0.25">
      <c r="A1766" s="22">
        <v>1118</v>
      </c>
      <c r="B1766" s="22" t="s">
        <v>45</v>
      </c>
      <c r="C1766" s="22" t="s">
        <v>128</v>
      </c>
      <c r="D1766" s="22" t="s">
        <v>129</v>
      </c>
      <c r="E1766" s="158">
        <v>9100</v>
      </c>
      <c r="F1766" s="159">
        <v>80000</v>
      </c>
      <c r="G1766" s="159">
        <v>728000000</v>
      </c>
      <c r="H1766" s="159">
        <v>72800000</v>
      </c>
      <c r="I1766" s="159">
        <v>800800000</v>
      </c>
      <c r="J1766" s="159">
        <f>bargiri[[#This Row],[مقدار]]*INDEX(invoice[پیش دریافت به ازای هر کیلوگرم],MATCH(bargiri[[#This Row],[شماره سند مبنا]],invoice[شماره پیش فاکتور],0))</f>
        <v>120703399.76553342</v>
      </c>
      <c r="K1766" s="159">
        <f>bargiri[[#This Row],[مبلغ خالص]]-bargiri[[#This Row],[میزان استهلاک پیش دریافتی]]</f>
        <v>680096600.23446655</v>
      </c>
      <c r="L1766" s="160"/>
      <c r="M1766" s="159"/>
      <c r="N1766" s="159">
        <f>IF(bargiri[[#This Row],[مبلغ واریزی]]&lt;&gt;"",bargiri[[#This Row],[مانده مبلغ]]-bargiri[[#This Row],[مبلغ واریزی]],bargiri[[#This Row],[مانده مبلغ]])</f>
        <v>680096600.23446655</v>
      </c>
      <c r="O1766" s="159"/>
      <c r="P1766" s="159">
        <f>VLOOKUP(bargiri[[#This Row],[شماره سند مبنا]],invoice[[شماره پیش فاکتور]:[پیش دریافت به ازای هر کیلوگرم]],14,0)</f>
        <v>13264.109864344331</v>
      </c>
      <c r="Q1766" s="159">
        <f>IF(bargiri[[#This Row],[مبلغ ناخالص]]-(bargiri[[#This Row],[نرخ استهلاک]]*bargiri[[#This Row],[مقدار]])&lt;0,0,bargiri[[#This Row],[مبلغ ناخالص]]-(bargiri[[#This Row],[نرخ استهلاک]]*bargiri[[#This Row],[مقدار]]))</f>
        <v>607296600.23446655</v>
      </c>
    </row>
    <row r="1767" spans="1:17" s="22" customFormat="1" ht="13.8" x14ac:dyDescent="0.25">
      <c r="A1767" s="22">
        <v>1117</v>
      </c>
      <c r="B1767" s="22" t="s">
        <v>45</v>
      </c>
      <c r="C1767" s="22" t="s">
        <v>109</v>
      </c>
      <c r="D1767" s="22" t="s">
        <v>110</v>
      </c>
      <c r="E1767" s="158">
        <v>19030</v>
      </c>
      <c r="F1767" s="159">
        <v>70000</v>
      </c>
      <c r="G1767" s="159">
        <v>1332100000</v>
      </c>
      <c r="H1767" s="159">
        <v>133210000</v>
      </c>
      <c r="I1767" s="159">
        <v>1465310000</v>
      </c>
      <c r="J1767" s="159" t="e">
        <f>bargiri[[#This Row],[مقدار]]*INDEX(invoice[پیش دریافت به ازای هر کیلوگرم],MATCH(bargiri[[#This Row],[شماره سند مبنا]],invoice[شماره پیش فاکتور],0))</f>
        <v>#N/A</v>
      </c>
      <c r="K1767" s="159" t="e">
        <f>bargiri[[#This Row],[مبلغ خالص]]-bargiri[[#This Row],[میزان استهلاک پیش دریافتی]]</f>
        <v>#N/A</v>
      </c>
      <c r="L1767" s="160"/>
      <c r="M1767" s="159"/>
      <c r="N1767" s="159" t="e">
        <f>IF(bargiri[[#This Row],[مبلغ واریزی]]&lt;&gt;"",bargiri[[#This Row],[مانده مبلغ]]-bargiri[[#This Row],[مبلغ واریزی]],bargiri[[#This Row],[مانده مبلغ]])</f>
        <v>#N/A</v>
      </c>
      <c r="O1767" s="159"/>
      <c r="P1767" s="159" t="e">
        <f>VLOOKUP(bargiri[[#This Row],[شماره سند مبنا]],invoice[[شماره پیش فاکتور]:[پیش دریافت به ازای هر کیلوگرم]],14,0)</f>
        <v>#N/A</v>
      </c>
      <c r="Q1767" s="159" t="e">
        <f>IF(bargiri[[#This Row],[مبلغ ناخالص]]-(bargiri[[#This Row],[نرخ استهلاک]]*bargiri[[#This Row],[مقدار]])&lt;0,0,bargiri[[#This Row],[مبلغ ناخالص]]-(bargiri[[#This Row],[نرخ استهلاک]]*bargiri[[#This Row],[مقدار]]))</f>
        <v>#N/A</v>
      </c>
    </row>
    <row r="1768" spans="1:17" s="22" customFormat="1" ht="13.8" x14ac:dyDescent="0.25">
      <c r="A1768" s="22">
        <v>1116</v>
      </c>
      <c r="B1768" s="22" t="s">
        <v>45</v>
      </c>
      <c r="C1768" s="22" t="s">
        <v>81</v>
      </c>
      <c r="D1768" s="22" t="s">
        <v>35</v>
      </c>
      <c r="E1768" s="158">
        <v>7395</v>
      </c>
      <c r="F1768" s="159">
        <v>70000</v>
      </c>
      <c r="G1768" s="159">
        <v>517650000</v>
      </c>
      <c r="H1768" s="159">
        <v>51765000</v>
      </c>
      <c r="I1768" s="159">
        <v>569415000</v>
      </c>
      <c r="J1768" s="159" t="e">
        <f>bargiri[[#This Row],[مقدار]]*INDEX(invoice[پیش دریافت به ازای هر کیلوگرم],MATCH(bargiri[[#This Row],[شماره سند مبنا]],invoice[شماره پیش فاکتور],0))</f>
        <v>#N/A</v>
      </c>
      <c r="K1768" s="159" t="e">
        <f>bargiri[[#This Row],[مبلغ خالص]]-bargiri[[#This Row],[میزان استهلاک پیش دریافتی]]</f>
        <v>#N/A</v>
      </c>
      <c r="L1768" s="160"/>
      <c r="M1768" s="159"/>
      <c r="N1768" s="159" t="e">
        <f>IF(bargiri[[#This Row],[مبلغ واریزی]]&lt;&gt;"",bargiri[[#This Row],[مانده مبلغ]]-bargiri[[#This Row],[مبلغ واریزی]],bargiri[[#This Row],[مانده مبلغ]])</f>
        <v>#N/A</v>
      </c>
      <c r="O1768" s="159"/>
      <c r="P1768" s="159" t="e">
        <f>VLOOKUP(bargiri[[#This Row],[شماره سند مبنا]],invoice[[شماره پیش فاکتور]:[پیش دریافت به ازای هر کیلوگرم]],14,0)</f>
        <v>#N/A</v>
      </c>
      <c r="Q1768" s="159" t="e">
        <f>IF(bargiri[[#This Row],[مبلغ ناخالص]]-(bargiri[[#This Row],[نرخ استهلاک]]*bargiri[[#This Row],[مقدار]])&lt;0,0,bargiri[[#This Row],[مبلغ ناخالص]]-(bargiri[[#This Row],[نرخ استهلاک]]*bargiri[[#This Row],[مقدار]]))</f>
        <v>#N/A</v>
      </c>
    </row>
    <row r="1769" spans="1:17" s="22" customFormat="1" ht="13.8" x14ac:dyDescent="0.25">
      <c r="A1769" s="22">
        <v>1114</v>
      </c>
      <c r="B1769" s="22" t="s">
        <v>45</v>
      </c>
      <c r="C1769" s="22" t="s">
        <v>115</v>
      </c>
      <c r="D1769" s="22" t="s">
        <v>116</v>
      </c>
      <c r="E1769" s="158">
        <v>21080</v>
      </c>
      <c r="F1769" s="159">
        <v>75000</v>
      </c>
      <c r="G1769" s="159">
        <v>1581000000</v>
      </c>
      <c r="H1769" s="159">
        <v>158100000</v>
      </c>
      <c r="I1769" s="159">
        <v>1739100000</v>
      </c>
      <c r="J1769" s="159">
        <f>bargiri[[#This Row],[مقدار]]*INDEX(invoice[پیش دریافت به ازای هر کیلوگرم],MATCH(bargiri[[#This Row],[شماره سند مبنا]],invoice[شماره پیش فاکتور],0))</f>
        <v>316415162.31037104</v>
      </c>
      <c r="K1769" s="159">
        <f>bargiri[[#This Row],[مبلغ خالص]]-bargiri[[#This Row],[میزان استهلاک پیش دریافتی]]</f>
        <v>1422684837.6896291</v>
      </c>
      <c r="L1769" s="160"/>
      <c r="M1769" s="159"/>
      <c r="N1769" s="159">
        <f>IF(bargiri[[#This Row],[مبلغ واریزی]]&lt;&gt;"",bargiri[[#This Row],[مانده مبلغ]]-bargiri[[#This Row],[مبلغ واریزی]],bargiri[[#This Row],[مانده مبلغ]])</f>
        <v>1422684837.6896291</v>
      </c>
      <c r="O1769" s="159"/>
      <c r="P1769" s="159">
        <f>VLOOKUP(bargiri[[#This Row],[شماره سند مبنا]],invoice[[شماره پیش فاکتور]:[پیش دریافت به ازای هر کیلوگرم]],14,0)</f>
        <v>15010.206940719689</v>
      </c>
      <c r="Q1769" s="159">
        <f>IF(bargiri[[#This Row],[مبلغ ناخالص]]-(bargiri[[#This Row],[نرخ استهلاک]]*bargiri[[#This Row],[مقدار]])&lt;0,0,bargiri[[#This Row],[مبلغ ناخالص]]-(bargiri[[#This Row],[نرخ استهلاک]]*bargiri[[#This Row],[مقدار]]))</f>
        <v>1264584837.6896291</v>
      </c>
    </row>
    <row r="1770" spans="1:17" s="22" customFormat="1" ht="13.8" x14ac:dyDescent="0.25">
      <c r="A1770" s="22">
        <v>1113</v>
      </c>
      <c r="B1770" s="22" t="s">
        <v>121</v>
      </c>
      <c r="C1770" s="22" t="s">
        <v>147</v>
      </c>
      <c r="D1770" s="22" t="s">
        <v>25</v>
      </c>
      <c r="E1770" s="158">
        <v>6250</v>
      </c>
      <c r="F1770" s="159">
        <v>92000</v>
      </c>
      <c r="G1770" s="159">
        <v>575000000</v>
      </c>
      <c r="H1770" s="159">
        <v>57500000</v>
      </c>
      <c r="I1770" s="159">
        <v>632500000</v>
      </c>
      <c r="J1770" s="159" t="e">
        <f>bargiri[[#This Row],[مقدار]]*INDEX(invoice[پیش دریافت به ازای هر کیلوگرم],MATCH(bargiri[[#This Row],[شماره سند مبنا]],invoice[شماره پیش فاکتور],0))</f>
        <v>#N/A</v>
      </c>
      <c r="K1770" s="159" t="e">
        <f>bargiri[[#This Row],[مبلغ خالص]]-bargiri[[#This Row],[میزان استهلاک پیش دریافتی]]</f>
        <v>#N/A</v>
      </c>
      <c r="L1770" s="160"/>
      <c r="M1770" s="159"/>
      <c r="N1770" s="159" t="e">
        <f>IF(bargiri[[#This Row],[مبلغ واریزی]]&lt;&gt;"",bargiri[[#This Row],[مانده مبلغ]]-bargiri[[#This Row],[مبلغ واریزی]],bargiri[[#This Row],[مانده مبلغ]])</f>
        <v>#N/A</v>
      </c>
      <c r="O1770" s="159"/>
      <c r="P1770" s="159" t="e">
        <f>VLOOKUP(bargiri[[#This Row],[شماره سند مبنا]],invoice[[شماره پیش فاکتور]:[پیش دریافت به ازای هر کیلوگرم]],14,0)</f>
        <v>#N/A</v>
      </c>
      <c r="Q1770" s="159" t="e">
        <f>IF(bargiri[[#This Row],[مبلغ ناخالص]]-(bargiri[[#This Row],[نرخ استهلاک]]*bargiri[[#This Row],[مقدار]])&lt;0,0,bargiri[[#This Row],[مبلغ ناخالص]]-(bargiri[[#This Row],[نرخ استهلاک]]*bargiri[[#This Row],[مقدار]]))</f>
        <v>#N/A</v>
      </c>
    </row>
    <row r="1771" spans="1:17" s="22" customFormat="1" ht="13.8" x14ac:dyDescent="0.25">
      <c r="A1771" s="22">
        <v>1113</v>
      </c>
      <c r="B1771" s="22" t="s">
        <v>121</v>
      </c>
      <c r="C1771" s="22" t="s">
        <v>119</v>
      </c>
      <c r="D1771" s="22" t="s">
        <v>25</v>
      </c>
      <c r="E1771" s="158">
        <v>15785</v>
      </c>
      <c r="F1771" s="159">
        <v>75000</v>
      </c>
      <c r="G1771" s="159">
        <v>1183875000</v>
      </c>
      <c r="H1771" s="159">
        <v>118387500</v>
      </c>
      <c r="I1771" s="159">
        <v>1302262500</v>
      </c>
      <c r="J1771" s="159">
        <f>bargiri[[#This Row],[مقدار]]*INDEX(invoice[پیش دریافت به ازای هر کیلوگرم],MATCH(bargiri[[#This Row],[شماره سند مبنا]],invoice[شماره پیش فاکتور],0))</f>
        <v>195339375</v>
      </c>
      <c r="K1771" s="159">
        <f>bargiri[[#This Row],[مبلغ خالص]]-bargiri[[#This Row],[میزان استهلاک پیش دریافتی]]</f>
        <v>1106923125</v>
      </c>
      <c r="L1771" s="160"/>
      <c r="M1771" s="159"/>
      <c r="N1771" s="159">
        <f>IF(bargiri[[#This Row],[مبلغ واریزی]]&lt;&gt;"",bargiri[[#This Row],[مانده مبلغ]]-bargiri[[#This Row],[مبلغ واریزی]],bargiri[[#This Row],[مانده مبلغ]])</f>
        <v>1106923125</v>
      </c>
      <c r="O1771" s="159"/>
      <c r="P1771" s="159">
        <f>VLOOKUP(bargiri[[#This Row],[شماره سند مبنا]],invoice[[شماره پیش فاکتور]:[پیش دریافت به ازای هر کیلوگرم]],14,0)</f>
        <v>12375</v>
      </c>
      <c r="Q1771" s="159">
        <f>IF(bargiri[[#This Row],[مبلغ ناخالص]]-(bargiri[[#This Row],[نرخ استهلاک]]*bargiri[[#This Row],[مقدار]])&lt;0,0,bargiri[[#This Row],[مبلغ ناخالص]]-(bargiri[[#This Row],[نرخ استهلاک]]*bargiri[[#This Row],[مقدار]]))</f>
        <v>988535625</v>
      </c>
    </row>
    <row r="1772" spans="1:17" s="22" customFormat="1" ht="13.8" x14ac:dyDescent="0.25">
      <c r="A1772" s="22">
        <v>1112</v>
      </c>
      <c r="B1772" s="22" t="s">
        <v>468</v>
      </c>
      <c r="C1772" s="22" t="s">
        <v>155</v>
      </c>
      <c r="D1772" s="22" t="s">
        <v>156</v>
      </c>
      <c r="E1772" s="158">
        <v>22365</v>
      </c>
      <c r="F1772" s="159">
        <v>75000</v>
      </c>
      <c r="G1772" s="159">
        <v>1677375000</v>
      </c>
      <c r="H1772" s="159">
        <v>167737500</v>
      </c>
      <c r="I1772" s="159">
        <v>1845112500</v>
      </c>
      <c r="J1772" s="159">
        <f>bargiri[[#This Row],[مقدار]]*INDEX(invoice[پیش دریافت به ازای هر کیلوگرم],MATCH(bargiri[[#This Row],[شماره سند مبنا]],invoice[شماره پیش فاکتور],0))</f>
        <v>276766875</v>
      </c>
      <c r="K1772" s="159">
        <f>bargiri[[#This Row],[مبلغ خالص]]-bargiri[[#This Row],[میزان استهلاک پیش دریافتی]]</f>
        <v>1568345625</v>
      </c>
      <c r="L1772" s="160"/>
      <c r="M1772" s="159"/>
      <c r="N1772" s="159">
        <f>IF(bargiri[[#This Row],[مبلغ واریزی]]&lt;&gt;"",bargiri[[#This Row],[مانده مبلغ]]-bargiri[[#This Row],[مبلغ واریزی]],bargiri[[#This Row],[مانده مبلغ]])</f>
        <v>1568345625</v>
      </c>
      <c r="O1772" s="159"/>
      <c r="P1772" s="159">
        <f>VLOOKUP(bargiri[[#This Row],[شماره سند مبنا]],invoice[[شماره پیش فاکتور]:[پیش دریافت به ازای هر کیلوگرم]],14,0)</f>
        <v>12375</v>
      </c>
      <c r="Q1772" s="159">
        <f>IF(bargiri[[#This Row],[مبلغ ناخالص]]-(bargiri[[#This Row],[نرخ استهلاک]]*bargiri[[#This Row],[مقدار]])&lt;0,0,bargiri[[#This Row],[مبلغ ناخالص]]-(bargiri[[#This Row],[نرخ استهلاک]]*bargiri[[#This Row],[مقدار]]))</f>
        <v>1400608125</v>
      </c>
    </row>
    <row r="1773" spans="1:17" s="22" customFormat="1" ht="13.8" x14ac:dyDescent="0.25">
      <c r="A1773" s="22">
        <v>1111</v>
      </c>
      <c r="B1773" s="22" t="s">
        <v>286</v>
      </c>
      <c r="C1773" s="22" t="s">
        <v>179</v>
      </c>
      <c r="D1773" s="22" t="s">
        <v>180</v>
      </c>
      <c r="E1773" s="158">
        <v>7765</v>
      </c>
      <c r="F1773" s="159">
        <v>75000</v>
      </c>
      <c r="G1773" s="159">
        <v>582375000</v>
      </c>
      <c r="H1773" s="159">
        <v>58237500</v>
      </c>
      <c r="I1773" s="159">
        <v>640612500</v>
      </c>
      <c r="J1773" s="159">
        <f>bargiri[[#This Row],[مقدار]]*INDEX(invoice[پیش دریافت به ازای هر کیلوگرم],MATCH(bargiri[[#This Row],[شماره سند مبنا]],invoice[شماره پیش فاکتور],0))</f>
        <v>169300029.36426368</v>
      </c>
      <c r="K1773" s="159">
        <f>bargiri[[#This Row],[مبلغ خالص]]-bargiri[[#This Row],[میزان استهلاک پیش دریافتی]]</f>
        <v>471312470.63573635</v>
      </c>
      <c r="L1773" s="160"/>
      <c r="M1773" s="159"/>
      <c r="N1773" s="159">
        <f>IF(bargiri[[#This Row],[مبلغ واریزی]]&lt;&gt;"",bargiri[[#This Row],[مانده مبلغ]]-bargiri[[#This Row],[مبلغ واریزی]],bargiri[[#This Row],[مانده مبلغ]])</f>
        <v>471312470.63573635</v>
      </c>
      <c r="O1773" s="159"/>
      <c r="P1773" s="159">
        <f>VLOOKUP(bargiri[[#This Row],[شماره سند مبنا]],invoice[[شماره پیش فاکتور]:[پیش دریافت به ازای هر کیلوگرم]],14,0)</f>
        <v>21802.965790632799</v>
      </c>
      <c r="Q1773" s="159">
        <f>IF(bargiri[[#This Row],[مبلغ ناخالص]]-(bargiri[[#This Row],[نرخ استهلاک]]*bargiri[[#This Row],[مقدار]])&lt;0,0,bargiri[[#This Row],[مبلغ ناخالص]]-(bargiri[[#This Row],[نرخ استهلاک]]*bargiri[[#This Row],[مقدار]]))</f>
        <v>413074970.63573635</v>
      </c>
    </row>
    <row r="1774" spans="1:17" s="22" customFormat="1" ht="13.8" x14ac:dyDescent="0.25">
      <c r="A1774" s="22">
        <v>1110</v>
      </c>
      <c r="B1774" s="22" t="s">
        <v>286</v>
      </c>
      <c r="C1774" s="22" t="s">
        <v>72</v>
      </c>
      <c r="D1774" s="22" t="s">
        <v>73</v>
      </c>
      <c r="E1774" s="158">
        <v>21150</v>
      </c>
      <c r="F1774" s="159">
        <v>57273</v>
      </c>
      <c r="G1774" s="159">
        <v>1211323950</v>
      </c>
      <c r="H1774" s="159">
        <v>121132395</v>
      </c>
      <c r="I1774" s="159">
        <v>1332456345</v>
      </c>
      <c r="J1774" s="159" t="e">
        <f>bargiri[[#This Row],[مقدار]]*INDEX(invoice[پیش دریافت به ازای هر کیلوگرم],MATCH(bargiri[[#This Row],[شماره سند مبنا]],invoice[شماره پیش فاکتور],0))</f>
        <v>#N/A</v>
      </c>
      <c r="K1774" s="159" t="e">
        <f>bargiri[[#This Row],[مبلغ خالص]]-bargiri[[#This Row],[میزان استهلاک پیش دریافتی]]</f>
        <v>#N/A</v>
      </c>
      <c r="L1774" s="160"/>
      <c r="M1774" s="159"/>
      <c r="N1774" s="159" t="e">
        <f>IF(bargiri[[#This Row],[مبلغ واریزی]]&lt;&gt;"",bargiri[[#This Row],[مانده مبلغ]]-bargiri[[#This Row],[مبلغ واریزی]],bargiri[[#This Row],[مانده مبلغ]])</f>
        <v>#N/A</v>
      </c>
      <c r="O1774" s="159"/>
      <c r="P1774" s="159" t="e">
        <f>VLOOKUP(bargiri[[#This Row],[شماره سند مبنا]],invoice[[شماره پیش فاکتور]:[پیش دریافت به ازای هر کیلوگرم]],14,0)</f>
        <v>#N/A</v>
      </c>
      <c r="Q1774" s="159" t="e">
        <f>IF(bargiri[[#This Row],[مبلغ ناخالص]]-(bargiri[[#This Row],[نرخ استهلاک]]*bargiri[[#This Row],[مقدار]])&lt;0,0,bargiri[[#This Row],[مبلغ ناخالص]]-(bargiri[[#This Row],[نرخ استهلاک]]*bargiri[[#This Row],[مقدار]]))</f>
        <v>#N/A</v>
      </c>
    </row>
    <row r="1775" spans="1:17" s="22" customFormat="1" ht="13.8" x14ac:dyDescent="0.25">
      <c r="A1775" s="22">
        <v>1109</v>
      </c>
      <c r="B1775" s="22" t="s">
        <v>286</v>
      </c>
      <c r="C1775" s="22" t="s">
        <v>72</v>
      </c>
      <c r="D1775" s="22" t="s">
        <v>73</v>
      </c>
      <c r="E1775" s="158">
        <v>20565</v>
      </c>
      <c r="F1775" s="159">
        <v>57273</v>
      </c>
      <c r="G1775" s="159">
        <v>1177819245</v>
      </c>
      <c r="H1775" s="159">
        <v>117781925</v>
      </c>
      <c r="I1775" s="159">
        <v>1295601170</v>
      </c>
      <c r="J1775" s="159" t="e">
        <f>bargiri[[#This Row],[مقدار]]*INDEX(invoice[پیش دریافت به ازای هر کیلوگرم],MATCH(bargiri[[#This Row],[شماره سند مبنا]],invoice[شماره پیش فاکتور],0))</f>
        <v>#N/A</v>
      </c>
      <c r="K1775" s="159" t="e">
        <f>bargiri[[#This Row],[مبلغ خالص]]-bargiri[[#This Row],[میزان استهلاک پیش دریافتی]]</f>
        <v>#N/A</v>
      </c>
      <c r="L1775" s="160"/>
      <c r="M1775" s="159"/>
      <c r="N1775" s="159" t="e">
        <f>IF(bargiri[[#This Row],[مبلغ واریزی]]&lt;&gt;"",bargiri[[#This Row],[مانده مبلغ]]-bargiri[[#This Row],[مبلغ واریزی]],bargiri[[#This Row],[مانده مبلغ]])</f>
        <v>#N/A</v>
      </c>
      <c r="O1775" s="159"/>
      <c r="P1775" s="159" t="e">
        <f>VLOOKUP(bargiri[[#This Row],[شماره سند مبنا]],invoice[[شماره پیش فاکتور]:[پیش دریافت به ازای هر کیلوگرم]],14,0)</f>
        <v>#N/A</v>
      </c>
      <c r="Q1775" s="159" t="e">
        <f>IF(bargiri[[#This Row],[مبلغ ناخالص]]-(bargiri[[#This Row],[نرخ استهلاک]]*bargiri[[#This Row],[مقدار]])&lt;0,0,bargiri[[#This Row],[مبلغ ناخالص]]-(bargiri[[#This Row],[نرخ استهلاک]]*bargiri[[#This Row],[مقدار]]))</f>
        <v>#N/A</v>
      </c>
    </row>
    <row r="1776" spans="1:17" s="22" customFormat="1" ht="13.8" x14ac:dyDescent="0.25">
      <c r="A1776" s="22">
        <v>1108</v>
      </c>
      <c r="B1776" s="22" t="s">
        <v>286</v>
      </c>
      <c r="C1776" s="22" t="s">
        <v>99</v>
      </c>
      <c r="D1776" s="22" t="s">
        <v>64</v>
      </c>
      <c r="E1776" s="158">
        <v>23195</v>
      </c>
      <c r="F1776" s="159">
        <v>75000</v>
      </c>
      <c r="G1776" s="159">
        <v>1739625000</v>
      </c>
      <c r="H1776" s="159">
        <v>173962500</v>
      </c>
      <c r="I1776" s="159">
        <v>1913587500</v>
      </c>
      <c r="J1776" s="159" t="e">
        <f>bargiri[[#This Row],[مقدار]]*INDEX(invoice[پیش دریافت به ازای هر کیلوگرم],MATCH(bargiri[[#This Row],[شماره سند مبنا]],invoice[شماره پیش فاکتور],0))</f>
        <v>#N/A</v>
      </c>
      <c r="K1776" s="159" t="e">
        <f>bargiri[[#This Row],[مبلغ خالص]]-bargiri[[#This Row],[میزان استهلاک پیش دریافتی]]</f>
        <v>#N/A</v>
      </c>
      <c r="L1776" s="160"/>
      <c r="M1776" s="159"/>
      <c r="N1776" s="159" t="e">
        <f>IF(bargiri[[#This Row],[مبلغ واریزی]]&lt;&gt;"",bargiri[[#This Row],[مانده مبلغ]]-bargiri[[#This Row],[مبلغ واریزی]],bargiri[[#This Row],[مانده مبلغ]])</f>
        <v>#N/A</v>
      </c>
      <c r="O1776" s="159"/>
      <c r="P1776" s="159" t="e">
        <f>VLOOKUP(bargiri[[#This Row],[شماره سند مبنا]],invoice[[شماره پیش فاکتور]:[پیش دریافت به ازای هر کیلوگرم]],14,0)</f>
        <v>#N/A</v>
      </c>
      <c r="Q1776" s="159" t="e">
        <f>IF(bargiri[[#This Row],[مبلغ ناخالص]]-(bargiri[[#This Row],[نرخ استهلاک]]*bargiri[[#This Row],[مقدار]])&lt;0,0,bargiri[[#This Row],[مبلغ ناخالص]]-(bargiri[[#This Row],[نرخ استهلاک]]*bargiri[[#This Row],[مقدار]]))</f>
        <v>#N/A</v>
      </c>
    </row>
    <row r="1777" spans="1:17" s="22" customFormat="1" ht="13.8" x14ac:dyDescent="0.25">
      <c r="A1777" s="22">
        <v>1107</v>
      </c>
      <c r="B1777" s="22" t="s">
        <v>286</v>
      </c>
      <c r="C1777" s="22" t="s">
        <v>109</v>
      </c>
      <c r="D1777" s="22" t="s">
        <v>110</v>
      </c>
      <c r="E1777" s="158">
        <v>18990</v>
      </c>
      <c r="F1777" s="159">
        <v>70000</v>
      </c>
      <c r="G1777" s="159">
        <v>1329300000</v>
      </c>
      <c r="H1777" s="159">
        <v>132930000</v>
      </c>
      <c r="I1777" s="159">
        <v>1462230000</v>
      </c>
      <c r="J1777" s="159" t="e">
        <f>bargiri[[#This Row],[مقدار]]*INDEX(invoice[پیش دریافت به ازای هر کیلوگرم],MATCH(bargiri[[#This Row],[شماره سند مبنا]],invoice[شماره پیش فاکتور],0))</f>
        <v>#N/A</v>
      </c>
      <c r="K1777" s="159" t="e">
        <f>bargiri[[#This Row],[مبلغ خالص]]-bargiri[[#This Row],[میزان استهلاک پیش دریافتی]]</f>
        <v>#N/A</v>
      </c>
      <c r="L1777" s="160"/>
      <c r="M1777" s="159"/>
      <c r="N1777" s="159" t="e">
        <f>IF(bargiri[[#This Row],[مبلغ واریزی]]&lt;&gt;"",bargiri[[#This Row],[مانده مبلغ]]-bargiri[[#This Row],[مبلغ واریزی]],bargiri[[#This Row],[مانده مبلغ]])</f>
        <v>#N/A</v>
      </c>
      <c r="O1777" s="159"/>
      <c r="P1777" s="159" t="e">
        <f>VLOOKUP(bargiri[[#This Row],[شماره سند مبنا]],invoice[[شماره پیش فاکتور]:[پیش دریافت به ازای هر کیلوگرم]],14,0)</f>
        <v>#N/A</v>
      </c>
      <c r="Q1777" s="159" t="e">
        <f>IF(bargiri[[#This Row],[مبلغ ناخالص]]-(bargiri[[#This Row],[نرخ استهلاک]]*bargiri[[#This Row],[مقدار]])&lt;0,0,bargiri[[#This Row],[مبلغ ناخالص]]-(bargiri[[#This Row],[نرخ استهلاک]]*bargiri[[#This Row],[مقدار]]))</f>
        <v>#N/A</v>
      </c>
    </row>
    <row r="1778" spans="1:17" s="22" customFormat="1" ht="13.8" x14ac:dyDescent="0.25">
      <c r="A1778" s="22">
        <v>1106</v>
      </c>
      <c r="B1778" s="22" t="s">
        <v>469</v>
      </c>
      <c r="C1778" s="22" t="s">
        <v>47</v>
      </c>
      <c r="D1778" s="22" t="s">
        <v>43</v>
      </c>
      <c r="E1778" s="158">
        <v>21010</v>
      </c>
      <c r="F1778" s="159">
        <v>65000</v>
      </c>
      <c r="G1778" s="159">
        <v>1365650000</v>
      </c>
      <c r="H1778" s="159">
        <v>122908500</v>
      </c>
      <c r="I1778" s="159">
        <v>1488558500</v>
      </c>
      <c r="J1778" s="159" t="e">
        <f>bargiri[[#This Row],[مقدار]]*INDEX(invoice[پیش دریافت به ازای هر کیلوگرم],MATCH(bargiri[[#This Row],[شماره سند مبنا]],invoice[شماره پیش فاکتور],0))</f>
        <v>#N/A</v>
      </c>
      <c r="K1778" s="159" t="e">
        <f>bargiri[[#This Row],[مبلغ خالص]]-bargiri[[#This Row],[میزان استهلاک پیش دریافتی]]</f>
        <v>#N/A</v>
      </c>
      <c r="L1778" s="160"/>
      <c r="M1778" s="159"/>
      <c r="N1778" s="159" t="e">
        <f>IF(bargiri[[#This Row],[مبلغ واریزی]]&lt;&gt;"",bargiri[[#This Row],[مانده مبلغ]]-bargiri[[#This Row],[مبلغ واریزی]],bargiri[[#This Row],[مانده مبلغ]])</f>
        <v>#N/A</v>
      </c>
      <c r="O1778" s="159"/>
      <c r="P1778" s="159" t="e">
        <f>VLOOKUP(bargiri[[#This Row],[شماره سند مبنا]],invoice[[شماره پیش فاکتور]:[پیش دریافت به ازای هر کیلوگرم]],14,0)</f>
        <v>#N/A</v>
      </c>
      <c r="Q1778" s="159" t="e">
        <f>IF(bargiri[[#This Row],[مبلغ ناخالص]]-(bargiri[[#This Row],[نرخ استهلاک]]*bargiri[[#This Row],[مقدار]])&lt;0,0,bargiri[[#This Row],[مبلغ ناخالص]]-(bargiri[[#This Row],[نرخ استهلاک]]*bargiri[[#This Row],[مقدار]]))</f>
        <v>#N/A</v>
      </c>
    </row>
    <row r="1779" spans="1:17" s="22" customFormat="1" ht="13.8" x14ac:dyDescent="0.25">
      <c r="A1779" s="22">
        <v>1105</v>
      </c>
      <c r="B1779" s="22" t="s">
        <v>469</v>
      </c>
      <c r="C1779" s="22" t="s">
        <v>66</v>
      </c>
      <c r="D1779" s="22" t="s">
        <v>67</v>
      </c>
      <c r="E1779" s="158">
        <v>19935</v>
      </c>
      <c r="F1779" s="159">
        <v>68500</v>
      </c>
      <c r="G1779" s="159">
        <v>1365547500</v>
      </c>
      <c r="H1779" s="159">
        <v>122899275</v>
      </c>
      <c r="I1779" s="159">
        <v>1488446775</v>
      </c>
      <c r="J1779" s="159" t="e">
        <f>bargiri[[#This Row],[مقدار]]*INDEX(invoice[پیش دریافت به ازای هر کیلوگرم],MATCH(bargiri[[#This Row],[شماره سند مبنا]],invoice[شماره پیش فاکتور],0))</f>
        <v>#N/A</v>
      </c>
      <c r="K1779" s="159" t="e">
        <f>bargiri[[#This Row],[مبلغ خالص]]-bargiri[[#This Row],[میزان استهلاک پیش دریافتی]]</f>
        <v>#N/A</v>
      </c>
      <c r="L1779" s="160"/>
      <c r="M1779" s="159"/>
      <c r="N1779" s="159" t="e">
        <f>IF(bargiri[[#This Row],[مبلغ واریزی]]&lt;&gt;"",bargiri[[#This Row],[مانده مبلغ]]-bargiri[[#This Row],[مبلغ واریزی]],bargiri[[#This Row],[مانده مبلغ]])</f>
        <v>#N/A</v>
      </c>
      <c r="O1779" s="159"/>
      <c r="P1779" s="159" t="e">
        <f>VLOOKUP(bargiri[[#This Row],[شماره سند مبنا]],invoice[[شماره پیش فاکتور]:[پیش دریافت به ازای هر کیلوگرم]],14,0)</f>
        <v>#N/A</v>
      </c>
      <c r="Q1779" s="159" t="e">
        <f>IF(bargiri[[#This Row],[مبلغ ناخالص]]-(bargiri[[#This Row],[نرخ استهلاک]]*bargiri[[#This Row],[مقدار]])&lt;0,0,bargiri[[#This Row],[مبلغ ناخالص]]-(bargiri[[#This Row],[نرخ استهلاک]]*bargiri[[#This Row],[مقدار]]))</f>
        <v>#N/A</v>
      </c>
    </row>
    <row r="1780" spans="1:17" s="22" customFormat="1" ht="13.8" x14ac:dyDescent="0.25">
      <c r="A1780" s="22">
        <v>1104</v>
      </c>
      <c r="B1780" s="22" t="s">
        <v>469</v>
      </c>
      <c r="C1780" s="22" t="s">
        <v>81</v>
      </c>
      <c r="D1780" s="22" t="s">
        <v>35</v>
      </c>
      <c r="E1780" s="158">
        <v>7310</v>
      </c>
      <c r="F1780" s="159">
        <v>70000</v>
      </c>
      <c r="G1780" s="159">
        <v>511700000</v>
      </c>
      <c r="H1780" s="159">
        <v>51170000</v>
      </c>
      <c r="I1780" s="159">
        <v>562870000</v>
      </c>
      <c r="J1780" s="159" t="e">
        <f>bargiri[[#This Row],[مقدار]]*INDEX(invoice[پیش دریافت به ازای هر کیلوگرم],MATCH(bargiri[[#This Row],[شماره سند مبنا]],invoice[شماره پیش فاکتور],0))</f>
        <v>#N/A</v>
      </c>
      <c r="K1780" s="159" t="e">
        <f>bargiri[[#This Row],[مبلغ خالص]]-bargiri[[#This Row],[میزان استهلاک پیش دریافتی]]</f>
        <v>#N/A</v>
      </c>
      <c r="L1780" s="160"/>
      <c r="M1780" s="159"/>
      <c r="N1780" s="159" t="e">
        <f>IF(bargiri[[#This Row],[مبلغ واریزی]]&lt;&gt;"",bargiri[[#This Row],[مانده مبلغ]]-bargiri[[#This Row],[مبلغ واریزی]],bargiri[[#This Row],[مانده مبلغ]])</f>
        <v>#N/A</v>
      </c>
      <c r="O1780" s="159"/>
      <c r="P1780" s="159" t="e">
        <f>VLOOKUP(bargiri[[#This Row],[شماره سند مبنا]],invoice[[شماره پیش فاکتور]:[پیش دریافت به ازای هر کیلوگرم]],14,0)</f>
        <v>#N/A</v>
      </c>
      <c r="Q1780" s="159" t="e">
        <f>IF(bargiri[[#This Row],[مبلغ ناخالص]]-(bargiri[[#This Row],[نرخ استهلاک]]*bargiri[[#This Row],[مقدار]])&lt;0,0,bargiri[[#This Row],[مبلغ ناخالص]]-(bargiri[[#This Row],[نرخ استهلاک]]*bargiri[[#This Row],[مقدار]]))</f>
        <v>#N/A</v>
      </c>
    </row>
    <row r="1781" spans="1:17" s="22" customFormat="1" ht="13.8" x14ac:dyDescent="0.25">
      <c r="A1781" s="22">
        <v>1103</v>
      </c>
      <c r="B1781" s="22" t="s">
        <v>469</v>
      </c>
      <c r="C1781" s="22" t="s">
        <v>47</v>
      </c>
      <c r="D1781" s="22" t="s">
        <v>43</v>
      </c>
      <c r="E1781" s="158">
        <v>22075</v>
      </c>
      <c r="F1781" s="159">
        <v>65000</v>
      </c>
      <c r="G1781" s="159">
        <v>1434875000</v>
      </c>
      <c r="H1781" s="159">
        <v>129138750</v>
      </c>
      <c r="I1781" s="159">
        <v>1564013750</v>
      </c>
      <c r="J1781" s="159" t="e">
        <f>bargiri[[#This Row],[مقدار]]*INDEX(invoice[پیش دریافت به ازای هر کیلوگرم],MATCH(bargiri[[#This Row],[شماره سند مبنا]],invoice[شماره پیش فاکتور],0))</f>
        <v>#N/A</v>
      </c>
      <c r="K1781" s="159" t="e">
        <f>bargiri[[#This Row],[مبلغ خالص]]-bargiri[[#This Row],[میزان استهلاک پیش دریافتی]]</f>
        <v>#N/A</v>
      </c>
      <c r="L1781" s="160"/>
      <c r="M1781" s="159"/>
      <c r="N1781" s="159" t="e">
        <f>IF(bargiri[[#This Row],[مبلغ واریزی]]&lt;&gt;"",bargiri[[#This Row],[مانده مبلغ]]-bargiri[[#This Row],[مبلغ واریزی]],bargiri[[#This Row],[مانده مبلغ]])</f>
        <v>#N/A</v>
      </c>
      <c r="O1781" s="159"/>
      <c r="P1781" s="159" t="e">
        <f>VLOOKUP(bargiri[[#This Row],[شماره سند مبنا]],invoice[[شماره پیش فاکتور]:[پیش دریافت به ازای هر کیلوگرم]],14,0)</f>
        <v>#N/A</v>
      </c>
      <c r="Q1781" s="159" t="e">
        <f>IF(bargiri[[#This Row],[مبلغ ناخالص]]-(bargiri[[#This Row],[نرخ استهلاک]]*bargiri[[#This Row],[مقدار]])&lt;0,0,bargiri[[#This Row],[مبلغ ناخالص]]-(bargiri[[#This Row],[نرخ استهلاک]]*bargiri[[#This Row],[مقدار]]))</f>
        <v>#N/A</v>
      </c>
    </row>
    <row r="1782" spans="1:17" s="22" customFormat="1" ht="13.8" x14ac:dyDescent="0.25">
      <c r="A1782" s="22">
        <v>1102</v>
      </c>
      <c r="B1782" s="22" t="s">
        <v>469</v>
      </c>
      <c r="C1782" s="22" t="s">
        <v>115</v>
      </c>
      <c r="D1782" s="22" t="s">
        <v>116</v>
      </c>
      <c r="E1782" s="158">
        <v>20975</v>
      </c>
      <c r="F1782" s="159">
        <v>75000</v>
      </c>
      <c r="G1782" s="159">
        <v>1573125000</v>
      </c>
      <c r="H1782" s="159">
        <v>157312500</v>
      </c>
      <c r="I1782" s="159">
        <v>1730437500</v>
      </c>
      <c r="J1782" s="159">
        <f>bargiri[[#This Row],[مقدار]]*INDEX(invoice[پیش دریافت به ازای هر کیلوگرم],MATCH(bargiri[[#This Row],[شماره سند مبنا]],invoice[شماره پیش فاکتور],0))</f>
        <v>314839090.58159548</v>
      </c>
      <c r="K1782" s="159">
        <f>bargiri[[#This Row],[مبلغ خالص]]-bargiri[[#This Row],[میزان استهلاک پیش دریافتی]]</f>
        <v>1415598409.4184046</v>
      </c>
      <c r="L1782" s="160"/>
      <c r="M1782" s="159"/>
      <c r="N1782" s="159">
        <f>IF(bargiri[[#This Row],[مبلغ واریزی]]&lt;&gt;"",bargiri[[#This Row],[مانده مبلغ]]-bargiri[[#This Row],[مبلغ واریزی]],bargiri[[#This Row],[مانده مبلغ]])</f>
        <v>1415598409.4184046</v>
      </c>
      <c r="O1782" s="159"/>
      <c r="P1782" s="159">
        <f>VLOOKUP(bargiri[[#This Row],[شماره سند مبنا]],invoice[[شماره پیش فاکتور]:[پیش دریافت به ازای هر کیلوگرم]],14,0)</f>
        <v>15010.206940719689</v>
      </c>
      <c r="Q1782" s="159">
        <f>IF(bargiri[[#This Row],[مبلغ ناخالص]]-(bargiri[[#This Row],[نرخ استهلاک]]*bargiri[[#This Row],[مقدار]])&lt;0,0,bargiri[[#This Row],[مبلغ ناخالص]]-(bargiri[[#This Row],[نرخ استهلاک]]*bargiri[[#This Row],[مقدار]]))</f>
        <v>1258285909.4184046</v>
      </c>
    </row>
    <row r="1783" spans="1:17" s="22" customFormat="1" ht="13.8" x14ac:dyDescent="0.25">
      <c r="A1783" s="22">
        <v>1101</v>
      </c>
      <c r="B1783" s="22" t="s">
        <v>470</v>
      </c>
      <c r="C1783" s="22" t="s">
        <v>139</v>
      </c>
      <c r="D1783" s="22" t="s">
        <v>70</v>
      </c>
      <c r="E1783" s="158">
        <v>9710</v>
      </c>
      <c r="F1783" s="159">
        <v>73000</v>
      </c>
      <c r="G1783" s="159">
        <v>708830000</v>
      </c>
      <c r="H1783" s="159">
        <v>70883000</v>
      </c>
      <c r="I1783" s="159">
        <v>779713000</v>
      </c>
      <c r="J1783" s="159" t="e">
        <f>bargiri[[#This Row],[مقدار]]*INDEX(invoice[پیش دریافت به ازای هر کیلوگرم],MATCH(bargiri[[#This Row],[شماره سند مبنا]],invoice[شماره پیش فاکتور],0))</f>
        <v>#N/A</v>
      </c>
      <c r="K1783" s="159" t="e">
        <f>bargiri[[#This Row],[مبلغ خالص]]-bargiri[[#This Row],[میزان استهلاک پیش دریافتی]]</f>
        <v>#N/A</v>
      </c>
      <c r="L1783" s="160"/>
      <c r="M1783" s="159"/>
      <c r="N1783" s="159" t="e">
        <f>IF(bargiri[[#This Row],[مبلغ واریزی]]&lt;&gt;"",bargiri[[#This Row],[مانده مبلغ]]-bargiri[[#This Row],[مبلغ واریزی]],bargiri[[#This Row],[مانده مبلغ]])</f>
        <v>#N/A</v>
      </c>
      <c r="O1783" s="159"/>
      <c r="P1783" s="159" t="e">
        <f>VLOOKUP(bargiri[[#This Row],[شماره سند مبنا]],invoice[[شماره پیش فاکتور]:[پیش دریافت به ازای هر کیلوگرم]],14,0)</f>
        <v>#N/A</v>
      </c>
      <c r="Q1783" s="159" t="e">
        <f>IF(bargiri[[#This Row],[مبلغ ناخالص]]-(bargiri[[#This Row],[نرخ استهلاک]]*bargiri[[#This Row],[مقدار]])&lt;0,0,bargiri[[#This Row],[مبلغ ناخالص]]-(bargiri[[#This Row],[نرخ استهلاک]]*bargiri[[#This Row],[مقدار]]))</f>
        <v>#N/A</v>
      </c>
    </row>
    <row r="1784" spans="1:17" s="22" customFormat="1" ht="13.8" x14ac:dyDescent="0.25">
      <c r="A1784" s="22">
        <v>1101</v>
      </c>
      <c r="B1784" s="22" t="s">
        <v>470</v>
      </c>
      <c r="C1784" s="22" t="s">
        <v>69</v>
      </c>
      <c r="D1784" s="22" t="s">
        <v>70</v>
      </c>
      <c r="E1784" s="158">
        <v>10440</v>
      </c>
      <c r="F1784" s="159">
        <v>70000</v>
      </c>
      <c r="G1784" s="159">
        <v>730800000</v>
      </c>
      <c r="H1784" s="159">
        <v>65772000</v>
      </c>
      <c r="I1784" s="159">
        <v>796572000</v>
      </c>
      <c r="J1784" s="159" t="e">
        <f>bargiri[[#This Row],[مقدار]]*INDEX(invoice[پیش دریافت به ازای هر کیلوگرم],MATCH(bargiri[[#This Row],[شماره سند مبنا]],invoice[شماره پیش فاکتور],0))</f>
        <v>#N/A</v>
      </c>
      <c r="K1784" s="159" t="e">
        <f>bargiri[[#This Row],[مبلغ خالص]]-bargiri[[#This Row],[میزان استهلاک پیش دریافتی]]</f>
        <v>#N/A</v>
      </c>
      <c r="L1784" s="160"/>
      <c r="M1784" s="159"/>
      <c r="N1784" s="159" t="e">
        <f>IF(bargiri[[#This Row],[مبلغ واریزی]]&lt;&gt;"",bargiri[[#This Row],[مانده مبلغ]]-bargiri[[#This Row],[مبلغ واریزی]],bargiri[[#This Row],[مانده مبلغ]])</f>
        <v>#N/A</v>
      </c>
      <c r="O1784" s="159"/>
      <c r="P1784" s="159" t="e">
        <f>VLOOKUP(bargiri[[#This Row],[شماره سند مبنا]],invoice[[شماره پیش فاکتور]:[پیش دریافت به ازای هر کیلوگرم]],14,0)</f>
        <v>#N/A</v>
      </c>
      <c r="Q1784" s="159" t="e">
        <f>IF(bargiri[[#This Row],[مبلغ ناخالص]]-(bargiri[[#This Row],[نرخ استهلاک]]*bargiri[[#This Row],[مقدار]])&lt;0,0,bargiri[[#This Row],[مبلغ ناخالص]]-(bargiri[[#This Row],[نرخ استهلاک]]*bargiri[[#This Row],[مقدار]]))</f>
        <v>#N/A</v>
      </c>
    </row>
    <row r="1785" spans="1:17" s="22" customFormat="1" ht="13.8" x14ac:dyDescent="0.25">
      <c r="A1785" s="22">
        <v>1100</v>
      </c>
      <c r="B1785" s="22" t="s">
        <v>121</v>
      </c>
      <c r="C1785" s="22" t="s">
        <v>66</v>
      </c>
      <c r="D1785" s="22" t="s">
        <v>67</v>
      </c>
      <c r="E1785" s="158">
        <v>20040</v>
      </c>
      <c r="F1785" s="159">
        <v>68500</v>
      </c>
      <c r="G1785" s="159">
        <v>1372740000</v>
      </c>
      <c r="H1785" s="159">
        <v>123546600</v>
      </c>
      <c r="I1785" s="159">
        <v>1496286600</v>
      </c>
      <c r="J1785" s="159" t="e">
        <f>bargiri[[#This Row],[مقدار]]*INDEX(invoice[پیش دریافت به ازای هر کیلوگرم],MATCH(bargiri[[#This Row],[شماره سند مبنا]],invoice[شماره پیش فاکتور],0))</f>
        <v>#N/A</v>
      </c>
      <c r="K1785" s="159" t="e">
        <f>bargiri[[#This Row],[مبلغ خالص]]-bargiri[[#This Row],[میزان استهلاک پیش دریافتی]]</f>
        <v>#N/A</v>
      </c>
      <c r="L1785" s="160"/>
      <c r="M1785" s="159"/>
      <c r="N1785" s="159" t="e">
        <f>IF(bargiri[[#This Row],[مبلغ واریزی]]&lt;&gt;"",bargiri[[#This Row],[مانده مبلغ]]-bargiri[[#This Row],[مبلغ واریزی]],bargiri[[#This Row],[مانده مبلغ]])</f>
        <v>#N/A</v>
      </c>
      <c r="O1785" s="159"/>
      <c r="P1785" s="159" t="e">
        <f>VLOOKUP(bargiri[[#This Row],[شماره سند مبنا]],invoice[[شماره پیش فاکتور]:[پیش دریافت به ازای هر کیلوگرم]],14,0)</f>
        <v>#N/A</v>
      </c>
      <c r="Q1785" s="159" t="e">
        <f>IF(bargiri[[#This Row],[مبلغ ناخالص]]-(bargiri[[#This Row],[نرخ استهلاک]]*bargiri[[#This Row],[مقدار]])&lt;0,0,bargiri[[#This Row],[مبلغ ناخالص]]-(bargiri[[#This Row],[نرخ استهلاک]]*bargiri[[#This Row],[مقدار]]))</f>
        <v>#N/A</v>
      </c>
    </row>
    <row r="1786" spans="1:17" s="22" customFormat="1" ht="13.8" x14ac:dyDescent="0.25">
      <c r="A1786" s="22">
        <v>1099</v>
      </c>
      <c r="B1786" s="22" t="s">
        <v>470</v>
      </c>
      <c r="C1786" s="22" t="s">
        <v>115</v>
      </c>
      <c r="D1786" s="22" t="s">
        <v>116</v>
      </c>
      <c r="E1786" s="158">
        <v>20865</v>
      </c>
      <c r="F1786" s="159">
        <v>75000</v>
      </c>
      <c r="G1786" s="159">
        <v>1564875000</v>
      </c>
      <c r="H1786" s="159">
        <v>156487500</v>
      </c>
      <c r="I1786" s="159">
        <v>1721362500</v>
      </c>
      <c r="J1786" s="159">
        <f>bargiri[[#This Row],[مقدار]]*INDEX(invoice[پیش دریافت به ازای هر کیلوگرم],MATCH(bargiri[[#This Row],[شماره سند مبنا]],invoice[شماره پیش فاکتور],0))</f>
        <v>313187967.81811631</v>
      </c>
      <c r="K1786" s="159">
        <f>bargiri[[#This Row],[مبلغ خالص]]-bargiri[[#This Row],[میزان استهلاک پیش دریافتی]]</f>
        <v>1408174532.1818838</v>
      </c>
      <c r="L1786" s="160"/>
      <c r="M1786" s="159"/>
      <c r="N1786" s="159">
        <f>IF(bargiri[[#This Row],[مبلغ واریزی]]&lt;&gt;"",bargiri[[#This Row],[مانده مبلغ]]-bargiri[[#This Row],[مبلغ واریزی]],bargiri[[#This Row],[مانده مبلغ]])</f>
        <v>1408174532.1818838</v>
      </c>
      <c r="O1786" s="159"/>
      <c r="P1786" s="159">
        <f>VLOOKUP(bargiri[[#This Row],[شماره سند مبنا]],invoice[[شماره پیش فاکتور]:[پیش دریافت به ازای هر کیلوگرم]],14,0)</f>
        <v>15010.206940719689</v>
      </c>
      <c r="Q1786" s="159">
        <f>IF(bargiri[[#This Row],[مبلغ ناخالص]]-(bargiri[[#This Row],[نرخ استهلاک]]*bargiri[[#This Row],[مقدار]])&lt;0,0,bargiri[[#This Row],[مبلغ ناخالص]]-(bargiri[[#This Row],[نرخ استهلاک]]*bargiri[[#This Row],[مقدار]]))</f>
        <v>1251687032.1818838</v>
      </c>
    </row>
    <row r="1787" spans="1:17" s="22" customFormat="1" ht="13.8" x14ac:dyDescent="0.25">
      <c r="A1787" s="22">
        <v>1098</v>
      </c>
      <c r="B1787" s="22" t="s">
        <v>470</v>
      </c>
      <c r="C1787" s="22" t="s">
        <v>86</v>
      </c>
      <c r="D1787" s="22" t="s">
        <v>30</v>
      </c>
      <c r="E1787" s="158">
        <v>12110</v>
      </c>
      <c r="F1787" s="159">
        <v>65000</v>
      </c>
      <c r="G1787" s="159">
        <v>787150000</v>
      </c>
      <c r="H1787" s="159">
        <v>78715000</v>
      </c>
      <c r="I1787" s="159">
        <v>865865000</v>
      </c>
      <c r="J1787" s="159" t="e">
        <f>bargiri[[#This Row],[مقدار]]*INDEX(invoice[پیش دریافت به ازای هر کیلوگرم],MATCH(bargiri[[#This Row],[شماره سند مبنا]],invoice[شماره پیش فاکتور],0))</f>
        <v>#N/A</v>
      </c>
      <c r="K1787" s="159" t="e">
        <f>bargiri[[#This Row],[مبلغ خالص]]-bargiri[[#This Row],[میزان استهلاک پیش دریافتی]]</f>
        <v>#N/A</v>
      </c>
      <c r="L1787" s="160"/>
      <c r="M1787" s="159"/>
      <c r="N1787" s="159" t="e">
        <f>IF(bargiri[[#This Row],[مبلغ واریزی]]&lt;&gt;"",bargiri[[#This Row],[مانده مبلغ]]-bargiri[[#This Row],[مبلغ واریزی]],bargiri[[#This Row],[مانده مبلغ]])</f>
        <v>#N/A</v>
      </c>
      <c r="O1787" s="159"/>
      <c r="P1787" s="159" t="e">
        <f>VLOOKUP(bargiri[[#This Row],[شماره سند مبنا]],invoice[[شماره پیش فاکتور]:[پیش دریافت به ازای هر کیلوگرم]],14,0)</f>
        <v>#N/A</v>
      </c>
      <c r="Q1787" s="159" t="e">
        <f>IF(bargiri[[#This Row],[مبلغ ناخالص]]-(bargiri[[#This Row],[نرخ استهلاک]]*bargiri[[#This Row],[مقدار]])&lt;0,0,bargiri[[#This Row],[مبلغ ناخالص]]-(bargiri[[#This Row],[نرخ استهلاک]]*bargiri[[#This Row],[مقدار]]))</f>
        <v>#N/A</v>
      </c>
    </row>
    <row r="1788" spans="1:17" s="22" customFormat="1" ht="13.8" x14ac:dyDescent="0.25">
      <c r="A1788" s="22">
        <v>1097</v>
      </c>
      <c r="B1788" s="22" t="s">
        <v>470</v>
      </c>
      <c r="C1788" s="22" t="s">
        <v>81</v>
      </c>
      <c r="D1788" s="22" t="s">
        <v>35</v>
      </c>
      <c r="E1788" s="158">
        <v>6815</v>
      </c>
      <c r="F1788" s="159">
        <v>70000</v>
      </c>
      <c r="G1788" s="159">
        <v>477050000</v>
      </c>
      <c r="H1788" s="159">
        <v>47705000</v>
      </c>
      <c r="I1788" s="159">
        <v>524755000</v>
      </c>
      <c r="J1788" s="159" t="e">
        <f>bargiri[[#This Row],[مقدار]]*INDEX(invoice[پیش دریافت به ازای هر کیلوگرم],MATCH(bargiri[[#This Row],[شماره سند مبنا]],invoice[شماره پیش فاکتور],0))</f>
        <v>#N/A</v>
      </c>
      <c r="K1788" s="159" t="e">
        <f>bargiri[[#This Row],[مبلغ خالص]]-bargiri[[#This Row],[میزان استهلاک پیش دریافتی]]</f>
        <v>#N/A</v>
      </c>
      <c r="L1788" s="160"/>
      <c r="M1788" s="159"/>
      <c r="N1788" s="159" t="e">
        <f>IF(bargiri[[#This Row],[مبلغ واریزی]]&lt;&gt;"",bargiri[[#This Row],[مانده مبلغ]]-bargiri[[#This Row],[مبلغ واریزی]],bargiri[[#This Row],[مانده مبلغ]])</f>
        <v>#N/A</v>
      </c>
      <c r="O1788" s="159"/>
      <c r="P1788" s="159" t="e">
        <f>VLOOKUP(bargiri[[#This Row],[شماره سند مبنا]],invoice[[شماره پیش فاکتور]:[پیش دریافت به ازای هر کیلوگرم]],14,0)</f>
        <v>#N/A</v>
      </c>
      <c r="Q1788" s="159" t="e">
        <f>IF(bargiri[[#This Row],[مبلغ ناخالص]]-(bargiri[[#This Row],[نرخ استهلاک]]*bargiri[[#This Row],[مقدار]])&lt;0,0,bargiri[[#This Row],[مبلغ ناخالص]]-(bargiri[[#This Row],[نرخ استهلاک]]*bargiri[[#This Row],[مقدار]]))</f>
        <v>#N/A</v>
      </c>
    </row>
    <row r="1789" spans="1:17" s="22" customFormat="1" ht="13.8" x14ac:dyDescent="0.25">
      <c r="A1789" s="22">
        <v>1096</v>
      </c>
      <c r="B1789" s="22" t="s">
        <v>470</v>
      </c>
      <c r="C1789" s="22" t="s">
        <v>115</v>
      </c>
      <c r="D1789" s="22" t="s">
        <v>116</v>
      </c>
      <c r="E1789" s="158">
        <v>20915</v>
      </c>
      <c r="F1789" s="159">
        <v>75000</v>
      </c>
      <c r="G1789" s="159">
        <v>1568625000</v>
      </c>
      <c r="H1789" s="159">
        <v>156862500</v>
      </c>
      <c r="I1789" s="159">
        <v>1725487500</v>
      </c>
      <c r="J1789" s="159">
        <f>bargiri[[#This Row],[مقدار]]*INDEX(invoice[پیش دریافت به ازای هر کیلوگرم],MATCH(bargiri[[#This Row],[شماره سند مبنا]],invoice[شماره پیش فاکتور],0))</f>
        <v>313938478.16515231</v>
      </c>
      <c r="K1789" s="159">
        <f>bargiri[[#This Row],[مبلغ خالص]]-bargiri[[#This Row],[میزان استهلاک پیش دریافتی]]</f>
        <v>1411549021.8348477</v>
      </c>
      <c r="L1789" s="160"/>
      <c r="M1789" s="159"/>
      <c r="N1789" s="159">
        <f>IF(bargiri[[#This Row],[مبلغ واریزی]]&lt;&gt;"",bargiri[[#This Row],[مانده مبلغ]]-bargiri[[#This Row],[مبلغ واریزی]],bargiri[[#This Row],[مانده مبلغ]])</f>
        <v>1411549021.8348477</v>
      </c>
      <c r="O1789" s="159"/>
      <c r="P1789" s="159">
        <f>VLOOKUP(bargiri[[#This Row],[شماره سند مبنا]],invoice[[شماره پیش فاکتور]:[پیش دریافت به ازای هر کیلوگرم]],14,0)</f>
        <v>15010.206940719689</v>
      </c>
      <c r="Q1789" s="159">
        <f>IF(bargiri[[#This Row],[مبلغ ناخالص]]-(bargiri[[#This Row],[نرخ استهلاک]]*bargiri[[#This Row],[مقدار]])&lt;0,0,bargiri[[#This Row],[مبلغ ناخالص]]-(bargiri[[#This Row],[نرخ استهلاک]]*bargiri[[#This Row],[مقدار]]))</f>
        <v>1254686521.8348477</v>
      </c>
    </row>
    <row r="1790" spans="1:17" s="22" customFormat="1" ht="13.8" x14ac:dyDescent="0.25">
      <c r="A1790" s="22">
        <v>1095</v>
      </c>
      <c r="B1790" s="22" t="s">
        <v>470</v>
      </c>
      <c r="C1790" s="22" t="s">
        <v>155</v>
      </c>
      <c r="D1790" s="22" t="s">
        <v>156</v>
      </c>
      <c r="E1790" s="158">
        <v>22200</v>
      </c>
      <c r="F1790" s="159">
        <v>75000</v>
      </c>
      <c r="G1790" s="159">
        <v>1665000000</v>
      </c>
      <c r="H1790" s="159">
        <v>166500000</v>
      </c>
      <c r="I1790" s="159">
        <v>1831500000</v>
      </c>
      <c r="J1790" s="159">
        <f>bargiri[[#This Row],[مقدار]]*INDEX(invoice[پیش دریافت به ازای هر کیلوگرم],MATCH(bargiri[[#This Row],[شماره سند مبنا]],invoice[شماره پیش فاکتور],0))</f>
        <v>274725000</v>
      </c>
      <c r="K1790" s="159">
        <f>bargiri[[#This Row],[مبلغ خالص]]-bargiri[[#This Row],[میزان استهلاک پیش دریافتی]]</f>
        <v>1556775000</v>
      </c>
      <c r="L1790" s="160"/>
      <c r="M1790" s="159"/>
      <c r="N1790" s="159">
        <f>IF(bargiri[[#This Row],[مبلغ واریزی]]&lt;&gt;"",bargiri[[#This Row],[مانده مبلغ]]-bargiri[[#This Row],[مبلغ واریزی]],bargiri[[#This Row],[مانده مبلغ]])</f>
        <v>1556775000</v>
      </c>
      <c r="O1790" s="159"/>
      <c r="P1790" s="159">
        <f>VLOOKUP(bargiri[[#This Row],[شماره سند مبنا]],invoice[[شماره پیش فاکتور]:[پیش دریافت به ازای هر کیلوگرم]],14,0)</f>
        <v>12375</v>
      </c>
      <c r="Q1790" s="159">
        <f>IF(bargiri[[#This Row],[مبلغ ناخالص]]-(bargiri[[#This Row],[نرخ استهلاک]]*bargiri[[#This Row],[مقدار]])&lt;0,0,bargiri[[#This Row],[مبلغ ناخالص]]-(bargiri[[#This Row],[نرخ استهلاک]]*bargiri[[#This Row],[مقدار]]))</f>
        <v>1390275000</v>
      </c>
    </row>
    <row r="1791" spans="1:17" s="22" customFormat="1" ht="13.8" x14ac:dyDescent="0.25">
      <c r="A1791" s="22">
        <v>1094</v>
      </c>
      <c r="B1791" s="22" t="s">
        <v>471</v>
      </c>
      <c r="C1791" s="22" t="s">
        <v>128</v>
      </c>
      <c r="D1791" s="22" t="s">
        <v>129</v>
      </c>
      <c r="E1791" s="158">
        <v>9615</v>
      </c>
      <c r="F1791" s="159">
        <v>80000</v>
      </c>
      <c r="G1791" s="159">
        <v>769200000</v>
      </c>
      <c r="H1791" s="159">
        <v>76920000</v>
      </c>
      <c r="I1791" s="159">
        <v>846120000</v>
      </c>
      <c r="J1791" s="159">
        <f>bargiri[[#This Row],[مقدار]]*INDEX(invoice[پیش دریافت به ازای هر کیلوگرم],MATCH(bargiri[[#This Row],[شماره سند مبنا]],invoice[شماره پیش فاکتور],0))</f>
        <v>127534416.34567074</v>
      </c>
      <c r="K1791" s="159">
        <f>bargiri[[#This Row],[مبلغ خالص]]-bargiri[[#This Row],[میزان استهلاک پیش دریافتی]]</f>
        <v>718585583.6543293</v>
      </c>
      <c r="L1791" s="160"/>
      <c r="M1791" s="159"/>
      <c r="N1791" s="159">
        <f>IF(bargiri[[#This Row],[مبلغ واریزی]]&lt;&gt;"",bargiri[[#This Row],[مانده مبلغ]]-bargiri[[#This Row],[مبلغ واریزی]],bargiri[[#This Row],[مانده مبلغ]])</f>
        <v>718585583.6543293</v>
      </c>
      <c r="O1791" s="159"/>
      <c r="P1791" s="159">
        <f>VLOOKUP(bargiri[[#This Row],[شماره سند مبنا]],invoice[[شماره پیش فاکتور]:[پیش دریافت به ازای هر کیلوگرم]],14,0)</f>
        <v>13264.109864344331</v>
      </c>
      <c r="Q1791" s="159">
        <f>IF(bargiri[[#This Row],[مبلغ ناخالص]]-(bargiri[[#This Row],[نرخ استهلاک]]*bargiri[[#This Row],[مقدار]])&lt;0,0,bargiri[[#This Row],[مبلغ ناخالص]]-(bargiri[[#This Row],[نرخ استهلاک]]*bargiri[[#This Row],[مقدار]]))</f>
        <v>641665583.6543293</v>
      </c>
    </row>
    <row r="1792" spans="1:17" s="22" customFormat="1" ht="13.8" x14ac:dyDescent="0.25">
      <c r="A1792" s="22">
        <v>1093</v>
      </c>
      <c r="B1792" s="22" t="s">
        <v>471</v>
      </c>
      <c r="C1792" s="22" t="s">
        <v>72</v>
      </c>
      <c r="D1792" s="22" t="s">
        <v>73</v>
      </c>
      <c r="E1792" s="158">
        <v>20985</v>
      </c>
      <c r="F1792" s="159">
        <v>57273</v>
      </c>
      <c r="G1792" s="159">
        <v>1201873905</v>
      </c>
      <c r="H1792" s="159">
        <v>120187391</v>
      </c>
      <c r="I1792" s="159">
        <v>1322061296</v>
      </c>
      <c r="J1792" s="159" t="e">
        <f>bargiri[[#This Row],[مقدار]]*INDEX(invoice[پیش دریافت به ازای هر کیلوگرم],MATCH(bargiri[[#This Row],[شماره سند مبنا]],invoice[شماره پیش فاکتور],0))</f>
        <v>#N/A</v>
      </c>
      <c r="K1792" s="159" t="e">
        <f>bargiri[[#This Row],[مبلغ خالص]]-bargiri[[#This Row],[میزان استهلاک پیش دریافتی]]</f>
        <v>#N/A</v>
      </c>
      <c r="L1792" s="160"/>
      <c r="M1792" s="159"/>
      <c r="N1792" s="159" t="e">
        <f>IF(bargiri[[#This Row],[مبلغ واریزی]]&lt;&gt;"",bargiri[[#This Row],[مانده مبلغ]]-bargiri[[#This Row],[مبلغ واریزی]],bargiri[[#This Row],[مانده مبلغ]])</f>
        <v>#N/A</v>
      </c>
      <c r="O1792" s="159"/>
      <c r="P1792" s="159" t="e">
        <f>VLOOKUP(bargiri[[#This Row],[شماره سند مبنا]],invoice[[شماره پیش فاکتور]:[پیش دریافت به ازای هر کیلوگرم]],14,0)</f>
        <v>#N/A</v>
      </c>
      <c r="Q1792" s="159" t="e">
        <f>IF(bargiri[[#This Row],[مبلغ ناخالص]]-(bargiri[[#This Row],[نرخ استهلاک]]*bargiri[[#This Row],[مقدار]])&lt;0,0,bargiri[[#This Row],[مبلغ ناخالص]]-(bargiri[[#This Row],[نرخ استهلاک]]*bargiri[[#This Row],[مقدار]]))</f>
        <v>#N/A</v>
      </c>
    </row>
    <row r="1793" spans="1:17" s="22" customFormat="1" ht="13.8" x14ac:dyDescent="0.25">
      <c r="A1793" s="22">
        <v>1092</v>
      </c>
      <c r="B1793" s="22" t="s">
        <v>471</v>
      </c>
      <c r="C1793" s="22" t="s">
        <v>109</v>
      </c>
      <c r="D1793" s="22" t="s">
        <v>110</v>
      </c>
      <c r="E1793" s="158">
        <v>20000</v>
      </c>
      <c r="F1793" s="159">
        <v>70000</v>
      </c>
      <c r="G1793" s="159">
        <v>1400000000</v>
      </c>
      <c r="H1793" s="159">
        <v>140000000</v>
      </c>
      <c r="I1793" s="159">
        <v>1540000000</v>
      </c>
      <c r="J1793" s="159" t="e">
        <f>bargiri[[#This Row],[مقدار]]*INDEX(invoice[پیش دریافت به ازای هر کیلوگرم],MATCH(bargiri[[#This Row],[شماره سند مبنا]],invoice[شماره پیش فاکتور],0))</f>
        <v>#N/A</v>
      </c>
      <c r="K1793" s="159" t="e">
        <f>bargiri[[#This Row],[مبلغ خالص]]-bargiri[[#This Row],[میزان استهلاک پیش دریافتی]]</f>
        <v>#N/A</v>
      </c>
      <c r="L1793" s="160"/>
      <c r="M1793" s="159"/>
      <c r="N1793" s="159" t="e">
        <f>IF(bargiri[[#This Row],[مبلغ واریزی]]&lt;&gt;"",bargiri[[#This Row],[مانده مبلغ]]-bargiri[[#This Row],[مبلغ واریزی]],bargiri[[#This Row],[مانده مبلغ]])</f>
        <v>#N/A</v>
      </c>
      <c r="O1793" s="159"/>
      <c r="P1793" s="159" t="e">
        <f>VLOOKUP(bargiri[[#This Row],[شماره سند مبنا]],invoice[[شماره پیش فاکتور]:[پیش دریافت به ازای هر کیلوگرم]],14,0)</f>
        <v>#N/A</v>
      </c>
      <c r="Q1793" s="159" t="e">
        <f>IF(bargiri[[#This Row],[مبلغ ناخالص]]-(bargiri[[#This Row],[نرخ استهلاک]]*bargiri[[#This Row],[مقدار]])&lt;0,0,bargiri[[#This Row],[مبلغ ناخالص]]-(bargiri[[#This Row],[نرخ استهلاک]]*bargiri[[#This Row],[مقدار]]))</f>
        <v>#N/A</v>
      </c>
    </row>
    <row r="1794" spans="1:17" s="22" customFormat="1" ht="13.8" x14ac:dyDescent="0.25">
      <c r="A1794" s="22">
        <v>1091</v>
      </c>
      <c r="B1794" s="22" t="s">
        <v>121</v>
      </c>
      <c r="C1794" s="22" t="s">
        <v>72</v>
      </c>
      <c r="D1794" s="22" t="s">
        <v>73</v>
      </c>
      <c r="E1794" s="158">
        <v>21070</v>
      </c>
      <c r="F1794" s="159">
        <v>57273</v>
      </c>
      <c r="G1794" s="159">
        <v>1206742110</v>
      </c>
      <c r="H1794" s="159">
        <v>120674211</v>
      </c>
      <c r="I1794" s="159">
        <v>1327416321</v>
      </c>
      <c r="J1794" s="159" t="e">
        <f>bargiri[[#This Row],[مقدار]]*INDEX(invoice[پیش دریافت به ازای هر کیلوگرم],MATCH(bargiri[[#This Row],[شماره سند مبنا]],invoice[شماره پیش فاکتور],0))</f>
        <v>#N/A</v>
      </c>
      <c r="K1794" s="159" t="e">
        <f>bargiri[[#This Row],[مبلغ خالص]]-bargiri[[#This Row],[میزان استهلاک پیش دریافتی]]</f>
        <v>#N/A</v>
      </c>
      <c r="L1794" s="160"/>
      <c r="M1794" s="159"/>
      <c r="N1794" s="159" t="e">
        <f>IF(bargiri[[#This Row],[مبلغ واریزی]]&lt;&gt;"",bargiri[[#This Row],[مانده مبلغ]]-bargiri[[#This Row],[مبلغ واریزی]],bargiri[[#This Row],[مانده مبلغ]])</f>
        <v>#N/A</v>
      </c>
      <c r="O1794" s="159"/>
      <c r="P1794" s="159" t="e">
        <f>VLOOKUP(bargiri[[#This Row],[شماره سند مبنا]],invoice[[شماره پیش فاکتور]:[پیش دریافت به ازای هر کیلوگرم]],14,0)</f>
        <v>#N/A</v>
      </c>
      <c r="Q1794" s="159" t="e">
        <f>IF(bargiri[[#This Row],[مبلغ ناخالص]]-(bargiri[[#This Row],[نرخ استهلاک]]*bargiri[[#This Row],[مقدار]])&lt;0,0,bargiri[[#This Row],[مبلغ ناخالص]]-(bargiri[[#This Row],[نرخ استهلاک]]*bargiri[[#This Row],[مقدار]]))</f>
        <v>#N/A</v>
      </c>
    </row>
    <row r="1795" spans="1:17" s="22" customFormat="1" ht="13.8" x14ac:dyDescent="0.25">
      <c r="A1795" s="22">
        <v>1090</v>
      </c>
      <c r="B1795" s="22" t="s">
        <v>121</v>
      </c>
      <c r="C1795" s="22" t="s">
        <v>72</v>
      </c>
      <c r="D1795" s="22" t="s">
        <v>73</v>
      </c>
      <c r="E1795" s="158">
        <v>21505</v>
      </c>
      <c r="F1795" s="159">
        <v>57273</v>
      </c>
      <c r="G1795" s="159">
        <v>1231655865</v>
      </c>
      <c r="H1795" s="159">
        <v>123165587</v>
      </c>
      <c r="I1795" s="159">
        <v>1354821452</v>
      </c>
      <c r="J1795" s="159" t="e">
        <f>bargiri[[#This Row],[مقدار]]*INDEX(invoice[پیش دریافت به ازای هر کیلوگرم],MATCH(bargiri[[#This Row],[شماره سند مبنا]],invoice[شماره پیش فاکتور],0))</f>
        <v>#N/A</v>
      </c>
      <c r="K1795" s="159" t="e">
        <f>bargiri[[#This Row],[مبلغ خالص]]-bargiri[[#This Row],[میزان استهلاک پیش دریافتی]]</f>
        <v>#N/A</v>
      </c>
      <c r="L1795" s="160"/>
      <c r="M1795" s="159"/>
      <c r="N1795" s="159" t="e">
        <f>IF(bargiri[[#This Row],[مبلغ واریزی]]&lt;&gt;"",bargiri[[#This Row],[مانده مبلغ]]-bargiri[[#This Row],[مبلغ واریزی]],bargiri[[#This Row],[مانده مبلغ]])</f>
        <v>#N/A</v>
      </c>
      <c r="O1795" s="159"/>
      <c r="P1795" s="159" t="e">
        <f>VLOOKUP(bargiri[[#This Row],[شماره سند مبنا]],invoice[[شماره پیش فاکتور]:[پیش دریافت به ازای هر کیلوگرم]],14,0)</f>
        <v>#N/A</v>
      </c>
      <c r="Q1795" s="159" t="e">
        <f>IF(bargiri[[#This Row],[مبلغ ناخالص]]-(bargiri[[#This Row],[نرخ استهلاک]]*bargiri[[#This Row],[مقدار]])&lt;0,0,bargiri[[#This Row],[مبلغ ناخالص]]-(bargiri[[#This Row],[نرخ استهلاک]]*bargiri[[#This Row],[مقدار]]))</f>
        <v>#N/A</v>
      </c>
    </row>
    <row r="1796" spans="1:17" s="22" customFormat="1" ht="13.8" x14ac:dyDescent="0.25">
      <c r="A1796" s="22">
        <v>1089</v>
      </c>
      <c r="B1796" s="22" t="s">
        <v>121</v>
      </c>
      <c r="C1796" s="22" t="s">
        <v>155</v>
      </c>
      <c r="D1796" s="22" t="s">
        <v>156</v>
      </c>
      <c r="E1796" s="158">
        <v>22070</v>
      </c>
      <c r="F1796" s="159">
        <v>75000</v>
      </c>
      <c r="G1796" s="159">
        <v>1655250000</v>
      </c>
      <c r="H1796" s="159">
        <v>165525000</v>
      </c>
      <c r="I1796" s="159">
        <v>1820775000</v>
      </c>
      <c r="J1796" s="159">
        <f>bargiri[[#This Row],[مقدار]]*INDEX(invoice[پیش دریافت به ازای هر کیلوگرم],MATCH(bargiri[[#This Row],[شماره سند مبنا]],invoice[شماره پیش فاکتور],0))</f>
        <v>273116250</v>
      </c>
      <c r="K1796" s="159">
        <f>bargiri[[#This Row],[مبلغ خالص]]-bargiri[[#This Row],[میزان استهلاک پیش دریافتی]]</f>
        <v>1547658750</v>
      </c>
      <c r="L1796" s="160"/>
      <c r="M1796" s="159"/>
      <c r="N1796" s="159">
        <f>IF(bargiri[[#This Row],[مبلغ واریزی]]&lt;&gt;"",bargiri[[#This Row],[مانده مبلغ]]-bargiri[[#This Row],[مبلغ واریزی]],bargiri[[#This Row],[مانده مبلغ]])</f>
        <v>1547658750</v>
      </c>
      <c r="O1796" s="159"/>
      <c r="P1796" s="159">
        <f>VLOOKUP(bargiri[[#This Row],[شماره سند مبنا]],invoice[[شماره پیش فاکتور]:[پیش دریافت به ازای هر کیلوگرم]],14,0)</f>
        <v>12375</v>
      </c>
      <c r="Q1796" s="159">
        <f>IF(bargiri[[#This Row],[مبلغ ناخالص]]-(bargiri[[#This Row],[نرخ استهلاک]]*bargiri[[#This Row],[مقدار]])&lt;0,0,bargiri[[#This Row],[مبلغ ناخالص]]-(bargiri[[#This Row],[نرخ استهلاک]]*bargiri[[#This Row],[مقدار]]))</f>
        <v>1382133750</v>
      </c>
    </row>
    <row r="1797" spans="1:17" s="22" customFormat="1" ht="13.8" x14ac:dyDescent="0.25">
      <c r="A1797" s="22">
        <v>1088</v>
      </c>
      <c r="B1797" s="22" t="s">
        <v>159</v>
      </c>
      <c r="C1797" s="22" t="s">
        <v>66</v>
      </c>
      <c r="D1797" s="22" t="s">
        <v>67</v>
      </c>
      <c r="E1797" s="158">
        <v>20185</v>
      </c>
      <c r="F1797" s="159">
        <v>68500</v>
      </c>
      <c r="G1797" s="159">
        <v>1382672500</v>
      </c>
      <c r="H1797" s="159">
        <v>124440525</v>
      </c>
      <c r="I1797" s="159">
        <v>1507113025</v>
      </c>
      <c r="J1797" s="159" t="e">
        <f>bargiri[[#This Row],[مقدار]]*INDEX(invoice[پیش دریافت به ازای هر کیلوگرم],MATCH(bargiri[[#This Row],[شماره سند مبنا]],invoice[شماره پیش فاکتور],0))</f>
        <v>#N/A</v>
      </c>
      <c r="K1797" s="159" t="e">
        <f>bargiri[[#This Row],[مبلغ خالص]]-bargiri[[#This Row],[میزان استهلاک پیش دریافتی]]</f>
        <v>#N/A</v>
      </c>
      <c r="L1797" s="160"/>
      <c r="M1797" s="159"/>
      <c r="N1797" s="159" t="e">
        <f>IF(bargiri[[#This Row],[مبلغ واریزی]]&lt;&gt;"",bargiri[[#This Row],[مانده مبلغ]]-bargiri[[#This Row],[مبلغ واریزی]],bargiri[[#This Row],[مانده مبلغ]])</f>
        <v>#N/A</v>
      </c>
      <c r="O1797" s="159"/>
      <c r="P1797" s="159" t="e">
        <f>VLOOKUP(bargiri[[#This Row],[شماره سند مبنا]],invoice[[شماره پیش فاکتور]:[پیش دریافت به ازای هر کیلوگرم]],14,0)</f>
        <v>#N/A</v>
      </c>
      <c r="Q1797" s="159" t="e">
        <f>IF(bargiri[[#This Row],[مبلغ ناخالص]]-(bargiri[[#This Row],[نرخ استهلاک]]*bargiri[[#This Row],[مقدار]])&lt;0,0,bargiri[[#This Row],[مبلغ ناخالص]]-(bargiri[[#This Row],[نرخ استهلاک]]*bargiri[[#This Row],[مقدار]]))</f>
        <v>#N/A</v>
      </c>
    </row>
    <row r="1798" spans="1:17" s="22" customFormat="1" ht="13.8" x14ac:dyDescent="0.25">
      <c r="A1798" s="22">
        <v>1087</v>
      </c>
      <c r="B1798" s="22" t="s">
        <v>159</v>
      </c>
      <c r="C1798" s="22" t="s">
        <v>109</v>
      </c>
      <c r="D1798" s="22" t="s">
        <v>110</v>
      </c>
      <c r="E1798" s="158">
        <v>19095</v>
      </c>
      <c r="F1798" s="159">
        <v>70000</v>
      </c>
      <c r="G1798" s="159">
        <v>1336650000</v>
      </c>
      <c r="H1798" s="159">
        <v>133665000</v>
      </c>
      <c r="I1798" s="159">
        <v>1470315000</v>
      </c>
      <c r="J1798" s="159" t="e">
        <f>bargiri[[#This Row],[مقدار]]*INDEX(invoice[پیش دریافت به ازای هر کیلوگرم],MATCH(bargiri[[#This Row],[شماره سند مبنا]],invoice[شماره پیش فاکتور],0))</f>
        <v>#N/A</v>
      </c>
      <c r="K1798" s="159" t="e">
        <f>bargiri[[#This Row],[مبلغ خالص]]-bargiri[[#This Row],[میزان استهلاک پیش دریافتی]]</f>
        <v>#N/A</v>
      </c>
      <c r="L1798" s="160"/>
      <c r="M1798" s="159"/>
      <c r="N1798" s="159" t="e">
        <f>IF(bargiri[[#This Row],[مبلغ واریزی]]&lt;&gt;"",bargiri[[#This Row],[مانده مبلغ]]-bargiri[[#This Row],[مبلغ واریزی]],bargiri[[#This Row],[مانده مبلغ]])</f>
        <v>#N/A</v>
      </c>
      <c r="O1798" s="159"/>
      <c r="P1798" s="159" t="e">
        <f>VLOOKUP(bargiri[[#This Row],[شماره سند مبنا]],invoice[[شماره پیش فاکتور]:[پیش دریافت به ازای هر کیلوگرم]],14,0)</f>
        <v>#N/A</v>
      </c>
      <c r="Q1798" s="159" t="e">
        <f>IF(bargiri[[#This Row],[مبلغ ناخالص]]-(bargiri[[#This Row],[نرخ استهلاک]]*bargiri[[#This Row],[مقدار]])&lt;0,0,bargiri[[#This Row],[مبلغ ناخالص]]-(bargiri[[#This Row],[نرخ استهلاک]]*bargiri[[#This Row],[مقدار]]))</f>
        <v>#N/A</v>
      </c>
    </row>
    <row r="1799" spans="1:17" s="22" customFormat="1" ht="13.8" x14ac:dyDescent="0.25">
      <c r="A1799" s="22">
        <v>1086</v>
      </c>
      <c r="B1799" s="22" t="s">
        <v>159</v>
      </c>
      <c r="C1799" s="22" t="s">
        <v>59</v>
      </c>
      <c r="D1799" s="22" t="s">
        <v>57</v>
      </c>
      <c r="E1799" s="158">
        <v>9985</v>
      </c>
      <c r="F1799" s="159">
        <v>80000</v>
      </c>
      <c r="G1799" s="159">
        <v>798800000</v>
      </c>
      <c r="H1799" s="159">
        <v>71892000</v>
      </c>
      <c r="I1799" s="159">
        <v>870692000</v>
      </c>
      <c r="J1799" s="159" t="e">
        <f>bargiri[[#This Row],[مقدار]]*INDEX(invoice[پیش دریافت به ازای هر کیلوگرم],MATCH(bargiri[[#This Row],[شماره سند مبنا]],invoice[شماره پیش فاکتور],0))</f>
        <v>#N/A</v>
      </c>
      <c r="K1799" s="159" t="e">
        <f>bargiri[[#This Row],[مبلغ خالص]]-bargiri[[#This Row],[میزان استهلاک پیش دریافتی]]</f>
        <v>#N/A</v>
      </c>
      <c r="L1799" s="160"/>
      <c r="M1799" s="159"/>
      <c r="N1799" s="159" t="e">
        <f>IF(bargiri[[#This Row],[مبلغ واریزی]]&lt;&gt;"",bargiri[[#This Row],[مانده مبلغ]]-bargiri[[#This Row],[مبلغ واریزی]],bargiri[[#This Row],[مانده مبلغ]])</f>
        <v>#N/A</v>
      </c>
      <c r="O1799" s="159"/>
      <c r="P1799" s="159" t="e">
        <f>VLOOKUP(bargiri[[#This Row],[شماره سند مبنا]],invoice[[شماره پیش فاکتور]:[پیش دریافت به ازای هر کیلوگرم]],14,0)</f>
        <v>#N/A</v>
      </c>
      <c r="Q1799" s="159" t="e">
        <f>IF(bargiri[[#This Row],[مبلغ ناخالص]]-(bargiri[[#This Row],[نرخ استهلاک]]*bargiri[[#This Row],[مقدار]])&lt;0,0,bargiri[[#This Row],[مبلغ ناخالص]]-(bargiri[[#This Row],[نرخ استهلاک]]*bargiri[[#This Row],[مقدار]]))</f>
        <v>#N/A</v>
      </c>
    </row>
    <row r="1800" spans="1:17" s="22" customFormat="1" ht="13.8" x14ac:dyDescent="0.25">
      <c r="A1800" s="22">
        <v>1085</v>
      </c>
      <c r="B1800" s="22" t="s">
        <v>159</v>
      </c>
      <c r="C1800" s="22" t="s">
        <v>152</v>
      </c>
      <c r="D1800" s="22" t="s">
        <v>67</v>
      </c>
      <c r="E1800" s="158">
        <v>20075</v>
      </c>
      <c r="F1800" s="159">
        <v>75000</v>
      </c>
      <c r="G1800" s="159">
        <v>1505625000</v>
      </c>
      <c r="H1800" s="159">
        <v>150562500</v>
      </c>
      <c r="I1800" s="159">
        <v>1656187500</v>
      </c>
      <c r="J1800" s="159" t="e">
        <f>bargiri[[#This Row],[مقدار]]*INDEX(invoice[پیش دریافت به ازای هر کیلوگرم],MATCH(bargiri[[#This Row],[شماره سند مبنا]],invoice[شماره پیش فاکتور],0))</f>
        <v>#N/A</v>
      </c>
      <c r="K1800" s="159" t="e">
        <f>bargiri[[#This Row],[مبلغ خالص]]-bargiri[[#This Row],[میزان استهلاک پیش دریافتی]]</f>
        <v>#N/A</v>
      </c>
      <c r="L1800" s="160"/>
      <c r="M1800" s="159"/>
      <c r="N1800" s="159" t="e">
        <f>IF(bargiri[[#This Row],[مبلغ واریزی]]&lt;&gt;"",bargiri[[#This Row],[مانده مبلغ]]-bargiri[[#This Row],[مبلغ واریزی]],bargiri[[#This Row],[مانده مبلغ]])</f>
        <v>#N/A</v>
      </c>
      <c r="O1800" s="159"/>
      <c r="P1800" s="159" t="e">
        <f>VLOOKUP(bargiri[[#This Row],[شماره سند مبنا]],invoice[[شماره پیش فاکتور]:[پیش دریافت به ازای هر کیلوگرم]],14,0)</f>
        <v>#N/A</v>
      </c>
      <c r="Q1800" s="159" t="e">
        <f>IF(bargiri[[#This Row],[مبلغ ناخالص]]-(bargiri[[#This Row],[نرخ استهلاک]]*bargiri[[#This Row],[مقدار]])&lt;0,0,bargiri[[#This Row],[مبلغ ناخالص]]-(bargiri[[#This Row],[نرخ استهلاک]]*bargiri[[#This Row],[مقدار]]))</f>
        <v>#N/A</v>
      </c>
    </row>
    <row r="1801" spans="1:17" s="22" customFormat="1" ht="13.8" x14ac:dyDescent="0.25">
      <c r="A1801" s="22">
        <v>1084</v>
      </c>
      <c r="B1801" s="22" t="s">
        <v>472</v>
      </c>
      <c r="C1801" s="22" t="s">
        <v>128</v>
      </c>
      <c r="D1801" s="22" t="s">
        <v>129</v>
      </c>
      <c r="E1801" s="158">
        <v>9030</v>
      </c>
      <c r="F1801" s="159">
        <v>80000</v>
      </c>
      <c r="G1801" s="159">
        <v>722400000</v>
      </c>
      <c r="H1801" s="159">
        <v>72240000</v>
      </c>
      <c r="I1801" s="159">
        <v>794640000</v>
      </c>
      <c r="J1801" s="159">
        <f>bargiri[[#This Row],[مقدار]]*INDEX(invoice[پیش دریافت به ازای هر کیلوگرم],MATCH(bargiri[[#This Row],[شماره سند مبنا]],invoice[شماره پیش فاکتور],0))</f>
        <v>119774912.07502931</v>
      </c>
      <c r="K1801" s="159">
        <f>bargiri[[#This Row],[مبلغ خالص]]-bargiri[[#This Row],[میزان استهلاک پیش دریافتی]]</f>
        <v>674865087.92497063</v>
      </c>
      <c r="L1801" s="160"/>
      <c r="M1801" s="159"/>
      <c r="N1801" s="159">
        <f>IF(bargiri[[#This Row],[مبلغ واریزی]]&lt;&gt;"",bargiri[[#This Row],[مانده مبلغ]]-bargiri[[#This Row],[مبلغ واریزی]],bargiri[[#This Row],[مانده مبلغ]])</f>
        <v>674865087.92497063</v>
      </c>
      <c r="O1801" s="159"/>
      <c r="P1801" s="159">
        <f>VLOOKUP(bargiri[[#This Row],[شماره سند مبنا]],invoice[[شماره پیش فاکتور]:[پیش دریافت به ازای هر کیلوگرم]],14,0)</f>
        <v>13264.109864344331</v>
      </c>
      <c r="Q1801" s="159">
        <f>IF(bargiri[[#This Row],[مبلغ ناخالص]]-(bargiri[[#This Row],[نرخ استهلاک]]*bargiri[[#This Row],[مقدار]])&lt;0,0,bargiri[[#This Row],[مبلغ ناخالص]]-(bargiri[[#This Row],[نرخ استهلاک]]*bargiri[[#This Row],[مقدار]]))</f>
        <v>602625087.92497063</v>
      </c>
    </row>
    <row r="1802" spans="1:17" s="22" customFormat="1" ht="13.8" x14ac:dyDescent="0.25">
      <c r="A1802" s="22">
        <v>1083</v>
      </c>
      <c r="B1802" s="22" t="s">
        <v>472</v>
      </c>
      <c r="C1802" s="22" t="s">
        <v>81</v>
      </c>
      <c r="D1802" s="22" t="s">
        <v>35</v>
      </c>
      <c r="E1802" s="158">
        <v>7280</v>
      </c>
      <c r="F1802" s="159">
        <v>70000</v>
      </c>
      <c r="G1802" s="159">
        <v>509600000</v>
      </c>
      <c r="H1802" s="159">
        <v>50960000</v>
      </c>
      <c r="I1802" s="159">
        <v>560560000</v>
      </c>
      <c r="J1802" s="159" t="e">
        <f>bargiri[[#This Row],[مقدار]]*INDEX(invoice[پیش دریافت به ازای هر کیلوگرم],MATCH(bargiri[[#This Row],[شماره سند مبنا]],invoice[شماره پیش فاکتور],0))</f>
        <v>#N/A</v>
      </c>
      <c r="K1802" s="159" t="e">
        <f>bargiri[[#This Row],[مبلغ خالص]]-bargiri[[#This Row],[میزان استهلاک پیش دریافتی]]</f>
        <v>#N/A</v>
      </c>
      <c r="L1802" s="160"/>
      <c r="M1802" s="159"/>
      <c r="N1802" s="159" t="e">
        <f>IF(bargiri[[#This Row],[مبلغ واریزی]]&lt;&gt;"",bargiri[[#This Row],[مانده مبلغ]]-bargiri[[#This Row],[مبلغ واریزی]],bargiri[[#This Row],[مانده مبلغ]])</f>
        <v>#N/A</v>
      </c>
      <c r="O1802" s="159"/>
      <c r="P1802" s="159" t="e">
        <f>VLOOKUP(bargiri[[#This Row],[شماره سند مبنا]],invoice[[شماره پیش فاکتور]:[پیش دریافت به ازای هر کیلوگرم]],14,0)</f>
        <v>#N/A</v>
      </c>
      <c r="Q1802" s="159" t="e">
        <f>IF(bargiri[[#This Row],[مبلغ ناخالص]]-(bargiri[[#This Row],[نرخ استهلاک]]*bargiri[[#This Row],[مقدار]])&lt;0,0,bargiri[[#This Row],[مبلغ ناخالص]]-(bargiri[[#This Row],[نرخ استهلاک]]*bargiri[[#This Row],[مقدار]]))</f>
        <v>#N/A</v>
      </c>
    </row>
    <row r="1803" spans="1:17" s="22" customFormat="1" ht="13.8" x14ac:dyDescent="0.25">
      <c r="A1803" s="22">
        <v>1082</v>
      </c>
      <c r="B1803" s="22" t="s">
        <v>472</v>
      </c>
      <c r="C1803" s="22" t="s">
        <v>81</v>
      </c>
      <c r="D1803" s="22" t="s">
        <v>35</v>
      </c>
      <c r="E1803" s="158">
        <v>7325</v>
      </c>
      <c r="F1803" s="159">
        <v>70000</v>
      </c>
      <c r="G1803" s="159">
        <v>512750000</v>
      </c>
      <c r="H1803" s="159">
        <v>51275000</v>
      </c>
      <c r="I1803" s="159">
        <v>564025000</v>
      </c>
      <c r="J1803" s="159" t="e">
        <f>bargiri[[#This Row],[مقدار]]*INDEX(invoice[پیش دریافت به ازای هر کیلوگرم],MATCH(bargiri[[#This Row],[شماره سند مبنا]],invoice[شماره پیش فاکتور],0))</f>
        <v>#N/A</v>
      </c>
      <c r="K1803" s="159" t="e">
        <f>bargiri[[#This Row],[مبلغ خالص]]-bargiri[[#This Row],[میزان استهلاک پیش دریافتی]]</f>
        <v>#N/A</v>
      </c>
      <c r="L1803" s="160"/>
      <c r="M1803" s="159"/>
      <c r="N1803" s="159" t="e">
        <f>IF(bargiri[[#This Row],[مبلغ واریزی]]&lt;&gt;"",bargiri[[#This Row],[مانده مبلغ]]-bargiri[[#This Row],[مبلغ واریزی]],bargiri[[#This Row],[مانده مبلغ]])</f>
        <v>#N/A</v>
      </c>
      <c r="O1803" s="159"/>
      <c r="P1803" s="159" t="e">
        <f>VLOOKUP(bargiri[[#This Row],[شماره سند مبنا]],invoice[[شماره پیش فاکتور]:[پیش دریافت به ازای هر کیلوگرم]],14,0)</f>
        <v>#N/A</v>
      </c>
      <c r="Q1803" s="159" t="e">
        <f>IF(bargiri[[#This Row],[مبلغ ناخالص]]-(bargiri[[#This Row],[نرخ استهلاک]]*bargiri[[#This Row],[مقدار]])&lt;0,0,bargiri[[#This Row],[مبلغ ناخالص]]-(bargiri[[#This Row],[نرخ استهلاک]]*bargiri[[#This Row],[مقدار]]))</f>
        <v>#N/A</v>
      </c>
    </row>
    <row r="1804" spans="1:17" s="22" customFormat="1" ht="13.8" x14ac:dyDescent="0.25">
      <c r="A1804" s="22">
        <v>1081</v>
      </c>
      <c r="B1804" s="22" t="s">
        <v>472</v>
      </c>
      <c r="C1804" s="22" t="s">
        <v>104</v>
      </c>
      <c r="D1804" s="22" t="s">
        <v>17</v>
      </c>
      <c r="E1804" s="158">
        <v>21775</v>
      </c>
      <c r="F1804" s="159">
        <v>72000</v>
      </c>
      <c r="G1804" s="159">
        <v>1567800000</v>
      </c>
      <c r="H1804" s="159">
        <v>156780000</v>
      </c>
      <c r="I1804" s="159">
        <v>1724580000</v>
      </c>
      <c r="J1804" s="159" t="e">
        <f>bargiri[[#This Row],[مقدار]]*INDEX(invoice[پیش دریافت به ازای هر کیلوگرم],MATCH(bargiri[[#This Row],[شماره سند مبنا]],invoice[شماره پیش فاکتور],0))</f>
        <v>#N/A</v>
      </c>
      <c r="K1804" s="159" t="e">
        <f>bargiri[[#This Row],[مبلغ خالص]]-bargiri[[#This Row],[میزان استهلاک پیش دریافتی]]</f>
        <v>#N/A</v>
      </c>
      <c r="L1804" s="160"/>
      <c r="M1804" s="159"/>
      <c r="N1804" s="159" t="e">
        <f>IF(bargiri[[#This Row],[مبلغ واریزی]]&lt;&gt;"",bargiri[[#This Row],[مانده مبلغ]]-bargiri[[#This Row],[مبلغ واریزی]],bargiri[[#This Row],[مانده مبلغ]])</f>
        <v>#N/A</v>
      </c>
      <c r="O1804" s="159"/>
      <c r="P1804" s="159" t="e">
        <f>VLOOKUP(bargiri[[#This Row],[شماره سند مبنا]],invoice[[شماره پیش فاکتور]:[پیش دریافت به ازای هر کیلوگرم]],14,0)</f>
        <v>#N/A</v>
      </c>
      <c r="Q1804" s="159" t="e">
        <f>IF(bargiri[[#This Row],[مبلغ ناخالص]]-(bargiri[[#This Row],[نرخ استهلاک]]*bargiri[[#This Row],[مقدار]])&lt;0,0,bargiri[[#This Row],[مبلغ ناخالص]]-(bargiri[[#This Row],[نرخ استهلاک]]*bargiri[[#This Row],[مقدار]]))</f>
        <v>#N/A</v>
      </c>
    </row>
    <row r="1805" spans="1:17" s="22" customFormat="1" ht="13.8" x14ac:dyDescent="0.25">
      <c r="A1805" s="22">
        <v>1080</v>
      </c>
      <c r="B1805" s="22" t="s">
        <v>472</v>
      </c>
      <c r="C1805" s="22" t="s">
        <v>72</v>
      </c>
      <c r="D1805" s="22" t="s">
        <v>73</v>
      </c>
      <c r="E1805" s="158">
        <v>21330</v>
      </c>
      <c r="F1805" s="159">
        <v>57273</v>
      </c>
      <c r="G1805" s="159">
        <v>1221633090</v>
      </c>
      <c r="H1805" s="159">
        <v>122163309</v>
      </c>
      <c r="I1805" s="159">
        <v>1343796399</v>
      </c>
      <c r="J1805" s="159" t="e">
        <f>bargiri[[#This Row],[مقدار]]*INDEX(invoice[پیش دریافت به ازای هر کیلوگرم],MATCH(bargiri[[#This Row],[شماره سند مبنا]],invoice[شماره پیش فاکتور],0))</f>
        <v>#N/A</v>
      </c>
      <c r="K1805" s="159" t="e">
        <f>bargiri[[#This Row],[مبلغ خالص]]-bargiri[[#This Row],[میزان استهلاک پیش دریافتی]]</f>
        <v>#N/A</v>
      </c>
      <c r="L1805" s="160"/>
      <c r="M1805" s="159"/>
      <c r="N1805" s="159" t="e">
        <f>IF(bargiri[[#This Row],[مبلغ واریزی]]&lt;&gt;"",bargiri[[#This Row],[مانده مبلغ]]-bargiri[[#This Row],[مبلغ واریزی]],bargiri[[#This Row],[مانده مبلغ]])</f>
        <v>#N/A</v>
      </c>
      <c r="O1805" s="159"/>
      <c r="P1805" s="159" t="e">
        <f>VLOOKUP(bargiri[[#This Row],[شماره سند مبنا]],invoice[[شماره پیش فاکتور]:[پیش دریافت به ازای هر کیلوگرم]],14,0)</f>
        <v>#N/A</v>
      </c>
      <c r="Q1805" s="159" t="e">
        <f>IF(bargiri[[#This Row],[مبلغ ناخالص]]-(bargiri[[#This Row],[نرخ استهلاک]]*bargiri[[#This Row],[مقدار]])&lt;0,0,bargiri[[#This Row],[مبلغ ناخالص]]-(bargiri[[#This Row],[نرخ استهلاک]]*bargiri[[#This Row],[مقدار]]))</f>
        <v>#N/A</v>
      </c>
    </row>
    <row r="1806" spans="1:17" s="22" customFormat="1" ht="13.8" x14ac:dyDescent="0.25">
      <c r="A1806" s="22">
        <v>1079</v>
      </c>
      <c r="B1806" s="22" t="s">
        <v>472</v>
      </c>
      <c r="C1806" s="22" t="s">
        <v>72</v>
      </c>
      <c r="D1806" s="22" t="s">
        <v>73</v>
      </c>
      <c r="E1806" s="158">
        <v>21345</v>
      </c>
      <c r="F1806" s="159">
        <v>57273</v>
      </c>
      <c r="G1806" s="159">
        <v>1222492185</v>
      </c>
      <c r="H1806" s="159">
        <v>122249219</v>
      </c>
      <c r="I1806" s="159">
        <v>1344741404</v>
      </c>
      <c r="J1806" s="159" t="e">
        <f>bargiri[[#This Row],[مقدار]]*INDEX(invoice[پیش دریافت به ازای هر کیلوگرم],MATCH(bargiri[[#This Row],[شماره سند مبنا]],invoice[شماره پیش فاکتور],0))</f>
        <v>#N/A</v>
      </c>
      <c r="K1806" s="159" t="e">
        <f>bargiri[[#This Row],[مبلغ خالص]]-bargiri[[#This Row],[میزان استهلاک پیش دریافتی]]</f>
        <v>#N/A</v>
      </c>
      <c r="L1806" s="160"/>
      <c r="M1806" s="159"/>
      <c r="N1806" s="159" t="e">
        <f>IF(bargiri[[#This Row],[مبلغ واریزی]]&lt;&gt;"",bargiri[[#This Row],[مانده مبلغ]]-bargiri[[#This Row],[مبلغ واریزی]],bargiri[[#This Row],[مانده مبلغ]])</f>
        <v>#N/A</v>
      </c>
      <c r="O1806" s="159"/>
      <c r="P1806" s="159" t="e">
        <f>VLOOKUP(bargiri[[#This Row],[شماره سند مبنا]],invoice[[شماره پیش فاکتور]:[پیش دریافت به ازای هر کیلوگرم]],14,0)</f>
        <v>#N/A</v>
      </c>
      <c r="Q1806" s="159" t="e">
        <f>IF(bargiri[[#This Row],[مبلغ ناخالص]]-(bargiri[[#This Row],[نرخ استهلاک]]*bargiri[[#This Row],[مقدار]])&lt;0,0,bargiri[[#This Row],[مبلغ ناخالص]]-(bargiri[[#This Row],[نرخ استهلاک]]*bargiri[[#This Row],[مقدار]]))</f>
        <v>#N/A</v>
      </c>
    </row>
    <row r="1807" spans="1:17" s="22" customFormat="1" ht="13.8" x14ac:dyDescent="0.25">
      <c r="A1807" s="22">
        <v>1078</v>
      </c>
      <c r="B1807" s="22" t="s">
        <v>472</v>
      </c>
      <c r="C1807" s="22" t="s">
        <v>72</v>
      </c>
      <c r="D1807" s="22" t="s">
        <v>73</v>
      </c>
      <c r="E1807" s="158">
        <v>21500</v>
      </c>
      <c r="F1807" s="159">
        <v>57273</v>
      </c>
      <c r="G1807" s="159">
        <v>1231369500</v>
      </c>
      <c r="H1807" s="159">
        <v>123136950</v>
      </c>
      <c r="I1807" s="159">
        <v>1354506450</v>
      </c>
      <c r="J1807" s="159" t="e">
        <f>bargiri[[#This Row],[مقدار]]*INDEX(invoice[پیش دریافت به ازای هر کیلوگرم],MATCH(bargiri[[#This Row],[شماره سند مبنا]],invoice[شماره پیش فاکتور],0))</f>
        <v>#N/A</v>
      </c>
      <c r="K1807" s="159" t="e">
        <f>bargiri[[#This Row],[مبلغ خالص]]-bargiri[[#This Row],[میزان استهلاک پیش دریافتی]]</f>
        <v>#N/A</v>
      </c>
      <c r="L1807" s="160"/>
      <c r="M1807" s="159"/>
      <c r="N1807" s="159" t="e">
        <f>IF(bargiri[[#This Row],[مبلغ واریزی]]&lt;&gt;"",bargiri[[#This Row],[مانده مبلغ]]-bargiri[[#This Row],[مبلغ واریزی]],bargiri[[#This Row],[مانده مبلغ]])</f>
        <v>#N/A</v>
      </c>
      <c r="O1807" s="159"/>
      <c r="P1807" s="159" t="e">
        <f>VLOOKUP(bargiri[[#This Row],[شماره سند مبنا]],invoice[[شماره پیش فاکتور]:[پیش دریافت به ازای هر کیلوگرم]],14,0)</f>
        <v>#N/A</v>
      </c>
      <c r="Q1807" s="159" t="e">
        <f>IF(bargiri[[#This Row],[مبلغ ناخالص]]-(bargiri[[#This Row],[نرخ استهلاک]]*bargiri[[#This Row],[مقدار]])&lt;0,0,bargiri[[#This Row],[مبلغ ناخالص]]-(bargiri[[#This Row],[نرخ استهلاک]]*bargiri[[#This Row],[مقدار]]))</f>
        <v>#N/A</v>
      </c>
    </row>
    <row r="1808" spans="1:17" s="22" customFormat="1" ht="13.8" x14ac:dyDescent="0.25">
      <c r="A1808" s="22">
        <v>1077</v>
      </c>
      <c r="B1808" s="22" t="s">
        <v>473</v>
      </c>
      <c r="C1808" s="22" t="s">
        <v>115</v>
      </c>
      <c r="D1808" s="22" t="s">
        <v>116</v>
      </c>
      <c r="E1808" s="158">
        <v>14785</v>
      </c>
      <c r="F1808" s="159">
        <v>75000</v>
      </c>
      <c r="G1808" s="159">
        <v>1108875000</v>
      </c>
      <c r="H1808" s="159">
        <v>110887500</v>
      </c>
      <c r="I1808" s="159">
        <v>1219762500</v>
      </c>
      <c r="J1808" s="159">
        <f>bargiri[[#This Row],[مقدار]]*INDEX(invoice[پیش دریافت به ازای هر کیلوگرم],MATCH(bargiri[[#This Row],[شماره سند مبنا]],invoice[شماره پیش فاکتور],0))</f>
        <v>221925909.61854059</v>
      </c>
      <c r="K1808" s="159">
        <f>bargiri[[#This Row],[مبلغ خالص]]-bargiri[[#This Row],[میزان استهلاک پیش دریافتی]]</f>
        <v>997836590.38145947</v>
      </c>
      <c r="L1808" s="160"/>
      <c r="M1808" s="159"/>
      <c r="N1808" s="159">
        <f>IF(bargiri[[#This Row],[مبلغ واریزی]]&lt;&gt;"",bargiri[[#This Row],[مانده مبلغ]]-bargiri[[#This Row],[مبلغ واریزی]],bargiri[[#This Row],[مانده مبلغ]])</f>
        <v>997836590.38145947</v>
      </c>
      <c r="O1808" s="159"/>
      <c r="P1808" s="159">
        <f>VLOOKUP(bargiri[[#This Row],[شماره سند مبنا]],invoice[[شماره پیش فاکتور]:[پیش دریافت به ازای هر کیلوگرم]],14,0)</f>
        <v>15010.206940719689</v>
      </c>
      <c r="Q1808" s="159">
        <f>IF(bargiri[[#This Row],[مبلغ ناخالص]]-(bargiri[[#This Row],[نرخ استهلاک]]*bargiri[[#This Row],[مقدار]])&lt;0,0,bargiri[[#This Row],[مبلغ ناخالص]]-(bargiri[[#This Row],[نرخ استهلاک]]*bargiri[[#This Row],[مقدار]]))</f>
        <v>886949090.38145947</v>
      </c>
    </row>
    <row r="1809" spans="1:17" s="22" customFormat="1" ht="13.8" x14ac:dyDescent="0.25">
      <c r="A1809" s="22">
        <v>1076</v>
      </c>
      <c r="B1809" s="22" t="s">
        <v>473</v>
      </c>
      <c r="C1809" s="22" t="s">
        <v>86</v>
      </c>
      <c r="D1809" s="22" t="s">
        <v>30</v>
      </c>
      <c r="E1809" s="158">
        <v>11945</v>
      </c>
      <c r="F1809" s="159">
        <v>65000</v>
      </c>
      <c r="G1809" s="159">
        <v>776425000</v>
      </c>
      <c r="H1809" s="159">
        <v>77642500</v>
      </c>
      <c r="I1809" s="159">
        <v>854067500</v>
      </c>
      <c r="J1809" s="159" t="e">
        <f>bargiri[[#This Row],[مقدار]]*INDEX(invoice[پیش دریافت به ازای هر کیلوگرم],MATCH(bargiri[[#This Row],[شماره سند مبنا]],invoice[شماره پیش فاکتور],0))</f>
        <v>#N/A</v>
      </c>
      <c r="K1809" s="159" t="e">
        <f>bargiri[[#This Row],[مبلغ خالص]]-bargiri[[#This Row],[میزان استهلاک پیش دریافتی]]</f>
        <v>#N/A</v>
      </c>
      <c r="L1809" s="160"/>
      <c r="M1809" s="159"/>
      <c r="N1809" s="159" t="e">
        <f>IF(bargiri[[#This Row],[مبلغ واریزی]]&lt;&gt;"",bargiri[[#This Row],[مانده مبلغ]]-bargiri[[#This Row],[مبلغ واریزی]],bargiri[[#This Row],[مانده مبلغ]])</f>
        <v>#N/A</v>
      </c>
      <c r="O1809" s="159"/>
      <c r="P1809" s="159" t="e">
        <f>VLOOKUP(bargiri[[#This Row],[شماره سند مبنا]],invoice[[شماره پیش فاکتور]:[پیش دریافت به ازای هر کیلوگرم]],14,0)</f>
        <v>#N/A</v>
      </c>
      <c r="Q1809" s="159" t="e">
        <f>IF(bargiri[[#This Row],[مبلغ ناخالص]]-(bargiri[[#This Row],[نرخ استهلاک]]*bargiri[[#This Row],[مقدار]])&lt;0,0,bargiri[[#This Row],[مبلغ ناخالص]]-(bargiri[[#This Row],[نرخ استهلاک]]*bargiri[[#This Row],[مقدار]]))</f>
        <v>#N/A</v>
      </c>
    </row>
    <row r="1810" spans="1:17" s="22" customFormat="1" ht="13.8" x14ac:dyDescent="0.25">
      <c r="A1810" s="22">
        <v>1075</v>
      </c>
      <c r="B1810" s="22" t="s">
        <v>473</v>
      </c>
      <c r="C1810" s="22" t="s">
        <v>81</v>
      </c>
      <c r="D1810" s="22" t="s">
        <v>35</v>
      </c>
      <c r="E1810" s="158">
        <v>7525</v>
      </c>
      <c r="F1810" s="159">
        <v>70000</v>
      </c>
      <c r="G1810" s="159">
        <v>526750000</v>
      </c>
      <c r="H1810" s="159">
        <v>52675000</v>
      </c>
      <c r="I1810" s="159">
        <v>579425000</v>
      </c>
      <c r="J1810" s="159" t="e">
        <f>bargiri[[#This Row],[مقدار]]*INDEX(invoice[پیش دریافت به ازای هر کیلوگرم],MATCH(bargiri[[#This Row],[شماره سند مبنا]],invoice[شماره پیش فاکتور],0))</f>
        <v>#N/A</v>
      </c>
      <c r="K1810" s="159" t="e">
        <f>bargiri[[#This Row],[مبلغ خالص]]-bargiri[[#This Row],[میزان استهلاک پیش دریافتی]]</f>
        <v>#N/A</v>
      </c>
      <c r="L1810" s="160"/>
      <c r="M1810" s="159"/>
      <c r="N1810" s="159" t="e">
        <f>IF(bargiri[[#This Row],[مبلغ واریزی]]&lt;&gt;"",bargiri[[#This Row],[مانده مبلغ]]-bargiri[[#This Row],[مبلغ واریزی]],bargiri[[#This Row],[مانده مبلغ]])</f>
        <v>#N/A</v>
      </c>
      <c r="O1810" s="159"/>
      <c r="P1810" s="159" t="e">
        <f>VLOOKUP(bargiri[[#This Row],[شماره سند مبنا]],invoice[[شماره پیش فاکتور]:[پیش دریافت به ازای هر کیلوگرم]],14,0)</f>
        <v>#N/A</v>
      </c>
      <c r="Q1810" s="159" t="e">
        <f>IF(bargiri[[#This Row],[مبلغ ناخالص]]-(bargiri[[#This Row],[نرخ استهلاک]]*bargiri[[#This Row],[مقدار]])&lt;0,0,bargiri[[#This Row],[مبلغ ناخالص]]-(bargiri[[#This Row],[نرخ استهلاک]]*bargiri[[#This Row],[مقدار]]))</f>
        <v>#N/A</v>
      </c>
    </row>
    <row r="1811" spans="1:17" s="22" customFormat="1" ht="13.8" x14ac:dyDescent="0.25">
      <c r="A1811" s="22">
        <v>1074</v>
      </c>
      <c r="B1811" s="22" t="s">
        <v>473</v>
      </c>
      <c r="C1811" s="22" t="s">
        <v>115</v>
      </c>
      <c r="D1811" s="22" t="s">
        <v>116</v>
      </c>
      <c r="E1811" s="158">
        <v>5125</v>
      </c>
      <c r="F1811" s="159">
        <v>75000</v>
      </c>
      <c r="G1811" s="159">
        <v>384375000</v>
      </c>
      <c r="H1811" s="159">
        <v>38437500</v>
      </c>
      <c r="I1811" s="159">
        <v>422812500</v>
      </c>
      <c r="J1811" s="159">
        <f>bargiri[[#This Row],[مقدار]]*INDEX(invoice[پیش دریافت به ازای هر کیلوگرم],MATCH(bargiri[[#This Row],[شماره سند مبنا]],invoice[شماره پیش فاکتور],0))</f>
        <v>76927310.571188405</v>
      </c>
      <c r="K1811" s="159">
        <f>bargiri[[#This Row],[مبلغ خالص]]-bargiri[[#This Row],[میزان استهلاک پیش دریافتی]]</f>
        <v>345885189.42881161</v>
      </c>
      <c r="L1811" s="160"/>
      <c r="M1811" s="159"/>
      <c r="N1811" s="159">
        <f>IF(bargiri[[#This Row],[مبلغ واریزی]]&lt;&gt;"",bargiri[[#This Row],[مانده مبلغ]]-bargiri[[#This Row],[مبلغ واریزی]],bargiri[[#This Row],[مانده مبلغ]])</f>
        <v>345885189.42881161</v>
      </c>
      <c r="O1811" s="159"/>
      <c r="P1811" s="159">
        <f>VLOOKUP(bargiri[[#This Row],[شماره سند مبنا]],invoice[[شماره پیش فاکتور]:[پیش دریافت به ازای هر کیلوگرم]],14,0)</f>
        <v>15010.206940719689</v>
      </c>
      <c r="Q1811" s="159">
        <f>IF(bargiri[[#This Row],[مبلغ ناخالص]]-(bargiri[[#This Row],[نرخ استهلاک]]*bargiri[[#This Row],[مقدار]])&lt;0,0,bargiri[[#This Row],[مبلغ ناخالص]]-(bargiri[[#This Row],[نرخ استهلاک]]*bargiri[[#This Row],[مقدار]]))</f>
        <v>307447689.42881161</v>
      </c>
    </row>
    <row r="1812" spans="1:17" s="22" customFormat="1" ht="13.8" x14ac:dyDescent="0.25">
      <c r="A1812" s="22">
        <v>1073</v>
      </c>
      <c r="B1812" s="22" t="s">
        <v>473</v>
      </c>
      <c r="C1812" s="22" t="s">
        <v>115</v>
      </c>
      <c r="D1812" s="22" t="s">
        <v>116</v>
      </c>
      <c r="E1812" s="158">
        <v>14765</v>
      </c>
      <c r="F1812" s="159">
        <v>75000</v>
      </c>
      <c r="G1812" s="159">
        <v>1107375000</v>
      </c>
      <c r="H1812" s="159">
        <v>110737500</v>
      </c>
      <c r="I1812" s="159">
        <v>1218112500</v>
      </c>
      <c r="J1812" s="159">
        <f>bargiri[[#This Row],[مقدار]]*INDEX(invoice[پیش دریافت به ازای هر کیلوگرم],MATCH(bargiri[[#This Row],[شماره سند مبنا]],invoice[شماره پیش فاکتور],0))</f>
        <v>221625705.4797262</v>
      </c>
      <c r="K1812" s="159">
        <f>bargiri[[#This Row],[مبلغ خالص]]-bargiri[[#This Row],[میزان استهلاک پیش دریافتی]]</f>
        <v>996486794.5202738</v>
      </c>
      <c r="L1812" s="160"/>
      <c r="M1812" s="159"/>
      <c r="N1812" s="159">
        <f>IF(bargiri[[#This Row],[مبلغ واریزی]]&lt;&gt;"",bargiri[[#This Row],[مانده مبلغ]]-bargiri[[#This Row],[مبلغ واریزی]],bargiri[[#This Row],[مانده مبلغ]])</f>
        <v>996486794.5202738</v>
      </c>
      <c r="O1812" s="159"/>
      <c r="P1812" s="159">
        <f>VLOOKUP(bargiri[[#This Row],[شماره سند مبنا]],invoice[[شماره پیش فاکتور]:[پیش دریافت به ازای هر کیلوگرم]],14,0)</f>
        <v>15010.206940719689</v>
      </c>
      <c r="Q1812" s="159">
        <f>IF(bargiri[[#This Row],[مبلغ ناخالص]]-(bargiri[[#This Row],[نرخ استهلاک]]*bargiri[[#This Row],[مقدار]])&lt;0,0,bargiri[[#This Row],[مبلغ ناخالص]]-(bargiri[[#This Row],[نرخ استهلاک]]*bargiri[[#This Row],[مقدار]]))</f>
        <v>885749294.5202738</v>
      </c>
    </row>
    <row r="1813" spans="1:17" s="22" customFormat="1" ht="13.8" x14ac:dyDescent="0.25">
      <c r="A1813" s="22">
        <v>1072</v>
      </c>
      <c r="B1813" s="22" t="s">
        <v>473</v>
      </c>
      <c r="C1813" s="22" t="s">
        <v>109</v>
      </c>
      <c r="D1813" s="22" t="s">
        <v>110</v>
      </c>
      <c r="E1813" s="158">
        <v>19985</v>
      </c>
      <c r="F1813" s="159">
        <v>70000</v>
      </c>
      <c r="G1813" s="159">
        <v>1398950000</v>
      </c>
      <c r="H1813" s="159">
        <v>139895000</v>
      </c>
      <c r="I1813" s="159">
        <v>1538845000</v>
      </c>
      <c r="J1813" s="159" t="e">
        <f>bargiri[[#This Row],[مقدار]]*INDEX(invoice[پیش دریافت به ازای هر کیلوگرم],MATCH(bargiri[[#This Row],[شماره سند مبنا]],invoice[شماره پیش فاکتور],0))</f>
        <v>#N/A</v>
      </c>
      <c r="K1813" s="159" t="e">
        <f>bargiri[[#This Row],[مبلغ خالص]]-bargiri[[#This Row],[میزان استهلاک پیش دریافتی]]</f>
        <v>#N/A</v>
      </c>
      <c r="L1813" s="160"/>
      <c r="M1813" s="159"/>
      <c r="N1813" s="159" t="e">
        <f>IF(bargiri[[#This Row],[مبلغ واریزی]]&lt;&gt;"",bargiri[[#This Row],[مانده مبلغ]]-bargiri[[#This Row],[مبلغ واریزی]],bargiri[[#This Row],[مانده مبلغ]])</f>
        <v>#N/A</v>
      </c>
      <c r="O1813" s="159"/>
      <c r="P1813" s="159" t="e">
        <f>VLOOKUP(bargiri[[#This Row],[شماره سند مبنا]],invoice[[شماره پیش فاکتور]:[پیش دریافت به ازای هر کیلوگرم]],14,0)</f>
        <v>#N/A</v>
      </c>
      <c r="Q1813" s="159" t="e">
        <f>IF(bargiri[[#This Row],[مبلغ ناخالص]]-(bargiri[[#This Row],[نرخ استهلاک]]*bargiri[[#This Row],[مقدار]])&lt;0,0,bargiri[[#This Row],[مبلغ ناخالص]]-(bargiri[[#This Row],[نرخ استهلاک]]*bargiri[[#This Row],[مقدار]]))</f>
        <v>#N/A</v>
      </c>
    </row>
    <row r="1814" spans="1:17" s="22" customFormat="1" ht="13.8" x14ac:dyDescent="0.25">
      <c r="A1814" s="22">
        <v>1071</v>
      </c>
      <c r="B1814" s="22" t="s">
        <v>473</v>
      </c>
      <c r="C1814" s="22" t="s">
        <v>72</v>
      </c>
      <c r="D1814" s="22" t="s">
        <v>73</v>
      </c>
      <c r="E1814" s="158">
        <v>21340</v>
      </c>
      <c r="F1814" s="159">
        <v>57273</v>
      </c>
      <c r="G1814" s="159">
        <v>1222205820</v>
      </c>
      <c r="H1814" s="159">
        <v>122220582</v>
      </c>
      <c r="I1814" s="159">
        <v>1344426402</v>
      </c>
      <c r="J1814" s="159" t="e">
        <f>bargiri[[#This Row],[مقدار]]*INDEX(invoice[پیش دریافت به ازای هر کیلوگرم],MATCH(bargiri[[#This Row],[شماره سند مبنا]],invoice[شماره پیش فاکتور],0))</f>
        <v>#N/A</v>
      </c>
      <c r="K1814" s="159" t="e">
        <f>bargiri[[#This Row],[مبلغ خالص]]-bargiri[[#This Row],[میزان استهلاک پیش دریافتی]]</f>
        <v>#N/A</v>
      </c>
      <c r="L1814" s="160"/>
      <c r="M1814" s="159"/>
      <c r="N1814" s="159" t="e">
        <f>IF(bargiri[[#This Row],[مبلغ واریزی]]&lt;&gt;"",bargiri[[#This Row],[مانده مبلغ]]-bargiri[[#This Row],[مبلغ واریزی]],bargiri[[#This Row],[مانده مبلغ]])</f>
        <v>#N/A</v>
      </c>
      <c r="O1814" s="159"/>
      <c r="P1814" s="159" t="e">
        <f>VLOOKUP(bargiri[[#This Row],[شماره سند مبنا]],invoice[[شماره پیش فاکتور]:[پیش دریافت به ازای هر کیلوگرم]],14,0)</f>
        <v>#N/A</v>
      </c>
      <c r="Q1814" s="159" t="e">
        <f>IF(bargiri[[#This Row],[مبلغ ناخالص]]-(bargiri[[#This Row],[نرخ استهلاک]]*bargiri[[#This Row],[مقدار]])&lt;0,0,bargiri[[#This Row],[مبلغ ناخالص]]-(bargiri[[#This Row],[نرخ استهلاک]]*bargiri[[#This Row],[مقدار]]))</f>
        <v>#N/A</v>
      </c>
    </row>
    <row r="1815" spans="1:17" s="22" customFormat="1" ht="13.8" x14ac:dyDescent="0.25">
      <c r="A1815" s="22">
        <v>1070</v>
      </c>
      <c r="B1815" s="22" t="s">
        <v>177</v>
      </c>
      <c r="C1815" s="22" t="s">
        <v>47</v>
      </c>
      <c r="D1815" s="22" t="s">
        <v>43</v>
      </c>
      <c r="E1815" s="158">
        <v>21295</v>
      </c>
      <c r="F1815" s="159">
        <v>65000</v>
      </c>
      <c r="G1815" s="159">
        <v>1384175000</v>
      </c>
      <c r="H1815" s="159">
        <v>124575750</v>
      </c>
      <c r="I1815" s="159">
        <v>1508750750</v>
      </c>
      <c r="J1815" s="159" t="e">
        <f>bargiri[[#This Row],[مقدار]]*INDEX(invoice[پیش دریافت به ازای هر کیلوگرم],MATCH(bargiri[[#This Row],[شماره سند مبنا]],invoice[شماره پیش فاکتور],0))</f>
        <v>#N/A</v>
      </c>
      <c r="K1815" s="159" t="e">
        <f>bargiri[[#This Row],[مبلغ خالص]]-bargiri[[#This Row],[میزان استهلاک پیش دریافتی]]</f>
        <v>#N/A</v>
      </c>
      <c r="L1815" s="160"/>
      <c r="M1815" s="159"/>
      <c r="N1815" s="159" t="e">
        <f>IF(bargiri[[#This Row],[مبلغ واریزی]]&lt;&gt;"",bargiri[[#This Row],[مانده مبلغ]]-bargiri[[#This Row],[مبلغ واریزی]],bargiri[[#This Row],[مانده مبلغ]])</f>
        <v>#N/A</v>
      </c>
      <c r="O1815" s="159"/>
      <c r="P1815" s="159" t="e">
        <f>VLOOKUP(bargiri[[#This Row],[شماره سند مبنا]],invoice[[شماره پیش فاکتور]:[پیش دریافت به ازای هر کیلوگرم]],14,0)</f>
        <v>#N/A</v>
      </c>
      <c r="Q1815" s="159" t="e">
        <f>IF(bargiri[[#This Row],[مبلغ ناخالص]]-(bargiri[[#This Row],[نرخ استهلاک]]*bargiri[[#This Row],[مقدار]])&lt;0,0,bargiri[[#This Row],[مبلغ ناخالص]]-(bargiri[[#This Row],[نرخ استهلاک]]*bargiri[[#This Row],[مقدار]]))</f>
        <v>#N/A</v>
      </c>
    </row>
    <row r="1816" spans="1:17" s="22" customFormat="1" ht="13.8" x14ac:dyDescent="0.25">
      <c r="A1816" s="22">
        <v>1069</v>
      </c>
      <c r="B1816" s="22" t="s">
        <v>177</v>
      </c>
      <c r="C1816" s="22" t="s">
        <v>47</v>
      </c>
      <c r="D1816" s="22" t="s">
        <v>43</v>
      </c>
      <c r="E1816" s="158">
        <v>15080</v>
      </c>
      <c r="F1816" s="159">
        <v>65000</v>
      </c>
      <c r="G1816" s="159">
        <v>980200000</v>
      </c>
      <c r="H1816" s="159">
        <v>88218000</v>
      </c>
      <c r="I1816" s="159">
        <v>1068418000</v>
      </c>
      <c r="J1816" s="159" t="e">
        <f>bargiri[[#This Row],[مقدار]]*INDEX(invoice[پیش دریافت به ازای هر کیلوگرم],MATCH(bargiri[[#This Row],[شماره سند مبنا]],invoice[شماره پیش فاکتور],0))</f>
        <v>#N/A</v>
      </c>
      <c r="K1816" s="159" t="e">
        <f>bargiri[[#This Row],[مبلغ خالص]]-bargiri[[#This Row],[میزان استهلاک پیش دریافتی]]</f>
        <v>#N/A</v>
      </c>
      <c r="L1816" s="160"/>
      <c r="M1816" s="159"/>
      <c r="N1816" s="159" t="e">
        <f>IF(bargiri[[#This Row],[مبلغ واریزی]]&lt;&gt;"",bargiri[[#This Row],[مانده مبلغ]]-bargiri[[#This Row],[مبلغ واریزی]],bargiri[[#This Row],[مانده مبلغ]])</f>
        <v>#N/A</v>
      </c>
      <c r="O1816" s="159"/>
      <c r="P1816" s="159" t="e">
        <f>VLOOKUP(bargiri[[#This Row],[شماره سند مبنا]],invoice[[شماره پیش فاکتور]:[پیش دریافت به ازای هر کیلوگرم]],14,0)</f>
        <v>#N/A</v>
      </c>
      <c r="Q1816" s="159" t="e">
        <f>IF(bargiri[[#This Row],[مبلغ ناخالص]]-(bargiri[[#This Row],[نرخ استهلاک]]*bargiri[[#This Row],[مقدار]])&lt;0,0,bargiri[[#This Row],[مبلغ ناخالص]]-(bargiri[[#This Row],[نرخ استهلاک]]*bargiri[[#This Row],[مقدار]]))</f>
        <v>#N/A</v>
      </c>
    </row>
    <row r="1817" spans="1:17" s="22" customFormat="1" ht="13.8" x14ac:dyDescent="0.25">
      <c r="A1817" s="22">
        <v>1068</v>
      </c>
      <c r="B1817" s="22" t="s">
        <v>177</v>
      </c>
      <c r="C1817" s="22" t="s">
        <v>47</v>
      </c>
      <c r="D1817" s="22" t="s">
        <v>43</v>
      </c>
      <c r="E1817" s="158">
        <v>5330</v>
      </c>
      <c r="F1817" s="159">
        <v>65000</v>
      </c>
      <c r="G1817" s="159">
        <v>346450000</v>
      </c>
      <c r="H1817" s="159">
        <v>31180500</v>
      </c>
      <c r="I1817" s="159">
        <v>377630500</v>
      </c>
      <c r="J1817" s="159" t="e">
        <f>bargiri[[#This Row],[مقدار]]*INDEX(invoice[پیش دریافت به ازای هر کیلوگرم],MATCH(bargiri[[#This Row],[شماره سند مبنا]],invoice[شماره پیش فاکتور],0))</f>
        <v>#N/A</v>
      </c>
      <c r="K1817" s="159" t="e">
        <f>bargiri[[#This Row],[مبلغ خالص]]-bargiri[[#This Row],[میزان استهلاک پیش دریافتی]]</f>
        <v>#N/A</v>
      </c>
      <c r="L1817" s="160"/>
      <c r="M1817" s="159"/>
      <c r="N1817" s="159" t="e">
        <f>IF(bargiri[[#This Row],[مبلغ واریزی]]&lt;&gt;"",bargiri[[#This Row],[مانده مبلغ]]-bargiri[[#This Row],[مبلغ واریزی]],bargiri[[#This Row],[مانده مبلغ]])</f>
        <v>#N/A</v>
      </c>
      <c r="O1817" s="159"/>
      <c r="P1817" s="159" t="e">
        <f>VLOOKUP(bargiri[[#This Row],[شماره سند مبنا]],invoice[[شماره پیش فاکتور]:[پیش دریافت به ازای هر کیلوگرم]],14,0)</f>
        <v>#N/A</v>
      </c>
      <c r="Q1817" s="159" t="e">
        <f>IF(bargiri[[#This Row],[مبلغ ناخالص]]-(bargiri[[#This Row],[نرخ استهلاک]]*bargiri[[#This Row],[مقدار]])&lt;0,0,bargiri[[#This Row],[مبلغ ناخالص]]-(bargiri[[#This Row],[نرخ استهلاک]]*bargiri[[#This Row],[مقدار]]))</f>
        <v>#N/A</v>
      </c>
    </row>
    <row r="1818" spans="1:17" s="22" customFormat="1" ht="13.8" x14ac:dyDescent="0.25">
      <c r="A1818" s="22">
        <v>1067</v>
      </c>
      <c r="B1818" s="22" t="s">
        <v>177</v>
      </c>
      <c r="C1818" s="22" t="s">
        <v>128</v>
      </c>
      <c r="D1818" s="22" t="s">
        <v>129</v>
      </c>
      <c r="E1818" s="158">
        <v>9140</v>
      </c>
      <c r="F1818" s="159">
        <v>80000</v>
      </c>
      <c r="G1818" s="159">
        <v>731200000</v>
      </c>
      <c r="H1818" s="159">
        <v>73120000</v>
      </c>
      <c r="I1818" s="159">
        <v>804320000</v>
      </c>
      <c r="J1818" s="159">
        <f>bargiri[[#This Row],[مقدار]]*INDEX(invoice[پیش دریافت به ازای هر کیلوگرم],MATCH(bargiri[[#This Row],[شماره سند مبنا]],invoice[شماره پیش فاکتور],0))</f>
        <v>121233964.16010718</v>
      </c>
      <c r="K1818" s="159">
        <f>bargiri[[#This Row],[مبلغ خالص]]-bargiri[[#This Row],[میزان استهلاک پیش دریافتی]]</f>
        <v>683086035.83989286</v>
      </c>
      <c r="L1818" s="160"/>
      <c r="M1818" s="159"/>
      <c r="N1818" s="159">
        <f>IF(bargiri[[#This Row],[مبلغ واریزی]]&lt;&gt;"",bargiri[[#This Row],[مانده مبلغ]]-bargiri[[#This Row],[مبلغ واریزی]],bargiri[[#This Row],[مانده مبلغ]])</f>
        <v>683086035.83989286</v>
      </c>
      <c r="O1818" s="159"/>
      <c r="P1818" s="159">
        <f>VLOOKUP(bargiri[[#This Row],[شماره سند مبنا]],invoice[[شماره پیش فاکتور]:[پیش دریافت به ازای هر کیلوگرم]],14,0)</f>
        <v>13264.109864344331</v>
      </c>
      <c r="Q1818" s="159">
        <f>IF(bargiri[[#This Row],[مبلغ ناخالص]]-(bargiri[[#This Row],[نرخ استهلاک]]*bargiri[[#This Row],[مقدار]])&lt;0,0,bargiri[[#This Row],[مبلغ ناخالص]]-(bargiri[[#This Row],[نرخ استهلاک]]*bargiri[[#This Row],[مقدار]]))</f>
        <v>609966035.83989286</v>
      </c>
    </row>
    <row r="1819" spans="1:17" s="22" customFormat="1" ht="13.8" x14ac:dyDescent="0.25">
      <c r="A1819" s="22">
        <v>1066</v>
      </c>
      <c r="B1819" s="22" t="s">
        <v>243</v>
      </c>
      <c r="C1819" s="22" t="s">
        <v>81</v>
      </c>
      <c r="D1819" s="22" t="s">
        <v>35</v>
      </c>
      <c r="E1819" s="158">
        <v>7515</v>
      </c>
      <c r="F1819" s="159">
        <v>70000</v>
      </c>
      <c r="G1819" s="159">
        <v>526050000</v>
      </c>
      <c r="H1819" s="159">
        <v>52605000</v>
      </c>
      <c r="I1819" s="159">
        <v>578655000</v>
      </c>
      <c r="J1819" s="159" t="e">
        <f>bargiri[[#This Row],[مقدار]]*INDEX(invoice[پیش دریافت به ازای هر کیلوگرم],MATCH(bargiri[[#This Row],[شماره سند مبنا]],invoice[شماره پیش فاکتور],0))</f>
        <v>#N/A</v>
      </c>
      <c r="K1819" s="159" t="e">
        <f>bargiri[[#This Row],[مبلغ خالص]]-bargiri[[#This Row],[میزان استهلاک پیش دریافتی]]</f>
        <v>#N/A</v>
      </c>
      <c r="L1819" s="160"/>
      <c r="M1819" s="159"/>
      <c r="N1819" s="159" t="e">
        <f>IF(bargiri[[#This Row],[مبلغ واریزی]]&lt;&gt;"",bargiri[[#This Row],[مانده مبلغ]]-bargiri[[#This Row],[مبلغ واریزی]],bargiri[[#This Row],[مانده مبلغ]])</f>
        <v>#N/A</v>
      </c>
      <c r="O1819" s="159"/>
      <c r="P1819" s="159" t="e">
        <f>VLOOKUP(bargiri[[#This Row],[شماره سند مبنا]],invoice[[شماره پیش فاکتور]:[پیش دریافت به ازای هر کیلوگرم]],14,0)</f>
        <v>#N/A</v>
      </c>
      <c r="Q1819" s="159" t="e">
        <f>IF(bargiri[[#This Row],[مبلغ ناخالص]]-(bargiri[[#This Row],[نرخ استهلاک]]*bargiri[[#This Row],[مقدار]])&lt;0,0,bargiri[[#This Row],[مبلغ ناخالص]]-(bargiri[[#This Row],[نرخ استهلاک]]*bargiri[[#This Row],[مقدار]]))</f>
        <v>#N/A</v>
      </c>
    </row>
    <row r="1820" spans="1:17" s="22" customFormat="1" ht="13.8" x14ac:dyDescent="0.25">
      <c r="A1820" s="22">
        <v>1065</v>
      </c>
      <c r="B1820" s="22" t="s">
        <v>243</v>
      </c>
      <c r="C1820" s="22" t="s">
        <v>155</v>
      </c>
      <c r="D1820" s="22" t="s">
        <v>156</v>
      </c>
      <c r="E1820" s="158">
        <v>22220</v>
      </c>
      <c r="F1820" s="159">
        <v>75000</v>
      </c>
      <c r="G1820" s="159">
        <v>1666500000</v>
      </c>
      <c r="H1820" s="159">
        <v>166650000</v>
      </c>
      <c r="I1820" s="159">
        <v>1833150000</v>
      </c>
      <c r="J1820" s="159">
        <f>bargiri[[#This Row],[مقدار]]*INDEX(invoice[پیش دریافت به ازای هر کیلوگرم],MATCH(bargiri[[#This Row],[شماره سند مبنا]],invoice[شماره پیش فاکتور],0))</f>
        <v>274972500</v>
      </c>
      <c r="K1820" s="159">
        <f>bargiri[[#This Row],[مبلغ خالص]]-bargiri[[#This Row],[میزان استهلاک پیش دریافتی]]</f>
        <v>1558177500</v>
      </c>
      <c r="L1820" s="160"/>
      <c r="M1820" s="159"/>
      <c r="N1820" s="159">
        <f>IF(bargiri[[#This Row],[مبلغ واریزی]]&lt;&gt;"",bargiri[[#This Row],[مانده مبلغ]]-bargiri[[#This Row],[مبلغ واریزی]],bargiri[[#This Row],[مانده مبلغ]])</f>
        <v>1558177500</v>
      </c>
      <c r="O1820" s="159"/>
      <c r="P1820" s="159">
        <f>VLOOKUP(bargiri[[#This Row],[شماره سند مبنا]],invoice[[شماره پیش فاکتور]:[پیش دریافت به ازای هر کیلوگرم]],14,0)</f>
        <v>12375</v>
      </c>
      <c r="Q1820" s="159">
        <f>IF(bargiri[[#This Row],[مبلغ ناخالص]]-(bargiri[[#This Row],[نرخ استهلاک]]*bargiri[[#This Row],[مقدار]])&lt;0,0,bargiri[[#This Row],[مبلغ ناخالص]]-(bargiri[[#This Row],[نرخ استهلاک]]*bargiri[[#This Row],[مقدار]]))</f>
        <v>1391527500</v>
      </c>
    </row>
    <row r="1821" spans="1:17" s="22" customFormat="1" ht="13.8" x14ac:dyDescent="0.25">
      <c r="A1821" s="22">
        <v>1064</v>
      </c>
      <c r="B1821" s="22" t="s">
        <v>474</v>
      </c>
      <c r="C1821" s="22" t="s">
        <v>128</v>
      </c>
      <c r="D1821" s="22" t="s">
        <v>129</v>
      </c>
      <c r="E1821" s="158">
        <v>7970</v>
      </c>
      <c r="F1821" s="159">
        <v>80000</v>
      </c>
      <c r="G1821" s="159">
        <v>637600000</v>
      </c>
      <c r="H1821" s="159">
        <v>63760000</v>
      </c>
      <c r="I1821" s="159">
        <v>701360000</v>
      </c>
      <c r="J1821" s="159">
        <f>bargiri[[#This Row],[مقدار]]*INDEX(invoice[پیش دریافت به ازای هر کیلوگرم],MATCH(bargiri[[#This Row],[شماره سند مبنا]],invoice[شماره پیش فاکتور],0))</f>
        <v>105714955.61882432</v>
      </c>
      <c r="K1821" s="159">
        <f>bargiri[[#This Row],[مبلغ خالص]]-bargiri[[#This Row],[میزان استهلاک پیش دریافتی]]</f>
        <v>595645044.38117564</v>
      </c>
      <c r="L1821" s="160"/>
      <c r="M1821" s="159"/>
      <c r="N1821" s="159">
        <f>IF(bargiri[[#This Row],[مبلغ واریزی]]&lt;&gt;"",bargiri[[#This Row],[مانده مبلغ]]-bargiri[[#This Row],[مبلغ واریزی]],bargiri[[#This Row],[مانده مبلغ]])</f>
        <v>595645044.38117564</v>
      </c>
      <c r="O1821" s="159"/>
      <c r="P1821" s="159">
        <f>VLOOKUP(bargiri[[#This Row],[شماره سند مبنا]],invoice[[شماره پیش فاکتور]:[پیش دریافت به ازای هر کیلوگرم]],14,0)</f>
        <v>13264.109864344331</v>
      </c>
      <c r="Q1821" s="159">
        <f>IF(bargiri[[#This Row],[مبلغ ناخالص]]-(bargiri[[#This Row],[نرخ استهلاک]]*bargiri[[#This Row],[مقدار]])&lt;0,0,bargiri[[#This Row],[مبلغ ناخالص]]-(bargiri[[#This Row],[نرخ استهلاک]]*bargiri[[#This Row],[مقدار]]))</f>
        <v>531885044.3811757</v>
      </c>
    </row>
    <row r="1822" spans="1:17" s="22" customFormat="1" ht="13.8" x14ac:dyDescent="0.25">
      <c r="A1822" s="22">
        <v>1063</v>
      </c>
      <c r="B1822" s="22" t="s">
        <v>474</v>
      </c>
      <c r="C1822" s="22" t="s">
        <v>109</v>
      </c>
      <c r="D1822" s="22" t="s">
        <v>110</v>
      </c>
      <c r="E1822" s="158">
        <v>18980</v>
      </c>
      <c r="F1822" s="159">
        <v>70000</v>
      </c>
      <c r="G1822" s="159">
        <v>1328600000</v>
      </c>
      <c r="H1822" s="159">
        <v>132860000</v>
      </c>
      <c r="I1822" s="159">
        <v>1461460000</v>
      </c>
      <c r="J1822" s="159" t="e">
        <f>bargiri[[#This Row],[مقدار]]*INDEX(invoice[پیش دریافت به ازای هر کیلوگرم],MATCH(bargiri[[#This Row],[شماره سند مبنا]],invoice[شماره پیش فاکتور],0))</f>
        <v>#N/A</v>
      </c>
      <c r="K1822" s="159" t="e">
        <f>bargiri[[#This Row],[مبلغ خالص]]-bargiri[[#This Row],[میزان استهلاک پیش دریافتی]]</f>
        <v>#N/A</v>
      </c>
      <c r="L1822" s="160"/>
      <c r="M1822" s="159"/>
      <c r="N1822" s="159" t="e">
        <f>IF(bargiri[[#This Row],[مبلغ واریزی]]&lt;&gt;"",bargiri[[#This Row],[مانده مبلغ]]-bargiri[[#This Row],[مبلغ واریزی]],bargiri[[#This Row],[مانده مبلغ]])</f>
        <v>#N/A</v>
      </c>
      <c r="O1822" s="159"/>
      <c r="P1822" s="159" t="e">
        <f>VLOOKUP(bargiri[[#This Row],[شماره سند مبنا]],invoice[[شماره پیش فاکتور]:[پیش دریافت به ازای هر کیلوگرم]],14,0)</f>
        <v>#N/A</v>
      </c>
      <c r="Q1822" s="159" t="e">
        <f>IF(bargiri[[#This Row],[مبلغ ناخالص]]-(bargiri[[#This Row],[نرخ استهلاک]]*bargiri[[#This Row],[مقدار]])&lt;0,0,bargiri[[#This Row],[مبلغ ناخالص]]-(bargiri[[#This Row],[نرخ استهلاک]]*bargiri[[#This Row],[مقدار]]))</f>
        <v>#N/A</v>
      </c>
    </row>
    <row r="1823" spans="1:17" s="22" customFormat="1" ht="13.8" x14ac:dyDescent="0.25">
      <c r="A1823" s="22">
        <v>1062</v>
      </c>
      <c r="B1823" s="22" t="s">
        <v>474</v>
      </c>
      <c r="C1823" s="22" t="s">
        <v>47</v>
      </c>
      <c r="D1823" s="22" t="s">
        <v>43</v>
      </c>
      <c r="E1823" s="158">
        <v>20855</v>
      </c>
      <c r="F1823" s="159">
        <v>65000</v>
      </c>
      <c r="G1823" s="159">
        <v>1355575000</v>
      </c>
      <c r="H1823" s="159">
        <v>122001750</v>
      </c>
      <c r="I1823" s="159">
        <v>1477576750</v>
      </c>
      <c r="J1823" s="159" t="e">
        <f>bargiri[[#This Row],[مقدار]]*INDEX(invoice[پیش دریافت به ازای هر کیلوگرم],MATCH(bargiri[[#This Row],[شماره سند مبنا]],invoice[شماره پیش فاکتور],0))</f>
        <v>#N/A</v>
      </c>
      <c r="K1823" s="159" t="e">
        <f>bargiri[[#This Row],[مبلغ خالص]]-bargiri[[#This Row],[میزان استهلاک پیش دریافتی]]</f>
        <v>#N/A</v>
      </c>
      <c r="L1823" s="160"/>
      <c r="M1823" s="159"/>
      <c r="N1823" s="159" t="e">
        <f>IF(bargiri[[#This Row],[مبلغ واریزی]]&lt;&gt;"",bargiri[[#This Row],[مانده مبلغ]]-bargiri[[#This Row],[مبلغ واریزی]],bargiri[[#This Row],[مانده مبلغ]])</f>
        <v>#N/A</v>
      </c>
      <c r="O1823" s="159"/>
      <c r="P1823" s="159" t="e">
        <f>VLOOKUP(bargiri[[#This Row],[شماره سند مبنا]],invoice[[شماره پیش فاکتور]:[پیش دریافت به ازای هر کیلوگرم]],14,0)</f>
        <v>#N/A</v>
      </c>
      <c r="Q1823" s="159" t="e">
        <f>IF(bargiri[[#This Row],[مبلغ ناخالص]]-(bargiri[[#This Row],[نرخ استهلاک]]*bargiri[[#This Row],[مقدار]])&lt;0,0,bargiri[[#This Row],[مبلغ ناخالص]]-(bargiri[[#This Row],[نرخ استهلاک]]*bargiri[[#This Row],[مقدار]]))</f>
        <v>#N/A</v>
      </c>
    </row>
    <row r="1824" spans="1:17" s="22" customFormat="1" ht="13.8" x14ac:dyDescent="0.25">
      <c r="A1824" s="22">
        <v>1061</v>
      </c>
      <c r="B1824" s="22" t="s">
        <v>475</v>
      </c>
      <c r="C1824" s="22" t="s">
        <v>81</v>
      </c>
      <c r="D1824" s="22" t="s">
        <v>35</v>
      </c>
      <c r="E1824" s="158">
        <v>7190</v>
      </c>
      <c r="F1824" s="159">
        <v>70000</v>
      </c>
      <c r="G1824" s="159">
        <v>503300000</v>
      </c>
      <c r="H1824" s="159">
        <v>50330000</v>
      </c>
      <c r="I1824" s="159">
        <v>553630000</v>
      </c>
      <c r="J1824" s="159" t="e">
        <f>bargiri[[#This Row],[مقدار]]*INDEX(invoice[پیش دریافت به ازای هر کیلوگرم],MATCH(bargiri[[#This Row],[شماره سند مبنا]],invoice[شماره پیش فاکتور],0))</f>
        <v>#N/A</v>
      </c>
      <c r="K1824" s="159" t="e">
        <f>bargiri[[#This Row],[مبلغ خالص]]-bargiri[[#This Row],[میزان استهلاک پیش دریافتی]]</f>
        <v>#N/A</v>
      </c>
      <c r="L1824" s="160"/>
      <c r="M1824" s="159"/>
      <c r="N1824" s="159" t="e">
        <f>IF(bargiri[[#This Row],[مبلغ واریزی]]&lt;&gt;"",bargiri[[#This Row],[مانده مبلغ]]-bargiri[[#This Row],[مبلغ واریزی]],bargiri[[#This Row],[مانده مبلغ]])</f>
        <v>#N/A</v>
      </c>
      <c r="O1824" s="159"/>
      <c r="P1824" s="159" t="e">
        <f>VLOOKUP(bargiri[[#This Row],[شماره سند مبنا]],invoice[[شماره پیش فاکتور]:[پیش دریافت به ازای هر کیلوگرم]],14,0)</f>
        <v>#N/A</v>
      </c>
      <c r="Q1824" s="159" t="e">
        <f>IF(bargiri[[#This Row],[مبلغ ناخالص]]-(bargiri[[#This Row],[نرخ استهلاک]]*bargiri[[#This Row],[مقدار]])&lt;0,0,bargiri[[#This Row],[مبلغ ناخالص]]-(bargiri[[#This Row],[نرخ استهلاک]]*bargiri[[#This Row],[مقدار]]))</f>
        <v>#N/A</v>
      </c>
    </row>
    <row r="1825" spans="1:17" s="22" customFormat="1" ht="13.8" x14ac:dyDescent="0.25">
      <c r="A1825" s="22">
        <v>1060</v>
      </c>
      <c r="B1825" s="22" t="s">
        <v>475</v>
      </c>
      <c r="C1825" s="22" t="s">
        <v>47</v>
      </c>
      <c r="D1825" s="22" t="s">
        <v>43</v>
      </c>
      <c r="E1825" s="158">
        <v>21450</v>
      </c>
      <c r="F1825" s="159">
        <v>65000</v>
      </c>
      <c r="G1825" s="159">
        <v>1394250000</v>
      </c>
      <c r="H1825" s="159">
        <v>125482500</v>
      </c>
      <c r="I1825" s="159">
        <v>1519732500</v>
      </c>
      <c r="J1825" s="159" t="e">
        <f>bargiri[[#This Row],[مقدار]]*INDEX(invoice[پیش دریافت به ازای هر کیلوگرم],MATCH(bargiri[[#This Row],[شماره سند مبنا]],invoice[شماره پیش فاکتور],0))</f>
        <v>#N/A</v>
      </c>
      <c r="K1825" s="159" t="e">
        <f>bargiri[[#This Row],[مبلغ خالص]]-bargiri[[#This Row],[میزان استهلاک پیش دریافتی]]</f>
        <v>#N/A</v>
      </c>
      <c r="L1825" s="160"/>
      <c r="M1825" s="159"/>
      <c r="N1825" s="159" t="e">
        <f>IF(bargiri[[#This Row],[مبلغ واریزی]]&lt;&gt;"",bargiri[[#This Row],[مانده مبلغ]]-bargiri[[#This Row],[مبلغ واریزی]],bargiri[[#This Row],[مانده مبلغ]])</f>
        <v>#N/A</v>
      </c>
      <c r="O1825" s="159"/>
      <c r="P1825" s="159" t="e">
        <f>VLOOKUP(bargiri[[#This Row],[شماره سند مبنا]],invoice[[شماره پیش فاکتور]:[پیش دریافت به ازای هر کیلوگرم]],14,0)</f>
        <v>#N/A</v>
      </c>
      <c r="Q1825" s="159" t="e">
        <f>IF(bargiri[[#This Row],[مبلغ ناخالص]]-(bargiri[[#This Row],[نرخ استهلاک]]*bargiri[[#This Row],[مقدار]])&lt;0,0,bargiri[[#This Row],[مبلغ ناخالص]]-(bargiri[[#This Row],[نرخ استهلاک]]*bargiri[[#This Row],[مقدار]]))</f>
        <v>#N/A</v>
      </c>
    </row>
    <row r="1826" spans="1:17" s="22" customFormat="1" ht="13.8" x14ac:dyDescent="0.25">
      <c r="A1826" s="22">
        <v>1059</v>
      </c>
      <c r="B1826" s="22" t="s">
        <v>475</v>
      </c>
      <c r="C1826" s="22" t="s">
        <v>147</v>
      </c>
      <c r="D1826" s="22" t="s">
        <v>25</v>
      </c>
      <c r="E1826" s="158">
        <v>22155</v>
      </c>
      <c r="F1826" s="159">
        <v>92000</v>
      </c>
      <c r="G1826" s="159">
        <v>2038260000</v>
      </c>
      <c r="H1826" s="159">
        <v>203826000</v>
      </c>
      <c r="I1826" s="159">
        <v>2242086000</v>
      </c>
      <c r="J1826" s="159" t="e">
        <f>bargiri[[#This Row],[مقدار]]*INDEX(invoice[پیش دریافت به ازای هر کیلوگرم],MATCH(bargiri[[#This Row],[شماره سند مبنا]],invoice[شماره پیش فاکتور],0))</f>
        <v>#N/A</v>
      </c>
      <c r="K1826" s="159" t="e">
        <f>bargiri[[#This Row],[مبلغ خالص]]-bargiri[[#This Row],[میزان استهلاک پیش دریافتی]]</f>
        <v>#N/A</v>
      </c>
      <c r="L1826" s="160"/>
      <c r="M1826" s="159"/>
      <c r="N1826" s="159" t="e">
        <f>IF(bargiri[[#This Row],[مبلغ واریزی]]&lt;&gt;"",bargiri[[#This Row],[مانده مبلغ]]-bargiri[[#This Row],[مبلغ واریزی]],bargiri[[#This Row],[مانده مبلغ]])</f>
        <v>#N/A</v>
      </c>
      <c r="O1826" s="159"/>
      <c r="P1826" s="159" t="e">
        <f>VLOOKUP(bargiri[[#This Row],[شماره سند مبنا]],invoice[[شماره پیش فاکتور]:[پیش دریافت به ازای هر کیلوگرم]],14,0)</f>
        <v>#N/A</v>
      </c>
      <c r="Q1826" s="159" t="e">
        <f>IF(bargiri[[#This Row],[مبلغ ناخالص]]-(bargiri[[#This Row],[نرخ استهلاک]]*bargiri[[#This Row],[مقدار]])&lt;0,0,bargiri[[#This Row],[مبلغ ناخالص]]-(bargiri[[#This Row],[نرخ استهلاک]]*bargiri[[#This Row],[مقدار]]))</f>
        <v>#N/A</v>
      </c>
    </row>
    <row r="1827" spans="1:17" s="22" customFormat="1" ht="13.8" x14ac:dyDescent="0.25">
      <c r="A1827" s="22">
        <v>1058</v>
      </c>
      <c r="B1827" s="22" t="s">
        <v>475</v>
      </c>
      <c r="C1827" s="22" t="s">
        <v>88</v>
      </c>
      <c r="D1827" s="22" t="s">
        <v>89</v>
      </c>
      <c r="E1827" s="158">
        <v>15075</v>
      </c>
      <c r="F1827" s="159">
        <v>78000</v>
      </c>
      <c r="G1827" s="159">
        <v>1175850000</v>
      </c>
      <c r="H1827" s="159">
        <v>117585000</v>
      </c>
      <c r="I1827" s="159">
        <v>1293435000</v>
      </c>
      <c r="J1827" s="159" t="e">
        <f>bargiri[[#This Row],[مقدار]]*INDEX(invoice[پیش دریافت به ازای هر کیلوگرم],MATCH(bargiri[[#This Row],[شماره سند مبنا]],invoice[شماره پیش فاکتور],0))</f>
        <v>#N/A</v>
      </c>
      <c r="K1827" s="159" t="e">
        <f>bargiri[[#This Row],[مبلغ خالص]]-bargiri[[#This Row],[میزان استهلاک پیش دریافتی]]</f>
        <v>#N/A</v>
      </c>
      <c r="L1827" s="160"/>
      <c r="M1827" s="159"/>
      <c r="N1827" s="159" t="e">
        <f>IF(bargiri[[#This Row],[مبلغ واریزی]]&lt;&gt;"",bargiri[[#This Row],[مانده مبلغ]]-bargiri[[#This Row],[مبلغ واریزی]],bargiri[[#This Row],[مانده مبلغ]])</f>
        <v>#N/A</v>
      </c>
      <c r="O1827" s="159"/>
      <c r="P1827" s="159" t="e">
        <f>VLOOKUP(bargiri[[#This Row],[شماره سند مبنا]],invoice[[شماره پیش فاکتور]:[پیش دریافت به ازای هر کیلوگرم]],14,0)</f>
        <v>#N/A</v>
      </c>
      <c r="Q1827" s="159" t="e">
        <f>IF(bargiri[[#This Row],[مبلغ ناخالص]]-(bargiri[[#This Row],[نرخ استهلاک]]*bargiri[[#This Row],[مقدار]])&lt;0,0,bargiri[[#This Row],[مبلغ ناخالص]]-(bargiri[[#This Row],[نرخ استهلاک]]*bargiri[[#This Row],[مقدار]]))</f>
        <v>#N/A</v>
      </c>
    </row>
    <row r="1828" spans="1:17" s="22" customFormat="1" ht="13.8" x14ac:dyDescent="0.25">
      <c r="A1828" s="22">
        <v>1057</v>
      </c>
      <c r="B1828" s="22" t="s">
        <v>475</v>
      </c>
      <c r="C1828" s="22" t="s">
        <v>72</v>
      </c>
      <c r="D1828" s="22" t="s">
        <v>73</v>
      </c>
      <c r="E1828" s="158">
        <v>20775</v>
      </c>
      <c r="F1828" s="159">
        <v>57273</v>
      </c>
      <c r="G1828" s="159">
        <v>1189846575</v>
      </c>
      <c r="H1828" s="159">
        <v>118984658</v>
      </c>
      <c r="I1828" s="159">
        <v>1308831233</v>
      </c>
      <c r="J1828" s="159" t="e">
        <f>bargiri[[#This Row],[مقدار]]*INDEX(invoice[پیش دریافت به ازای هر کیلوگرم],MATCH(bargiri[[#This Row],[شماره سند مبنا]],invoice[شماره پیش فاکتور],0))</f>
        <v>#N/A</v>
      </c>
      <c r="K1828" s="159" t="e">
        <f>bargiri[[#This Row],[مبلغ خالص]]-bargiri[[#This Row],[میزان استهلاک پیش دریافتی]]</f>
        <v>#N/A</v>
      </c>
      <c r="L1828" s="160"/>
      <c r="M1828" s="159"/>
      <c r="N1828" s="159" t="e">
        <f>IF(bargiri[[#This Row],[مبلغ واریزی]]&lt;&gt;"",bargiri[[#This Row],[مانده مبلغ]]-bargiri[[#This Row],[مبلغ واریزی]],bargiri[[#This Row],[مانده مبلغ]])</f>
        <v>#N/A</v>
      </c>
      <c r="O1828" s="159"/>
      <c r="P1828" s="159" t="e">
        <f>VLOOKUP(bargiri[[#This Row],[شماره سند مبنا]],invoice[[شماره پیش فاکتور]:[پیش دریافت به ازای هر کیلوگرم]],14,0)</f>
        <v>#N/A</v>
      </c>
      <c r="Q1828" s="159" t="e">
        <f>IF(bargiri[[#This Row],[مبلغ ناخالص]]-(bargiri[[#This Row],[نرخ استهلاک]]*bargiri[[#This Row],[مقدار]])&lt;0,0,bargiri[[#This Row],[مبلغ ناخالص]]-(bargiri[[#This Row],[نرخ استهلاک]]*bargiri[[#This Row],[مقدار]]))</f>
        <v>#N/A</v>
      </c>
    </row>
    <row r="1829" spans="1:17" s="22" customFormat="1" ht="13.8" x14ac:dyDescent="0.25">
      <c r="A1829" s="22">
        <v>1056</v>
      </c>
      <c r="B1829" s="22" t="s">
        <v>475</v>
      </c>
      <c r="C1829" s="22" t="s">
        <v>72</v>
      </c>
      <c r="D1829" s="22" t="s">
        <v>73</v>
      </c>
      <c r="E1829" s="158">
        <v>20970</v>
      </c>
      <c r="F1829" s="159">
        <v>57273</v>
      </c>
      <c r="G1829" s="159">
        <v>1201014810</v>
      </c>
      <c r="H1829" s="159">
        <v>120101481</v>
      </c>
      <c r="I1829" s="159">
        <v>1321116291</v>
      </c>
      <c r="J1829" s="159" t="e">
        <f>bargiri[[#This Row],[مقدار]]*INDEX(invoice[پیش دریافت به ازای هر کیلوگرم],MATCH(bargiri[[#This Row],[شماره سند مبنا]],invoice[شماره پیش فاکتور],0))</f>
        <v>#N/A</v>
      </c>
      <c r="K1829" s="159" t="e">
        <f>bargiri[[#This Row],[مبلغ خالص]]-bargiri[[#This Row],[میزان استهلاک پیش دریافتی]]</f>
        <v>#N/A</v>
      </c>
      <c r="L1829" s="160"/>
      <c r="M1829" s="159"/>
      <c r="N1829" s="159" t="e">
        <f>IF(bargiri[[#This Row],[مبلغ واریزی]]&lt;&gt;"",bargiri[[#This Row],[مانده مبلغ]]-bargiri[[#This Row],[مبلغ واریزی]],bargiri[[#This Row],[مانده مبلغ]])</f>
        <v>#N/A</v>
      </c>
      <c r="O1829" s="159"/>
      <c r="P1829" s="159" t="e">
        <f>VLOOKUP(bargiri[[#This Row],[شماره سند مبنا]],invoice[[شماره پیش فاکتور]:[پیش دریافت به ازای هر کیلوگرم]],14,0)</f>
        <v>#N/A</v>
      </c>
      <c r="Q1829" s="159" t="e">
        <f>IF(bargiri[[#This Row],[مبلغ ناخالص]]-(bargiri[[#This Row],[نرخ استهلاک]]*bargiri[[#This Row],[مقدار]])&lt;0,0,bargiri[[#This Row],[مبلغ ناخالص]]-(bargiri[[#This Row],[نرخ استهلاک]]*bargiri[[#This Row],[مقدار]]))</f>
        <v>#N/A</v>
      </c>
    </row>
    <row r="1830" spans="1:17" s="22" customFormat="1" ht="13.8" x14ac:dyDescent="0.25">
      <c r="A1830" s="22">
        <v>1055</v>
      </c>
      <c r="B1830" s="22" t="s">
        <v>435</v>
      </c>
      <c r="C1830" s="22" t="s">
        <v>99</v>
      </c>
      <c r="D1830" s="22" t="s">
        <v>64</v>
      </c>
      <c r="E1830" s="158">
        <v>22200</v>
      </c>
      <c r="F1830" s="159">
        <v>75000</v>
      </c>
      <c r="G1830" s="159">
        <v>1665000000</v>
      </c>
      <c r="H1830" s="159">
        <v>166500000</v>
      </c>
      <c r="I1830" s="159">
        <v>1831500000</v>
      </c>
      <c r="J1830" s="159" t="e">
        <f>bargiri[[#This Row],[مقدار]]*INDEX(invoice[پیش دریافت به ازای هر کیلوگرم],MATCH(bargiri[[#This Row],[شماره سند مبنا]],invoice[شماره پیش فاکتور],0))</f>
        <v>#N/A</v>
      </c>
      <c r="K1830" s="159" t="e">
        <f>bargiri[[#This Row],[مبلغ خالص]]-bargiri[[#This Row],[میزان استهلاک پیش دریافتی]]</f>
        <v>#N/A</v>
      </c>
      <c r="L1830" s="160"/>
      <c r="M1830" s="159"/>
      <c r="N1830" s="159" t="e">
        <f>IF(bargiri[[#This Row],[مبلغ واریزی]]&lt;&gt;"",bargiri[[#This Row],[مانده مبلغ]]-bargiri[[#This Row],[مبلغ واریزی]],bargiri[[#This Row],[مانده مبلغ]])</f>
        <v>#N/A</v>
      </c>
      <c r="O1830" s="159"/>
      <c r="P1830" s="159" t="e">
        <f>VLOOKUP(bargiri[[#This Row],[شماره سند مبنا]],invoice[[شماره پیش فاکتور]:[پیش دریافت به ازای هر کیلوگرم]],14,0)</f>
        <v>#N/A</v>
      </c>
      <c r="Q1830" s="159" t="e">
        <f>IF(bargiri[[#This Row],[مبلغ ناخالص]]-(bargiri[[#This Row],[نرخ استهلاک]]*bargiri[[#This Row],[مقدار]])&lt;0,0,bargiri[[#This Row],[مبلغ ناخالص]]-(bargiri[[#This Row],[نرخ استهلاک]]*bargiri[[#This Row],[مقدار]]))</f>
        <v>#N/A</v>
      </c>
    </row>
    <row r="1831" spans="1:17" s="22" customFormat="1" ht="13.8" x14ac:dyDescent="0.25">
      <c r="A1831" s="22">
        <v>1054</v>
      </c>
      <c r="B1831" s="22" t="s">
        <v>435</v>
      </c>
      <c r="C1831" s="22" t="s">
        <v>109</v>
      </c>
      <c r="D1831" s="22" t="s">
        <v>110</v>
      </c>
      <c r="E1831" s="158">
        <v>20005</v>
      </c>
      <c r="F1831" s="159">
        <v>70000</v>
      </c>
      <c r="G1831" s="159">
        <v>1400350000</v>
      </c>
      <c r="H1831" s="159">
        <v>140035000</v>
      </c>
      <c r="I1831" s="159">
        <v>1540385000</v>
      </c>
      <c r="J1831" s="159" t="e">
        <f>bargiri[[#This Row],[مقدار]]*INDEX(invoice[پیش دریافت به ازای هر کیلوگرم],MATCH(bargiri[[#This Row],[شماره سند مبنا]],invoice[شماره پیش فاکتور],0))</f>
        <v>#N/A</v>
      </c>
      <c r="K1831" s="159" t="e">
        <f>bargiri[[#This Row],[مبلغ خالص]]-bargiri[[#This Row],[میزان استهلاک پیش دریافتی]]</f>
        <v>#N/A</v>
      </c>
      <c r="L1831" s="160"/>
      <c r="M1831" s="159"/>
      <c r="N1831" s="159" t="e">
        <f>IF(bargiri[[#This Row],[مبلغ واریزی]]&lt;&gt;"",bargiri[[#This Row],[مانده مبلغ]]-bargiri[[#This Row],[مبلغ واریزی]],bargiri[[#This Row],[مانده مبلغ]])</f>
        <v>#N/A</v>
      </c>
      <c r="O1831" s="159"/>
      <c r="P1831" s="159" t="e">
        <f>VLOOKUP(bargiri[[#This Row],[شماره سند مبنا]],invoice[[شماره پیش فاکتور]:[پیش دریافت به ازای هر کیلوگرم]],14,0)</f>
        <v>#N/A</v>
      </c>
      <c r="Q1831" s="159" t="e">
        <f>IF(bargiri[[#This Row],[مبلغ ناخالص]]-(bargiri[[#This Row],[نرخ استهلاک]]*bargiri[[#This Row],[مقدار]])&lt;0,0,bargiri[[#This Row],[مبلغ ناخالص]]-(bargiri[[#This Row],[نرخ استهلاک]]*bargiri[[#This Row],[مقدار]]))</f>
        <v>#N/A</v>
      </c>
    </row>
    <row r="1832" spans="1:17" s="22" customFormat="1" ht="13.8" x14ac:dyDescent="0.25">
      <c r="A1832" s="22">
        <v>1053</v>
      </c>
      <c r="B1832" s="22" t="s">
        <v>154</v>
      </c>
      <c r="C1832" s="22" t="s">
        <v>136</v>
      </c>
      <c r="D1832" s="22" t="s">
        <v>67</v>
      </c>
      <c r="E1832" s="158">
        <v>4980</v>
      </c>
      <c r="F1832" s="159">
        <v>78999</v>
      </c>
      <c r="G1832" s="159">
        <v>393415020</v>
      </c>
      <c r="H1832" s="159">
        <v>39341502</v>
      </c>
      <c r="I1832" s="159">
        <v>432756522</v>
      </c>
      <c r="J1832" s="159" t="e">
        <f>bargiri[[#This Row],[مقدار]]*INDEX(invoice[پیش دریافت به ازای هر کیلوگرم],MATCH(bargiri[[#This Row],[شماره سند مبنا]],invoice[شماره پیش فاکتور],0))</f>
        <v>#N/A</v>
      </c>
      <c r="K1832" s="159" t="e">
        <f>bargiri[[#This Row],[مبلغ خالص]]-bargiri[[#This Row],[میزان استهلاک پیش دریافتی]]</f>
        <v>#N/A</v>
      </c>
      <c r="L1832" s="160"/>
      <c r="M1832" s="159"/>
      <c r="N1832" s="159" t="e">
        <f>IF(bargiri[[#This Row],[مبلغ واریزی]]&lt;&gt;"",bargiri[[#This Row],[مانده مبلغ]]-bargiri[[#This Row],[مبلغ واریزی]],bargiri[[#This Row],[مانده مبلغ]])</f>
        <v>#N/A</v>
      </c>
      <c r="O1832" s="159"/>
      <c r="P1832" s="159" t="e">
        <f>VLOOKUP(bargiri[[#This Row],[شماره سند مبنا]],invoice[[شماره پیش فاکتور]:[پیش دریافت به ازای هر کیلوگرم]],14,0)</f>
        <v>#N/A</v>
      </c>
      <c r="Q1832" s="159" t="e">
        <f>IF(bargiri[[#This Row],[مبلغ ناخالص]]-(bargiri[[#This Row],[نرخ استهلاک]]*bargiri[[#This Row],[مقدار]])&lt;0,0,bargiri[[#This Row],[مبلغ ناخالص]]-(bargiri[[#This Row],[نرخ استهلاک]]*bargiri[[#This Row],[مقدار]]))</f>
        <v>#N/A</v>
      </c>
    </row>
    <row r="1833" spans="1:17" s="22" customFormat="1" ht="13.8" x14ac:dyDescent="0.25">
      <c r="A1833" s="22">
        <v>1053</v>
      </c>
      <c r="B1833" s="22" t="s">
        <v>154</v>
      </c>
      <c r="C1833" s="22" t="s">
        <v>152</v>
      </c>
      <c r="D1833" s="22" t="s">
        <v>67</v>
      </c>
      <c r="E1833" s="158">
        <v>13370</v>
      </c>
      <c r="F1833" s="159">
        <v>75000</v>
      </c>
      <c r="G1833" s="159">
        <v>1002750000</v>
      </c>
      <c r="H1833" s="159">
        <v>100275000</v>
      </c>
      <c r="I1833" s="159">
        <v>1103025000</v>
      </c>
      <c r="J1833" s="159" t="e">
        <f>bargiri[[#This Row],[مقدار]]*INDEX(invoice[پیش دریافت به ازای هر کیلوگرم],MATCH(bargiri[[#This Row],[شماره سند مبنا]],invoice[شماره پیش فاکتور],0))</f>
        <v>#N/A</v>
      </c>
      <c r="K1833" s="159" t="e">
        <f>bargiri[[#This Row],[مبلغ خالص]]-bargiri[[#This Row],[میزان استهلاک پیش دریافتی]]</f>
        <v>#N/A</v>
      </c>
      <c r="L1833" s="160"/>
      <c r="M1833" s="159"/>
      <c r="N1833" s="159" t="e">
        <f>IF(bargiri[[#This Row],[مبلغ واریزی]]&lt;&gt;"",bargiri[[#This Row],[مانده مبلغ]]-bargiri[[#This Row],[مبلغ واریزی]],bargiri[[#This Row],[مانده مبلغ]])</f>
        <v>#N/A</v>
      </c>
      <c r="O1833" s="159"/>
      <c r="P1833" s="159" t="e">
        <f>VLOOKUP(bargiri[[#This Row],[شماره سند مبنا]],invoice[[شماره پیش فاکتور]:[پیش دریافت به ازای هر کیلوگرم]],14,0)</f>
        <v>#N/A</v>
      </c>
      <c r="Q1833" s="159" t="e">
        <f>IF(bargiri[[#This Row],[مبلغ ناخالص]]-(bargiri[[#This Row],[نرخ استهلاک]]*bargiri[[#This Row],[مقدار]])&lt;0,0,bargiri[[#This Row],[مبلغ ناخالص]]-(bargiri[[#This Row],[نرخ استهلاک]]*bargiri[[#This Row],[مقدار]]))</f>
        <v>#N/A</v>
      </c>
    </row>
    <row r="1834" spans="1:17" s="22" customFormat="1" ht="13.8" x14ac:dyDescent="0.25">
      <c r="A1834" s="22">
        <v>1052</v>
      </c>
      <c r="B1834" s="22" t="s">
        <v>170</v>
      </c>
      <c r="C1834" s="22" t="s">
        <v>115</v>
      </c>
      <c r="D1834" s="22" t="s">
        <v>116</v>
      </c>
      <c r="E1834" s="158">
        <v>20060</v>
      </c>
      <c r="F1834" s="159">
        <v>75000</v>
      </c>
      <c r="G1834" s="159">
        <v>1504500000</v>
      </c>
      <c r="H1834" s="159">
        <v>150450000</v>
      </c>
      <c r="I1834" s="159">
        <v>1654950000</v>
      </c>
      <c r="J1834" s="159">
        <f>bargiri[[#This Row],[مقدار]]*INDEX(invoice[پیش دریافت به ازای هر کیلوگرم],MATCH(bargiri[[#This Row],[شماره سند مبنا]],invoice[شماره پیش فاکتور],0))</f>
        <v>301104751.23083693</v>
      </c>
      <c r="K1834" s="159">
        <f>bargiri[[#This Row],[مبلغ خالص]]-bargiri[[#This Row],[میزان استهلاک پیش دریافتی]]</f>
        <v>1353845248.7691631</v>
      </c>
      <c r="L1834" s="160"/>
      <c r="M1834" s="159"/>
      <c r="N1834" s="159">
        <f>IF(bargiri[[#This Row],[مبلغ واریزی]]&lt;&gt;"",bargiri[[#This Row],[مانده مبلغ]]-bargiri[[#This Row],[مبلغ واریزی]],bargiri[[#This Row],[مانده مبلغ]])</f>
        <v>1353845248.7691631</v>
      </c>
      <c r="O1834" s="159"/>
      <c r="P1834" s="159">
        <f>VLOOKUP(bargiri[[#This Row],[شماره سند مبنا]],invoice[[شماره پیش فاکتور]:[پیش دریافت به ازای هر کیلوگرم]],14,0)</f>
        <v>15010.206940719689</v>
      </c>
      <c r="Q1834" s="159">
        <f>IF(bargiri[[#This Row],[مبلغ ناخالص]]-(bargiri[[#This Row],[نرخ استهلاک]]*bargiri[[#This Row],[مقدار]])&lt;0,0,bargiri[[#This Row],[مبلغ ناخالص]]-(bargiri[[#This Row],[نرخ استهلاک]]*bargiri[[#This Row],[مقدار]]))</f>
        <v>1203395248.7691631</v>
      </c>
    </row>
    <row r="1835" spans="1:17" s="22" customFormat="1" ht="13.8" x14ac:dyDescent="0.25">
      <c r="A1835" s="22">
        <v>1051</v>
      </c>
      <c r="B1835" s="22" t="s">
        <v>170</v>
      </c>
      <c r="C1835" s="22" t="s">
        <v>86</v>
      </c>
      <c r="D1835" s="22" t="s">
        <v>30</v>
      </c>
      <c r="E1835" s="158">
        <v>11840</v>
      </c>
      <c r="F1835" s="159">
        <v>65000</v>
      </c>
      <c r="G1835" s="159">
        <v>769600000</v>
      </c>
      <c r="H1835" s="159">
        <v>76960000</v>
      </c>
      <c r="I1835" s="159">
        <v>846560000</v>
      </c>
      <c r="J1835" s="159" t="e">
        <f>bargiri[[#This Row],[مقدار]]*INDEX(invoice[پیش دریافت به ازای هر کیلوگرم],MATCH(bargiri[[#This Row],[شماره سند مبنا]],invoice[شماره پیش فاکتور],0))</f>
        <v>#N/A</v>
      </c>
      <c r="K1835" s="159" t="e">
        <f>bargiri[[#This Row],[مبلغ خالص]]-bargiri[[#This Row],[میزان استهلاک پیش دریافتی]]</f>
        <v>#N/A</v>
      </c>
      <c r="L1835" s="160"/>
      <c r="M1835" s="159"/>
      <c r="N1835" s="159" t="e">
        <f>IF(bargiri[[#This Row],[مبلغ واریزی]]&lt;&gt;"",bargiri[[#This Row],[مانده مبلغ]]-bargiri[[#This Row],[مبلغ واریزی]],bargiri[[#This Row],[مانده مبلغ]])</f>
        <v>#N/A</v>
      </c>
      <c r="O1835" s="159"/>
      <c r="P1835" s="159" t="e">
        <f>VLOOKUP(bargiri[[#This Row],[شماره سند مبنا]],invoice[[شماره پیش فاکتور]:[پیش دریافت به ازای هر کیلوگرم]],14,0)</f>
        <v>#N/A</v>
      </c>
      <c r="Q1835" s="159" t="e">
        <f>IF(bargiri[[#This Row],[مبلغ ناخالص]]-(bargiri[[#This Row],[نرخ استهلاک]]*bargiri[[#This Row],[مقدار]])&lt;0,0,bargiri[[#This Row],[مبلغ ناخالص]]-(bargiri[[#This Row],[نرخ استهلاک]]*bargiri[[#This Row],[مقدار]]))</f>
        <v>#N/A</v>
      </c>
    </row>
    <row r="1836" spans="1:17" s="22" customFormat="1" ht="13.8" x14ac:dyDescent="0.25">
      <c r="A1836" s="22">
        <v>1050</v>
      </c>
      <c r="B1836" s="22" t="s">
        <v>170</v>
      </c>
      <c r="C1836" s="22" t="s">
        <v>72</v>
      </c>
      <c r="D1836" s="22" t="s">
        <v>73</v>
      </c>
      <c r="E1836" s="158">
        <v>20585</v>
      </c>
      <c r="F1836" s="159">
        <v>57273</v>
      </c>
      <c r="G1836" s="159">
        <v>1178964705</v>
      </c>
      <c r="H1836" s="159">
        <v>117896471</v>
      </c>
      <c r="I1836" s="159">
        <v>1296861176</v>
      </c>
      <c r="J1836" s="159" t="e">
        <f>bargiri[[#This Row],[مقدار]]*INDEX(invoice[پیش دریافت به ازای هر کیلوگرم],MATCH(bargiri[[#This Row],[شماره سند مبنا]],invoice[شماره پیش فاکتور],0))</f>
        <v>#N/A</v>
      </c>
      <c r="K1836" s="159" t="e">
        <f>bargiri[[#This Row],[مبلغ خالص]]-bargiri[[#This Row],[میزان استهلاک پیش دریافتی]]</f>
        <v>#N/A</v>
      </c>
      <c r="L1836" s="160"/>
      <c r="M1836" s="159"/>
      <c r="N1836" s="159" t="e">
        <f>IF(bargiri[[#This Row],[مبلغ واریزی]]&lt;&gt;"",bargiri[[#This Row],[مانده مبلغ]]-bargiri[[#This Row],[مبلغ واریزی]],bargiri[[#This Row],[مانده مبلغ]])</f>
        <v>#N/A</v>
      </c>
      <c r="O1836" s="159"/>
      <c r="P1836" s="159" t="e">
        <f>VLOOKUP(bargiri[[#This Row],[شماره سند مبنا]],invoice[[شماره پیش فاکتور]:[پیش دریافت به ازای هر کیلوگرم]],14,0)</f>
        <v>#N/A</v>
      </c>
      <c r="Q1836" s="159" t="e">
        <f>IF(bargiri[[#This Row],[مبلغ ناخالص]]-(bargiri[[#This Row],[نرخ استهلاک]]*bargiri[[#This Row],[مقدار]])&lt;0,0,bargiri[[#This Row],[مبلغ ناخالص]]-(bargiri[[#This Row],[نرخ استهلاک]]*bargiri[[#This Row],[مقدار]]))</f>
        <v>#N/A</v>
      </c>
    </row>
    <row r="1837" spans="1:17" s="22" customFormat="1" ht="13.8" x14ac:dyDescent="0.25">
      <c r="A1837" s="22">
        <v>1049</v>
      </c>
      <c r="B1837" s="22" t="s">
        <v>170</v>
      </c>
      <c r="C1837" s="22" t="s">
        <v>72</v>
      </c>
      <c r="D1837" s="22" t="s">
        <v>73</v>
      </c>
      <c r="E1837" s="158">
        <v>20605</v>
      </c>
      <c r="F1837" s="159">
        <v>57273</v>
      </c>
      <c r="G1837" s="159">
        <v>1180110165</v>
      </c>
      <c r="H1837" s="159">
        <v>118011017</v>
      </c>
      <c r="I1837" s="159">
        <v>1298121182</v>
      </c>
      <c r="J1837" s="159" t="e">
        <f>bargiri[[#This Row],[مقدار]]*INDEX(invoice[پیش دریافت به ازای هر کیلوگرم],MATCH(bargiri[[#This Row],[شماره سند مبنا]],invoice[شماره پیش فاکتور],0))</f>
        <v>#N/A</v>
      </c>
      <c r="K1837" s="159" t="e">
        <f>bargiri[[#This Row],[مبلغ خالص]]-bargiri[[#This Row],[میزان استهلاک پیش دریافتی]]</f>
        <v>#N/A</v>
      </c>
      <c r="L1837" s="160"/>
      <c r="M1837" s="159"/>
      <c r="N1837" s="159" t="e">
        <f>IF(bargiri[[#This Row],[مبلغ واریزی]]&lt;&gt;"",bargiri[[#This Row],[مانده مبلغ]]-bargiri[[#This Row],[مبلغ واریزی]],bargiri[[#This Row],[مانده مبلغ]])</f>
        <v>#N/A</v>
      </c>
      <c r="O1837" s="159"/>
      <c r="P1837" s="159" t="e">
        <f>VLOOKUP(bargiri[[#This Row],[شماره سند مبنا]],invoice[[شماره پیش فاکتور]:[پیش دریافت به ازای هر کیلوگرم]],14,0)</f>
        <v>#N/A</v>
      </c>
      <c r="Q1837" s="159" t="e">
        <f>IF(bargiri[[#This Row],[مبلغ ناخالص]]-(bargiri[[#This Row],[نرخ استهلاک]]*bargiri[[#This Row],[مقدار]])&lt;0,0,bargiri[[#This Row],[مبلغ ناخالص]]-(bargiri[[#This Row],[نرخ استهلاک]]*bargiri[[#This Row],[مقدار]]))</f>
        <v>#N/A</v>
      </c>
    </row>
    <row r="1838" spans="1:17" s="22" customFormat="1" ht="13.8" x14ac:dyDescent="0.25">
      <c r="A1838" s="22">
        <v>1048</v>
      </c>
      <c r="B1838" s="22" t="s">
        <v>170</v>
      </c>
      <c r="C1838" s="22" t="s">
        <v>81</v>
      </c>
      <c r="D1838" s="22" t="s">
        <v>35</v>
      </c>
      <c r="E1838" s="158">
        <v>7535</v>
      </c>
      <c r="F1838" s="159">
        <v>70000</v>
      </c>
      <c r="G1838" s="159">
        <v>527450000</v>
      </c>
      <c r="H1838" s="159">
        <v>52745000</v>
      </c>
      <c r="I1838" s="159">
        <v>580195000</v>
      </c>
      <c r="J1838" s="159" t="e">
        <f>bargiri[[#This Row],[مقدار]]*INDEX(invoice[پیش دریافت به ازای هر کیلوگرم],MATCH(bargiri[[#This Row],[شماره سند مبنا]],invoice[شماره پیش فاکتور],0))</f>
        <v>#N/A</v>
      </c>
      <c r="K1838" s="159" t="e">
        <f>bargiri[[#This Row],[مبلغ خالص]]-bargiri[[#This Row],[میزان استهلاک پیش دریافتی]]</f>
        <v>#N/A</v>
      </c>
      <c r="L1838" s="160"/>
      <c r="M1838" s="159"/>
      <c r="N1838" s="159" t="e">
        <f>IF(bargiri[[#This Row],[مبلغ واریزی]]&lt;&gt;"",bargiri[[#This Row],[مانده مبلغ]]-bargiri[[#This Row],[مبلغ واریزی]],bargiri[[#This Row],[مانده مبلغ]])</f>
        <v>#N/A</v>
      </c>
      <c r="O1838" s="159"/>
      <c r="P1838" s="159" t="e">
        <f>VLOOKUP(bargiri[[#This Row],[شماره سند مبنا]],invoice[[شماره پیش فاکتور]:[پیش دریافت به ازای هر کیلوگرم]],14,0)</f>
        <v>#N/A</v>
      </c>
      <c r="Q1838" s="159" t="e">
        <f>IF(bargiri[[#This Row],[مبلغ ناخالص]]-(bargiri[[#This Row],[نرخ استهلاک]]*bargiri[[#This Row],[مقدار]])&lt;0,0,bargiri[[#This Row],[مبلغ ناخالص]]-(bargiri[[#This Row],[نرخ استهلاک]]*bargiri[[#This Row],[مقدار]]))</f>
        <v>#N/A</v>
      </c>
    </row>
    <row r="1839" spans="1:17" s="22" customFormat="1" ht="13.8" x14ac:dyDescent="0.25">
      <c r="A1839" s="22">
        <v>1047</v>
      </c>
      <c r="B1839" s="22" t="s">
        <v>170</v>
      </c>
      <c r="C1839" s="22" t="s">
        <v>128</v>
      </c>
      <c r="D1839" s="22" t="s">
        <v>129</v>
      </c>
      <c r="E1839" s="158">
        <v>8410</v>
      </c>
      <c r="F1839" s="159">
        <v>80000</v>
      </c>
      <c r="G1839" s="159">
        <v>672800000</v>
      </c>
      <c r="H1839" s="159">
        <v>67280000</v>
      </c>
      <c r="I1839" s="159">
        <v>740080000</v>
      </c>
      <c r="J1839" s="159">
        <f>bargiri[[#This Row],[مقدار]]*INDEX(invoice[پیش دریافت به ازای هر کیلوگرم],MATCH(bargiri[[#This Row],[شماره سند مبنا]],invoice[شماره پیش فاکتور],0))</f>
        <v>111551163.95913583</v>
      </c>
      <c r="K1839" s="159">
        <f>bargiri[[#This Row],[مبلغ خالص]]-bargiri[[#This Row],[میزان استهلاک پیش دریافتی]]</f>
        <v>628528836.04086423</v>
      </c>
      <c r="L1839" s="160"/>
      <c r="M1839" s="159"/>
      <c r="N1839" s="159">
        <f>IF(bargiri[[#This Row],[مبلغ واریزی]]&lt;&gt;"",bargiri[[#This Row],[مانده مبلغ]]-bargiri[[#This Row],[مبلغ واریزی]],bargiri[[#This Row],[مانده مبلغ]])</f>
        <v>628528836.04086423</v>
      </c>
      <c r="O1839" s="159"/>
      <c r="P1839" s="159">
        <f>VLOOKUP(bargiri[[#This Row],[شماره سند مبنا]],invoice[[شماره پیش فاکتور]:[پیش دریافت به ازای هر کیلوگرم]],14,0)</f>
        <v>13264.109864344331</v>
      </c>
      <c r="Q1839" s="159">
        <f>IF(bargiri[[#This Row],[مبلغ ناخالص]]-(bargiri[[#This Row],[نرخ استهلاک]]*bargiri[[#This Row],[مقدار]])&lt;0,0,bargiri[[#This Row],[مبلغ ناخالص]]-(bargiri[[#This Row],[نرخ استهلاک]]*bargiri[[#This Row],[مقدار]]))</f>
        <v>561248836.04086423</v>
      </c>
    </row>
    <row r="1840" spans="1:17" s="22" customFormat="1" ht="13.8" x14ac:dyDescent="0.25">
      <c r="A1840" s="22">
        <v>1046</v>
      </c>
      <c r="B1840" s="22" t="s">
        <v>476</v>
      </c>
      <c r="C1840" s="22" t="s">
        <v>115</v>
      </c>
      <c r="D1840" s="22" t="s">
        <v>116</v>
      </c>
      <c r="E1840" s="158">
        <v>21145</v>
      </c>
      <c r="F1840" s="159">
        <v>75000</v>
      </c>
      <c r="G1840" s="159">
        <v>1585875000</v>
      </c>
      <c r="H1840" s="159">
        <v>158587500</v>
      </c>
      <c r="I1840" s="159">
        <v>1744462500</v>
      </c>
      <c r="J1840" s="159">
        <f>bargiri[[#This Row],[مقدار]]*INDEX(invoice[پیش دریافت به ازای هر کیلوگرم],MATCH(bargiri[[#This Row],[شماره سند مبنا]],invoice[شماره پیش فاکتور],0))</f>
        <v>317390825.76151782</v>
      </c>
      <c r="K1840" s="159">
        <f>bargiri[[#This Row],[مبلغ خالص]]-bargiri[[#This Row],[میزان استهلاک پیش دریافتی]]</f>
        <v>1427071674.2384822</v>
      </c>
      <c r="L1840" s="160"/>
      <c r="M1840" s="159"/>
      <c r="N1840" s="159">
        <f>IF(bargiri[[#This Row],[مبلغ واریزی]]&lt;&gt;"",bargiri[[#This Row],[مانده مبلغ]]-bargiri[[#This Row],[مبلغ واریزی]],bargiri[[#This Row],[مانده مبلغ]])</f>
        <v>1427071674.2384822</v>
      </c>
      <c r="O1840" s="159"/>
      <c r="P1840" s="159">
        <f>VLOOKUP(bargiri[[#This Row],[شماره سند مبنا]],invoice[[شماره پیش فاکتور]:[پیش دریافت به ازای هر کیلوگرم]],14,0)</f>
        <v>15010.206940719689</v>
      </c>
      <c r="Q1840" s="159">
        <f>IF(bargiri[[#This Row],[مبلغ ناخالص]]-(bargiri[[#This Row],[نرخ استهلاک]]*bargiri[[#This Row],[مقدار]])&lt;0,0,bargiri[[#This Row],[مبلغ ناخالص]]-(bargiri[[#This Row],[نرخ استهلاک]]*bargiri[[#This Row],[مقدار]]))</f>
        <v>1268484174.2384822</v>
      </c>
    </row>
    <row r="1841" spans="1:17" s="22" customFormat="1" ht="13.8" x14ac:dyDescent="0.25">
      <c r="A1841" s="22">
        <v>1045</v>
      </c>
      <c r="B1841" s="22" t="s">
        <v>476</v>
      </c>
      <c r="C1841" s="22" t="s">
        <v>128</v>
      </c>
      <c r="D1841" s="22" t="s">
        <v>129</v>
      </c>
      <c r="E1841" s="158">
        <v>9145</v>
      </c>
      <c r="F1841" s="159">
        <v>80000</v>
      </c>
      <c r="G1841" s="159">
        <v>731600000</v>
      </c>
      <c r="H1841" s="159">
        <v>73160000</v>
      </c>
      <c r="I1841" s="159">
        <v>804760000</v>
      </c>
      <c r="J1841" s="159">
        <f>bargiri[[#This Row],[مقدار]]*INDEX(invoice[پیش دریافت به ازای هر کیلوگرم],MATCH(bargiri[[#This Row],[شماره سند مبنا]],invoice[شماره پیش فاکتور],0))</f>
        <v>121300284.70942891</v>
      </c>
      <c r="K1841" s="159">
        <f>bargiri[[#This Row],[مبلغ خالص]]-bargiri[[#This Row],[میزان استهلاک پیش دریافتی]]</f>
        <v>683459715.29057109</v>
      </c>
      <c r="L1841" s="160"/>
      <c r="M1841" s="159"/>
      <c r="N1841" s="159">
        <f>IF(bargiri[[#This Row],[مبلغ واریزی]]&lt;&gt;"",bargiri[[#This Row],[مانده مبلغ]]-bargiri[[#This Row],[مبلغ واریزی]],bargiri[[#This Row],[مانده مبلغ]])</f>
        <v>683459715.29057109</v>
      </c>
      <c r="O1841" s="159"/>
      <c r="P1841" s="159">
        <f>VLOOKUP(bargiri[[#This Row],[شماره سند مبنا]],invoice[[شماره پیش فاکتور]:[پیش دریافت به ازای هر کیلوگرم]],14,0)</f>
        <v>13264.109864344331</v>
      </c>
      <c r="Q1841" s="159">
        <f>IF(bargiri[[#This Row],[مبلغ ناخالص]]-(bargiri[[#This Row],[نرخ استهلاک]]*bargiri[[#This Row],[مقدار]])&lt;0,0,bargiri[[#This Row],[مبلغ ناخالص]]-(bargiri[[#This Row],[نرخ استهلاک]]*bargiri[[#This Row],[مقدار]]))</f>
        <v>610299715.29057109</v>
      </c>
    </row>
    <row r="1842" spans="1:17" s="22" customFormat="1" ht="13.8" x14ac:dyDescent="0.25">
      <c r="A1842" s="22">
        <v>1044</v>
      </c>
      <c r="B1842" s="22" t="s">
        <v>476</v>
      </c>
      <c r="C1842" s="22" t="s">
        <v>115</v>
      </c>
      <c r="D1842" s="22" t="s">
        <v>116</v>
      </c>
      <c r="E1842" s="158">
        <v>21440</v>
      </c>
      <c r="F1842" s="159">
        <v>75000</v>
      </c>
      <c r="G1842" s="159">
        <v>1608000000</v>
      </c>
      <c r="H1842" s="159">
        <v>160800000</v>
      </c>
      <c r="I1842" s="159">
        <v>1768800000</v>
      </c>
      <c r="J1842" s="159">
        <f>bargiri[[#This Row],[مقدار]]*INDEX(invoice[پیش دریافت به ازای هر کیلوگرم],MATCH(bargiri[[#This Row],[شماره سند مبنا]],invoice[شماره پیش فاکتور],0))</f>
        <v>321818836.80903012</v>
      </c>
      <c r="K1842" s="159">
        <f>bargiri[[#This Row],[مبلغ خالص]]-bargiri[[#This Row],[میزان استهلاک پیش دریافتی]]</f>
        <v>1446981163.1909699</v>
      </c>
      <c r="L1842" s="160"/>
      <c r="M1842" s="159"/>
      <c r="N1842" s="159">
        <f>IF(bargiri[[#This Row],[مبلغ واریزی]]&lt;&gt;"",bargiri[[#This Row],[مانده مبلغ]]-bargiri[[#This Row],[مبلغ واریزی]],bargiri[[#This Row],[مانده مبلغ]])</f>
        <v>1446981163.1909699</v>
      </c>
      <c r="O1842" s="159"/>
      <c r="P1842" s="159">
        <f>VLOOKUP(bargiri[[#This Row],[شماره سند مبنا]],invoice[[شماره پیش فاکتور]:[پیش دریافت به ازای هر کیلوگرم]],14,0)</f>
        <v>15010.206940719689</v>
      </c>
      <c r="Q1842" s="159">
        <f>IF(bargiri[[#This Row],[مبلغ ناخالص]]-(bargiri[[#This Row],[نرخ استهلاک]]*bargiri[[#This Row],[مقدار]])&lt;0,0,bargiri[[#This Row],[مبلغ ناخالص]]-(bargiri[[#This Row],[نرخ استهلاک]]*bargiri[[#This Row],[مقدار]]))</f>
        <v>1286181163.1909699</v>
      </c>
    </row>
    <row r="1843" spans="1:17" s="22" customFormat="1" ht="13.8" x14ac:dyDescent="0.25">
      <c r="A1843" s="22">
        <v>1043</v>
      </c>
      <c r="B1843" s="22" t="s">
        <v>476</v>
      </c>
      <c r="C1843" s="22" t="s">
        <v>109</v>
      </c>
      <c r="D1843" s="22" t="s">
        <v>110</v>
      </c>
      <c r="E1843" s="158">
        <v>20000</v>
      </c>
      <c r="F1843" s="159">
        <v>70000</v>
      </c>
      <c r="G1843" s="159">
        <v>1400000000</v>
      </c>
      <c r="H1843" s="159">
        <v>140000000</v>
      </c>
      <c r="I1843" s="159">
        <v>1540000000</v>
      </c>
      <c r="J1843" s="159" t="e">
        <f>bargiri[[#This Row],[مقدار]]*INDEX(invoice[پیش دریافت به ازای هر کیلوگرم],MATCH(bargiri[[#This Row],[شماره سند مبنا]],invoice[شماره پیش فاکتور],0))</f>
        <v>#N/A</v>
      </c>
      <c r="K1843" s="159" t="e">
        <f>bargiri[[#This Row],[مبلغ خالص]]-bargiri[[#This Row],[میزان استهلاک پیش دریافتی]]</f>
        <v>#N/A</v>
      </c>
      <c r="L1843" s="160"/>
      <c r="M1843" s="159"/>
      <c r="N1843" s="159" t="e">
        <f>IF(bargiri[[#This Row],[مبلغ واریزی]]&lt;&gt;"",bargiri[[#This Row],[مانده مبلغ]]-bargiri[[#This Row],[مبلغ واریزی]],bargiri[[#This Row],[مانده مبلغ]])</f>
        <v>#N/A</v>
      </c>
      <c r="O1843" s="159"/>
      <c r="P1843" s="159" t="e">
        <f>VLOOKUP(bargiri[[#This Row],[شماره سند مبنا]],invoice[[شماره پیش فاکتور]:[پیش دریافت به ازای هر کیلوگرم]],14,0)</f>
        <v>#N/A</v>
      </c>
      <c r="Q1843" s="159" t="e">
        <f>IF(bargiri[[#This Row],[مبلغ ناخالص]]-(bargiri[[#This Row],[نرخ استهلاک]]*bargiri[[#This Row],[مقدار]])&lt;0,0,bargiri[[#This Row],[مبلغ ناخالص]]-(bargiri[[#This Row],[نرخ استهلاک]]*bargiri[[#This Row],[مقدار]]))</f>
        <v>#N/A</v>
      </c>
    </row>
    <row r="1844" spans="1:17" s="22" customFormat="1" ht="13.8" x14ac:dyDescent="0.25">
      <c r="A1844" s="22">
        <v>1042</v>
      </c>
      <c r="B1844" s="22" t="s">
        <v>154</v>
      </c>
      <c r="C1844" s="22" t="s">
        <v>72</v>
      </c>
      <c r="D1844" s="22" t="s">
        <v>73</v>
      </c>
      <c r="E1844" s="158">
        <v>20900</v>
      </c>
      <c r="F1844" s="159">
        <v>57273</v>
      </c>
      <c r="G1844" s="159">
        <v>1197005700</v>
      </c>
      <c r="H1844" s="159">
        <v>119700570</v>
      </c>
      <c r="I1844" s="159">
        <v>1316706270</v>
      </c>
      <c r="J1844" s="159" t="e">
        <f>bargiri[[#This Row],[مقدار]]*INDEX(invoice[پیش دریافت به ازای هر کیلوگرم],MATCH(bargiri[[#This Row],[شماره سند مبنا]],invoice[شماره پیش فاکتور],0))</f>
        <v>#N/A</v>
      </c>
      <c r="K1844" s="159" t="e">
        <f>bargiri[[#This Row],[مبلغ خالص]]-bargiri[[#This Row],[میزان استهلاک پیش دریافتی]]</f>
        <v>#N/A</v>
      </c>
      <c r="L1844" s="160"/>
      <c r="M1844" s="159"/>
      <c r="N1844" s="159" t="e">
        <f>IF(bargiri[[#This Row],[مبلغ واریزی]]&lt;&gt;"",bargiri[[#This Row],[مانده مبلغ]]-bargiri[[#This Row],[مبلغ واریزی]],bargiri[[#This Row],[مانده مبلغ]])</f>
        <v>#N/A</v>
      </c>
      <c r="O1844" s="159"/>
      <c r="P1844" s="159" t="e">
        <f>VLOOKUP(bargiri[[#This Row],[شماره سند مبنا]],invoice[[شماره پیش فاکتور]:[پیش دریافت به ازای هر کیلوگرم]],14,0)</f>
        <v>#N/A</v>
      </c>
      <c r="Q1844" s="159" t="e">
        <f>IF(bargiri[[#This Row],[مبلغ ناخالص]]-(bargiri[[#This Row],[نرخ استهلاک]]*bargiri[[#This Row],[مقدار]])&lt;0,0,bargiri[[#This Row],[مبلغ ناخالص]]-(bargiri[[#This Row],[نرخ استهلاک]]*bargiri[[#This Row],[مقدار]]))</f>
        <v>#N/A</v>
      </c>
    </row>
    <row r="1845" spans="1:17" s="22" customFormat="1" ht="13.8" x14ac:dyDescent="0.25">
      <c r="A1845" s="22">
        <v>1041</v>
      </c>
      <c r="B1845" s="22" t="s">
        <v>154</v>
      </c>
      <c r="C1845" s="22" t="s">
        <v>72</v>
      </c>
      <c r="D1845" s="22" t="s">
        <v>73</v>
      </c>
      <c r="E1845" s="158">
        <v>21055</v>
      </c>
      <c r="F1845" s="159">
        <v>57273</v>
      </c>
      <c r="G1845" s="159">
        <v>1205883015</v>
      </c>
      <c r="H1845" s="159">
        <v>120588302</v>
      </c>
      <c r="I1845" s="159">
        <v>1326471317</v>
      </c>
      <c r="J1845" s="159" t="e">
        <f>bargiri[[#This Row],[مقدار]]*INDEX(invoice[پیش دریافت به ازای هر کیلوگرم],MATCH(bargiri[[#This Row],[شماره سند مبنا]],invoice[شماره پیش فاکتور],0))</f>
        <v>#N/A</v>
      </c>
      <c r="K1845" s="159" t="e">
        <f>bargiri[[#This Row],[مبلغ خالص]]-bargiri[[#This Row],[میزان استهلاک پیش دریافتی]]</f>
        <v>#N/A</v>
      </c>
      <c r="L1845" s="160"/>
      <c r="M1845" s="159"/>
      <c r="N1845" s="159" t="e">
        <f>IF(bargiri[[#This Row],[مبلغ واریزی]]&lt;&gt;"",bargiri[[#This Row],[مانده مبلغ]]-bargiri[[#This Row],[مبلغ واریزی]],bargiri[[#This Row],[مانده مبلغ]])</f>
        <v>#N/A</v>
      </c>
      <c r="O1845" s="159"/>
      <c r="P1845" s="159" t="e">
        <f>VLOOKUP(bargiri[[#This Row],[شماره سند مبنا]],invoice[[شماره پیش فاکتور]:[پیش دریافت به ازای هر کیلوگرم]],14,0)</f>
        <v>#N/A</v>
      </c>
      <c r="Q1845" s="159" t="e">
        <f>IF(bargiri[[#This Row],[مبلغ ناخالص]]-(bargiri[[#This Row],[نرخ استهلاک]]*bargiri[[#This Row],[مقدار]])&lt;0,0,bargiri[[#This Row],[مبلغ ناخالص]]-(bargiri[[#This Row],[نرخ استهلاک]]*bargiri[[#This Row],[مقدار]]))</f>
        <v>#N/A</v>
      </c>
    </row>
    <row r="1846" spans="1:17" s="22" customFormat="1" ht="13.8" x14ac:dyDescent="0.25">
      <c r="A1846" s="22">
        <v>1040</v>
      </c>
      <c r="B1846" s="22" t="s">
        <v>157</v>
      </c>
      <c r="C1846" s="22" t="s">
        <v>24</v>
      </c>
      <c r="D1846" s="22" t="s">
        <v>25</v>
      </c>
      <c r="E1846" s="158">
        <v>10720</v>
      </c>
      <c r="F1846" s="159">
        <v>68000</v>
      </c>
      <c r="G1846" s="159">
        <v>728960000</v>
      </c>
      <c r="H1846" s="159">
        <v>65606400</v>
      </c>
      <c r="I1846" s="159">
        <v>794566400</v>
      </c>
      <c r="J1846" s="159" t="e">
        <f>bargiri[[#This Row],[مقدار]]*INDEX(invoice[پیش دریافت به ازای هر کیلوگرم],MATCH(bargiri[[#This Row],[شماره سند مبنا]],invoice[شماره پیش فاکتور],0))</f>
        <v>#N/A</v>
      </c>
      <c r="K1846" s="159" t="e">
        <f>bargiri[[#This Row],[مبلغ خالص]]-bargiri[[#This Row],[میزان استهلاک پیش دریافتی]]</f>
        <v>#N/A</v>
      </c>
      <c r="L1846" s="160"/>
      <c r="M1846" s="159"/>
      <c r="N1846" s="159" t="e">
        <f>IF(bargiri[[#This Row],[مبلغ واریزی]]&lt;&gt;"",bargiri[[#This Row],[مانده مبلغ]]-bargiri[[#This Row],[مبلغ واریزی]],bargiri[[#This Row],[مانده مبلغ]])</f>
        <v>#N/A</v>
      </c>
      <c r="O1846" s="159"/>
      <c r="P1846" s="159" t="e">
        <f>VLOOKUP(bargiri[[#This Row],[شماره سند مبنا]],invoice[[شماره پیش فاکتور]:[پیش دریافت به ازای هر کیلوگرم]],14,0)</f>
        <v>#N/A</v>
      </c>
      <c r="Q1846" s="159" t="e">
        <f>IF(bargiri[[#This Row],[مبلغ ناخالص]]-(bargiri[[#This Row],[نرخ استهلاک]]*bargiri[[#This Row],[مقدار]])&lt;0,0,bargiri[[#This Row],[مبلغ ناخالص]]-(bargiri[[#This Row],[نرخ استهلاک]]*bargiri[[#This Row],[مقدار]]))</f>
        <v>#N/A</v>
      </c>
    </row>
    <row r="1847" spans="1:17" s="22" customFormat="1" ht="13.8" x14ac:dyDescent="0.25">
      <c r="A1847" s="22">
        <v>1040</v>
      </c>
      <c r="B1847" s="22" t="s">
        <v>157</v>
      </c>
      <c r="C1847" s="22" t="s">
        <v>147</v>
      </c>
      <c r="D1847" s="22" t="s">
        <v>25</v>
      </c>
      <c r="E1847" s="158">
        <v>9335</v>
      </c>
      <c r="F1847" s="159">
        <v>92000</v>
      </c>
      <c r="G1847" s="159">
        <v>858820000</v>
      </c>
      <c r="H1847" s="159">
        <v>85882000</v>
      </c>
      <c r="I1847" s="159">
        <v>944702000</v>
      </c>
      <c r="J1847" s="159" t="e">
        <f>bargiri[[#This Row],[مقدار]]*INDEX(invoice[پیش دریافت به ازای هر کیلوگرم],MATCH(bargiri[[#This Row],[شماره سند مبنا]],invoice[شماره پیش فاکتور],0))</f>
        <v>#N/A</v>
      </c>
      <c r="K1847" s="159" t="e">
        <f>bargiri[[#This Row],[مبلغ خالص]]-bargiri[[#This Row],[میزان استهلاک پیش دریافتی]]</f>
        <v>#N/A</v>
      </c>
      <c r="L1847" s="160"/>
      <c r="M1847" s="159"/>
      <c r="N1847" s="159" t="e">
        <f>IF(bargiri[[#This Row],[مبلغ واریزی]]&lt;&gt;"",bargiri[[#This Row],[مانده مبلغ]]-bargiri[[#This Row],[مبلغ واریزی]],bargiri[[#This Row],[مانده مبلغ]])</f>
        <v>#N/A</v>
      </c>
      <c r="O1847" s="159"/>
      <c r="P1847" s="159" t="e">
        <f>VLOOKUP(bargiri[[#This Row],[شماره سند مبنا]],invoice[[شماره پیش فاکتور]:[پیش دریافت به ازای هر کیلوگرم]],14,0)</f>
        <v>#N/A</v>
      </c>
      <c r="Q1847" s="159" t="e">
        <f>IF(bargiri[[#This Row],[مبلغ ناخالص]]-(bargiri[[#This Row],[نرخ استهلاک]]*bargiri[[#This Row],[مقدار]])&lt;0,0,bargiri[[#This Row],[مبلغ ناخالص]]-(bargiri[[#This Row],[نرخ استهلاک]]*bargiri[[#This Row],[مقدار]]))</f>
        <v>#N/A</v>
      </c>
    </row>
    <row r="1848" spans="1:17" s="22" customFormat="1" ht="13.8" x14ac:dyDescent="0.25">
      <c r="A1848" s="22">
        <v>1039</v>
      </c>
      <c r="B1848" s="22" t="s">
        <v>157</v>
      </c>
      <c r="C1848" s="22" t="s">
        <v>81</v>
      </c>
      <c r="D1848" s="22" t="s">
        <v>35</v>
      </c>
      <c r="E1848" s="158">
        <v>7050</v>
      </c>
      <c r="F1848" s="159">
        <v>70000</v>
      </c>
      <c r="G1848" s="159">
        <v>493500000</v>
      </c>
      <c r="H1848" s="159">
        <v>49350000</v>
      </c>
      <c r="I1848" s="159">
        <v>542850000</v>
      </c>
      <c r="J1848" s="159" t="e">
        <f>bargiri[[#This Row],[مقدار]]*INDEX(invoice[پیش دریافت به ازای هر کیلوگرم],MATCH(bargiri[[#This Row],[شماره سند مبنا]],invoice[شماره پیش فاکتور],0))</f>
        <v>#N/A</v>
      </c>
      <c r="K1848" s="159" t="e">
        <f>bargiri[[#This Row],[مبلغ خالص]]-bargiri[[#This Row],[میزان استهلاک پیش دریافتی]]</f>
        <v>#N/A</v>
      </c>
      <c r="L1848" s="160"/>
      <c r="M1848" s="159"/>
      <c r="N1848" s="159" t="e">
        <f>IF(bargiri[[#This Row],[مبلغ واریزی]]&lt;&gt;"",bargiri[[#This Row],[مانده مبلغ]]-bargiri[[#This Row],[مبلغ واریزی]],bargiri[[#This Row],[مانده مبلغ]])</f>
        <v>#N/A</v>
      </c>
      <c r="O1848" s="159"/>
      <c r="P1848" s="159" t="e">
        <f>VLOOKUP(bargiri[[#This Row],[شماره سند مبنا]],invoice[[شماره پیش فاکتور]:[پیش دریافت به ازای هر کیلوگرم]],14,0)</f>
        <v>#N/A</v>
      </c>
      <c r="Q1848" s="159" t="e">
        <f>IF(bargiri[[#This Row],[مبلغ ناخالص]]-(bargiri[[#This Row],[نرخ استهلاک]]*bargiri[[#This Row],[مقدار]])&lt;0,0,bargiri[[#This Row],[مبلغ ناخالص]]-(bargiri[[#This Row],[نرخ استهلاک]]*bargiri[[#This Row],[مقدار]]))</f>
        <v>#N/A</v>
      </c>
    </row>
    <row r="1849" spans="1:17" s="22" customFormat="1" ht="13.8" x14ac:dyDescent="0.25">
      <c r="A1849" s="22">
        <v>1038</v>
      </c>
      <c r="B1849" s="22" t="s">
        <v>157</v>
      </c>
      <c r="C1849" s="22" t="s">
        <v>84</v>
      </c>
      <c r="D1849" s="22" t="s">
        <v>51</v>
      </c>
      <c r="E1849" s="158">
        <v>20000</v>
      </c>
      <c r="F1849" s="159">
        <v>70000</v>
      </c>
      <c r="G1849" s="159">
        <v>1400000000</v>
      </c>
      <c r="H1849" s="159">
        <v>140000000</v>
      </c>
      <c r="I1849" s="159">
        <v>1540000000</v>
      </c>
      <c r="J1849" s="159" t="e">
        <f>bargiri[[#This Row],[مقدار]]*INDEX(invoice[پیش دریافت به ازای هر کیلوگرم],MATCH(bargiri[[#This Row],[شماره سند مبنا]],invoice[شماره پیش فاکتور],0))</f>
        <v>#N/A</v>
      </c>
      <c r="K1849" s="159" t="e">
        <f>bargiri[[#This Row],[مبلغ خالص]]-bargiri[[#This Row],[میزان استهلاک پیش دریافتی]]</f>
        <v>#N/A</v>
      </c>
      <c r="L1849" s="160"/>
      <c r="M1849" s="159"/>
      <c r="N1849" s="159" t="e">
        <f>IF(bargiri[[#This Row],[مبلغ واریزی]]&lt;&gt;"",bargiri[[#This Row],[مانده مبلغ]]-bargiri[[#This Row],[مبلغ واریزی]],bargiri[[#This Row],[مانده مبلغ]])</f>
        <v>#N/A</v>
      </c>
      <c r="O1849" s="159"/>
      <c r="P1849" s="159" t="e">
        <f>VLOOKUP(bargiri[[#This Row],[شماره سند مبنا]],invoice[[شماره پیش فاکتور]:[پیش دریافت به ازای هر کیلوگرم]],14,0)</f>
        <v>#N/A</v>
      </c>
      <c r="Q1849" s="159" t="e">
        <f>IF(bargiri[[#This Row],[مبلغ ناخالص]]-(bargiri[[#This Row],[نرخ استهلاک]]*bargiri[[#This Row],[مقدار]])&lt;0,0,bargiri[[#This Row],[مبلغ ناخالص]]-(bargiri[[#This Row],[نرخ استهلاک]]*bargiri[[#This Row],[مقدار]]))</f>
        <v>#N/A</v>
      </c>
    </row>
    <row r="1850" spans="1:17" s="22" customFormat="1" ht="13.8" x14ac:dyDescent="0.25">
      <c r="A1850" s="22">
        <v>1037</v>
      </c>
      <c r="B1850" s="22" t="s">
        <v>157</v>
      </c>
      <c r="C1850" s="22" t="s">
        <v>155</v>
      </c>
      <c r="D1850" s="22" t="s">
        <v>156</v>
      </c>
      <c r="E1850" s="158">
        <v>20205</v>
      </c>
      <c r="F1850" s="159">
        <v>75000</v>
      </c>
      <c r="G1850" s="159">
        <v>1515375000</v>
      </c>
      <c r="H1850" s="159">
        <v>151537500</v>
      </c>
      <c r="I1850" s="159">
        <v>1666912500</v>
      </c>
      <c r="J1850" s="159">
        <f>bargiri[[#This Row],[مقدار]]*INDEX(invoice[پیش دریافت به ازای هر کیلوگرم],MATCH(bargiri[[#This Row],[شماره سند مبنا]],invoice[شماره پیش فاکتور],0))</f>
        <v>250036875</v>
      </c>
      <c r="K1850" s="159">
        <f>bargiri[[#This Row],[مبلغ خالص]]-bargiri[[#This Row],[میزان استهلاک پیش دریافتی]]</f>
        <v>1416875625</v>
      </c>
      <c r="L1850" s="160"/>
      <c r="M1850" s="159"/>
      <c r="N1850" s="159">
        <f>IF(bargiri[[#This Row],[مبلغ واریزی]]&lt;&gt;"",bargiri[[#This Row],[مانده مبلغ]]-bargiri[[#This Row],[مبلغ واریزی]],bargiri[[#This Row],[مانده مبلغ]])</f>
        <v>1416875625</v>
      </c>
      <c r="O1850" s="159"/>
      <c r="P1850" s="159">
        <f>VLOOKUP(bargiri[[#This Row],[شماره سند مبنا]],invoice[[شماره پیش فاکتور]:[پیش دریافت به ازای هر کیلوگرم]],14,0)</f>
        <v>12375</v>
      </c>
      <c r="Q1850" s="159">
        <f>IF(bargiri[[#This Row],[مبلغ ناخالص]]-(bargiri[[#This Row],[نرخ استهلاک]]*bargiri[[#This Row],[مقدار]])&lt;0,0,bargiri[[#This Row],[مبلغ ناخالص]]-(bargiri[[#This Row],[نرخ استهلاک]]*bargiri[[#This Row],[مقدار]]))</f>
        <v>1265338125</v>
      </c>
    </row>
    <row r="1851" spans="1:17" s="22" customFormat="1" ht="13.8" x14ac:dyDescent="0.25">
      <c r="A1851" s="22">
        <v>1036</v>
      </c>
      <c r="B1851" s="22" t="s">
        <v>157</v>
      </c>
      <c r="C1851" s="22" t="s">
        <v>81</v>
      </c>
      <c r="D1851" s="22" t="s">
        <v>35</v>
      </c>
      <c r="E1851" s="158">
        <v>7580</v>
      </c>
      <c r="F1851" s="159">
        <v>70000</v>
      </c>
      <c r="G1851" s="159">
        <v>530600000</v>
      </c>
      <c r="H1851" s="159">
        <v>53060000</v>
      </c>
      <c r="I1851" s="159">
        <v>583660000</v>
      </c>
      <c r="J1851" s="159" t="e">
        <f>bargiri[[#This Row],[مقدار]]*INDEX(invoice[پیش دریافت به ازای هر کیلوگرم],MATCH(bargiri[[#This Row],[شماره سند مبنا]],invoice[شماره پیش فاکتور],0))</f>
        <v>#N/A</v>
      </c>
      <c r="K1851" s="159" t="e">
        <f>bargiri[[#This Row],[مبلغ خالص]]-bargiri[[#This Row],[میزان استهلاک پیش دریافتی]]</f>
        <v>#N/A</v>
      </c>
      <c r="L1851" s="160"/>
      <c r="M1851" s="159"/>
      <c r="N1851" s="159" t="e">
        <f>IF(bargiri[[#This Row],[مبلغ واریزی]]&lt;&gt;"",bargiri[[#This Row],[مانده مبلغ]]-bargiri[[#This Row],[مبلغ واریزی]],bargiri[[#This Row],[مانده مبلغ]])</f>
        <v>#N/A</v>
      </c>
      <c r="O1851" s="159"/>
      <c r="P1851" s="159" t="e">
        <f>VLOOKUP(bargiri[[#This Row],[شماره سند مبنا]],invoice[[شماره پیش فاکتور]:[پیش دریافت به ازای هر کیلوگرم]],14,0)</f>
        <v>#N/A</v>
      </c>
      <c r="Q1851" s="159" t="e">
        <f>IF(bargiri[[#This Row],[مبلغ ناخالص]]-(bargiri[[#This Row],[نرخ استهلاک]]*bargiri[[#This Row],[مقدار]])&lt;0,0,bargiri[[#This Row],[مبلغ ناخالص]]-(bargiri[[#This Row],[نرخ استهلاک]]*bargiri[[#This Row],[مقدار]]))</f>
        <v>#N/A</v>
      </c>
    </row>
    <row r="1852" spans="1:17" s="22" customFormat="1" ht="13.8" x14ac:dyDescent="0.25">
      <c r="A1852" s="22">
        <v>1035</v>
      </c>
      <c r="B1852" s="22" t="s">
        <v>141</v>
      </c>
      <c r="C1852" s="22" t="s">
        <v>139</v>
      </c>
      <c r="D1852" s="22" t="s">
        <v>70</v>
      </c>
      <c r="E1852" s="158">
        <v>20290</v>
      </c>
      <c r="F1852" s="159">
        <v>73000</v>
      </c>
      <c r="G1852" s="159">
        <v>1481170000</v>
      </c>
      <c r="H1852" s="159">
        <v>148117000</v>
      </c>
      <c r="I1852" s="159">
        <v>1629287000</v>
      </c>
      <c r="J1852" s="159" t="e">
        <f>bargiri[[#This Row],[مقدار]]*INDEX(invoice[پیش دریافت به ازای هر کیلوگرم],MATCH(bargiri[[#This Row],[شماره سند مبنا]],invoice[شماره پیش فاکتور],0))</f>
        <v>#N/A</v>
      </c>
      <c r="K1852" s="159" t="e">
        <f>bargiri[[#This Row],[مبلغ خالص]]-bargiri[[#This Row],[میزان استهلاک پیش دریافتی]]</f>
        <v>#N/A</v>
      </c>
      <c r="L1852" s="160"/>
      <c r="M1852" s="159"/>
      <c r="N1852" s="159" t="e">
        <f>IF(bargiri[[#This Row],[مبلغ واریزی]]&lt;&gt;"",bargiri[[#This Row],[مانده مبلغ]]-bargiri[[#This Row],[مبلغ واریزی]],bargiri[[#This Row],[مانده مبلغ]])</f>
        <v>#N/A</v>
      </c>
      <c r="O1852" s="159"/>
      <c r="P1852" s="159" t="e">
        <f>VLOOKUP(bargiri[[#This Row],[شماره سند مبنا]],invoice[[شماره پیش فاکتور]:[پیش دریافت به ازای هر کیلوگرم]],14,0)</f>
        <v>#N/A</v>
      </c>
      <c r="Q1852" s="159" t="e">
        <f>IF(bargiri[[#This Row],[مبلغ ناخالص]]-(bargiri[[#This Row],[نرخ استهلاک]]*bargiri[[#This Row],[مقدار]])&lt;0,0,bargiri[[#This Row],[مبلغ ناخالص]]-(bargiri[[#This Row],[نرخ استهلاک]]*bargiri[[#This Row],[مقدار]]))</f>
        <v>#N/A</v>
      </c>
    </row>
    <row r="1853" spans="1:17" s="22" customFormat="1" ht="13.8" x14ac:dyDescent="0.25">
      <c r="A1853" s="22">
        <v>1034</v>
      </c>
      <c r="B1853" s="22" t="s">
        <v>141</v>
      </c>
      <c r="C1853" s="22" t="s">
        <v>109</v>
      </c>
      <c r="D1853" s="22" t="s">
        <v>110</v>
      </c>
      <c r="E1853" s="158">
        <v>19025</v>
      </c>
      <c r="F1853" s="159">
        <v>70000</v>
      </c>
      <c r="G1853" s="159">
        <v>1331750000</v>
      </c>
      <c r="H1853" s="159">
        <v>133175000</v>
      </c>
      <c r="I1853" s="159">
        <v>1464925000</v>
      </c>
      <c r="J1853" s="159" t="e">
        <f>bargiri[[#This Row],[مقدار]]*INDEX(invoice[پیش دریافت به ازای هر کیلوگرم],MATCH(bargiri[[#This Row],[شماره سند مبنا]],invoice[شماره پیش فاکتور],0))</f>
        <v>#N/A</v>
      </c>
      <c r="K1853" s="159" t="e">
        <f>bargiri[[#This Row],[مبلغ خالص]]-bargiri[[#This Row],[میزان استهلاک پیش دریافتی]]</f>
        <v>#N/A</v>
      </c>
      <c r="L1853" s="160"/>
      <c r="M1853" s="159"/>
      <c r="N1853" s="159" t="e">
        <f>IF(bargiri[[#This Row],[مبلغ واریزی]]&lt;&gt;"",bargiri[[#This Row],[مانده مبلغ]]-bargiri[[#This Row],[مبلغ واریزی]],bargiri[[#This Row],[مانده مبلغ]])</f>
        <v>#N/A</v>
      </c>
      <c r="O1853" s="159"/>
      <c r="P1853" s="159" t="e">
        <f>VLOOKUP(bargiri[[#This Row],[شماره سند مبنا]],invoice[[شماره پیش فاکتور]:[پیش دریافت به ازای هر کیلوگرم]],14,0)</f>
        <v>#N/A</v>
      </c>
      <c r="Q1853" s="159" t="e">
        <f>IF(bargiri[[#This Row],[مبلغ ناخالص]]-(bargiri[[#This Row],[نرخ استهلاک]]*bargiri[[#This Row],[مقدار]])&lt;0,0,bargiri[[#This Row],[مبلغ ناخالص]]-(bargiri[[#This Row],[نرخ استهلاک]]*bargiri[[#This Row],[مقدار]]))</f>
        <v>#N/A</v>
      </c>
    </row>
    <row r="1854" spans="1:17" s="22" customFormat="1" ht="13.8" x14ac:dyDescent="0.25">
      <c r="A1854" s="22">
        <v>1033</v>
      </c>
      <c r="B1854" s="22" t="s">
        <v>477</v>
      </c>
      <c r="C1854" s="22" t="s">
        <v>115</v>
      </c>
      <c r="D1854" s="22" t="s">
        <v>116</v>
      </c>
      <c r="E1854" s="158">
        <v>18875</v>
      </c>
      <c r="F1854" s="159">
        <v>75000</v>
      </c>
      <c r="G1854" s="159">
        <v>1415625000</v>
      </c>
      <c r="H1854" s="159">
        <v>141562500</v>
      </c>
      <c r="I1854" s="159">
        <v>1557187500</v>
      </c>
      <c r="J1854" s="159">
        <f>bargiri[[#This Row],[مقدار]]*INDEX(invoice[پیش دریافت به ازای هر کیلوگرم],MATCH(bargiri[[#This Row],[شماره سند مبنا]],invoice[شماره پیش فاکتور],0))</f>
        <v>283317656.00608414</v>
      </c>
      <c r="K1854" s="159">
        <f>bargiri[[#This Row],[مبلغ خالص]]-bargiri[[#This Row],[میزان استهلاک پیش دریافتی]]</f>
        <v>1273869843.9939158</v>
      </c>
      <c r="L1854" s="160"/>
      <c r="M1854" s="159"/>
      <c r="N1854" s="159">
        <f>IF(bargiri[[#This Row],[مبلغ واریزی]]&lt;&gt;"",bargiri[[#This Row],[مانده مبلغ]]-bargiri[[#This Row],[مبلغ واریزی]],bargiri[[#This Row],[مانده مبلغ]])</f>
        <v>1273869843.9939158</v>
      </c>
      <c r="O1854" s="159"/>
      <c r="P1854" s="159">
        <f>VLOOKUP(bargiri[[#This Row],[شماره سند مبنا]],invoice[[شماره پیش فاکتور]:[پیش دریافت به ازای هر کیلوگرم]],14,0)</f>
        <v>15010.206940719689</v>
      </c>
      <c r="Q1854" s="159">
        <f>IF(bargiri[[#This Row],[مبلغ ناخالص]]-(bargiri[[#This Row],[نرخ استهلاک]]*bargiri[[#This Row],[مقدار]])&lt;0,0,bargiri[[#This Row],[مبلغ ناخالص]]-(bargiri[[#This Row],[نرخ استهلاک]]*bargiri[[#This Row],[مقدار]]))</f>
        <v>1132307343.9939158</v>
      </c>
    </row>
    <row r="1855" spans="1:17" s="22" customFormat="1" ht="13.8" x14ac:dyDescent="0.25">
      <c r="A1855" s="22">
        <v>1032</v>
      </c>
      <c r="B1855" s="22" t="s">
        <v>477</v>
      </c>
      <c r="C1855" s="22" t="s">
        <v>179</v>
      </c>
      <c r="D1855" s="22" t="s">
        <v>180</v>
      </c>
      <c r="E1855" s="158">
        <v>7585</v>
      </c>
      <c r="F1855" s="159">
        <v>75000</v>
      </c>
      <c r="G1855" s="159">
        <v>568875000</v>
      </c>
      <c r="H1855" s="159">
        <v>56887500</v>
      </c>
      <c r="I1855" s="159">
        <v>625762500</v>
      </c>
      <c r="J1855" s="159">
        <f>bargiri[[#This Row],[مقدار]]*INDEX(invoice[پیش دریافت به ازای هر کیلوگرم],MATCH(bargiri[[#This Row],[شماره سند مبنا]],invoice[شماره پیش فاکتور],0))</f>
        <v>165375495.52194977</v>
      </c>
      <c r="K1855" s="159">
        <f>bargiri[[#This Row],[مبلغ خالص]]-bargiri[[#This Row],[میزان استهلاک پیش دریافتی]]</f>
        <v>460387004.47805023</v>
      </c>
      <c r="L1855" s="160"/>
      <c r="M1855" s="159"/>
      <c r="N1855" s="159">
        <f>IF(bargiri[[#This Row],[مبلغ واریزی]]&lt;&gt;"",bargiri[[#This Row],[مانده مبلغ]]-bargiri[[#This Row],[مبلغ واریزی]],bargiri[[#This Row],[مانده مبلغ]])</f>
        <v>460387004.47805023</v>
      </c>
      <c r="O1855" s="159"/>
      <c r="P1855" s="159">
        <f>VLOOKUP(bargiri[[#This Row],[شماره سند مبنا]],invoice[[شماره پیش فاکتور]:[پیش دریافت به ازای هر کیلوگرم]],14,0)</f>
        <v>21802.965790632799</v>
      </c>
      <c r="Q1855" s="159">
        <f>IF(bargiri[[#This Row],[مبلغ ناخالص]]-(bargiri[[#This Row],[نرخ استهلاک]]*bargiri[[#This Row],[مقدار]])&lt;0,0,bargiri[[#This Row],[مبلغ ناخالص]]-(bargiri[[#This Row],[نرخ استهلاک]]*bargiri[[#This Row],[مقدار]]))</f>
        <v>403499504.47805023</v>
      </c>
    </row>
    <row r="1856" spans="1:17" s="22" customFormat="1" ht="13.8" x14ac:dyDescent="0.25">
      <c r="A1856" s="22">
        <v>1031</v>
      </c>
      <c r="B1856" s="22" t="s">
        <v>477</v>
      </c>
      <c r="C1856" s="22" t="s">
        <v>86</v>
      </c>
      <c r="D1856" s="22" t="s">
        <v>30</v>
      </c>
      <c r="E1856" s="158">
        <v>11085</v>
      </c>
      <c r="F1856" s="159">
        <v>65000</v>
      </c>
      <c r="G1856" s="159">
        <v>720525000</v>
      </c>
      <c r="H1856" s="159">
        <v>72052500</v>
      </c>
      <c r="I1856" s="159">
        <v>792577500</v>
      </c>
      <c r="J1856" s="159" t="e">
        <f>bargiri[[#This Row],[مقدار]]*INDEX(invoice[پیش دریافت به ازای هر کیلوگرم],MATCH(bargiri[[#This Row],[شماره سند مبنا]],invoice[شماره پیش فاکتور],0))</f>
        <v>#N/A</v>
      </c>
      <c r="K1856" s="159" t="e">
        <f>bargiri[[#This Row],[مبلغ خالص]]-bargiri[[#This Row],[میزان استهلاک پیش دریافتی]]</f>
        <v>#N/A</v>
      </c>
      <c r="L1856" s="160"/>
      <c r="M1856" s="159"/>
      <c r="N1856" s="159" t="e">
        <f>IF(bargiri[[#This Row],[مبلغ واریزی]]&lt;&gt;"",bargiri[[#This Row],[مانده مبلغ]]-bargiri[[#This Row],[مبلغ واریزی]],bargiri[[#This Row],[مانده مبلغ]])</f>
        <v>#N/A</v>
      </c>
      <c r="O1856" s="159"/>
      <c r="P1856" s="159" t="e">
        <f>VLOOKUP(bargiri[[#This Row],[شماره سند مبنا]],invoice[[شماره پیش فاکتور]:[پیش دریافت به ازای هر کیلوگرم]],14,0)</f>
        <v>#N/A</v>
      </c>
      <c r="Q1856" s="159" t="e">
        <f>IF(bargiri[[#This Row],[مبلغ ناخالص]]-(bargiri[[#This Row],[نرخ استهلاک]]*bargiri[[#This Row],[مقدار]])&lt;0,0,bargiri[[#This Row],[مبلغ ناخالص]]-(bargiri[[#This Row],[نرخ استهلاک]]*bargiri[[#This Row],[مقدار]]))</f>
        <v>#N/A</v>
      </c>
    </row>
    <row r="1857" spans="1:17" s="22" customFormat="1" ht="13.8" x14ac:dyDescent="0.25">
      <c r="A1857" s="22">
        <v>1030</v>
      </c>
      <c r="B1857" s="22" t="s">
        <v>477</v>
      </c>
      <c r="C1857" s="22" t="s">
        <v>59</v>
      </c>
      <c r="D1857" s="22" t="s">
        <v>57</v>
      </c>
      <c r="E1857" s="158">
        <v>10085</v>
      </c>
      <c r="F1857" s="159">
        <v>80000</v>
      </c>
      <c r="G1857" s="159">
        <v>806800000</v>
      </c>
      <c r="H1857" s="159">
        <v>72612000</v>
      </c>
      <c r="I1857" s="159">
        <v>879412000</v>
      </c>
      <c r="J1857" s="159" t="e">
        <f>bargiri[[#This Row],[مقدار]]*INDEX(invoice[پیش دریافت به ازای هر کیلوگرم],MATCH(bargiri[[#This Row],[شماره سند مبنا]],invoice[شماره پیش فاکتور],0))</f>
        <v>#N/A</v>
      </c>
      <c r="K1857" s="159" t="e">
        <f>bargiri[[#This Row],[مبلغ خالص]]-bargiri[[#This Row],[میزان استهلاک پیش دریافتی]]</f>
        <v>#N/A</v>
      </c>
      <c r="L1857" s="160"/>
      <c r="M1857" s="159"/>
      <c r="N1857" s="159" t="e">
        <f>IF(bargiri[[#This Row],[مبلغ واریزی]]&lt;&gt;"",bargiri[[#This Row],[مانده مبلغ]]-bargiri[[#This Row],[مبلغ واریزی]],bargiri[[#This Row],[مانده مبلغ]])</f>
        <v>#N/A</v>
      </c>
      <c r="O1857" s="159"/>
      <c r="P1857" s="159" t="e">
        <f>VLOOKUP(bargiri[[#This Row],[شماره سند مبنا]],invoice[[شماره پیش فاکتور]:[پیش دریافت به ازای هر کیلوگرم]],14,0)</f>
        <v>#N/A</v>
      </c>
      <c r="Q1857" s="159" t="e">
        <f>IF(bargiri[[#This Row],[مبلغ ناخالص]]-(bargiri[[#This Row],[نرخ استهلاک]]*bargiri[[#This Row],[مقدار]])&lt;0,0,bargiri[[#This Row],[مبلغ ناخالص]]-(bargiri[[#This Row],[نرخ استهلاک]]*bargiri[[#This Row],[مقدار]]))</f>
        <v>#N/A</v>
      </c>
    </row>
    <row r="1858" spans="1:17" s="22" customFormat="1" ht="13.8" x14ac:dyDescent="0.25">
      <c r="A1858" s="22">
        <v>1029</v>
      </c>
      <c r="B1858" s="22" t="s">
        <v>477</v>
      </c>
      <c r="C1858" s="22" t="s">
        <v>72</v>
      </c>
      <c r="D1858" s="22" t="s">
        <v>73</v>
      </c>
      <c r="E1858" s="158">
        <v>20620</v>
      </c>
      <c r="F1858" s="159">
        <v>57273</v>
      </c>
      <c r="G1858" s="159">
        <v>1180969260</v>
      </c>
      <c r="H1858" s="159">
        <v>118096926</v>
      </c>
      <c r="I1858" s="159">
        <v>1299066186</v>
      </c>
      <c r="J1858" s="159" t="e">
        <f>bargiri[[#This Row],[مقدار]]*INDEX(invoice[پیش دریافت به ازای هر کیلوگرم],MATCH(bargiri[[#This Row],[شماره سند مبنا]],invoice[شماره پیش فاکتور],0))</f>
        <v>#N/A</v>
      </c>
      <c r="K1858" s="159" t="e">
        <f>bargiri[[#This Row],[مبلغ خالص]]-bargiri[[#This Row],[میزان استهلاک پیش دریافتی]]</f>
        <v>#N/A</v>
      </c>
      <c r="L1858" s="160"/>
      <c r="M1858" s="159"/>
      <c r="N1858" s="159" t="e">
        <f>IF(bargiri[[#This Row],[مبلغ واریزی]]&lt;&gt;"",bargiri[[#This Row],[مانده مبلغ]]-bargiri[[#This Row],[مبلغ واریزی]],bargiri[[#This Row],[مانده مبلغ]])</f>
        <v>#N/A</v>
      </c>
      <c r="O1858" s="159"/>
      <c r="P1858" s="159" t="e">
        <f>VLOOKUP(bargiri[[#This Row],[شماره سند مبنا]],invoice[[شماره پیش فاکتور]:[پیش دریافت به ازای هر کیلوگرم]],14,0)</f>
        <v>#N/A</v>
      </c>
      <c r="Q1858" s="159" t="e">
        <f>IF(bargiri[[#This Row],[مبلغ ناخالص]]-(bargiri[[#This Row],[نرخ استهلاک]]*bargiri[[#This Row],[مقدار]])&lt;0,0,bargiri[[#This Row],[مبلغ ناخالص]]-(bargiri[[#This Row],[نرخ استهلاک]]*bargiri[[#This Row],[مقدار]]))</f>
        <v>#N/A</v>
      </c>
    </row>
    <row r="1859" spans="1:17" s="22" customFormat="1" ht="13.8" x14ac:dyDescent="0.25">
      <c r="A1859" s="22">
        <v>1028</v>
      </c>
      <c r="B1859" s="22" t="s">
        <v>477</v>
      </c>
      <c r="C1859" s="22" t="s">
        <v>72</v>
      </c>
      <c r="D1859" s="22" t="s">
        <v>73</v>
      </c>
      <c r="E1859" s="158">
        <v>20560</v>
      </c>
      <c r="F1859" s="159">
        <v>57273</v>
      </c>
      <c r="G1859" s="159">
        <v>1177532880</v>
      </c>
      <c r="H1859" s="159">
        <v>117753288</v>
      </c>
      <c r="I1859" s="159">
        <v>1295286168</v>
      </c>
      <c r="J1859" s="159" t="e">
        <f>bargiri[[#This Row],[مقدار]]*INDEX(invoice[پیش دریافت به ازای هر کیلوگرم],MATCH(bargiri[[#This Row],[شماره سند مبنا]],invoice[شماره پیش فاکتور],0))</f>
        <v>#N/A</v>
      </c>
      <c r="K1859" s="159" t="e">
        <f>bargiri[[#This Row],[مبلغ خالص]]-bargiri[[#This Row],[میزان استهلاک پیش دریافتی]]</f>
        <v>#N/A</v>
      </c>
      <c r="L1859" s="160"/>
      <c r="M1859" s="159"/>
      <c r="N1859" s="159" t="e">
        <f>IF(bargiri[[#This Row],[مبلغ واریزی]]&lt;&gt;"",bargiri[[#This Row],[مانده مبلغ]]-bargiri[[#This Row],[مبلغ واریزی]],bargiri[[#This Row],[مانده مبلغ]])</f>
        <v>#N/A</v>
      </c>
      <c r="O1859" s="159"/>
      <c r="P1859" s="159" t="e">
        <f>VLOOKUP(bargiri[[#This Row],[شماره سند مبنا]],invoice[[شماره پیش فاکتور]:[پیش دریافت به ازای هر کیلوگرم]],14,0)</f>
        <v>#N/A</v>
      </c>
      <c r="Q1859" s="159" t="e">
        <f>IF(bargiri[[#This Row],[مبلغ ناخالص]]-(bargiri[[#This Row],[نرخ استهلاک]]*bargiri[[#This Row],[مقدار]])&lt;0,0,bargiri[[#This Row],[مبلغ ناخالص]]-(bargiri[[#This Row],[نرخ استهلاک]]*bargiri[[#This Row],[مقدار]]))</f>
        <v>#N/A</v>
      </c>
    </row>
    <row r="1860" spans="1:17" s="22" customFormat="1" ht="13.8" x14ac:dyDescent="0.25">
      <c r="A1860" s="22">
        <v>1027</v>
      </c>
      <c r="B1860" s="22" t="s">
        <v>165</v>
      </c>
      <c r="C1860" s="22" t="s">
        <v>99</v>
      </c>
      <c r="D1860" s="22" t="s">
        <v>64</v>
      </c>
      <c r="E1860" s="158">
        <v>20075</v>
      </c>
      <c r="F1860" s="159">
        <v>75000</v>
      </c>
      <c r="G1860" s="159">
        <v>1505625000</v>
      </c>
      <c r="H1860" s="159">
        <v>150562500</v>
      </c>
      <c r="I1860" s="159">
        <v>1656187500</v>
      </c>
      <c r="J1860" s="159" t="e">
        <f>bargiri[[#This Row],[مقدار]]*INDEX(invoice[پیش دریافت به ازای هر کیلوگرم],MATCH(bargiri[[#This Row],[شماره سند مبنا]],invoice[شماره پیش فاکتور],0))</f>
        <v>#N/A</v>
      </c>
      <c r="K1860" s="159" t="e">
        <f>bargiri[[#This Row],[مبلغ خالص]]-bargiri[[#This Row],[میزان استهلاک پیش دریافتی]]</f>
        <v>#N/A</v>
      </c>
      <c r="L1860" s="160"/>
      <c r="M1860" s="159"/>
      <c r="N1860" s="159" t="e">
        <f>IF(bargiri[[#This Row],[مبلغ واریزی]]&lt;&gt;"",bargiri[[#This Row],[مانده مبلغ]]-bargiri[[#This Row],[مبلغ واریزی]],bargiri[[#This Row],[مانده مبلغ]])</f>
        <v>#N/A</v>
      </c>
      <c r="O1860" s="159"/>
      <c r="P1860" s="159" t="e">
        <f>VLOOKUP(bargiri[[#This Row],[شماره سند مبنا]],invoice[[شماره پیش فاکتور]:[پیش دریافت به ازای هر کیلوگرم]],14,0)</f>
        <v>#N/A</v>
      </c>
      <c r="Q1860" s="159" t="e">
        <f>IF(bargiri[[#This Row],[مبلغ ناخالص]]-(bargiri[[#This Row],[نرخ استهلاک]]*bargiri[[#This Row],[مقدار]])&lt;0,0,bargiri[[#This Row],[مبلغ ناخالص]]-(bargiri[[#This Row],[نرخ استهلاک]]*bargiri[[#This Row],[مقدار]]))</f>
        <v>#N/A</v>
      </c>
    </row>
    <row r="1861" spans="1:17" s="22" customFormat="1" ht="13.8" x14ac:dyDescent="0.25">
      <c r="A1861" s="22">
        <v>1026</v>
      </c>
      <c r="B1861" s="22" t="s">
        <v>165</v>
      </c>
      <c r="C1861" s="22" t="s">
        <v>109</v>
      </c>
      <c r="D1861" s="22" t="s">
        <v>110</v>
      </c>
      <c r="E1861" s="158">
        <v>19170</v>
      </c>
      <c r="F1861" s="159">
        <v>70000</v>
      </c>
      <c r="G1861" s="159">
        <v>1341900000</v>
      </c>
      <c r="H1861" s="159">
        <v>134190000</v>
      </c>
      <c r="I1861" s="159">
        <v>1476090000</v>
      </c>
      <c r="J1861" s="159" t="e">
        <f>bargiri[[#This Row],[مقدار]]*INDEX(invoice[پیش دریافت به ازای هر کیلوگرم],MATCH(bargiri[[#This Row],[شماره سند مبنا]],invoice[شماره پیش فاکتور],0))</f>
        <v>#N/A</v>
      </c>
      <c r="K1861" s="159" t="e">
        <f>bargiri[[#This Row],[مبلغ خالص]]-bargiri[[#This Row],[میزان استهلاک پیش دریافتی]]</f>
        <v>#N/A</v>
      </c>
      <c r="L1861" s="160"/>
      <c r="M1861" s="159"/>
      <c r="N1861" s="159" t="e">
        <f>IF(bargiri[[#This Row],[مبلغ واریزی]]&lt;&gt;"",bargiri[[#This Row],[مانده مبلغ]]-bargiri[[#This Row],[مبلغ واریزی]],bargiri[[#This Row],[مانده مبلغ]])</f>
        <v>#N/A</v>
      </c>
      <c r="O1861" s="159"/>
      <c r="P1861" s="159" t="e">
        <f>VLOOKUP(bargiri[[#This Row],[شماره سند مبنا]],invoice[[شماره پیش فاکتور]:[پیش دریافت به ازای هر کیلوگرم]],14,0)</f>
        <v>#N/A</v>
      </c>
      <c r="Q1861" s="159" t="e">
        <f>IF(bargiri[[#This Row],[مبلغ ناخالص]]-(bargiri[[#This Row],[نرخ استهلاک]]*bargiri[[#This Row],[مقدار]])&lt;0,0,bargiri[[#This Row],[مبلغ ناخالص]]-(bargiri[[#This Row],[نرخ استهلاک]]*bargiri[[#This Row],[مقدار]]))</f>
        <v>#N/A</v>
      </c>
    </row>
    <row r="1862" spans="1:17" s="22" customFormat="1" ht="13.8" x14ac:dyDescent="0.25">
      <c r="A1862" s="22">
        <v>1025</v>
      </c>
      <c r="B1862" s="22" t="s">
        <v>165</v>
      </c>
      <c r="C1862" s="22" t="s">
        <v>47</v>
      </c>
      <c r="D1862" s="22" t="s">
        <v>43</v>
      </c>
      <c r="E1862" s="158">
        <v>18025</v>
      </c>
      <c r="F1862" s="159">
        <v>65000</v>
      </c>
      <c r="G1862" s="159">
        <v>1171625000</v>
      </c>
      <c r="H1862" s="159">
        <v>105446250</v>
      </c>
      <c r="I1862" s="159">
        <v>1277071250</v>
      </c>
      <c r="J1862" s="159" t="e">
        <f>bargiri[[#This Row],[مقدار]]*INDEX(invoice[پیش دریافت به ازای هر کیلوگرم],MATCH(bargiri[[#This Row],[شماره سند مبنا]],invoice[شماره پیش فاکتور],0))</f>
        <v>#N/A</v>
      </c>
      <c r="K1862" s="159" t="e">
        <f>bargiri[[#This Row],[مبلغ خالص]]-bargiri[[#This Row],[میزان استهلاک پیش دریافتی]]</f>
        <v>#N/A</v>
      </c>
      <c r="L1862" s="160"/>
      <c r="M1862" s="159"/>
      <c r="N1862" s="159" t="e">
        <f>IF(bargiri[[#This Row],[مبلغ واریزی]]&lt;&gt;"",bargiri[[#This Row],[مانده مبلغ]]-bargiri[[#This Row],[مبلغ واریزی]],bargiri[[#This Row],[مانده مبلغ]])</f>
        <v>#N/A</v>
      </c>
      <c r="O1862" s="159"/>
      <c r="P1862" s="159" t="e">
        <f>VLOOKUP(bargiri[[#This Row],[شماره سند مبنا]],invoice[[شماره پیش فاکتور]:[پیش دریافت به ازای هر کیلوگرم]],14,0)</f>
        <v>#N/A</v>
      </c>
      <c r="Q1862" s="159" t="e">
        <f>IF(bargiri[[#This Row],[مبلغ ناخالص]]-(bargiri[[#This Row],[نرخ استهلاک]]*bargiri[[#This Row],[مقدار]])&lt;0,0,bargiri[[#This Row],[مبلغ ناخالص]]-(bargiri[[#This Row],[نرخ استهلاک]]*bargiri[[#This Row],[مقدار]]))</f>
        <v>#N/A</v>
      </c>
    </row>
    <row r="1863" spans="1:17" s="22" customFormat="1" ht="13.8" x14ac:dyDescent="0.25">
      <c r="A1863" s="22">
        <v>1024</v>
      </c>
      <c r="B1863" s="22" t="s">
        <v>138</v>
      </c>
      <c r="C1863" s="22" t="s">
        <v>179</v>
      </c>
      <c r="D1863" s="22" t="s">
        <v>180</v>
      </c>
      <c r="E1863" s="158">
        <v>7705</v>
      </c>
      <c r="F1863" s="159">
        <v>75000</v>
      </c>
      <c r="G1863" s="159">
        <v>577875000</v>
      </c>
      <c r="H1863" s="159">
        <v>57787500</v>
      </c>
      <c r="I1863" s="159">
        <v>635662500</v>
      </c>
      <c r="J1863" s="159">
        <f>bargiri[[#This Row],[مقدار]]*INDEX(invoice[پیش دریافت به ازای هر کیلوگرم],MATCH(bargiri[[#This Row],[شماره سند مبنا]],invoice[شماره پیش فاکتور],0))</f>
        <v>167991851.41682571</v>
      </c>
      <c r="K1863" s="159">
        <f>bargiri[[#This Row],[مبلغ خالص]]-bargiri[[#This Row],[میزان استهلاک پیش دریافتی]]</f>
        <v>467670648.58317429</v>
      </c>
      <c r="L1863" s="160"/>
      <c r="M1863" s="159"/>
      <c r="N1863" s="159">
        <f>IF(bargiri[[#This Row],[مبلغ واریزی]]&lt;&gt;"",bargiri[[#This Row],[مانده مبلغ]]-bargiri[[#This Row],[مبلغ واریزی]],bargiri[[#This Row],[مانده مبلغ]])</f>
        <v>467670648.58317429</v>
      </c>
      <c r="O1863" s="159"/>
      <c r="P1863" s="159">
        <f>VLOOKUP(bargiri[[#This Row],[شماره سند مبنا]],invoice[[شماره پیش فاکتور]:[پیش دریافت به ازای هر کیلوگرم]],14,0)</f>
        <v>21802.965790632799</v>
      </c>
      <c r="Q1863" s="159">
        <f>IF(bargiri[[#This Row],[مبلغ ناخالص]]-(bargiri[[#This Row],[نرخ استهلاک]]*bargiri[[#This Row],[مقدار]])&lt;0,0,bargiri[[#This Row],[مبلغ ناخالص]]-(bargiri[[#This Row],[نرخ استهلاک]]*bargiri[[#This Row],[مقدار]]))</f>
        <v>409883148.58317429</v>
      </c>
    </row>
    <row r="1864" spans="1:17" s="22" customFormat="1" ht="13.8" x14ac:dyDescent="0.25">
      <c r="A1864" s="22">
        <v>1023</v>
      </c>
      <c r="B1864" s="22" t="s">
        <v>138</v>
      </c>
      <c r="C1864" s="22" t="s">
        <v>136</v>
      </c>
      <c r="D1864" s="22" t="s">
        <v>67</v>
      </c>
      <c r="E1864" s="158">
        <v>20020</v>
      </c>
      <c r="F1864" s="159">
        <v>78999</v>
      </c>
      <c r="G1864" s="159">
        <v>1581559980</v>
      </c>
      <c r="H1864" s="159">
        <v>158155998</v>
      </c>
      <c r="I1864" s="159">
        <v>1739715978</v>
      </c>
      <c r="J1864" s="159" t="e">
        <f>bargiri[[#This Row],[مقدار]]*INDEX(invoice[پیش دریافت به ازای هر کیلوگرم],MATCH(bargiri[[#This Row],[شماره سند مبنا]],invoice[شماره پیش فاکتور],0))</f>
        <v>#N/A</v>
      </c>
      <c r="K1864" s="159" t="e">
        <f>bargiri[[#This Row],[مبلغ خالص]]-bargiri[[#This Row],[میزان استهلاک پیش دریافتی]]</f>
        <v>#N/A</v>
      </c>
      <c r="L1864" s="160"/>
      <c r="M1864" s="159"/>
      <c r="N1864" s="159" t="e">
        <f>IF(bargiri[[#This Row],[مبلغ واریزی]]&lt;&gt;"",bargiri[[#This Row],[مانده مبلغ]]-bargiri[[#This Row],[مبلغ واریزی]],bargiri[[#This Row],[مانده مبلغ]])</f>
        <v>#N/A</v>
      </c>
      <c r="O1864" s="159"/>
      <c r="P1864" s="159" t="e">
        <f>VLOOKUP(bargiri[[#This Row],[شماره سند مبنا]],invoice[[شماره پیش فاکتور]:[پیش دریافت به ازای هر کیلوگرم]],14,0)</f>
        <v>#N/A</v>
      </c>
      <c r="Q1864" s="159" t="e">
        <f>IF(bargiri[[#This Row],[مبلغ ناخالص]]-(bargiri[[#This Row],[نرخ استهلاک]]*bargiri[[#This Row],[مقدار]])&lt;0,0,bargiri[[#This Row],[مبلغ ناخالص]]-(bargiri[[#This Row],[نرخ استهلاک]]*bargiri[[#This Row],[مقدار]]))</f>
        <v>#N/A</v>
      </c>
    </row>
    <row r="1865" spans="1:17" s="22" customFormat="1" ht="13.8" x14ac:dyDescent="0.25">
      <c r="A1865" s="22">
        <v>1022</v>
      </c>
      <c r="B1865" s="22" t="s">
        <v>138</v>
      </c>
      <c r="C1865" s="22" t="s">
        <v>72</v>
      </c>
      <c r="D1865" s="22" t="s">
        <v>73</v>
      </c>
      <c r="E1865" s="158">
        <v>20595</v>
      </c>
      <c r="F1865" s="159">
        <v>57273</v>
      </c>
      <c r="G1865" s="159">
        <v>1179537435</v>
      </c>
      <c r="H1865" s="159">
        <v>117953744</v>
      </c>
      <c r="I1865" s="159">
        <v>1297491179</v>
      </c>
      <c r="J1865" s="159" t="e">
        <f>bargiri[[#This Row],[مقدار]]*INDEX(invoice[پیش دریافت به ازای هر کیلوگرم],MATCH(bargiri[[#This Row],[شماره سند مبنا]],invoice[شماره پیش فاکتور],0))</f>
        <v>#N/A</v>
      </c>
      <c r="K1865" s="159" t="e">
        <f>bargiri[[#This Row],[مبلغ خالص]]-bargiri[[#This Row],[میزان استهلاک پیش دریافتی]]</f>
        <v>#N/A</v>
      </c>
      <c r="L1865" s="160"/>
      <c r="M1865" s="159"/>
      <c r="N1865" s="159" t="e">
        <f>IF(bargiri[[#This Row],[مبلغ واریزی]]&lt;&gt;"",bargiri[[#This Row],[مانده مبلغ]]-bargiri[[#This Row],[مبلغ واریزی]],bargiri[[#This Row],[مانده مبلغ]])</f>
        <v>#N/A</v>
      </c>
      <c r="O1865" s="159"/>
      <c r="P1865" s="159" t="e">
        <f>VLOOKUP(bargiri[[#This Row],[شماره سند مبنا]],invoice[[شماره پیش فاکتور]:[پیش دریافت به ازای هر کیلوگرم]],14,0)</f>
        <v>#N/A</v>
      </c>
      <c r="Q1865" s="159" t="e">
        <f>IF(bargiri[[#This Row],[مبلغ ناخالص]]-(bargiri[[#This Row],[نرخ استهلاک]]*bargiri[[#This Row],[مقدار]])&lt;0,0,bargiri[[#This Row],[مبلغ ناخالص]]-(bargiri[[#This Row],[نرخ استهلاک]]*bargiri[[#This Row],[مقدار]]))</f>
        <v>#N/A</v>
      </c>
    </row>
    <row r="1866" spans="1:17" s="22" customFormat="1" ht="13.8" x14ac:dyDescent="0.25">
      <c r="A1866" s="22">
        <v>1021</v>
      </c>
      <c r="B1866" s="22" t="s">
        <v>138</v>
      </c>
      <c r="C1866" s="22" t="s">
        <v>72</v>
      </c>
      <c r="D1866" s="22" t="s">
        <v>73</v>
      </c>
      <c r="E1866" s="158">
        <v>20685</v>
      </c>
      <c r="F1866" s="159">
        <v>57273</v>
      </c>
      <c r="G1866" s="159">
        <v>1184692005</v>
      </c>
      <c r="H1866" s="159">
        <v>118469201</v>
      </c>
      <c r="I1866" s="159">
        <v>1303161206</v>
      </c>
      <c r="J1866" s="159" t="e">
        <f>bargiri[[#This Row],[مقدار]]*INDEX(invoice[پیش دریافت به ازای هر کیلوگرم],MATCH(bargiri[[#This Row],[شماره سند مبنا]],invoice[شماره پیش فاکتور],0))</f>
        <v>#N/A</v>
      </c>
      <c r="K1866" s="159" t="e">
        <f>bargiri[[#This Row],[مبلغ خالص]]-bargiri[[#This Row],[میزان استهلاک پیش دریافتی]]</f>
        <v>#N/A</v>
      </c>
      <c r="L1866" s="160"/>
      <c r="M1866" s="159"/>
      <c r="N1866" s="159" t="e">
        <f>IF(bargiri[[#This Row],[مبلغ واریزی]]&lt;&gt;"",bargiri[[#This Row],[مانده مبلغ]]-bargiri[[#This Row],[مبلغ واریزی]],bargiri[[#This Row],[مانده مبلغ]])</f>
        <v>#N/A</v>
      </c>
      <c r="O1866" s="159"/>
      <c r="P1866" s="159" t="e">
        <f>VLOOKUP(bargiri[[#This Row],[شماره سند مبنا]],invoice[[شماره پیش فاکتور]:[پیش دریافت به ازای هر کیلوگرم]],14,0)</f>
        <v>#N/A</v>
      </c>
      <c r="Q1866" s="159" t="e">
        <f>IF(bargiri[[#This Row],[مبلغ ناخالص]]-(bargiri[[#This Row],[نرخ استهلاک]]*bargiri[[#This Row],[مقدار]])&lt;0,0,bargiri[[#This Row],[مبلغ ناخالص]]-(bargiri[[#This Row],[نرخ استهلاک]]*bargiri[[#This Row],[مقدار]]))</f>
        <v>#N/A</v>
      </c>
    </row>
    <row r="1867" spans="1:17" s="22" customFormat="1" ht="13.8" x14ac:dyDescent="0.25">
      <c r="A1867" s="22">
        <v>1020</v>
      </c>
      <c r="B1867" s="22" t="s">
        <v>138</v>
      </c>
      <c r="C1867" s="22" t="s">
        <v>47</v>
      </c>
      <c r="D1867" s="22" t="s">
        <v>43</v>
      </c>
      <c r="E1867" s="158">
        <v>20170</v>
      </c>
      <c r="F1867" s="159">
        <v>65000</v>
      </c>
      <c r="G1867" s="159">
        <v>1311050000</v>
      </c>
      <c r="H1867" s="159">
        <v>117994500</v>
      </c>
      <c r="I1867" s="159">
        <v>1429044500</v>
      </c>
      <c r="J1867" s="159" t="e">
        <f>bargiri[[#This Row],[مقدار]]*INDEX(invoice[پیش دریافت به ازای هر کیلوگرم],MATCH(bargiri[[#This Row],[شماره سند مبنا]],invoice[شماره پیش فاکتور],0))</f>
        <v>#N/A</v>
      </c>
      <c r="K1867" s="159" t="e">
        <f>bargiri[[#This Row],[مبلغ خالص]]-bargiri[[#This Row],[میزان استهلاک پیش دریافتی]]</f>
        <v>#N/A</v>
      </c>
      <c r="L1867" s="160"/>
      <c r="M1867" s="159"/>
      <c r="N1867" s="159" t="e">
        <f>IF(bargiri[[#This Row],[مبلغ واریزی]]&lt;&gt;"",bargiri[[#This Row],[مانده مبلغ]]-bargiri[[#This Row],[مبلغ واریزی]],bargiri[[#This Row],[مانده مبلغ]])</f>
        <v>#N/A</v>
      </c>
      <c r="O1867" s="159"/>
      <c r="P1867" s="159" t="e">
        <f>VLOOKUP(bargiri[[#This Row],[شماره سند مبنا]],invoice[[شماره پیش فاکتور]:[پیش دریافت به ازای هر کیلوگرم]],14,0)</f>
        <v>#N/A</v>
      </c>
      <c r="Q1867" s="159" t="e">
        <f>IF(bargiri[[#This Row],[مبلغ ناخالص]]-(bargiri[[#This Row],[نرخ استهلاک]]*bargiri[[#This Row],[مقدار]])&lt;0,0,bargiri[[#This Row],[مبلغ ناخالص]]-(bargiri[[#This Row],[نرخ استهلاک]]*bargiri[[#This Row],[مقدار]]))</f>
        <v>#N/A</v>
      </c>
    </row>
    <row r="1868" spans="1:17" s="22" customFormat="1" ht="13.8" x14ac:dyDescent="0.25">
      <c r="A1868" s="22">
        <v>1019</v>
      </c>
      <c r="B1868" s="22" t="s">
        <v>138</v>
      </c>
      <c r="C1868" s="22" t="s">
        <v>128</v>
      </c>
      <c r="D1868" s="22" t="s">
        <v>129</v>
      </c>
      <c r="E1868" s="158">
        <v>9075</v>
      </c>
      <c r="F1868" s="159">
        <v>80000</v>
      </c>
      <c r="G1868" s="159">
        <v>726000000</v>
      </c>
      <c r="H1868" s="159">
        <v>72600000</v>
      </c>
      <c r="I1868" s="159">
        <v>798600000</v>
      </c>
      <c r="J1868" s="159">
        <f>bargiri[[#This Row],[مقدار]]*INDEX(invoice[پیش دریافت به ازای هر کیلوگرم],MATCH(bargiri[[#This Row],[شماره سند مبنا]],invoice[شماره پیش فاکتور],0))</f>
        <v>120371797.0189248</v>
      </c>
      <c r="K1868" s="159">
        <f>bargiri[[#This Row],[مبلغ خالص]]-bargiri[[#This Row],[میزان استهلاک پیش دریافتی]]</f>
        <v>678228202.98107517</v>
      </c>
      <c r="L1868" s="160"/>
      <c r="M1868" s="159"/>
      <c r="N1868" s="159">
        <f>IF(bargiri[[#This Row],[مبلغ واریزی]]&lt;&gt;"",bargiri[[#This Row],[مانده مبلغ]]-bargiri[[#This Row],[مبلغ واریزی]],bargiri[[#This Row],[مانده مبلغ]])</f>
        <v>678228202.98107517</v>
      </c>
      <c r="O1868" s="159"/>
      <c r="P1868" s="159">
        <f>VLOOKUP(bargiri[[#This Row],[شماره سند مبنا]],invoice[[شماره پیش فاکتور]:[پیش دریافت به ازای هر کیلوگرم]],14,0)</f>
        <v>13264.109864344331</v>
      </c>
      <c r="Q1868" s="159">
        <f>IF(bargiri[[#This Row],[مبلغ ناخالص]]-(bargiri[[#This Row],[نرخ استهلاک]]*bargiri[[#This Row],[مقدار]])&lt;0,0,bargiri[[#This Row],[مبلغ ناخالص]]-(bargiri[[#This Row],[نرخ استهلاک]]*bargiri[[#This Row],[مقدار]]))</f>
        <v>605628202.98107517</v>
      </c>
    </row>
    <row r="1869" spans="1:17" s="22" customFormat="1" ht="13.8" x14ac:dyDescent="0.25">
      <c r="A1869" s="22">
        <v>1018</v>
      </c>
      <c r="B1869" s="22" t="s">
        <v>478</v>
      </c>
      <c r="C1869" s="22" t="s">
        <v>46</v>
      </c>
      <c r="D1869" s="22" t="s">
        <v>43</v>
      </c>
      <c r="E1869" s="158">
        <v>5410</v>
      </c>
      <c r="F1869" s="159">
        <v>50000</v>
      </c>
      <c r="G1869" s="159">
        <v>270500000</v>
      </c>
      <c r="H1869" s="159">
        <v>24345000</v>
      </c>
      <c r="I1869" s="159">
        <v>294845000</v>
      </c>
      <c r="J1869" s="159" t="e">
        <f>bargiri[[#This Row],[مقدار]]*INDEX(invoice[پیش دریافت به ازای هر کیلوگرم],MATCH(bargiri[[#This Row],[شماره سند مبنا]],invoice[شماره پیش فاکتور],0))</f>
        <v>#N/A</v>
      </c>
      <c r="K1869" s="159" t="e">
        <f>bargiri[[#This Row],[مبلغ خالص]]-bargiri[[#This Row],[میزان استهلاک پیش دریافتی]]</f>
        <v>#N/A</v>
      </c>
      <c r="L1869" s="160"/>
      <c r="M1869" s="159"/>
      <c r="N1869" s="159" t="e">
        <f>IF(bargiri[[#This Row],[مبلغ واریزی]]&lt;&gt;"",bargiri[[#This Row],[مانده مبلغ]]-bargiri[[#This Row],[مبلغ واریزی]],bargiri[[#This Row],[مانده مبلغ]])</f>
        <v>#N/A</v>
      </c>
      <c r="O1869" s="159"/>
      <c r="P1869" s="159" t="e">
        <f>VLOOKUP(bargiri[[#This Row],[شماره سند مبنا]],invoice[[شماره پیش فاکتور]:[پیش دریافت به ازای هر کیلوگرم]],14,0)</f>
        <v>#N/A</v>
      </c>
      <c r="Q1869" s="159" t="e">
        <f>IF(bargiri[[#This Row],[مبلغ ناخالص]]-(bargiri[[#This Row],[نرخ استهلاک]]*bargiri[[#This Row],[مقدار]])&lt;0,0,bargiri[[#This Row],[مبلغ ناخالص]]-(bargiri[[#This Row],[نرخ استهلاک]]*bargiri[[#This Row],[مقدار]]))</f>
        <v>#N/A</v>
      </c>
    </row>
    <row r="1870" spans="1:17" s="22" customFormat="1" ht="13.8" x14ac:dyDescent="0.25">
      <c r="A1870" s="22">
        <v>1017</v>
      </c>
      <c r="B1870" s="22" t="s">
        <v>181</v>
      </c>
      <c r="C1870" s="22" t="s">
        <v>81</v>
      </c>
      <c r="D1870" s="22" t="s">
        <v>35</v>
      </c>
      <c r="E1870" s="158">
        <v>7425</v>
      </c>
      <c r="F1870" s="159">
        <v>70000</v>
      </c>
      <c r="G1870" s="159">
        <v>519750000</v>
      </c>
      <c r="H1870" s="159">
        <v>51975000</v>
      </c>
      <c r="I1870" s="159">
        <v>571725000</v>
      </c>
      <c r="J1870" s="159" t="e">
        <f>bargiri[[#This Row],[مقدار]]*INDEX(invoice[پیش دریافت به ازای هر کیلوگرم],MATCH(bargiri[[#This Row],[شماره سند مبنا]],invoice[شماره پیش فاکتور],0))</f>
        <v>#N/A</v>
      </c>
      <c r="K1870" s="159" t="e">
        <f>bargiri[[#This Row],[مبلغ خالص]]-bargiri[[#This Row],[میزان استهلاک پیش دریافتی]]</f>
        <v>#N/A</v>
      </c>
      <c r="L1870" s="160"/>
      <c r="M1870" s="159"/>
      <c r="N1870" s="159" t="e">
        <f>IF(bargiri[[#This Row],[مبلغ واریزی]]&lt;&gt;"",bargiri[[#This Row],[مانده مبلغ]]-bargiri[[#This Row],[مبلغ واریزی]],bargiri[[#This Row],[مانده مبلغ]])</f>
        <v>#N/A</v>
      </c>
      <c r="O1870" s="159"/>
      <c r="P1870" s="159" t="e">
        <f>VLOOKUP(bargiri[[#This Row],[شماره سند مبنا]],invoice[[شماره پیش فاکتور]:[پیش دریافت به ازای هر کیلوگرم]],14,0)</f>
        <v>#N/A</v>
      </c>
      <c r="Q1870" s="159" t="e">
        <f>IF(bargiri[[#This Row],[مبلغ ناخالص]]-(bargiri[[#This Row],[نرخ استهلاک]]*bargiri[[#This Row],[مقدار]])&lt;0,0,bargiri[[#This Row],[مبلغ ناخالص]]-(bargiri[[#This Row],[نرخ استهلاک]]*bargiri[[#This Row],[مقدار]]))</f>
        <v>#N/A</v>
      </c>
    </row>
    <row r="1871" spans="1:17" s="22" customFormat="1" ht="13.8" x14ac:dyDescent="0.25">
      <c r="A1871" s="22">
        <v>1016</v>
      </c>
      <c r="B1871" s="22" t="s">
        <v>181</v>
      </c>
      <c r="C1871" s="22" t="s">
        <v>72</v>
      </c>
      <c r="D1871" s="22" t="s">
        <v>73</v>
      </c>
      <c r="E1871" s="158">
        <v>20635</v>
      </c>
      <c r="F1871" s="159">
        <v>57273</v>
      </c>
      <c r="G1871" s="159">
        <v>1181828355</v>
      </c>
      <c r="H1871" s="159">
        <v>118182836</v>
      </c>
      <c r="I1871" s="159">
        <v>1300011191</v>
      </c>
      <c r="J1871" s="159" t="e">
        <f>bargiri[[#This Row],[مقدار]]*INDEX(invoice[پیش دریافت به ازای هر کیلوگرم],MATCH(bargiri[[#This Row],[شماره سند مبنا]],invoice[شماره پیش فاکتور],0))</f>
        <v>#N/A</v>
      </c>
      <c r="K1871" s="159" t="e">
        <f>bargiri[[#This Row],[مبلغ خالص]]-bargiri[[#This Row],[میزان استهلاک پیش دریافتی]]</f>
        <v>#N/A</v>
      </c>
      <c r="L1871" s="160"/>
      <c r="M1871" s="159"/>
      <c r="N1871" s="159" t="e">
        <f>IF(bargiri[[#This Row],[مبلغ واریزی]]&lt;&gt;"",bargiri[[#This Row],[مانده مبلغ]]-bargiri[[#This Row],[مبلغ واریزی]],bargiri[[#This Row],[مانده مبلغ]])</f>
        <v>#N/A</v>
      </c>
      <c r="O1871" s="159"/>
      <c r="P1871" s="159" t="e">
        <f>VLOOKUP(bargiri[[#This Row],[شماره سند مبنا]],invoice[[شماره پیش فاکتور]:[پیش دریافت به ازای هر کیلوگرم]],14,0)</f>
        <v>#N/A</v>
      </c>
      <c r="Q1871" s="159" t="e">
        <f>IF(bargiri[[#This Row],[مبلغ ناخالص]]-(bargiri[[#This Row],[نرخ استهلاک]]*bargiri[[#This Row],[مقدار]])&lt;0,0,bargiri[[#This Row],[مبلغ ناخالص]]-(bargiri[[#This Row],[نرخ استهلاک]]*bargiri[[#This Row],[مقدار]]))</f>
        <v>#N/A</v>
      </c>
    </row>
    <row r="1872" spans="1:17" s="22" customFormat="1" ht="13.8" x14ac:dyDescent="0.25">
      <c r="A1872" s="22">
        <v>1015</v>
      </c>
      <c r="B1872" s="22" t="s">
        <v>181</v>
      </c>
      <c r="C1872" s="22" t="s">
        <v>72</v>
      </c>
      <c r="D1872" s="22" t="s">
        <v>73</v>
      </c>
      <c r="E1872" s="158">
        <v>20525</v>
      </c>
      <c r="F1872" s="159">
        <v>57273</v>
      </c>
      <c r="G1872" s="159">
        <v>1175528325</v>
      </c>
      <c r="H1872" s="159">
        <v>117552833</v>
      </c>
      <c r="I1872" s="159">
        <v>1293081158</v>
      </c>
      <c r="J1872" s="159" t="e">
        <f>bargiri[[#This Row],[مقدار]]*INDEX(invoice[پیش دریافت به ازای هر کیلوگرم],MATCH(bargiri[[#This Row],[شماره سند مبنا]],invoice[شماره پیش فاکتور],0))</f>
        <v>#N/A</v>
      </c>
      <c r="K1872" s="159" t="e">
        <f>bargiri[[#This Row],[مبلغ خالص]]-bargiri[[#This Row],[میزان استهلاک پیش دریافتی]]</f>
        <v>#N/A</v>
      </c>
      <c r="L1872" s="160"/>
      <c r="M1872" s="159"/>
      <c r="N1872" s="159" t="e">
        <f>IF(bargiri[[#This Row],[مبلغ واریزی]]&lt;&gt;"",bargiri[[#This Row],[مانده مبلغ]]-bargiri[[#This Row],[مبلغ واریزی]],bargiri[[#This Row],[مانده مبلغ]])</f>
        <v>#N/A</v>
      </c>
      <c r="O1872" s="159"/>
      <c r="P1872" s="159" t="e">
        <f>VLOOKUP(bargiri[[#This Row],[شماره سند مبنا]],invoice[[شماره پیش فاکتور]:[پیش دریافت به ازای هر کیلوگرم]],14,0)</f>
        <v>#N/A</v>
      </c>
      <c r="Q1872" s="159" t="e">
        <f>IF(bargiri[[#This Row],[مبلغ ناخالص]]-(bargiri[[#This Row],[نرخ استهلاک]]*bargiri[[#This Row],[مقدار]])&lt;0,0,bargiri[[#This Row],[مبلغ ناخالص]]-(bargiri[[#This Row],[نرخ استهلاک]]*bargiri[[#This Row],[مقدار]]))</f>
        <v>#N/A</v>
      </c>
    </row>
    <row r="1873" spans="1:17" s="22" customFormat="1" ht="13.8" x14ac:dyDescent="0.25">
      <c r="A1873" s="22">
        <v>1014</v>
      </c>
      <c r="B1873" s="22" t="s">
        <v>181</v>
      </c>
      <c r="C1873" s="22" t="s">
        <v>88</v>
      </c>
      <c r="D1873" s="22" t="s">
        <v>89</v>
      </c>
      <c r="E1873" s="158">
        <v>19040</v>
      </c>
      <c r="F1873" s="159">
        <v>78000</v>
      </c>
      <c r="G1873" s="159">
        <v>1485120000</v>
      </c>
      <c r="H1873" s="159">
        <v>148512000</v>
      </c>
      <c r="I1873" s="159">
        <v>1633632000</v>
      </c>
      <c r="J1873" s="159" t="e">
        <f>bargiri[[#This Row],[مقدار]]*INDEX(invoice[پیش دریافت به ازای هر کیلوگرم],MATCH(bargiri[[#This Row],[شماره سند مبنا]],invoice[شماره پیش فاکتور],0))</f>
        <v>#N/A</v>
      </c>
      <c r="K1873" s="159" t="e">
        <f>bargiri[[#This Row],[مبلغ خالص]]-bargiri[[#This Row],[میزان استهلاک پیش دریافتی]]</f>
        <v>#N/A</v>
      </c>
      <c r="L1873" s="160"/>
      <c r="M1873" s="159"/>
      <c r="N1873" s="159" t="e">
        <f>IF(bargiri[[#This Row],[مبلغ واریزی]]&lt;&gt;"",bargiri[[#This Row],[مانده مبلغ]]-bargiri[[#This Row],[مبلغ واریزی]],bargiri[[#This Row],[مانده مبلغ]])</f>
        <v>#N/A</v>
      </c>
      <c r="O1873" s="159"/>
      <c r="P1873" s="159" t="e">
        <f>VLOOKUP(bargiri[[#This Row],[شماره سند مبنا]],invoice[[شماره پیش فاکتور]:[پیش دریافت به ازای هر کیلوگرم]],14,0)</f>
        <v>#N/A</v>
      </c>
      <c r="Q1873" s="159" t="e">
        <f>IF(bargiri[[#This Row],[مبلغ ناخالص]]-(bargiri[[#This Row],[نرخ استهلاک]]*bargiri[[#This Row],[مقدار]])&lt;0,0,bargiri[[#This Row],[مبلغ ناخالص]]-(bargiri[[#This Row],[نرخ استهلاک]]*bargiri[[#This Row],[مقدار]]))</f>
        <v>#N/A</v>
      </c>
    </row>
    <row r="1874" spans="1:17" s="22" customFormat="1" ht="13.8" x14ac:dyDescent="0.25">
      <c r="A1874" s="22">
        <v>1013</v>
      </c>
      <c r="B1874" s="22" t="s">
        <v>181</v>
      </c>
      <c r="C1874" s="22" t="s">
        <v>109</v>
      </c>
      <c r="D1874" s="22" t="s">
        <v>110</v>
      </c>
      <c r="E1874" s="158">
        <v>19160</v>
      </c>
      <c r="F1874" s="159">
        <v>70000</v>
      </c>
      <c r="G1874" s="159">
        <v>1341200000</v>
      </c>
      <c r="H1874" s="159">
        <v>134120000</v>
      </c>
      <c r="I1874" s="159">
        <v>1475320000</v>
      </c>
      <c r="J1874" s="159" t="e">
        <f>bargiri[[#This Row],[مقدار]]*INDEX(invoice[پیش دریافت به ازای هر کیلوگرم],MATCH(bargiri[[#This Row],[شماره سند مبنا]],invoice[شماره پیش فاکتور],0))</f>
        <v>#N/A</v>
      </c>
      <c r="K1874" s="159" t="e">
        <f>bargiri[[#This Row],[مبلغ خالص]]-bargiri[[#This Row],[میزان استهلاک پیش دریافتی]]</f>
        <v>#N/A</v>
      </c>
      <c r="L1874" s="160"/>
      <c r="M1874" s="159"/>
      <c r="N1874" s="159" t="e">
        <f>IF(bargiri[[#This Row],[مبلغ واریزی]]&lt;&gt;"",bargiri[[#This Row],[مانده مبلغ]]-bargiri[[#This Row],[مبلغ واریزی]],bargiri[[#This Row],[مانده مبلغ]])</f>
        <v>#N/A</v>
      </c>
      <c r="O1874" s="159"/>
      <c r="P1874" s="159" t="e">
        <f>VLOOKUP(bargiri[[#This Row],[شماره سند مبنا]],invoice[[شماره پیش فاکتور]:[پیش دریافت به ازای هر کیلوگرم]],14,0)</f>
        <v>#N/A</v>
      </c>
      <c r="Q1874" s="159" t="e">
        <f>IF(bargiri[[#This Row],[مبلغ ناخالص]]-(bargiri[[#This Row],[نرخ استهلاک]]*bargiri[[#This Row],[مقدار]])&lt;0,0,bargiri[[#This Row],[مبلغ ناخالص]]-(bargiri[[#This Row],[نرخ استهلاک]]*bargiri[[#This Row],[مقدار]]))</f>
        <v>#N/A</v>
      </c>
    </row>
    <row r="1875" spans="1:17" s="22" customFormat="1" ht="13.8" x14ac:dyDescent="0.25">
      <c r="A1875" s="22">
        <v>1012</v>
      </c>
      <c r="B1875" s="22" t="s">
        <v>100</v>
      </c>
      <c r="C1875" s="22" t="s">
        <v>63</v>
      </c>
      <c r="D1875" s="22" t="s">
        <v>64</v>
      </c>
      <c r="E1875" s="158">
        <v>8500</v>
      </c>
      <c r="F1875" s="159">
        <v>45000</v>
      </c>
      <c r="G1875" s="159">
        <v>382500000</v>
      </c>
      <c r="H1875" s="159">
        <v>34425000</v>
      </c>
      <c r="I1875" s="159">
        <v>416925000</v>
      </c>
      <c r="J1875" s="159" t="e">
        <f>bargiri[[#This Row],[مقدار]]*INDEX(invoice[پیش دریافت به ازای هر کیلوگرم],MATCH(bargiri[[#This Row],[شماره سند مبنا]],invoice[شماره پیش فاکتور],0))</f>
        <v>#N/A</v>
      </c>
      <c r="K1875" s="159" t="e">
        <f>bargiri[[#This Row],[مبلغ خالص]]-bargiri[[#This Row],[میزان استهلاک پیش دریافتی]]</f>
        <v>#N/A</v>
      </c>
      <c r="L1875" s="160"/>
      <c r="M1875" s="159"/>
      <c r="N1875" s="159" t="e">
        <f>IF(bargiri[[#This Row],[مبلغ واریزی]]&lt;&gt;"",bargiri[[#This Row],[مانده مبلغ]]-bargiri[[#This Row],[مبلغ واریزی]],bargiri[[#This Row],[مانده مبلغ]])</f>
        <v>#N/A</v>
      </c>
      <c r="O1875" s="159"/>
      <c r="P1875" s="159" t="e">
        <f>VLOOKUP(bargiri[[#This Row],[شماره سند مبنا]],invoice[[شماره پیش فاکتور]:[پیش دریافت به ازای هر کیلوگرم]],14,0)</f>
        <v>#N/A</v>
      </c>
      <c r="Q1875" s="159" t="e">
        <f>IF(bargiri[[#This Row],[مبلغ ناخالص]]-(bargiri[[#This Row],[نرخ استهلاک]]*bargiri[[#This Row],[مقدار]])&lt;0,0,bargiri[[#This Row],[مبلغ ناخالص]]-(bargiri[[#This Row],[نرخ استهلاک]]*bargiri[[#This Row],[مقدار]]))</f>
        <v>#N/A</v>
      </c>
    </row>
    <row r="1876" spans="1:17" s="22" customFormat="1" ht="13.8" x14ac:dyDescent="0.25">
      <c r="A1876" s="22">
        <v>1012</v>
      </c>
      <c r="B1876" s="22" t="s">
        <v>100</v>
      </c>
      <c r="C1876" s="22" t="s">
        <v>99</v>
      </c>
      <c r="D1876" s="22" t="s">
        <v>64</v>
      </c>
      <c r="E1876" s="158">
        <v>14640</v>
      </c>
      <c r="F1876" s="159">
        <v>75000</v>
      </c>
      <c r="G1876" s="159">
        <v>1098000000</v>
      </c>
      <c r="H1876" s="159">
        <v>109800000</v>
      </c>
      <c r="I1876" s="159">
        <v>1207800000</v>
      </c>
      <c r="J1876" s="159" t="e">
        <f>bargiri[[#This Row],[مقدار]]*INDEX(invoice[پیش دریافت به ازای هر کیلوگرم],MATCH(bargiri[[#This Row],[شماره سند مبنا]],invoice[شماره پیش فاکتور],0))</f>
        <v>#N/A</v>
      </c>
      <c r="K1876" s="159" t="e">
        <f>bargiri[[#This Row],[مبلغ خالص]]-bargiri[[#This Row],[میزان استهلاک پیش دریافتی]]</f>
        <v>#N/A</v>
      </c>
      <c r="L1876" s="160"/>
      <c r="M1876" s="159"/>
      <c r="N1876" s="159" t="e">
        <f>IF(bargiri[[#This Row],[مبلغ واریزی]]&lt;&gt;"",bargiri[[#This Row],[مانده مبلغ]]-bargiri[[#This Row],[مبلغ واریزی]],bargiri[[#This Row],[مانده مبلغ]])</f>
        <v>#N/A</v>
      </c>
      <c r="O1876" s="159"/>
      <c r="P1876" s="159" t="e">
        <f>VLOOKUP(bargiri[[#This Row],[شماره سند مبنا]],invoice[[شماره پیش فاکتور]:[پیش دریافت به ازای هر کیلوگرم]],14,0)</f>
        <v>#N/A</v>
      </c>
      <c r="Q1876" s="159" t="e">
        <f>IF(bargiri[[#This Row],[مبلغ ناخالص]]-(bargiri[[#This Row],[نرخ استهلاک]]*bargiri[[#This Row],[مقدار]])&lt;0,0,bargiri[[#This Row],[مبلغ ناخالص]]-(bargiri[[#This Row],[نرخ استهلاک]]*bargiri[[#This Row],[مقدار]]))</f>
        <v>#N/A</v>
      </c>
    </row>
    <row r="1877" spans="1:17" s="22" customFormat="1" ht="13.8" x14ac:dyDescent="0.25">
      <c r="A1877" s="22">
        <v>1011</v>
      </c>
      <c r="B1877" s="22" t="s">
        <v>98</v>
      </c>
      <c r="C1877" s="22" t="s">
        <v>39</v>
      </c>
      <c r="D1877" s="22" t="s">
        <v>40</v>
      </c>
      <c r="E1877" s="158">
        <v>6910</v>
      </c>
      <c r="F1877" s="159">
        <v>75000</v>
      </c>
      <c r="G1877" s="159">
        <v>518250000</v>
      </c>
      <c r="H1877" s="159">
        <v>46642500</v>
      </c>
      <c r="I1877" s="159">
        <v>564892500</v>
      </c>
      <c r="J1877" s="159" t="e">
        <f>bargiri[[#This Row],[مقدار]]*INDEX(invoice[پیش دریافت به ازای هر کیلوگرم],MATCH(bargiri[[#This Row],[شماره سند مبنا]],invoice[شماره پیش فاکتور],0))</f>
        <v>#N/A</v>
      </c>
      <c r="K1877" s="159" t="e">
        <f>bargiri[[#This Row],[مبلغ خالص]]-bargiri[[#This Row],[میزان استهلاک پیش دریافتی]]</f>
        <v>#N/A</v>
      </c>
      <c r="L1877" s="160"/>
      <c r="M1877" s="159"/>
      <c r="N1877" s="159" t="e">
        <f>IF(bargiri[[#This Row],[مبلغ واریزی]]&lt;&gt;"",bargiri[[#This Row],[مانده مبلغ]]-bargiri[[#This Row],[مبلغ واریزی]],bargiri[[#This Row],[مانده مبلغ]])</f>
        <v>#N/A</v>
      </c>
      <c r="O1877" s="159"/>
      <c r="P1877" s="159" t="e">
        <f>VLOOKUP(bargiri[[#This Row],[شماره سند مبنا]],invoice[[شماره پیش فاکتور]:[پیش دریافت به ازای هر کیلوگرم]],14,0)</f>
        <v>#N/A</v>
      </c>
      <c r="Q1877" s="159" t="e">
        <f>IF(bargiri[[#This Row],[مبلغ ناخالص]]-(bargiri[[#This Row],[نرخ استهلاک]]*bargiri[[#This Row],[مقدار]])&lt;0,0,bargiri[[#This Row],[مبلغ ناخالص]]-(bargiri[[#This Row],[نرخ استهلاک]]*bargiri[[#This Row],[مقدار]]))</f>
        <v>#N/A</v>
      </c>
    </row>
    <row r="1878" spans="1:17" s="22" customFormat="1" ht="13.8" x14ac:dyDescent="0.25">
      <c r="A1878" s="22">
        <v>1011</v>
      </c>
      <c r="B1878" s="22" t="s">
        <v>98</v>
      </c>
      <c r="C1878" s="22" t="s">
        <v>97</v>
      </c>
      <c r="D1878" s="22" t="s">
        <v>40</v>
      </c>
      <c r="E1878" s="158">
        <v>200</v>
      </c>
      <c r="F1878" s="159">
        <v>85000</v>
      </c>
      <c r="G1878" s="159">
        <v>17000000</v>
      </c>
      <c r="H1878" s="159">
        <v>1700000</v>
      </c>
      <c r="I1878" s="159">
        <v>18700000</v>
      </c>
      <c r="J1878" s="159" t="e">
        <f>bargiri[[#This Row],[مقدار]]*INDEX(invoice[پیش دریافت به ازای هر کیلوگرم],MATCH(bargiri[[#This Row],[شماره سند مبنا]],invoice[شماره پیش فاکتور],0))</f>
        <v>#N/A</v>
      </c>
      <c r="K1878" s="159" t="e">
        <f>bargiri[[#This Row],[مبلغ خالص]]-bargiri[[#This Row],[میزان استهلاک پیش دریافتی]]</f>
        <v>#N/A</v>
      </c>
      <c r="L1878" s="160"/>
      <c r="M1878" s="159"/>
      <c r="N1878" s="159" t="e">
        <f>IF(bargiri[[#This Row],[مبلغ واریزی]]&lt;&gt;"",bargiri[[#This Row],[مانده مبلغ]]-bargiri[[#This Row],[مبلغ واریزی]],bargiri[[#This Row],[مانده مبلغ]])</f>
        <v>#N/A</v>
      </c>
      <c r="O1878" s="159"/>
      <c r="P1878" s="159" t="e">
        <f>VLOOKUP(bargiri[[#This Row],[شماره سند مبنا]],invoice[[شماره پیش فاکتور]:[پیش دریافت به ازای هر کیلوگرم]],14,0)</f>
        <v>#N/A</v>
      </c>
      <c r="Q1878" s="159" t="e">
        <f>IF(bargiri[[#This Row],[مبلغ ناخالص]]-(bargiri[[#This Row],[نرخ استهلاک]]*bargiri[[#This Row],[مقدار]])&lt;0,0,bargiri[[#This Row],[مبلغ ناخالص]]-(bargiri[[#This Row],[نرخ استهلاک]]*bargiri[[#This Row],[مقدار]]))</f>
        <v>#N/A</v>
      </c>
    </row>
    <row r="1879" spans="1:17" s="22" customFormat="1" ht="13.8" x14ac:dyDescent="0.25">
      <c r="A1879" s="22">
        <v>1010</v>
      </c>
      <c r="B1879" s="22" t="s">
        <v>106</v>
      </c>
      <c r="C1879" s="22" t="s">
        <v>79</v>
      </c>
      <c r="D1879" s="22" t="s">
        <v>17</v>
      </c>
      <c r="E1879" s="158">
        <v>7395</v>
      </c>
      <c r="F1879" s="159">
        <v>70000</v>
      </c>
      <c r="G1879" s="159">
        <v>517650000</v>
      </c>
      <c r="H1879" s="159">
        <v>51765000</v>
      </c>
      <c r="I1879" s="159">
        <v>569415000</v>
      </c>
      <c r="J1879" s="159" t="e">
        <f>bargiri[[#This Row],[مقدار]]*INDEX(invoice[پیش دریافت به ازای هر کیلوگرم],MATCH(bargiri[[#This Row],[شماره سند مبنا]],invoice[شماره پیش فاکتور],0))</f>
        <v>#N/A</v>
      </c>
      <c r="K1879" s="159" t="e">
        <f>bargiri[[#This Row],[مبلغ خالص]]-bargiri[[#This Row],[میزان استهلاک پیش دریافتی]]</f>
        <v>#N/A</v>
      </c>
      <c r="L1879" s="160"/>
      <c r="M1879" s="159"/>
      <c r="N1879" s="159" t="e">
        <f>IF(bargiri[[#This Row],[مبلغ واریزی]]&lt;&gt;"",bargiri[[#This Row],[مانده مبلغ]]-bargiri[[#This Row],[مبلغ واریزی]],bargiri[[#This Row],[مانده مبلغ]])</f>
        <v>#N/A</v>
      </c>
      <c r="O1879" s="159"/>
      <c r="P1879" s="159" t="e">
        <f>VLOOKUP(bargiri[[#This Row],[شماره سند مبنا]],invoice[[شماره پیش فاکتور]:[پیش دریافت به ازای هر کیلوگرم]],14,0)</f>
        <v>#N/A</v>
      </c>
      <c r="Q1879" s="159" t="e">
        <f>IF(bargiri[[#This Row],[مبلغ ناخالص]]-(bargiri[[#This Row],[نرخ استهلاک]]*bargiri[[#This Row],[مقدار]])&lt;0,0,bargiri[[#This Row],[مبلغ ناخالص]]-(bargiri[[#This Row],[نرخ استهلاک]]*bargiri[[#This Row],[مقدار]]))</f>
        <v>#N/A</v>
      </c>
    </row>
    <row r="1880" spans="1:17" s="22" customFormat="1" ht="13.8" x14ac:dyDescent="0.25">
      <c r="A1880" s="22">
        <v>1010</v>
      </c>
      <c r="B1880" s="22" t="s">
        <v>106</v>
      </c>
      <c r="C1880" s="22" t="s">
        <v>104</v>
      </c>
      <c r="D1880" s="22" t="s">
        <v>17</v>
      </c>
      <c r="E1880" s="158">
        <v>12910</v>
      </c>
      <c r="F1880" s="159">
        <v>72000</v>
      </c>
      <c r="G1880" s="159">
        <v>929520000</v>
      </c>
      <c r="H1880" s="159">
        <v>92952000</v>
      </c>
      <c r="I1880" s="159">
        <v>1022472000</v>
      </c>
      <c r="J1880" s="159" t="e">
        <f>bargiri[[#This Row],[مقدار]]*INDEX(invoice[پیش دریافت به ازای هر کیلوگرم],MATCH(bargiri[[#This Row],[شماره سند مبنا]],invoice[شماره پیش فاکتور],0))</f>
        <v>#N/A</v>
      </c>
      <c r="K1880" s="159" t="e">
        <f>bargiri[[#This Row],[مبلغ خالص]]-bargiri[[#This Row],[میزان استهلاک پیش دریافتی]]</f>
        <v>#N/A</v>
      </c>
      <c r="L1880" s="160"/>
      <c r="M1880" s="159"/>
      <c r="N1880" s="159" t="e">
        <f>IF(bargiri[[#This Row],[مبلغ واریزی]]&lt;&gt;"",bargiri[[#This Row],[مانده مبلغ]]-bargiri[[#This Row],[مبلغ واریزی]],bargiri[[#This Row],[مانده مبلغ]])</f>
        <v>#N/A</v>
      </c>
      <c r="O1880" s="159"/>
      <c r="P1880" s="159" t="e">
        <f>VLOOKUP(bargiri[[#This Row],[شماره سند مبنا]],invoice[[شماره پیش فاکتور]:[پیش دریافت به ازای هر کیلوگرم]],14,0)</f>
        <v>#N/A</v>
      </c>
      <c r="Q1880" s="159" t="e">
        <f>IF(bargiri[[#This Row],[مبلغ ناخالص]]-(bargiri[[#This Row],[نرخ استهلاک]]*bargiri[[#This Row],[مقدار]])&lt;0,0,bargiri[[#This Row],[مبلغ ناخالص]]-(bargiri[[#This Row],[نرخ استهلاک]]*bargiri[[#This Row],[مقدار]]))</f>
        <v>#N/A</v>
      </c>
    </row>
    <row r="1881" spans="1:17" s="22" customFormat="1" ht="13.8" x14ac:dyDescent="0.25">
      <c r="A1881" s="22">
        <v>1009</v>
      </c>
      <c r="B1881" s="22" t="s">
        <v>106</v>
      </c>
      <c r="C1881" s="22" t="s">
        <v>86</v>
      </c>
      <c r="D1881" s="22" t="s">
        <v>30</v>
      </c>
      <c r="E1881" s="158">
        <v>10225</v>
      </c>
      <c r="F1881" s="159">
        <v>65000</v>
      </c>
      <c r="G1881" s="159">
        <v>664625000</v>
      </c>
      <c r="H1881" s="159">
        <v>66462500</v>
      </c>
      <c r="I1881" s="159">
        <v>731087500</v>
      </c>
      <c r="J1881" s="159" t="e">
        <f>bargiri[[#This Row],[مقدار]]*INDEX(invoice[پیش دریافت به ازای هر کیلوگرم],MATCH(bargiri[[#This Row],[شماره سند مبنا]],invoice[شماره پیش فاکتور],0))</f>
        <v>#N/A</v>
      </c>
      <c r="K1881" s="159" t="e">
        <f>bargiri[[#This Row],[مبلغ خالص]]-bargiri[[#This Row],[میزان استهلاک پیش دریافتی]]</f>
        <v>#N/A</v>
      </c>
      <c r="L1881" s="160"/>
      <c r="M1881" s="159"/>
      <c r="N1881" s="159" t="e">
        <f>IF(bargiri[[#This Row],[مبلغ واریزی]]&lt;&gt;"",bargiri[[#This Row],[مانده مبلغ]]-bargiri[[#This Row],[مبلغ واریزی]],bargiri[[#This Row],[مانده مبلغ]])</f>
        <v>#N/A</v>
      </c>
      <c r="O1881" s="159"/>
      <c r="P1881" s="159" t="e">
        <f>VLOOKUP(bargiri[[#This Row],[شماره سند مبنا]],invoice[[شماره پیش فاکتور]:[پیش دریافت به ازای هر کیلوگرم]],14,0)</f>
        <v>#N/A</v>
      </c>
      <c r="Q1881" s="159" t="e">
        <f>IF(bargiri[[#This Row],[مبلغ ناخالص]]-(bargiri[[#This Row],[نرخ استهلاک]]*bargiri[[#This Row],[مقدار]])&lt;0,0,bargiri[[#This Row],[مبلغ ناخالص]]-(bargiri[[#This Row],[نرخ استهلاک]]*bargiri[[#This Row],[مقدار]]))</f>
        <v>#N/A</v>
      </c>
    </row>
    <row r="1882" spans="1:17" s="22" customFormat="1" ht="13.8" x14ac:dyDescent="0.25">
      <c r="A1882" s="22">
        <v>1008</v>
      </c>
      <c r="B1882" s="22" t="s">
        <v>106</v>
      </c>
      <c r="C1882" s="22" t="s">
        <v>128</v>
      </c>
      <c r="D1882" s="22" t="s">
        <v>129</v>
      </c>
      <c r="E1882" s="158">
        <v>9675</v>
      </c>
      <c r="F1882" s="159">
        <v>80000</v>
      </c>
      <c r="G1882" s="159">
        <v>774000000</v>
      </c>
      <c r="H1882" s="159">
        <v>77400000</v>
      </c>
      <c r="I1882" s="159">
        <v>851400000</v>
      </c>
      <c r="J1882" s="159">
        <f>bargiri[[#This Row],[مقدار]]*INDEX(invoice[پیش دریافت به ازای هر کیلوگرم],MATCH(bargiri[[#This Row],[شماره سند مبنا]],invoice[شماره پیش فاکتور],0))</f>
        <v>128330262.9375314</v>
      </c>
      <c r="K1882" s="159">
        <f>bargiri[[#This Row],[مبلغ خالص]]-bargiri[[#This Row],[میزان استهلاک پیش دریافتی]]</f>
        <v>723069737.06246865</v>
      </c>
      <c r="L1882" s="160"/>
      <c r="M1882" s="159"/>
      <c r="N1882" s="159">
        <f>IF(bargiri[[#This Row],[مبلغ واریزی]]&lt;&gt;"",bargiri[[#This Row],[مانده مبلغ]]-bargiri[[#This Row],[مبلغ واریزی]],bargiri[[#This Row],[مانده مبلغ]])</f>
        <v>723069737.06246865</v>
      </c>
      <c r="O1882" s="159"/>
      <c r="P1882" s="159">
        <f>VLOOKUP(bargiri[[#This Row],[شماره سند مبنا]],invoice[[شماره پیش فاکتور]:[پیش دریافت به ازای هر کیلوگرم]],14,0)</f>
        <v>13264.109864344331</v>
      </c>
      <c r="Q1882" s="159">
        <f>IF(bargiri[[#This Row],[مبلغ ناخالص]]-(bargiri[[#This Row],[نرخ استهلاک]]*bargiri[[#This Row],[مقدار]])&lt;0,0,bargiri[[#This Row],[مبلغ ناخالص]]-(bargiri[[#This Row],[نرخ استهلاک]]*bargiri[[#This Row],[مقدار]]))</f>
        <v>645669737.06246865</v>
      </c>
    </row>
    <row r="1883" spans="1:17" s="22" customFormat="1" ht="13.8" x14ac:dyDescent="0.25">
      <c r="A1883" s="22">
        <v>1007</v>
      </c>
      <c r="B1883" s="22" t="s">
        <v>479</v>
      </c>
      <c r="C1883" s="22" t="s">
        <v>66</v>
      </c>
      <c r="D1883" s="22" t="s">
        <v>67</v>
      </c>
      <c r="E1883" s="158">
        <v>20210</v>
      </c>
      <c r="F1883" s="159">
        <v>68500</v>
      </c>
      <c r="G1883" s="159">
        <v>1384385000</v>
      </c>
      <c r="H1883" s="159">
        <v>124594650</v>
      </c>
      <c r="I1883" s="159">
        <v>1508979650</v>
      </c>
      <c r="J1883" s="159" t="e">
        <f>bargiri[[#This Row],[مقدار]]*INDEX(invoice[پیش دریافت به ازای هر کیلوگرم],MATCH(bargiri[[#This Row],[شماره سند مبنا]],invoice[شماره پیش فاکتور],0))</f>
        <v>#N/A</v>
      </c>
      <c r="K1883" s="159" t="e">
        <f>bargiri[[#This Row],[مبلغ خالص]]-bargiri[[#This Row],[میزان استهلاک پیش دریافتی]]</f>
        <v>#N/A</v>
      </c>
      <c r="L1883" s="160"/>
      <c r="M1883" s="159"/>
      <c r="N1883" s="159" t="e">
        <f>IF(bargiri[[#This Row],[مبلغ واریزی]]&lt;&gt;"",bargiri[[#This Row],[مانده مبلغ]]-bargiri[[#This Row],[مبلغ واریزی]],bargiri[[#This Row],[مانده مبلغ]])</f>
        <v>#N/A</v>
      </c>
      <c r="O1883" s="159"/>
      <c r="P1883" s="159" t="e">
        <f>VLOOKUP(bargiri[[#This Row],[شماره سند مبنا]],invoice[[شماره پیش فاکتور]:[پیش دریافت به ازای هر کیلوگرم]],14,0)</f>
        <v>#N/A</v>
      </c>
      <c r="Q1883" s="159" t="e">
        <f>IF(bargiri[[#This Row],[مبلغ ناخالص]]-(bargiri[[#This Row],[نرخ استهلاک]]*bargiri[[#This Row],[مقدار]])&lt;0,0,bargiri[[#This Row],[مبلغ ناخالص]]-(bargiri[[#This Row],[نرخ استهلاک]]*bargiri[[#This Row],[مقدار]]))</f>
        <v>#N/A</v>
      </c>
    </row>
    <row r="1884" spans="1:17" s="22" customFormat="1" ht="13.8" x14ac:dyDescent="0.25">
      <c r="A1884" s="22">
        <v>1006</v>
      </c>
      <c r="B1884" s="22" t="s">
        <v>479</v>
      </c>
      <c r="C1884" s="22" t="s">
        <v>24</v>
      </c>
      <c r="D1884" s="22" t="s">
        <v>25</v>
      </c>
      <c r="E1884" s="158">
        <v>20180</v>
      </c>
      <c r="F1884" s="159">
        <v>68000</v>
      </c>
      <c r="G1884" s="159">
        <v>1372240000</v>
      </c>
      <c r="H1884" s="159">
        <v>123501600</v>
      </c>
      <c r="I1884" s="159">
        <v>1495741600</v>
      </c>
      <c r="J1884" s="159" t="e">
        <f>bargiri[[#This Row],[مقدار]]*INDEX(invoice[پیش دریافت به ازای هر کیلوگرم],MATCH(bargiri[[#This Row],[شماره سند مبنا]],invoice[شماره پیش فاکتور],0))</f>
        <v>#N/A</v>
      </c>
      <c r="K1884" s="159" t="e">
        <f>bargiri[[#This Row],[مبلغ خالص]]-bargiri[[#This Row],[میزان استهلاک پیش دریافتی]]</f>
        <v>#N/A</v>
      </c>
      <c r="L1884" s="160"/>
      <c r="M1884" s="159"/>
      <c r="N1884" s="159" t="e">
        <f>IF(bargiri[[#This Row],[مبلغ واریزی]]&lt;&gt;"",bargiri[[#This Row],[مانده مبلغ]]-bargiri[[#This Row],[مبلغ واریزی]],bargiri[[#This Row],[مانده مبلغ]])</f>
        <v>#N/A</v>
      </c>
      <c r="O1884" s="159"/>
      <c r="P1884" s="159" t="e">
        <f>VLOOKUP(bargiri[[#This Row],[شماره سند مبنا]],invoice[[شماره پیش فاکتور]:[پیش دریافت به ازای هر کیلوگرم]],14,0)</f>
        <v>#N/A</v>
      </c>
      <c r="Q1884" s="159" t="e">
        <f>IF(bargiri[[#This Row],[مبلغ ناخالص]]-(bargiri[[#This Row],[نرخ استهلاک]]*bargiri[[#This Row],[مقدار]])&lt;0,0,bargiri[[#This Row],[مبلغ ناخالص]]-(bargiri[[#This Row],[نرخ استهلاک]]*bargiri[[#This Row],[مقدار]]))</f>
        <v>#N/A</v>
      </c>
    </row>
    <row r="1885" spans="1:17" s="22" customFormat="1" ht="13.8" x14ac:dyDescent="0.25">
      <c r="A1885" s="22">
        <v>1005</v>
      </c>
      <c r="B1885" s="22" t="s">
        <v>479</v>
      </c>
      <c r="C1885" s="22" t="s">
        <v>81</v>
      </c>
      <c r="D1885" s="22" t="s">
        <v>35</v>
      </c>
      <c r="E1885" s="158">
        <v>7390</v>
      </c>
      <c r="F1885" s="159">
        <v>70000</v>
      </c>
      <c r="G1885" s="159">
        <v>517300000</v>
      </c>
      <c r="H1885" s="159">
        <v>51730000</v>
      </c>
      <c r="I1885" s="159">
        <v>569030000</v>
      </c>
      <c r="J1885" s="159" t="e">
        <f>bargiri[[#This Row],[مقدار]]*INDEX(invoice[پیش دریافت به ازای هر کیلوگرم],MATCH(bargiri[[#This Row],[شماره سند مبنا]],invoice[شماره پیش فاکتور],0))</f>
        <v>#N/A</v>
      </c>
      <c r="K1885" s="159" t="e">
        <f>bargiri[[#This Row],[مبلغ خالص]]-bargiri[[#This Row],[میزان استهلاک پیش دریافتی]]</f>
        <v>#N/A</v>
      </c>
      <c r="L1885" s="160"/>
      <c r="M1885" s="159"/>
      <c r="N1885" s="159" t="e">
        <f>IF(bargiri[[#This Row],[مبلغ واریزی]]&lt;&gt;"",bargiri[[#This Row],[مانده مبلغ]]-bargiri[[#This Row],[مبلغ واریزی]],bargiri[[#This Row],[مانده مبلغ]])</f>
        <v>#N/A</v>
      </c>
      <c r="O1885" s="159"/>
      <c r="P1885" s="159" t="e">
        <f>VLOOKUP(bargiri[[#This Row],[شماره سند مبنا]],invoice[[شماره پیش فاکتور]:[پیش دریافت به ازای هر کیلوگرم]],14,0)</f>
        <v>#N/A</v>
      </c>
      <c r="Q1885" s="159" t="e">
        <f>IF(bargiri[[#This Row],[مبلغ ناخالص]]-(bargiri[[#This Row],[نرخ استهلاک]]*bargiri[[#This Row],[مقدار]])&lt;0,0,bargiri[[#This Row],[مبلغ ناخالص]]-(bargiri[[#This Row],[نرخ استهلاک]]*bargiri[[#This Row],[مقدار]]))</f>
        <v>#N/A</v>
      </c>
    </row>
    <row r="1886" spans="1:17" s="22" customFormat="1" ht="13.8" x14ac:dyDescent="0.25">
      <c r="A1886" s="22">
        <v>1004</v>
      </c>
      <c r="B1886" s="22" t="s">
        <v>76</v>
      </c>
      <c r="C1886" s="22" t="s">
        <v>66</v>
      </c>
      <c r="D1886" s="22" t="s">
        <v>67</v>
      </c>
      <c r="E1886" s="158">
        <v>20020</v>
      </c>
      <c r="F1886" s="159">
        <v>68500</v>
      </c>
      <c r="G1886" s="159">
        <v>1371370000</v>
      </c>
      <c r="H1886" s="159">
        <v>123423300</v>
      </c>
      <c r="I1886" s="159">
        <v>1494793300</v>
      </c>
      <c r="J1886" s="159" t="e">
        <f>bargiri[[#This Row],[مقدار]]*INDEX(invoice[پیش دریافت به ازای هر کیلوگرم],MATCH(bargiri[[#This Row],[شماره سند مبنا]],invoice[شماره پیش فاکتور],0))</f>
        <v>#N/A</v>
      </c>
      <c r="K1886" s="159" t="e">
        <f>bargiri[[#This Row],[مبلغ خالص]]-bargiri[[#This Row],[میزان استهلاک پیش دریافتی]]</f>
        <v>#N/A</v>
      </c>
      <c r="L1886" s="160"/>
      <c r="M1886" s="159"/>
      <c r="N1886" s="159" t="e">
        <f>IF(bargiri[[#This Row],[مبلغ واریزی]]&lt;&gt;"",bargiri[[#This Row],[مانده مبلغ]]-bargiri[[#This Row],[مبلغ واریزی]],bargiri[[#This Row],[مانده مبلغ]])</f>
        <v>#N/A</v>
      </c>
      <c r="O1886" s="159"/>
      <c r="P1886" s="159" t="e">
        <f>VLOOKUP(bargiri[[#This Row],[شماره سند مبنا]],invoice[[شماره پیش فاکتور]:[پیش دریافت به ازای هر کیلوگرم]],14,0)</f>
        <v>#N/A</v>
      </c>
      <c r="Q1886" s="159" t="e">
        <f>IF(bargiri[[#This Row],[مبلغ ناخالص]]-(bargiri[[#This Row],[نرخ استهلاک]]*bargiri[[#This Row],[مقدار]])&lt;0,0,bargiri[[#This Row],[مبلغ ناخالص]]-(bargiri[[#This Row],[نرخ استهلاک]]*bargiri[[#This Row],[مقدار]]))</f>
        <v>#N/A</v>
      </c>
    </row>
    <row r="1887" spans="1:17" s="22" customFormat="1" ht="13.8" x14ac:dyDescent="0.25">
      <c r="A1887" s="22">
        <v>1003</v>
      </c>
      <c r="B1887" s="22" t="s">
        <v>480</v>
      </c>
      <c r="C1887" s="22" t="s">
        <v>109</v>
      </c>
      <c r="D1887" s="22" t="s">
        <v>110</v>
      </c>
      <c r="E1887" s="158">
        <v>19090</v>
      </c>
      <c r="F1887" s="159">
        <v>70000</v>
      </c>
      <c r="G1887" s="159">
        <v>1336300000</v>
      </c>
      <c r="H1887" s="159">
        <v>133630000</v>
      </c>
      <c r="I1887" s="159">
        <v>1469930000</v>
      </c>
      <c r="J1887" s="159" t="e">
        <f>bargiri[[#This Row],[مقدار]]*INDEX(invoice[پیش دریافت به ازای هر کیلوگرم],MATCH(bargiri[[#This Row],[شماره سند مبنا]],invoice[شماره پیش فاکتور],0))</f>
        <v>#N/A</v>
      </c>
      <c r="K1887" s="159" t="e">
        <f>bargiri[[#This Row],[مبلغ خالص]]-bargiri[[#This Row],[میزان استهلاک پیش دریافتی]]</f>
        <v>#N/A</v>
      </c>
      <c r="L1887" s="160"/>
      <c r="M1887" s="159"/>
      <c r="N1887" s="159" t="e">
        <f>IF(bargiri[[#This Row],[مبلغ واریزی]]&lt;&gt;"",bargiri[[#This Row],[مانده مبلغ]]-bargiri[[#This Row],[مبلغ واریزی]],bargiri[[#This Row],[مانده مبلغ]])</f>
        <v>#N/A</v>
      </c>
      <c r="O1887" s="159"/>
      <c r="P1887" s="159" t="e">
        <f>VLOOKUP(bargiri[[#This Row],[شماره سند مبنا]],invoice[[شماره پیش فاکتور]:[پیش دریافت به ازای هر کیلوگرم]],14,0)</f>
        <v>#N/A</v>
      </c>
      <c r="Q1887" s="159" t="e">
        <f>IF(bargiri[[#This Row],[مبلغ ناخالص]]-(bargiri[[#This Row],[نرخ استهلاک]]*bargiri[[#This Row],[مقدار]])&lt;0,0,bargiri[[#This Row],[مبلغ ناخالص]]-(bargiri[[#This Row],[نرخ استهلاک]]*bargiri[[#This Row],[مقدار]]))</f>
        <v>#N/A</v>
      </c>
    </row>
    <row r="1888" spans="1:17" s="22" customFormat="1" ht="13.8" x14ac:dyDescent="0.25">
      <c r="A1888" s="22">
        <v>1002</v>
      </c>
      <c r="B1888" s="22" t="s">
        <v>145</v>
      </c>
      <c r="C1888" s="22" t="s">
        <v>66</v>
      </c>
      <c r="D1888" s="22" t="s">
        <v>67</v>
      </c>
      <c r="E1888" s="158">
        <v>19120</v>
      </c>
      <c r="F1888" s="159">
        <v>68500</v>
      </c>
      <c r="G1888" s="159">
        <v>1309720000</v>
      </c>
      <c r="H1888" s="159">
        <v>117874800</v>
      </c>
      <c r="I1888" s="159">
        <v>1427594800</v>
      </c>
      <c r="J1888" s="159" t="e">
        <f>bargiri[[#This Row],[مقدار]]*INDEX(invoice[پیش دریافت به ازای هر کیلوگرم],MATCH(bargiri[[#This Row],[شماره سند مبنا]],invoice[شماره پیش فاکتور],0))</f>
        <v>#N/A</v>
      </c>
      <c r="K1888" s="159" t="e">
        <f>bargiri[[#This Row],[مبلغ خالص]]-bargiri[[#This Row],[میزان استهلاک پیش دریافتی]]</f>
        <v>#N/A</v>
      </c>
      <c r="L1888" s="160"/>
      <c r="M1888" s="159"/>
      <c r="N1888" s="159" t="e">
        <f>IF(bargiri[[#This Row],[مبلغ واریزی]]&lt;&gt;"",bargiri[[#This Row],[مانده مبلغ]]-bargiri[[#This Row],[مبلغ واریزی]],bargiri[[#This Row],[مانده مبلغ]])</f>
        <v>#N/A</v>
      </c>
      <c r="O1888" s="159"/>
      <c r="P1888" s="159" t="e">
        <f>VLOOKUP(bargiri[[#This Row],[شماره سند مبنا]],invoice[[شماره پیش فاکتور]:[پیش دریافت به ازای هر کیلوگرم]],14,0)</f>
        <v>#N/A</v>
      </c>
      <c r="Q1888" s="159" t="e">
        <f>IF(bargiri[[#This Row],[مبلغ ناخالص]]-(bargiri[[#This Row],[نرخ استهلاک]]*bargiri[[#This Row],[مقدار]])&lt;0,0,bargiri[[#This Row],[مبلغ ناخالص]]-(bargiri[[#This Row],[نرخ استهلاک]]*bargiri[[#This Row],[مقدار]]))</f>
        <v>#N/A</v>
      </c>
    </row>
    <row r="1889" spans="1:17" s="22" customFormat="1" ht="13.8" x14ac:dyDescent="0.25">
      <c r="A1889" s="22">
        <v>1001</v>
      </c>
      <c r="B1889" s="22" t="s">
        <v>145</v>
      </c>
      <c r="C1889" s="22" t="s">
        <v>72</v>
      </c>
      <c r="D1889" s="22" t="s">
        <v>73</v>
      </c>
      <c r="E1889" s="158">
        <v>20435</v>
      </c>
      <c r="F1889" s="159">
        <v>57273</v>
      </c>
      <c r="G1889" s="159">
        <v>1170373755</v>
      </c>
      <c r="H1889" s="159">
        <v>117037376</v>
      </c>
      <c r="I1889" s="159">
        <v>1287411131</v>
      </c>
      <c r="J1889" s="159" t="e">
        <f>bargiri[[#This Row],[مقدار]]*INDEX(invoice[پیش دریافت به ازای هر کیلوگرم],MATCH(bargiri[[#This Row],[شماره سند مبنا]],invoice[شماره پیش فاکتور],0))</f>
        <v>#N/A</v>
      </c>
      <c r="K1889" s="159" t="e">
        <f>bargiri[[#This Row],[مبلغ خالص]]-bargiri[[#This Row],[میزان استهلاک پیش دریافتی]]</f>
        <v>#N/A</v>
      </c>
      <c r="L1889" s="160"/>
      <c r="M1889" s="159"/>
      <c r="N1889" s="159" t="e">
        <f>IF(bargiri[[#This Row],[مبلغ واریزی]]&lt;&gt;"",bargiri[[#This Row],[مانده مبلغ]]-bargiri[[#This Row],[مبلغ واریزی]],bargiri[[#This Row],[مانده مبلغ]])</f>
        <v>#N/A</v>
      </c>
      <c r="O1889" s="159"/>
      <c r="P1889" s="159" t="e">
        <f>VLOOKUP(bargiri[[#This Row],[شماره سند مبنا]],invoice[[شماره پیش فاکتور]:[پیش دریافت به ازای هر کیلوگرم]],14,0)</f>
        <v>#N/A</v>
      </c>
      <c r="Q1889" s="159" t="e">
        <f>IF(bargiri[[#This Row],[مبلغ ناخالص]]-(bargiri[[#This Row],[نرخ استهلاک]]*bargiri[[#This Row],[مقدار]])&lt;0,0,bargiri[[#This Row],[مبلغ ناخالص]]-(bargiri[[#This Row],[نرخ استهلاک]]*bargiri[[#This Row],[مقدار]]))</f>
        <v>#N/A</v>
      </c>
    </row>
    <row r="1890" spans="1:17" s="22" customFormat="1" ht="13.8" x14ac:dyDescent="0.25">
      <c r="A1890" s="22">
        <v>1000</v>
      </c>
      <c r="B1890" s="22" t="s">
        <v>145</v>
      </c>
      <c r="C1890" s="22" t="s">
        <v>72</v>
      </c>
      <c r="D1890" s="22" t="s">
        <v>73</v>
      </c>
      <c r="E1890" s="158">
        <v>20745</v>
      </c>
      <c r="F1890" s="159">
        <v>57273</v>
      </c>
      <c r="G1890" s="159">
        <v>1188128385</v>
      </c>
      <c r="H1890" s="159">
        <v>118812839</v>
      </c>
      <c r="I1890" s="159">
        <v>1306941224</v>
      </c>
      <c r="J1890" s="159" t="e">
        <f>bargiri[[#This Row],[مقدار]]*INDEX(invoice[پیش دریافت به ازای هر کیلوگرم],MATCH(bargiri[[#This Row],[شماره سند مبنا]],invoice[شماره پیش فاکتور],0))</f>
        <v>#N/A</v>
      </c>
      <c r="K1890" s="159" t="e">
        <f>bargiri[[#This Row],[مبلغ خالص]]-bargiri[[#This Row],[میزان استهلاک پیش دریافتی]]</f>
        <v>#N/A</v>
      </c>
      <c r="L1890" s="160"/>
      <c r="M1890" s="159"/>
      <c r="N1890" s="159" t="e">
        <f>IF(bargiri[[#This Row],[مبلغ واریزی]]&lt;&gt;"",bargiri[[#This Row],[مانده مبلغ]]-bargiri[[#This Row],[مبلغ واریزی]],bargiri[[#This Row],[مانده مبلغ]])</f>
        <v>#N/A</v>
      </c>
      <c r="O1890" s="159"/>
      <c r="P1890" s="159" t="e">
        <f>VLOOKUP(bargiri[[#This Row],[شماره سند مبنا]],invoice[[شماره پیش فاکتور]:[پیش دریافت به ازای هر کیلوگرم]],14,0)</f>
        <v>#N/A</v>
      </c>
      <c r="Q1890" s="159" t="e">
        <f>IF(bargiri[[#This Row],[مبلغ ناخالص]]-(bargiri[[#This Row],[نرخ استهلاک]]*bargiri[[#This Row],[مقدار]])&lt;0,0,bargiri[[#This Row],[مبلغ ناخالص]]-(bargiri[[#This Row],[نرخ استهلاک]]*bargiri[[#This Row],[مقدار]]))</f>
        <v>#N/A</v>
      </c>
    </row>
    <row r="1891" spans="1:17" s="22" customFormat="1" ht="13.8" x14ac:dyDescent="0.25">
      <c r="A1891" s="22">
        <v>999</v>
      </c>
      <c r="B1891" s="22" t="s">
        <v>145</v>
      </c>
      <c r="C1891" s="22" t="s">
        <v>147</v>
      </c>
      <c r="D1891" s="22" t="s">
        <v>25</v>
      </c>
      <c r="E1891" s="158">
        <v>12260</v>
      </c>
      <c r="F1891" s="159">
        <v>92000</v>
      </c>
      <c r="G1891" s="159">
        <v>1127920000</v>
      </c>
      <c r="H1891" s="159">
        <v>112792000</v>
      </c>
      <c r="I1891" s="159">
        <v>1240712000</v>
      </c>
      <c r="J1891" s="159" t="e">
        <f>bargiri[[#This Row],[مقدار]]*INDEX(invoice[پیش دریافت به ازای هر کیلوگرم],MATCH(bargiri[[#This Row],[شماره سند مبنا]],invoice[شماره پیش فاکتور],0))</f>
        <v>#N/A</v>
      </c>
      <c r="K1891" s="159" t="e">
        <f>bargiri[[#This Row],[مبلغ خالص]]-bargiri[[#This Row],[میزان استهلاک پیش دریافتی]]</f>
        <v>#N/A</v>
      </c>
      <c r="L1891" s="160"/>
      <c r="M1891" s="159"/>
      <c r="N1891" s="159" t="e">
        <f>IF(bargiri[[#This Row],[مبلغ واریزی]]&lt;&gt;"",bargiri[[#This Row],[مانده مبلغ]]-bargiri[[#This Row],[مبلغ واریزی]],bargiri[[#This Row],[مانده مبلغ]])</f>
        <v>#N/A</v>
      </c>
      <c r="O1891" s="159"/>
      <c r="P1891" s="159" t="e">
        <f>VLOOKUP(bargiri[[#This Row],[شماره سند مبنا]],invoice[[شماره پیش فاکتور]:[پیش دریافت به ازای هر کیلوگرم]],14,0)</f>
        <v>#N/A</v>
      </c>
      <c r="Q1891" s="159" t="e">
        <f>IF(bargiri[[#This Row],[مبلغ ناخالص]]-(bargiri[[#This Row],[نرخ استهلاک]]*bargiri[[#This Row],[مقدار]])&lt;0,0,bargiri[[#This Row],[مبلغ ناخالص]]-(bargiri[[#This Row],[نرخ استهلاک]]*bargiri[[#This Row],[مقدار]]))</f>
        <v>#N/A</v>
      </c>
    </row>
    <row r="1892" spans="1:17" s="22" customFormat="1" ht="13.8" x14ac:dyDescent="0.25">
      <c r="A1892" s="22">
        <v>998</v>
      </c>
      <c r="B1892" s="22" t="s">
        <v>481</v>
      </c>
      <c r="C1892" s="22" t="s">
        <v>72</v>
      </c>
      <c r="D1892" s="22" t="s">
        <v>73</v>
      </c>
      <c r="E1892" s="158">
        <v>20665</v>
      </c>
      <c r="F1892" s="159">
        <v>57273</v>
      </c>
      <c r="G1892" s="159">
        <v>1183546545</v>
      </c>
      <c r="H1892" s="159">
        <v>118354655</v>
      </c>
      <c r="I1892" s="159">
        <v>1301901200</v>
      </c>
      <c r="J1892" s="159" t="e">
        <f>bargiri[[#This Row],[مقدار]]*INDEX(invoice[پیش دریافت به ازای هر کیلوگرم],MATCH(bargiri[[#This Row],[شماره سند مبنا]],invoice[شماره پیش فاکتور],0))</f>
        <v>#N/A</v>
      </c>
      <c r="K1892" s="159" t="e">
        <f>bargiri[[#This Row],[مبلغ خالص]]-bargiri[[#This Row],[میزان استهلاک پیش دریافتی]]</f>
        <v>#N/A</v>
      </c>
      <c r="L1892" s="160"/>
      <c r="M1892" s="159"/>
      <c r="N1892" s="159" t="e">
        <f>IF(bargiri[[#This Row],[مبلغ واریزی]]&lt;&gt;"",bargiri[[#This Row],[مانده مبلغ]]-bargiri[[#This Row],[مبلغ واریزی]],bargiri[[#This Row],[مانده مبلغ]])</f>
        <v>#N/A</v>
      </c>
      <c r="O1892" s="159"/>
      <c r="P1892" s="159" t="e">
        <f>VLOOKUP(bargiri[[#This Row],[شماره سند مبنا]],invoice[[شماره پیش فاکتور]:[پیش دریافت به ازای هر کیلوگرم]],14,0)</f>
        <v>#N/A</v>
      </c>
      <c r="Q1892" s="159" t="e">
        <f>IF(bargiri[[#This Row],[مبلغ ناخالص]]-(bargiri[[#This Row],[نرخ استهلاک]]*bargiri[[#This Row],[مقدار]])&lt;0,0,bargiri[[#This Row],[مبلغ ناخالص]]-(bargiri[[#This Row],[نرخ استهلاک]]*bargiri[[#This Row],[مقدار]]))</f>
        <v>#N/A</v>
      </c>
    </row>
    <row r="1893" spans="1:17" s="22" customFormat="1" ht="13.8" x14ac:dyDescent="0.25">
      <c r="A1893" s="22">
        <v>997</v>
      </c>
      <c r="B1893" s="22" t="s">
        <v>481</v>
      </c>
      <c r="C1893" s="22" t="s">
        <v>72</v>
      </c>
      <c r="D1893" s="22" t="s">
        <v>73</v>
      </c>
      <c r="E1893" s="158">
        <v>21120</v>
      </c>
      <c r="F1893" s="159">
        <v>57273</v>
      </c>
      <c r="G1893" s="159">
        <v>1209605760</v>
      </c>
      <c r="H1893" s="159">
        <v>120960576</v>
      </c>
      <c r="I1893" s="159">
        <v>1330566336</v>
      </c>
      <c r="J1893" s="159" t="e">
        <f>bargiri[[#This Row],[مقدار]]*INDEX(invoice[پیش دریافت به ازای هر کیلوگرم],MATCH(bargiri[[#This Row],[شماره سند مبنا]],invoice[شماره پیش فاکتور],0))</f>
        <v>#N/A</v>
      </c>
      <c r="K1893" s="159" t="e">
        <f>bargiri[[#This Row],[مبلغ خالص]]-bargiri[[#This Row],[میزان استهلاک پیش دریافتی]]</f>
        <v>#N/A</v>
      </c>
      <c r="L1893" s="160"/>
      <c r="M1893" s="159"/>
      <c r="N1893" s="159" t="e">
        <f>IF(bargiri[[#This Row],[مبلغ واریزی]]&lt;&gt;"",bargiri[[#This Row],[مانده مبلغ]]-bargiri[[#This Row],[مبلغ واریزی]],bargiri[[#This Row],[مانده مبلغ]])</f>
        <v>#N/A</v>
      </c>
      <c r="O1893" s="159"/>
      <c r="P1893" s="159" t="e">
        <f>VLOOKUP(bargiri[[#This Row],[شماره سند مبنا]],invoice[[شماره پیش فاکتور]:[پیش دریافت به ازای هر کیلوگرم]],14,0)</f>
        <v>#N/A</v>
      </c>
      <c r="Q1893" s="159" t="e">
        <f>IF(bargiri[[#This Row],[مبلغ ناخالص]]-(bargiri[[#This Row],[نرخ استهلاک]]*bargiri[[#This Row],[مقدار]])&lt;0,0,bargiri[[#This Row],[مبلغ ناخالص]]-(bargiri[[#This Row],[نرخ استهلاک]]*bargiri[[#This Row],[مقدار]]))</f>
        <v>#N/A</v>
      </c>
    </row>
    <row r="1894" spans="1:17" s="22" customFormat="1" ht="13.8" x14ac:dyDescent="0.25">
      <c r="A1894" s="22">
        <v>996</v>
      </c>
      <c r="B1894" s="22" t="s">
        <v>482</v>
      </c>
      <c r="C1894" s="22" t="s">
        <v>72</v>
      </c>
      <c r="D1894" s="22" t="s">
        <v>73</v>
      </c>
      <c r="E1894" s="158">
        <v>20185</v>
      </c>
      <c r="F1894" s="159">
        <v>57273</v>
      </c>
      <c r="G1894" s="159">
        <v>1156055505</v>
      </c>
      <c r="H1894" s="159">
        <v>115605551</v>
      </c>
      <c r="I1894" s="159">
        <v>1271661056</v>
      </c>
      <c r="J1894" s="159" t="e">
        <f>bargiri[[#This Row],[مقدار]]*INDEX(invoice[پیش دریافت به ازای هر کیلوگرم],MATCH(bargiri[[#This Row],[شماره سند مبنا]],invoice[شماره پیش فاکتور],0))</f>
        <v>#N/A</v>
      </c>
      <c r="K1894" s="159" t="e">
        <f>bargiri[[#This Row],[مبلغ خالص]]-bargiri[[#This Row],[میزان استهلاک پیش دریافتی]]</f>
        <v>#N/A</v>
      </c>
      <c r="L1894" s="160"/>
      <c r="M1894" s="159"/>
      <c r="N1894" s="159" t="e">
        <f>IF(bargiri[[#This Row],[مبلغ واریزی]]&lt;&gt;"",bargiri[[#This Row],[مانده مبلغ]]-bargiri[[#This Row],[مبلغ واریزی]],bargiri[[#This Row],[مانده مبلغ]])</f>
        <v>#N/A</v>
      </c>
      <c r="O1894" s="159"/>
      <c r="P1894" s="159" t="e">
        <f>VLOOKUP(bargiri[[#This Row],[شماره سند مبنا]],invoice[[شماره پیش فاکتور]:[پیش دریافت به ازای هر کیلوگرم]],14,0)</f>
        <v>#N/A</v>
      </c>
      <c r="Q1894" s="159" t="e">
        <f>IF(bargiri[[#This Row],[مبلغ ناخالص]]-(bargiri[[#This Row],[نرخ استهلاک]]*bargiri[[#This Row],[مقدار]])&lt;0,0,bargiri[[#This Row],[مبلغ ناخالص]]-(bargiri[[#This Row],[نرخ استهلاک]]*bargiri[[#This Row],[مقدار]]))</f>
        <v>#N/A</v>
      </c>
    </row>
    <row r="1895" spans="1:17" s="22" customFormat="1" ht="13.8" x14ac:dyDescent="0.25">
      <c r="A1895" s="22">
        <v>995</v>
      </c>
      <c r="B1895" s="22" t="s">
        <v>482</v>
      </c>
      <c r="C1895" s="22" t="s">
        <v>72</v>
      </c>
      <c r="D1895" s="22" t="s">
        <v>73</v>
      </c>
      <c r="E1895" s="158">
        <v>20245</v>
      </c>
      <c r="F1895" s="159">
        <v>57273</v>
      </c>
      <c r="G1895" s="159">
        <v>1159491885</v>
      </c>
      <c r="H1895" s="159">
        <v>115949189</v>
      </c>
      <c r="I1895" s="159">
        <v>1275441074</v>
      </c>
      <c r="J1895" s="159" t="e">
        <f>bargiri[[#This Row],[مقدار]]*INDEX(invoice[پیش دریافت به ازای هر کیلوگرم],MATCH(bargiri[[#This Row],[شماره سند مبنا]],invoice[شماره پیش فاکتور],0))</f>
        <v>#N/A</v>
      </c>
      <c r="K1895" s="159" t="e">
        <f>bargiri[[#This Row],[مبلغ خالص]]-bargiri[[#This Row],[میزان استهلاک پیش دریافتی]]</f>
        <v>#N/A</v>
      </c>
      <c r="L1895" s="160"/>
      <c r="M1895" s="159"/>
      <c r="N1895" s="159" t="e">
        <f>IF(bargiri[[#This Row],[مبلغ واریزی]]&lt;&gt;"",bargiri[[#This Row],[مانده مبلغ]]-bargiri[[#This Row],[مبلغ واریزی]],bargiri[[#This Row],[مانده مبلغ]])</f>
        <v>#N/A</v>
      </c>
      <c r="O1895" s="159"/>
      <c r="P1895" s="159" t="e">
        <f>VLOOKUP(bargiri[[#This Row],[شماره سند مبنا]],invoice[[شماره پیش فاکتور]:[پیش دریافت به ازای هر کیلوگرم]],14,0)</f>
        <v>#N/A</v>
      </c>
      <c r="Q1895" s="159" t="e">
        <f>IF(bargiri[[#This Row],[مبلغ ناخالص]]-(bargiri[[#This Row],[نرخ استهلاک]]*bargiri[[#This Row],[مقدار]])&lt;0,0,bargiri[[#This Row],[مبلغ ناخالص]]-(bargiri[[#This Row],[نرخ استهلاک]]*bargiri[[#This Row],[مقدار]]))</f>
        <v>#N/A</v>
      </c>
    </row>
    <row r="1896" spans="1:17" s="22" customFormat="1" ht="13.8" x14ac:dyDescent="0.25">
      <c r="A1896" s="22">
        <v>994</v>
      </c>
      <c r="B1896" s="22" t="s">
        <v>482</v>
      </c>
      <c r="C1896" s="22" t="s">
        <v>72</v>
      </c>
      <c r="D1896" s="22" t="s">
        <v>73</v>
      </c>
      <c r="E1896" s="158">
        <v>20255</v>
      </c>
      <c r="F1896" s="159">
        <v>57273</v>
      </c>
      <c r="G1896" s="159">
        <v>1160064615</v>
      </c>
      <c r="H1896" s="159">
        <v>116006462</v>
      </c>
      <c r="I1896" s="159">
        <v>1276071077</v>
      </c>
      <c r="J1896" s="159" t="e">
        <f>bargiri[[#This Row],[مقدار]]*INDEX(invoice[پیش دریافت به ازای هر کیلوگرم],MATCH(bargiri[[#This Row],[شماره سند مبنا]],invoice[شماره پیش فاکتور],0))</f>
        <v>#N/A</v>
      </c>
      <c r="K1896" s="159" t="e">
        <f>bargiri[[#This Row],[مبلغ خالص]]-bargiri[[#This Row],[میزان استهلاک پیش دریافتی]]</f>
        <v>#N/A</v>
      </c>
      <c r="L1896" s="160"/>
      <c r="M1896" s="159"/>
      <c r="N1896" s="159" t="e">
        <f>IF(bargiri[[#This Row],[مبلغ واریزی]]&lt;&gt;"",bargiri[[#This Row],[مانده مبلغ]]-bargiri[[#This Row],[مبلغ واریزی]],bargiri[[#This Row],[مانده مبلغ]])</f>
        <v>#N/A</v>
      </c>
      <c r="O1896" s="159"/>
      <c r="P1896" s="159" t="e">
        <f>VLOOKUP(bargiri[[#This Row],[شماره سند مبنا]],invoice[[شماره پیش فاکتور]:[پیش دریافت به ازای هر کیلوگرم]],14,0)</f>
        <v>#N/A</v>
      </c>
      <c r="Q1896" s="159" t="e">
        <f>IF(bargiri[[#This Row],[مبلغ ناخالص]]-(bargiri[[#This Row],[نرخ استهلاک]]*bargiri[[#This Row],[مقدار]])&lt;0,0,bargiri[[#This Row],[مبلغ ناخالص]]-(bargiri[[#This Row],[نرخ استهلاک]]*bargiri[[#This Row],[مقدار]]))</f>
        <v>#N/A</v>
      </c>
    </row>
    <row r="1897" spans="1:17" s="22" customFormat="1" ht="13.8" x14ac:dyDescent="0.25">
      <c r="A1897" s="22">
        <v>993</v>
      </c>
      <c r="B1897" s="22" t="s">
        <v>482</v>
      </c>
      <c r="C1897" s="22" t="s">
        <v>72</v>
      </c>
      <c r="D1897" s="22" t="s">
        <v>73</v>
      </c>
      <c r="E1897" s="158">
        <v>20260</v>
      </c>
      <c r="F1897" s="159">
        <v>57273</v>
      </c>
      <c r="G1897" s="159">
        <v>1160350980</v>
      </c>
      <c r="H1897" s="159">
        <v>116035098</v>
      </c>
      <c r="I1897" s="159">
        <v>1276386078</v>
      </c>
      <c r="J1897" s="159" t="e">
        <f>bargiri[[#This Row],[مقدار]]*INDEX(invoice[پیش دریافت به ازای هر کیلوگرم],MATCH(bargiri[[#This Row],[شماره سند مبنا]],invoice[شماره پیش فاکتور],0))</f>
        <v>#N/A</v>
      </c>
      <c r="K1897" s="159" t="e">
        <f>bargiri[[#This Row],[مبلغ خالص]]-bargiri[[#This Row],[میزان استهلاک پیش دریافتی]]</f>
        <v>#N/A</v>
      </c>
      <c r="L1897" s="160"/>
      <c r="M1897" s="159"/>
      <c r="N1897" s="159" t="e">
        <f>IF(bargiri[[#This Row],[مبلغ واریزی]]&lt;&gt;"",bargiri[[#This Row],[مانده مبلغ]]-bargiri[[#This Row],[مبلغ واریزی]],bargiri[[#This Row],[مانده مبلغ]])</f>
        <v>#N/A</v>
      </c>
      <c r="O1897" s="159"/>
      <c r="P1897" s="159" t="e">
        <f>VLOOKUP(bargiri[[#This Row],[شماره سند مبنا]],invoice[[شماره پیش فاکتور]:[پیش دریافت به ازای هر کیلوگرم]],14,0)</f>
        <v>#N/A</v>
      </c>
      <c r="Q1897" s="159" t="e">
        <f>IF(bargiri[[#This Row],[مبلغ ناخالص]]-(bargiri[[#This Row],[نرخ استهلاک]]*bargiri[[#This Row],[مقدار]])&lt;0,0,bargiri[[#This Row],[مبلغ ناخالص]]-(bargiri[[#This Row],[نرخ استهلاک]]*bargiri[[#This Row],[مقدار]]))</f>
        <v>#N/A</v>
      </c>
    </row>
    <row r="1898" spans="1:17" s="22" customFormat="1" ht="13.8" x14ac:dyDescent="0.25">
      <c r="A1898" s="22">
        <v>992</v>
      </c>
      <c r="B1898" s="22" t="s">
        <v>482</v>
      </c>
      <c r="C1898" s="22" t="s">
        <v>72</v>
      </c>
      <c r="D1898" s="22" t="s">
        <v>73</v>
      </c>
      <c r="E1898" s="158">
        <v>19895</v>
      </c>
      <c r="F1898" s="159">
        <v>57273</v>
      </c>
      <c r="G1898" s="159">
        <v>1139446335</v>
      </c>
      <c r="H1898" s="159">
        <v>113944634</v>
      </c>
      <c r="I1898" s="159">
        <v>1253390969</v>
      </c>
      <c r="J1898" s="159" t="e">
        <f>bargiri[[#This Row],[مقدار]]*INDEX(invoice[پیش دریافت به ازای هر کیلوگرم],MATCH(bargiri[[#This Row],[شماره سند مبنا]],invoice[شماره پیش فاکتور],0))</f>
        <v>#N/A</v>
      </c>
      <c r="K1898" s="159" t="e">
        <f>bargiri[[#This Row],[مبلغ خالص]]-bargiri[[#This Row],[میزان استهلاک پیش دریافتی]]</f>
        <v>#N/A</v>
      </c>
      <c r="L1898" s="160"/>
      <c r="M1898" s="159"/>
      <c r="N1898" s="159" t="e">
        <f>IF(bargiri[[#This Row],[مبلغ واریزی]]&lt;&gt;"",bargiri[[#This Row],[مانده مبلغ]]-bargiri[[#This Row],[مبلغ واریزی]],bargiri[[#This Row],[مانده مبلغ]])</f>
        <v>#N/A</v>
      </c>
      <c r="O1898" s="159"/>
      <c r="P1898" s="159" t="e">
        <f>VLOOKUP(bargiri[[#This Row],[شماره سند مبنا]],invoice[[شماره پیش فاکتور]:[پیش دریافت به ازای هر کیلوگرم]],14,0)</f>
        <v>#N/A</v>
      </c>
      <c r="Q1898" s="159" t="e">
        <f>IF(bargiri[[#This Row],[مبلغ ناخالص]]-(bargiri[[#This Row],[نرخ استهلاک]]*bargiri[[#This Row],[مقدار]])&lt;0,0,bargiri[[#This Row],[مبلغ ناخالص]]-(bargiri[[#This Row],[نرخ استهلاک]]*bargiri[[#This Row],[مقدار]]))</f>
        <v>#N/A</v>
      </c>
    </row>
    <row r="1899" spans="1:17" s="22" customFormat="1" ht="13.8" x14ac:dyDescent="0.25">
      <c r="A1899" s="22">
        <v>991</v>
      </c>
      <c r="B1899" s="22" t="s">
        <v>482</v>
      </c>
      <c r="C1899" s="22" t="s">
        <v>72</v>
      </c>
      <c r="D1899" s="22" t="s">
        <v>73</v>
      </c>
      <c r="E1899" s="158">
        <v>20055</v>
      </c>
      <c r="F1899" s="159">
        <v>57273</v>
      </c>
      <c r="G1899" s="159">
        <v>1148610015</v>
      </c>
      <c r="H1899" s="159">
        <v>114861002</v>
      </c>
      <c r="I1899" s="159">
        <v>1263471017</v>
      </c>
      <c r="J1899" s="159" t="e">
        <f>bargiri[[#This Row],[مقدار]]*INDEX(invoice[پیش دریافت به ازای هر کیلوگرم],MATCH(bargiri[[#This Row],[شماره سند مبنا]],invoice[شماره پیش فاکتور],0))</f>
        <v>#N/A</v>
      </c>
      <c r="K1899" s="159" t="e">
        <f>bargiri[[#This Row],[مبلغ خالص]]-bargiri[[#This Row],[میزان استهلاک پیش دریافتی]]</f>
        <v>#N/A</v>
      </c>
      <c r="L1899" s="160"/>
      <c r="M1899" s="159"/>
      <c r="N1899" s="159" t="e">
        <f>IF(bargiri[[#This Row],[مبلغ واریزی]]&lt;&gt;"",bargiri[[#This Row],[مانده مبلغ]]-bargiri[[#This Row],[مبلغ واریزی]],bargiri[[#This Row],[مانده مبلغ]])</f>
        <v>#N/A</v>
      </c>
      <c r="O1899" s="159"/>
      <c r="P1899" s="159" t="e">
        <f>VLOOKUP(bargiri[[#This Row],[شماره سند مبنا]],invoice[[شماره پیش فاکتور]:[پیش دریافت به ازای هر کیلوگرم]],14,0)</f>
        <v>#N/A</v>
      </c>
      <c r="Q1899" s="159" t="e">
        <f>IF(bargiri[[#This Row],[مبلغ ناخالص]]-(bargiri[[#This Row],[نرخ استهلاک]]*bargiri[[#This Row],[مقدار]])&lt;0,0,bargiri[[#This Row],[مبلغ ناخالص]]-(bargiri[[#This Row],[نرخ استهلاک]]*bargiri[[#This Row],[مقدار]]))</f>
        <v>#N/A</v>
      </c>
    </row>
    <row r="1900" spans="1:17" s="22" customFormat="1" ht="13.8" x14ac:dyDescent="0.25">
      <c r="A1900" s="22">
        <v>990</v>
      </c>
      <c r="B1900" s="22" t="s">
        <v>367</v>
      </c>
      <c r="C1900" s="22" t="s">
        <v>72</v>
      </c>
      <c r="D1900" s="22" t="s">
        <v>73</v>
      </c>
      <c r="E1900" s="158">
        <v>20220</v>
      </c>
      <c r="F1900" s="159">
        <v>57273</v>
      </c>
      <c r="G1900" s="159">
        <v>1158060060</v>
      </c>
      <c r="H1900" s="159">
        <v>115806006</v>
      </c>
      <c r="I1900" s="159">
        <v>1273866066</v>
      </c>
      <c r="J1900" s="159" t="e">
        <f>bargiri[[#This Row],[مقدار]]*INDEX(invoice[پیش دریافت به ازای هر کیلوگرم],MATCH(bargiri[[#This Row],[شماره سند مبنا]],invoice[شماره پیش فاکتور],0))</f>
        <v>#N/A</v>
      </c>
      <c r="K1900" s="159" t="e">
        <f>bargiri[[#This Row],[مبلغ خالص]]-bargiri[[#This Row],[میزان استهلاک پیش دریافتی]]</f>
        <v>#N/A</v>
      </c>
      <c r="L1900" s="160"/>
      <c r="M1900" s="159"/>
      <c r="N1900" s="159" t="e">
        <f>IF(bargiri[[#This Row],[مبلغ واریزی]]&lt;&gt;"",bargiri[[#This Row],[مانده مبلغ]]-bargiri[[#This Row],[مبلغ واریزی]],bargiri[[#This Row],[مانده مبلغ]])</f>
        <v>#N/A</v>
      </c>
      <c r="O1900" s="159"/>
      <c r="P1900" s="159" t="e">
        <f>VLOOKUP(bargiri[[#This Row],[شماره سند مبنا]],invoice[[شماره پیش فاکتور]:[پیش دریافت به ازای هر کیلوگرم]],14,0)</f>
        <v>#N/A</v>
      </c>
      <c r="Q1900" s="159" t="e">
        <f>IF(bargiri[[#This Row],[مبلغ ناخالص]]-(bargiri[[#This Row],[نرخ استهلاک]]*bargiri[[#This Row],[مقدار]])&lt;0,0,bargiri[[#This Row],[مبلغ ناخالص]]-(bargiri[[#This Row],[نرخ استهلاک]]*bargiri[[#This Row],[مقدار]]))</f>
        <v>#N/A</v>
      </c>
    </row>
    <row r="1901" spans="1:17" s="22" customFormat="1" ht="13.8" x14ac:dyDescent="0.25">
      <c r="A1901" s="22">
        <v>989</v>
      </c>
      <c r="B1901" s="22" t="s">
        <v>367</v>
      </c>
      <c r="C1901" s="22" t="s">
        <v>72</v>
      </c>
      <c r="D1901" s="22" t="s">
        <v>73</v>
      </c>
      <c r="E1901" s="158">
        <v>20280</v>
      </c>
      <c r="F1901" s="159">
        <v>57273</v>
      </c>
      <c r="G1901" s="159">
        <v>1161496440</v>
      </c>
      <c r="H1901" s="159">
        <v>116149644</v>
      </c>
      <c r="I1901" s="159">
        <v>1277646084</v>
      </c>
      <c r="J1901" s="159" t="e">
        <f>bargiri[[#This Row],[مقدار]]*INDEX(invoice[پیش دریافت به ازای هر کیلوگرم],MATCH(bargiri[[#This Row],[شماره سند مبنا]],invoice[شماره پیش فاکتور],0))</f>
        <v>#N/A</v>
      </c>
      <c r="K1901" s="159" t="e">
        <f>bargiri[[#This Row],[مبلغ خالص]]-bargiri[[#This Row],[میزان استهلاک پیش دریافتی]]</f>
        <v>#N/A</v>
      </c>
      <c r="L1901" s="160"/>
      <c r="M1901" s="159"/>
      <c r="N1901" s="159" t="e">
        <f>IF(bargiri[[#This Row],[مبلغ واریزی]]&lt;&gt;"",bargiri[[#This Row],[مانده مبلغ]]-bargiri[[#This Row],[مبلغ واریزی]],bargiri[[#This Row],[مانده مبلغ]])</f>
        <v>#N/A</v>
      </c>
      <c r="O1901" s="159"/>
      <c r="P1901" s="159" t="e">
        <f>VLOOKUP(bargiri[[#This Row],[شماره سند مبنا]],invoice[[شماره پیش فاکتور]:[پیش دریافت به ازای هر کیلوگرم]],14,0)</f>
        <v>#N/A</v>
      </c>
      <c r="Q1901" s="159" t="e">
        <f>IF(bargiri[[#This Row],[مبلغ ناخالص]]-(bargiri[[#This Row],[نرخ استهلاک]]*bargiri[[#This Row],[مقدار]])&lt;0,0,bargiri[[#This Row],[مبلغ ناخالص]]-(bargiri[[#This Row],[نرخ استهلاک]]*bargiri[[#This Row],[مقدار]]))</f>
        <v>#N/A</v>
      </c>
    </row>
    <row r="1902" spans="1:17" s="22" customFormat="1" ht="13.8" x14ac:dyDescent="0.25">
      <c r="A1902" s="22">
        <v>988</v>
      </c>
      <c r="B1902" s="22" t="s">
        <v>367</v>
      </c>
      <c r="C1902" s="22" t="s">
        <v>72</v>
      </c>
      <c r="D1902" s="22" t="s">
        <v>73</v>
      </c>
      <c r="E1902" s="158">
        <v>20210</v>
      </c>
      <c r="F1902" s="159">
        <v>57273</v>
      </c>
      <c r="G1902" s="159">
        <v>1157487330</v>
      </c>
      <c r="H1902" s="159">
        <v>115748733</v>
      </c>
      <c r="I1902" s="159">
        <v>1273236063</v>
      </c>
      <c r="J1902" s="159" t="e">
        <f>bargiri[[#This Row],[مقدار]]*INDEX(invoice[پیش دریافت به ازای هر کیلوگرم],MATCH(bargiri[[#This Row],[شماره سند مبنا]],invoice[شماره پیش فاکتور],0))</f>
        <v>#N/A</v>
      </c>
      <c r="K1902" s="159" t="e">
        <f>bargiri[[#This Row],[مبلغ خالص]]-bargiri[[#This Row],[میزان استهلاک پیش دریافتی]]</f>
        <v>#N/A</v>
      </c>
      <c r="L1902" s="160"/>
      <c r="M1902" s="159"/>
      <c r="N1902" s="159" t="e">
        <f>IF(bargiri[[#This Row],[مبلغ واریزی]]&lt;&gt;"",bargiri[[#This Row],[مانده مبلغ]]-bargiri[[#This Row],[مبلغ واریزی]],bargiri[[#This Row],[مانده مبلغ]])</f>
        <v>#N/A</v>
      </c>
      <c r="O1902" s="159"/>
      <c r="P1902" s="159" t="e">
        <f>VLOOKUP(bargiri[[#This Row],[شماره سند مبنا]],invoice[[شماره پیش فاکتور]:[پیش دریافت به ازای هر کیلوگرم]],14,0)</f>
        <v>#N/A</v>
      </c>
      <c r="Q1902" s="159" t="e">
        <f>IF(bargiri[[#This Row],[مبلغ ناخالص]]-(bargiri[[#This Row],[نرخ استهلاک]]*bargiri[[#This Row],[مقدار]])&lt;0,0,bargiri[[#This Row],[مبلغ ناخالص]]-(bargiri[[#This Row],[نرخ استهلاک]]*bargiri[[#This Row],[مقدار]]))</f>
        <v>#N/A</v>
      </c>
    </row>
    <row r="1903" spans="1:17" s="22" customFormat="1" ht="13.8" x14ac:dyDescent="0.25">
      <c r="A1903" s="22">
        <v>987</v>
      </c>
      <c r="B1903" s="22" t="s">
        <v>483</v>
      </c>
      <c r="C1903" s="22" t="s">
        <v>72</v>
      </c>
      <c r="D1903" s="22" t="s">
        <v>73</v>
      </c>
      <c r="E1903" s="158">
        <v>20575</v>
      </c>
      <c r="F1903" s="159">
        <v>57273</v>
      </c>
      <c r="G1903" s="159">
        <v>1178391975</v>
      </c>
      <c r="H1903" s="159">
        <v>117839198</v>
      </c>
      <c r="I1903" s="159">
        <v>1296231173</v>
      </c>
      <c r="J1903" s="159" t="e">
        <f>bargiri[[#This Row],[مقدار]]*INDEX(invoice[پیش دریافت به ازای هر کیلوگرم],MATCH(bargiri[[#This Row],[شماره سند مبنا]],invoice[شماره پیش فاکتور],0))</f>
        <v>#N/A</v>
      </c>
      <c r="K1903" s="159" t="e">
        <f>bargiri[[#This Row],[مبلغ خالص]]-bargiri[[#This Row],[میزان استهلاک پیش دریافتی]]</f>
        <v>#N/A</v>
      </c>
      <c r="L1903" s="160"/>
      <c r="M1903" s="159"/>
      <c r="N1903" s="159" t="e">
        <f>IF(bargiri[[#This Row],[مبلغ واریزی]]&lt;&gt;"",bargiri[[#This Row],[مانده مبلغ]]-bargiri[[#This Row],[مبلغ واریزی]],bargiri[[#This Row],[مانده مبلغ]])</f>
        <v>#N/A</v>
      </c>
      <c r="O1903" s="159"/>
      <c r="P1903" s="159" t="e">
        <f>VLOOKUP(bargiri[[#This Row],[شماره سند مبنا]],invoice[[شماره پیش فاکتور]:[پیش دریافت به ازای هر کیلوگرم]],14,0)</f>
        <v>#N/A</v>
      </c>
      <c r="Q1903" s="159" t="e">
        <f>IF(bargiri[[#This Row],[مبلغ ناخالص]]-(bargiri[[#This Row],[نرخ استهلاک]]*bargiri[[#This Row],[مقدار]])&lt;0,0,bargiri[[#This Row],[مبلغ ناخالص]]-(bargiri[[#This Row],[نرخ استهلاک]]*bargiri[[#This Row],[مقدار]]))</f>
        <v>#N/A</v>
      </c>
    </row>
    <row r="1904" spans="1:17" s="22" customFormat="1" ht="13.8" x14ac:dyDescent="0.25">
      <c r="A1904" s="22">
        <v>986</v>
      </c>
      <c r="B1904" s="22" t="s">
        <v>484</v>
      </c>
      <c r="C1904" s="22" t="s">
        <v>72</v>
      </c>
      <c r="D1904" s="22" t="s">
        <v>73</v>
      </c>
      <c r="E1904" s="158">
        <v>21325</v>
      </c>
      <c r="F1904" s="159">
        <v>57273</v>
      </c>
      <c r="G1904" s="159">
        <v>1221346725</v>
      </c>
      <c r="H1904" s="159">
        <v>122134673</v>
      </c>
      <c r="I1904" s="159">
        <v>1343481398</v>
      </c>
      <c r="J1904" s="159" t="e">
        <f>bargiri[[#This Row],[مقدار]]*INDEX(invoice[پیش دریافت به ازای هر کیلوگرم],MATCH(bargiri[[#This Row],[شماره سند مبنا]],invoice[شماره پیش فاکتور],0))</f>
        <v>#N/A</v>
      </c>
      <c r="K1904" s="159" t="e">
        <f>bargiri[[#This Row],[مبلغ خالص]]-bargiri[[#This Row],[میزان استهلاک پیش دریافتی]]</f>
        <v>#N/A</v>
      </c>
      <c r="L1904" s="160"/>
      <c r="M1904" s="159"/>
      <c r="N1904" s="159" t="e">
        <f>IF(bargiri[[#This Row],[مبلغ واریزی]]&lt;&gt;"",bargiri[[#This Row],[مانده مبلغ]]-bargiri[[#This Row],[مبلغ واریزی]],bargiri[[#This Row],[مانده مبلغ]])</f>
        <v>#N/A</v>
      </c>
      <c r="O1904" s="159"/>
      <c r="P1904" s="159" t="e">
        <f>VLOOKUP(bargiri[[#This Row],[شماره سند مبنا]],invoice[[شماره پیش فاکتور]:[پیش دریافت به ازای هر کیلوگرم]],14,0)</f>
        <v>#N/A</v>
      </c>
      <c r="Q1904" s="159" t="e">
        <f>IF(bargiri[[#This Row],[مبلغ ناخالص]]-(bargiri[[#This Row],[نرخ استهلاک]]*bargiri[[#This Row],[مقدار]])&lt;0,0,bargiri[[#This Row],[مبلغ ناخالص]]-(bargiri[[#This Row],[نرخ استهلاک]]*bargiri[[#This Row],[مقدار]]))</f>
        <v>#N/A</v>
      </c>
    </row>
    <row r="1905" spans="1:17" s="22" customFormat="1" ht="13.8" x14ac:dyDescent="0.25">
      <c r="A1905" s="22">
        <v>985</v>
      </c>
      <c r="B1905" s="22" t="s">
        <v>484</v>
      </c>
      <c r="C1905" s="22" t="s">
        <v>72</v>
      </c>
      <c r="D1905" s="22" t="s">
        <v>73</v>
      </c>
      <c r="E1905" s="158">
        <v>20850</v>
      </c>
      <c r="F1905" s="159">
        <v>57273</v>
      </c>
      <c r="G1905" s="159">
        <v>1194142050</v>
      </c>
      <c r="H1905" s="159">
        <v>119414205</v>
      </c>
      <c r="I1905" s="159">
        <v>1313556255</v>
      </c>
      <c r="J1905" s="159" t="e">
        <f>bargiri[[#This Row],[مقدار]]*INDEX(invoice[پیش دریافت به ازای هر کیلوگرم],MATCH(bargiri[[#This Row],[شماره سند مبنا]],invoice[شماره پیش فاکتور],0))</f>
        <v>#N/A</v>
      </c>
      <c r="K1905" s="159" t="e">
        <f>bargiri[[#This Row],[مبلغ خالص]]-bargiri[[#This Row],[میزان استهلاک پیش دریافتی]]</f>
        <v>#N/A</v>
      </c>
      <c r="L1905" s="160"/>
      <c r="M1905" s="159"/>
      <c r="N1905" s="159" t="e">
        <f>IF(bargiri[[#This Row],[مبلغ واریزی]]&lt;&gt;"",bargiri[[#This Row],[مانده مبلغ]]-bargiri[[#This Row],[مبلغ واریزی]],bargiri[[#This Row],[مانده مبلغ]])</f>
        <v>#N/A</v>
      </c>
      <c r="O1905" s="159"/>
      <c r="P1905" s="159" t="e">
        <f>VLOOKUP(bargiri[[#This Row],[شماره سند مبنا]],invoice[[شماره پیش فاکتور]:[پیش دریافت به ازای هر کیلوگرم]],14,0)</f>
        <v>#N/A</v>
      </c>
      <c r="Q1905" s="159" t="e">
        <f>IF(bargiri[[#This Row],[مبلغ ناخالص]]-(bargiri[[#This Row],[نرخ استهلاک]]*bargiri[[#This Row],[مقدار]])&lt;0,0,bargiri[[#This Row],[مبلغ ناخالص]]-(bargiri[[#This Row],[نرخ استهلاک]]*bargiri[[#This Row],[مقدار]]))</f>
        <v>#N/A</v>
      </c>
    </row>
    <row r="1906" spans="1:17" s="22" customFormat="1" ht="13.8" x14ac:dyDescent="0.25">
      <c r="A1906" s="22">
        <v>984</v>
      </c>
      <c r="B1906" s="22" t="s">
        <v>485</v>
      </c>
      <c r="C1906" s="22" t="s">
        <v>72</v>
      </c>
      <c r="D1906" s="22" t="s">
        <v>73</v>
      </c>
      <c r="E1906" s="158">
        <v>21235</v>
      </c>
      <c r="F1906" s="159">
        <v>57273</v>
      </c>
      <c r="G1906" s="159">
        <v>1216192155</v>
      </c>
      <c r="H1906" s="159">
        <v>121619216</v>
      </c>
      <c r="I1906" s="159">
        <v>1337811371</v>
      </c>
      <c r="J1906" s="159" t="e">
        <f>bargiri[[#This Row],[مقدار]]*INDEX(invoice[پیش دریافت به ازای هر کیلوگرم],MATCH(bargiri[[#This Row],[شماره سند مبنا]],invoice[شماره پیش فاکتور],0))</f>
        <v>#N/A</v>
      </c>
      <c r="K1906" s="159" t="e">
        <f>bargiri[[#This Row],[مبلغ خالص]]-bargiri[[#This Row],[میزان استهلاک پیش دریافتی]]</f>
        <v>#N/A</v>
      </c>
      <c r="L1906" s="160"/>
      <c r="M1906" s="159"/>
      <c r="N1906" s="159" t="e">
        <f>IF(bargiri[[#This Row],[مبلغ واریزی]]&lt;&gt;"",bargiri[[#This Row],[مانده مبلغ]]-bargiri[[#This Row],[مبلغ واریزی]],bargiri[[#This Row],[مانده مبلغ]])</f>
        <v>#N/A</v>
      </c>
      <c r="O1906" s="159"/>
      <c r="P1906" s="159" t="e">
        <f>VLOOKUP(bargiri[[#This Row],[شماره سند مبنا]],invoice[[شماره پیش فاکتور]:[پیش دریافت به ازای هر کیلوگرم]],14,0)</f>
        <v>#N/A</v>
      </c>
      <c r="Q1906" s="159" t="e">
        <f>IF(bargiri[[#This Row],[مبلغ ناخالص]]-(bargiri[[#This Row],[نرخ استهلاک]]*bargiri[[#This Row],[مقدار]])&lt;0,0,bargiri[[#This Row],[مبلغ ناخالص]]-(bargiri[[#This Row],[نرخ استهلاک]]*bargiri[[#This Row],[مقدار]]))</f>
        <v>#N/A</v>
      </c>
    </row>
    <row r="1907" spans="1:17" s="22" customFormat="1" ht="13.8" x14ac:dyDescent="0.25">
      <c r="A1907" s="22">
        <v>983</v>
      </c>
      <c r="B1907" s="22" t="s">
        <v>485</v>
      </c>
      <c r="C1907" s="22" t="s">
        <v>72</v>
      </c>
      <c r="D1907" s="22" t="s">
        <v>73</v>
      </c>
      <c r="E1907" s="158">
        <v>20775</v>
      </c>
      <c r="F1907" s="159">
        <v>57273</v>
      </c>
      <c r="G1907" s="159">
        <v>1189846575</v>
      </c>
      <c r="H1907" s="159">
        <v>118984658</v>
      </c>
      <c r="I1907" s="159">
        <v>1308831233</v>
      </c>
      <c r="J1907" s="159" t="e">
        <f>bargiri[[#This Row],[مقدار]]*INDEX(invoice[پیش دریافت به ازای هر کیلوگرم],MATCH(bargiri[[#This Row],[شماره سند مبنا]],invoice[شماره پیش فاکتور],0))</f>
        <v>#N/A</v>
      </c>
      <c r="K1907" s="159" t="e">
        <f>bargiri[[#This Row],[مبلغ خالص]]-bargiri[[#This Row],[میزان استهلاک پیش دریافتی]]</f>
        <v>#N/A</v>
      </c>
      <c r="L1907" s="160"/>
      <c r="M1907" s="159"/>
      <c r="N1907" s="159" t="e">
        <f>IF(bargiri[[#This Row],[مبلغ واریزی]]&lt;&gt;"",bargiri[[#This Row],[مانده مبلغ]]-bargiri[[#This Row],[مبلغ واریزی]],bargiri[[#This Row],[مانده مبلغ]])</f>
        <v>#N/A</v>
      </c>
      <c r="O1907" s="159"/>
      <c r="P1907" s="159" t="e">
        <f>VLOOKUP(bargiri[[#This Row],[شماره سند مبنا]],invoice[[شماره پیش فاکتور]:[پیش دریافت به ازای هر کیلوگرم]],14,0)</f>
        <v>#N/A</v>
      </c>
      <c r="Q1907" s="159" t="e">
        <f>IF(bargiri[[#This Row],[مبلغ ناخالص]]-(bargiri[[#This Row],[نرخ استهلاک]]*bargiri[[#This Row],[مقدار]])&lt;0,0,bargiri[[#This Row],[مبلغ ناخالص]]-(bargiri[[#This Row],[نرخ استهلاک]]*bargiri[[#This Row],[مقدار]]))</f>
        <v>#N/A</v>
      </c>
    </row>
    <row r="1908" spans="1:17" s="22" customFormat="1" ht="13.8" x14ac:dyDescent="0.25">
      <c r="A1908" s="22">
        <v>982</v>
      </c>
      <c r="B1908" s="22" t="s">
        <v>485</v>
      </c>
      <c r="C1908" s="22" t="s">
        <v>72</v>
      </c>
      <c r="D1908" s="22" t="s">
        <v>73</v>
      </c>
      <c r="E1908" s="158">
        <v>21375</v>
      </c>
      <c r="F1908" s="159">
        <v>57273</v>
      </c>
      <c r="G1908" s="159">
        <v>1224210375</v>
      </c>
      <c r="H1908" s="159">
        <v>122421038</v>
      </c>
      <c r="I1908" s="159">
        <v>1346631413</v>
      </c>
      <c r="J1908" s="159" t="e">
        <f>bargiri[[#This Row],[مقدار]]*INDEX(invoice[پیش دریافت به ازای هر کیلوگرم],MATCH(bargiri[[#This Row],[شماره سند مبنا]],invoice[شماره پیش فاکتور],0))</f>
        <v>#N/A</v>
      </c>
      <c r="K1908" s="159" t="e">
        <f>bargiri[[#This Row],[مبلغ خالص]]-bargiri[[#This Row],[میزان استهلاک پیش دریافتی]]</f>
        <v>#N/A</v>
      </c>
      <c r="L1908" s="160"/>
      <c r="M1908" s="159"/>
      <c r="N1908" s="159" t="e">
        <f>IF(bargiri[[#This Row],[مبلغ واریزی]]&lt;&gt;"",bargiri[[#This Row],[مانده مبلغ]]-bargiri[[#This Row],[مبلغ واریزی]],bargiri[[#This Row],[مانده مبلغ]])</f>
        <v>#N/A</v>
      </c>
      <c r="O1908" s="159"/>
      <c r="P1908" s="159" t="e">
        <f>VLOOKUP(bargiri[[#This Row],[شماره سند مبنا]],invoice[[شماره پیش فاکتور]:[پیش دریافت به ازای هر کیلوگرم]],14,0)</f>
        <v>#N/A</v>
      </c>
      <c r="Q1908" s="159" t="e">
        <f>IF(bargiri[[#This Row],[مبلغ ناخالص]]-(bargiri[[#This Row],[نرخ استهلاک]]*bargiri[[#This Row],[مقدار]])&lt;0,0,bargiri[[#This Row],[مبلغ ناخالص]]-(bargiri[[#This Row],[نرخ استهلاک]]*bargiri[[#This Row],[مقدار]]))</f>
        <v>#N/A</v>
      </c>
    </row>
    <row r="1909" spans="1:17" s="22" customFormat="1" ht="13.8" x14ac:dyDescent="0.25">
      <c r="A1909" s="22">
        <v>981</v>
      </c>
      <c r="B1909" s="22" t="s">
        <v>486</v>
      </c>
      <c r="C1909" s="22" t="s">
        <v>72</v>
      </c>
      <c r="D1909" s="22" t="s">
        <v>73</v>
      </c>
      <c r="E1909" s="158">
        <v>20555</v>
      </c>
      <c r="F1909" s="159">
        <v>57273</v>
      </c>
      <c r="G1909" s="159">
        <v>1177246515</v>
      </c>
      <c r="H1909" s="159">
        <v>117724652</v>
      </c>
      <c r="I1909" s="159">
        <v>1294971167</v>
      </c>
      <c r="J1909" s="159" t="e">
        <f>bargiri[[#This Row],[مقدار]]*INDEX(invoice[پیش دریافت به ازای هر کیلوگرم],MATCH(bargiri[[#This Row],[شماره سند مبنا]],invoice[شماره پیش فاکتور],0))</f>
        <v>#N/A</v>
      </c>
      <c r="K1909" s="159" t="e">
        <f>bargiri[[#This Row],[مبلغ خالص]]-bargiri[[#This Row],[میزان استهلاک پیش دریافتی]]</f>
        <v>#N/A</v>
      </c>
      <c r="L1909" s="160"/>
      <c r="M1909" s="159"/>
      <c r="N1909" s="159" t="e">
        <f>IF(bargiri[[#This Row],[مبلغ واریزی]]&lt;&gt;"",bargiri[[#This Row],[مانده مبلغ]]-bargiri[[#This Row],[مبلغ واریزی]],bargiri[[#This Row],[مانده مبلغ]])</f>
        <v>#N/A</v>
      </c>
      <c r="O1909" s="159"/>
      <c r="P1909" s="159" t="e">
        <f>VLOOKUP(bargiri[[#This Row],[شماره سند مبنا]],invoice[[شماره پیش فاکتور]:[پیش دریافت به ازای هر کیلوگرم]],14,0)</f>
        <v>#N/A</v>
      </c>
      <c r="Q1909" s="159" t="e">
        <f>IF(bargiri[[#This Row],[مبلغ ناخالص]]-(bargiri[[#This Row],[نرخ استهلاک]]*bargiri[[#This Row],[مقدار]])&lt;0,0,bargiri[[#This Row],[مبلغ ناخالص]]-(bargiri[[#This Row],[نرخ استهلاک]]*bargiri[[#This Row],[مقدار]]))</f>
        <v>#N/A</v>
      </c>
    </row>
    <row r="1910" spans="1:17" s="22" customFormat="1" ht="13.8" x14ac:dyDescent="0.25">
      <c r="A1910" s="22">
        <v>980</v>
      </c>
      <c r="B1910" s="22" t="s">
        <v>486</v>
      </c>
      <c r="C1910" s="22" t="s">
        <v>72</v>
      </c>
      <c r="D1910" s="22" t="s">
        <v>73</v>
      </c>
      <c r="E1910" s="158">
        <v>21350</v>
      </c>
      <c r="F1910" s="159">
        <v>57273</v>
      </c>
      <c r="G1910" s="159">
        <v>1222778550</v>
      </c>
      <c r="H1910" s="159">
        <v>122277855</v>
      </c>
      <c r="I1910" s="159">
        <v>1345056405</v>
      </c>
      <c r="J1910" s="159" t="e">
        <f>bargiri[[#This Row],[مقدار]]*INDEX(invoice[پیش دریافت به ازای هر کیلوگرم],MATCH(bargiri[[#This Row],[شماره سند مبنا]],invoice[شماره پیش فاکتور],0))</f>
        <v>#N/A</v>
      </c>
      <c r="K1910" s="159" t="e">
        <f>bargiri[[#This Row],[مبلغ خالص]]-bargiri[[#This Row],[میزان استهلاک پیش دریافتی]]</f>
        <v>#N/A</v>
      </c>
      <c r="L1910" s="160"/>
      <c r="M1910" s="159"/>
      <c r="N1910" s="159" t="e">
        <f>IF(bargiri[[#This Row],[مبلغ واریزی]]&lt;&gt;"",bargiri[[#This Row],[مانده مبلغ]]-bargiri[[#This Row],[مبلغ واریزی]],bargiri[[#This Row],[مانده مبلغ]])</f>
        <v>#N/A</v>
      </c>
      <c r="O1910" s="159"/>
      <c r="P1910" s="159" t="e">
        <f>VLOOKUP(bargiri[[#This Row],[شماره سند مبنا]],invoice[[شماره پیش فاکتور]:[پیش دریافت به ازای هر کیلوگرم]],14,0)</f>
        <v>#N/A</v>
      </c>
      <c r="Q1910" s="159" t="e">
        <f>IF(bargiri[[#This Row],[مبلغ ناخالص]]-(bargiri[[#This Row],[نرخ استهلاک]]*bargiri[[#This Row],[مقدار]])&lt;0,0,bargiri[[#This Row],[مبلغ ناخالص]]-(bargiri[[#This Row],[نرخ استهلاک]]*bargiri[[#This Row],[مقدار]]))</f>
        <v>#N/A</v>
      </c>
    </row>
    <row r="1911" spans="1:17" s="22" customFormat="1" ht="13.8" x14ac:dyDescent="0.25">
      <c r="A1911" s="22">
        <v>979</v>
      </c>
      <c r="B1911" s="22" t="s">
        <v>486</v>
      </c>
      <c r="C1911" s="22" t="s">
        <v>72</v>
      </c>
      <c r="D1911" s="22" t="s">
        <v>73</v>
      </c>
      <c r="E1911" s="158">
        <v>20165</v>
      </c>
      <c r="F1911" s="159">
        <v>57273</v>
      </c>
      <c r="G1911" s="159">
        <v>1154910045</v>
      </c>
      <c r="H1911" s="159">
        <v>115491005</v>
      </c>
      <c r="I1911" s="159">
        <v>1270401050</v>
      </c>
      <c r="J1911" s="159" t="e">
        <f>bargiri[[#This Row],[مقدار]]*INDEX(invoice[پیش دریافت به ازای هر کیلوگرم],MATCH(bargiri[[#This Row],[شماره سند مبنا]],invoice[شماره پیش فاکتور],0))</f>
        <v>#N/A</v>
      </c>
      <c r="K1911" s="159" t="e">
        <f>bargiri[[#This Row],[مبلغ خالص]]-bargiri[[#This Row],[میزان استهلاک پیش دریافتی]]</f>
        <v>#N/A</v>
      </c>
      <c r="L1911" s="160"/>
      <c r="M1911" s="159"/>
      <c r="N1911" s="159" t="e">
        <f>IF(bargiri[[#This Row],[مبلغ واریزی]]&lt;&gt;"",bargiri[[#This Row],[مانده مبلغ]]-bargiri[[#This Row],[مبلغ واریزی]],bargiri[[#This Row],[مانده مبلغ]])</f>
        <v>#N/A</v>
      </c>
      <c r="O1911" s="159"/>
      <c r="P1911" s="159" t="e">
        <f>VLOOKUP(bargiri[[#This Row],[شماره سند مبنا]],invoice[[شماره پیش فاکتور]:[پیش دریافت به ازای هر کیلوگرم]],14,0)</f>
        <v>#N/A</v>
      </c>
      <c r="Q1911" s="159" t="e">
        <f>IF(bargiri[[#This Row],[مبلغ ناخالص]]-(bargiri[[#This Row],[نرخ استهلاک]]*bargiri[[#This Row],[مقدار]])&lt;0,0,bargiri[[#This Row],[مبلغ ناخالص]]-(bargiri[[#This Row],[نرخ استهلاک]]*bargiri[[#This Row],[مقدار]]))</f>
        <v>#N/A</v>
      </c>
    </row>
    <row r="1912" spans="1:17" s="22" customFormat="1" ht="13.8" x14ac:dyDescent="0.25">
      <c r="A1912" s="22">
        <v>978</v>
      </c>
      <c r="B1912" s="22" t="s">
        <v>487</v>
      </c>
      <c r="C1912" s="22" t="s">
        <v>72</v>
      </c>
      <c r="D1912" s="22" t="s">
        <v>73</v>
      </c>
      <c r="E1912" s="158">
        <v>20535</v>
      </c>
      <c r="F1912" s="159">
        <v>57273</v>
      </c>
      <c r="G1912" s="159">
        <v>1176101055</v>
      </c>
      <c r="H1912" s="159">
        <v>117610106</v>
      </c>
      <c r="I1912" s="159">
        <v>1293711161</v>
      </c>
      <c r="J1912" s="159" t="e">
        <f>bargiri[[#This Row],[مقدار]]*INDEX(invoice[پیش دریافت به ازای هر کیلوگرم],MATCH(bargiri[[#This Row],[شماره سند مبنا]],invoice[شماره پیش فاکتور],0))</f>
        <v>#N/A</v>
      </c>
      <c r="K1912" s="159" t="e">
        <f>bargiri[[#This Row],[مبلغ خالص]]-bargiri[[#This Row],[میزان استهلاک پیش دریافتی]]</f>
        <v>#N/A</v>
      </c>
      <c r="L1912" s="160"/>
      <c r="M1912" s="159"/>
      <c r="N1912" s="159" t="e">
        <f>IF(bargiri[[#This Row],[مبلغ واریزی]]&lt;&gt;"",bargiri[[#This Row],[مانده مبلغ]]-bargiri[[#This Row],[مبلغ واریزی]],bargiri[[#This Row],[مانده مبلغ]])</f>
        <v>#N/A</v>
      </c>
      <c r="O1912" s="159"/>
      <c r="P1912" s="159" t="e">
        <f>VLOOKUP(bargiri[[#This Row],[شماره سند مبنا]],invoice[[شماره پیش فاکتور]:[پیش دریافت به ازای هر کیلوگرم]],14,0)</f>
        <v>#N/A</v>
      </c>
      <c r="Q1912" s="159" t="e">
        <f>IF(bargiri[[#This Row],[مبلغ ناخالص]]-(bargiri[[#This Row],[نرخ استهلاک]]*bargiri[[#This Row],[مقدار]])&lt;0,0,bargiri[[#This Row],[مبلغ ناخالص]]-(bargiri[[#This Row],[نرخ استهلاک]]*bargiri[[#This Row],[مقدار]]))</f>
        <v>#N/A</v>
      </c>
    </row>
    <row r="1913" spans="1:17" s="22" customFormat="1" ht="13.8" x14ac:dyDescent="0.25">
      <c r="A1913" s="22">
        <v>977</v>
      </c>
      <c r="B1913" s="22" t="s">
        <v>487</v>
      </c>
      <c r="C1913" s="22" t="s">
        <v>72</v>
      </c>
      <c r="D1913" s="22" t="s">
        <v>73</v>
      </c>
      <c r="E1913" s="158">
        <v>21115</v>
      </c>
      <c r="F1913" s="159">
        <v>57273</v>
      </c>
      <c r="G1913" s="159">
        <v>1209319395</v>
      </c>
      <c r="H1913" s="159">
        <v>120931940</v>
      </c>
      <c r="I1913" s="159">
        <v>1330251335</v>
      </c>
      <c r="J1913" s="159" t="e">
        <f>bargiri[[#This Row],[مقدار]]*INDEX(invoice[پیش دریافت به ازای هر کیلوگرم],MATCH(bargiri[[#This Row],[شماره سند مبنا]],invoice[شماره پیش فاکتور],0))</f>
        <v>#N/A</v>
      </c>
      <c r="K1913" s="159" t="e">
        <f>bargiri[[#This Row],[مبلغ خالص]]-bargiri[[#This Row],[میزان استهلاک پیش دریافتی]]</f>
        <v>#N/A</v>
      </c>
      <c r="L1913" s="160"/>
      <c r="M1913" s="159"/>
      <c r="N1913" s="159" t="e">
        <f>IF(bargiri[[#This Row],[مبلغ واریزی]]&lt;&gt;"",bargiri[[#This Row],[مانده مبلغ]]-bargiri[[#This Row],[مبلغ واریزی]],bargiri[[#This Row],[مانده مبلغ]])</f>
        <v>#N/A</v>
      </c>
      <c r="O1913" s="159"/>
      <c r="P1913" s="159" t="e">
        <f>VLOOKUP(bargiri[[#This Row],[شماره سند مبنا]],invoice[[شماره پیش فاکتور]:[پیش دریافت به ازای هر کیلوگرم]],14,0)</f>
        <v>#N/A</v>
      </c>
      <c r="Q1913" s="159" t="e">
        <f>IF(bargiri[[#This Row],[مبلغ ناخالص]]-(bargiri[[#This Row],[نرخ استهلاک]]*bargiri[[#This Row],[مقدار]])&lt;0,0,bargiri[[#This Row],[مبلغ ناخالص]]-(bargiri[[#This Row],[نرخ استهلاک]]*bargiri[[#This Row],[مقدار]]))</f>
        <v>#N/A</v>
      </c>
    </row>
    <row r="1914" spans="1:17" s="22" customFormat="1" ht="13.8" x14ac:dyDescent="0.25">
      <c r="A1914" s="22">
        <v>976</v>
      </c>
      <c r="B1914" s="22" t="s">
        <v>488</v>
      </c>
      <c r="C1914" s="22" t="s">
        <v>72</v>
      </c>
      <c r="D1914" s="22" t="s">
        <v>73</v>
      </c>
      <c r="E1914" s="158">
        <v>21290</v>
      </c>
      <c r="F1914" s="159">
        <v>57273</v>
      </c>
      <c r="G1914" s="159">
        <v>1219342170</v>
      </c>
      <c r="H1914" s="159">
        <v>121934217</v>
      </c>
      <c r="I1914" s="159">
        <v>1341276387</v>
      </c>
      <c r="J1914" s="159" t="e">
        <f>bargiri[[#This Row],[مقدار]]*INDEX(invoice[پیش دریافت به ازای هر کیلوگرم],MATCH(bargiri[[#This Row],[شماره سند مبنا]],invoice[شماره پیش فاکتور],0))</f>
        <v>#N/A</v>
      </c>
      <c r="K1914" s="159" t="e">
        <f>bargiri[[#This Row],[مبلغ خالص]]-bargiri[[#This Row],[میزان استهلاک پیش دریافتی]]</f>
        <v>#N/A</v>
      </c>
      <c r="L1914" s="160"/>
      <c r="M1914" s="159"/>
      <c r="N1914" s="159" t="e">
        <f>IF(bargiri[[#This Row],[مبلغ واریزی]]&lt;&gt;"",bargiri[[#This Row],[مانده مبلغ]]-bargiri[[#This Row],[مبلغ واریزی]],bargiri[[#This Row],[مانده مبلغ]])</f>
        <v>#N/A</v>
      </c>
      <c r="O1914" s="159"/>
      <c r="P1914" s="159" t="e">
        <f>VLOOKUP(bargiri[[#This Row],[شماره سند مبنا]],invoice[[شماره پیش فاکتور]:[پیش دریافت به ازای هر کیلوگرم]],14,0)</f>
        <v>#N/A</v>
      </c>
      <c r="Q1914" s="159" t="e">
        <f>IF(bargiri[[#This Row],[مبلغ ناخالص]]-(bargiri[[#This Row],[نرخ استهلاک]]*bargiri[[#This Row],[مقدار]])&lt;0,0,bargiri[[#This Row],[مبلغ ناخالص]]-(bargiri[[#This Row],[نرخ استهلاک]]*bargiri[[#This Row],[مقدار]]))</f>
        <v>#N/A</v>
      </c>
    </row>
    <row r="1915" spans="1:17" s="22" customFormat="1" ht="13.8" x14ac:dyDescent="0.25">
      <c r="A1915" s="22">
        <v>975</v>
      </c>
      <c r="B1915" s="22" t="s">
        <v>488</v>
      </c>
      <c r="C1915" s="22" t="s">
        <v>72</v>
      </c>
      <c r="D1915" s="22" t="s">
        <v>73</v>
      </c>
      <c r="E1915" s="158">
        <v>21130</v>
      </c>
      <c r="F1915" s="159">
        <v>57273</v>
      </c>
      <c r="G1915" s="159">
        <v>1210178490</v>
      </c>
      <c r="H1915" s="159">
        <v>121017849</v>
      </c>
      <c r="I1915" s="159">
        <v>1331196339</v>
      </c>
      <c r="J1915" s="159" t="e">
        <f>bargiri[[#This Row],[مقدار]]*INDEX(invoice[پیش دریافت به ازای هر کیلوگرم],MATCH(bargiri[[#This Row],[شماره سند مبنا]],invoice[شماره پیش فاکتور],0))</f>
        <v>#N/A</v>
      </c>
      <c r="K1915" s="159" t="e">
        <f>bargiri[[#This Row],[مبلغ خالص]]-bargiri[[#This Row],[میزان استهلاک پیش دریافتی]]</f>
        <v>#N/A</v>
      </c>
      <c r="L1915" s="160"/>
      <c r="M1915" s="159"/>
      <c r="N1915" s="159" t="e">
        <f>IF(bargiri[[#This Row],[مبلغ واریزی]]&lt;&gt;"",bargiri[[#This Row],[مانده مبلغ]]-bargiri[[#This Row],[مبلغ واریزی]],bargiri[[#This Row],[مانده مبلغ]])</f>
        <v>#N/A</v>
      </c>
      <c r="O1915" s="159"/>
      <c r="P1915" s="159" t="e">
        <f>VLOOKUP(bargiri[[#This Row],[شماره سند مبنا]],invoice[[شماره پیش فاکتور]:[پیش دریافت به ازای هر کیلوگرم]],14,0)</f>
        <v>#N/A</v>
      </c>
      <c r="Q1915" s="159" t="e">
        <f>IF(bargiri[[#This Row],[مبلغ ناخالص]]-(bargiri[[#This Row],[نرخ استهلاک]]*bargiri[[#This Row],[مقدار]])&lt;0,0,bargiri[[#This Row],[مبلغ ناخالص]]-(bargiri[[#This Row],[نرخ استهلاک]]*bargiri[[#This Row],[مقدار]]))</f>
        <v>#N/A</v>
      </c>
    </row>
    <row r="1916" spans="1:17" s="22" customFormat="1" ht="13.8" x14ac:dyDescent="0.25">
      <c r="A1916" s="22">
        <v>974</v>
      </c>
      <c r="B1916" s="22" t="s">
        <v>488</v>
      </c>
      <c r="C1916" s="22" t="s">
        <v>72</v>
      </c>
      <c r="D1916" s="22" t="s">
        <v>73</v>
      </c>
      <c r="E1916" s="158">
        <v>20615</v>
      </c>
      <c r="F1916" s="159">
        <v>57273</v>
      </c>
      <c r="G1916" s="159">
        <v>1180682895</v>
      </c>
      <c r="H1916" s="159">
        <v>118068290</v>
      </c>
      <c r="I1916" s="159">
        <v>1298751185</v>
      </c>
      <c r="J1916" s="159" t="e">
        <f>bargiri[[#This Row],[مقدار]]*INDEX(invoice[پیش دریافت به ازای هر کیلوگرم],MATCH(bargiri[[#This Row],[شماره سند مبنا]],invoice[شماره پیش فاکتور],0))</f>
        <v>#N/A</v>
      </c>
      <c r="K1916" s="159" t="e">
        <f>bargiri[[#This Row],[مبلغ خالص]]-bargiri[[#This Row],[میزان استهلاک پیش دریافتی]]</f>
        <v>#N/A</v>
      </c>
      <c r="L1916" s="160"/>
      <c r="M1916" s="159"/>
      <c r="N1916" s="159" t="e">
        <f>IF(bargiri[[#This Row],[مبلغ واریزی]]&lt;&gt;"",bargiri[[#This Row],[مانده مبلغ]]-bargiri[[#This Row],[مبلغ واریزی]],bargiri[[#This Row],[مانده مبلغ]])</f>
        <v>#N/A</v>
      </c>
      <c r="O1916" s="159"/>
      <c r="P1916" s="159" t="e">
        <f>VLOOKUP(bargiri[[#This Row],[شماره سند مبنا]],invoice[[شماره پیش فاکتور]:[پیش دریافت به ازای هر کیلوگرم]],14,0)</f>
        <v>#N/A</v>
      </c>
      <c r="Q1916" s="159" t="e">
        <f>IF(bargiri[[#This Row],[مبلغ ناخالص]]-(bargiri[[#This Row],[نرخ استهلاک]]*bargiri[[#This Row],[مقدار]])&lt;0,0,bargiri[[#This Row],[مبلغ ناخالص]]-(bargiri[[#This Row],[نرخ استهلاک]]*bargiri[[#This Row],[مقدار]]))</f>
        <v>#N/A</v>
      </c>
    </row>
    <row r="1917" spans="1:17" s="22" customFormat="1" ht="13.8" x14ac:dyDescent="0.25">
      <c r="A1917" s="22">
        <v>973</v>
      </c>
      <c r="B1917" s="22" t="s">
        <v>489</v>
      </c>
      <c r="C1917" s="22" t="s">
        <v>72</v>
      </c>
      <c r="D1917" s="22" t="s">
        <v>73</v>
      </c>
      <c r="E1917" s="158">
        <v>20635</v>
      </c>
      <c r="F1917" s="159">
        <v>57273</v>
      </c>
      <c r="G1917" s="159">
        <v>1181828355</v>
      </c>
      <c r="H1917" s="159">
        <v>118182836</v>
      </c>
      <c r="I1917" s="159">
        <v>1300011191</v>
      </c>
      <c r="J1917" s="159" t="e">
        <f>bargiri[[#This Row],[مقدار]]*INDEX(invoice[پیش دریافت به ازای هر کیلوگرم],MATCH(bargiri[[#This Row],[شماره سند مبنا]],invoice[شماره پیش فاکتور],0))</f>
        <v>#N/A</v>
      </c>
      <c r="K1917" s="159" t="e">
        <f>bargiri[[#This Row],[مبلغ خالص]]-bargiri[[#This Row],[میزان استهلاک پیش دریافتی]]</f>
        <v>#N/A</v>
      </c>
      <c r="L1917" s="160"/>
      <c r="M1917" s="159"/>
      <c r="N1917" s="159" t="e">
        <f>IF(bargiri[[#This Row],[مبلغ واریزی]]&lt;&gt;"",bargiri[[#This Row],[مانده مبلغ]]-bargiri[[#This Row],[مبلغ واریزی]],bargiri[[#This Row],[مانده مبلغ]])</f>
        <v>#N/A</v>
      </c>
      <c r="O1917" s="159"/>
      <c r="P1917" s="159" t="e">
        <f>VLOOKUP(bargiri[[#This Row],[شماره سند مبنا]],invoice[[شماره پیش فاکتور]:[پیش دریافت به ازای هر کیلوگرم]],14,0)</f>
        <v>#N/A</v>
      </c>
      <c r="Q1917" s="159" t="e">
        <f>IF(bargiri[[#This Row],[مبلغ ناخالص]]-(bargiri[[#This Row],[نرخ استهلاک]]*bargiri[[#This Row],[مقدار]])&lt;0,0,bargiri[[#This Row],[مبلغ ناخالص]]-(bargiri[[#This Row],[نرخ استهلاک]]*bargiri[[#This Row],[مقدار]]))</f>
        <v>#N/A</v>
      </c>
    </row>
    <row r="1918" spans="1:17" s="22" customFormat="1" ht="13.8" x14ac:dyDescent="0.25">
      <c r="A1918" s="22">
        <v>972</v>
      </c>
      <c r="B1918" s="22" t="s">
        <v>489</v>
      </c>
      <c r="C1918" s="22" t="s">
        <v>72</v>
      </c>
      <c r="D1918" s="22" t="s">
        <v>73</v>
      </c>
      <c r="E1918" s="158">
        <v>21110</v>
      </c>
      <c r="F1918" s="159">
        <v>57273</v>
      </c>
      <c r="G1918" s="159">
        <v>1209033030</v>
      </c>
      <c r="H1918" s="159">
        <v>120903303</v>
      </c>
      <c r="I1918" s="159">
        <v>1329936333</v>
      </c>
      <c r="J1918" s="159" t="e">
        <f>bargiri[[#This Row],[مقدار]]*INDEX(invoice[پیش دریافت به ازای هر کیلوگرم],MATCH(bargiri[[#This Row],[شماره سند مبنا]],invoice[شماره پیش فاکتور],0))</f>
        <v>#N/A</v>
      </c>
      <c r="K1918" s="159" t="e">
        <f>bargiri[[#This Row],[مبلغ خالص]]-bargiri[[#This Row],[میزان استهلاک پیش دریافتی]]</f>
        <v>#N/A</v>
      </c>
      <c r="L1918" s="160"/>
      <c r="M1918" s="159"/>
      <c r="N1918" s="159" t="e">
        <f>IF(bargiri[[#This Row],[مبلغ واریزی]]&lt;&gt;"",bargiri[[#This Row],[مانده مبلغ]]-bargiri[[#This Row],[مبلغ واریزی]],bargiri[[#This Row],[مانده مبلغ]])</f>
        <v>#N/A</v>
      </c>
      <c r="O1918" s="159"/>
      <c r="P1918" s="159" t="e">
        <f>VLOOKUP(bargiri[[#This Row],[شماره سند مبنا]],invoice[[شماره پیش فاکتور]:[پیش دریافت به ازای هر کیلوگرم]],14,0)</f>
        <v>#N/A</v>
      </c>
      <c r="Q1918" s="159" t="e">
        <f>IF(bargiri[[#This Row],[مبلغ ناخالص]]-(bargiri[[#This Row],[نرخ استهلاک]]*bargiri[[#This Row],[مقدار]])&lt;0,0,bargiri[[#This Row],[مبلغ ناخالص]]-(bargiri[[#This Row],[نرخ استهلاک]]*bargiri[[#This Row],[مقدار]]))</f>
        <v>#N/A</v>
      </c>
    </row>
    <row r="1919" spans="1:17" s="22" customFormat="1" ht="13.8" x14ac:dyDescent="0.25">
      <c r="A1919" s="22">
        <v>971</v>
      </c>
      <c r="B1919" s="22" t="s">
        <v>489</v>
      </c>
      <c r="C1919" s="22" t="s">
        <v>72</v>
      </c>
      <c r="D1919" s="22" t="s">
        <v>73</v>
      </c>
      <c r="E1919" s="158">
        <v>20870</v>
      </c>
      <c r="F1919" s="159">
        <v>57273</v>
      </c>
      <c r="G1919" s="159">
        <v>1195287510</v>
      </c>
      <c r="H1919" s="159">
        <v>119528751</v>
      </c>
      <c r="I1919" s="159">
        <v>1314816261</v>
      </c>
      <c r="J1919" s="159" t="e">
        <f>bargiri[[#This Row],[مقدار]]*INDEX(invoice[پیش دریافت به ازای هر کیلوگرم],MATCH(bargiri[[#This Row],[شماره سند مبنا]],invoice[شماره پیش فاکتور],0))</f>
        <v>#N/A</v>
      </c>
      <c r="K1919" s="159" t="e">
        <f>bargiri[[#This Row],[مبلغ خالص]]-bargiri[[#This Row],[میزان استهلاک پیش دریافتی]]</f>
        <v>#N/A</v>
      </c>
      <c r="L1919" s="160"/>
      <c r="M1919" s="159"/>
      <c r="N1919" s="159" t="e">
        <f>IF(bargiri[[#This Row],[مبلغ واریزی]]&lt;&gt;"",bargiri[[#This Row],[مانده مبلغ]]-bargiri[[#This Row],[مبلغ واریزی]],bargiri[[#This Row],[مانده مبلغ]])</f>
        <v>#N/A</v>
      </c>
      <c r="O1919" s="159"/>
      <c r="P1919" s="159" t="e">
        <f>VLOOKUP(bargiri[[#This Row],[شماره سند مبنا]],invoice[[شماره پیش فاکتور]:[پیش دریافت به ازای هر کیلوگرم]],14,0)</f>
        <v>#N/A</v>
      </c>
      <c r="Q1919" s="159" t="e">
        <f>IF(bargiri[[#This Row],[مبلغ ناخالص]]-(bargiri[[#This Row],[نرخ استهلاک]]*bargiri[[#This Row],[مقدار]])&lt;0,0,bargiri[[#This Row],[مبلغ ناخالص]]-(bargiri[[#This Row],[نرخ استهلاک]]*bargiri[[#This Row],[مقدار]]))</f>
        <v>#N/A</v>
      </c>
    </row>
    <row r="1920" spans="1:17" s="22" customFormat="1" ht="13.8" x14ac:dyDescent="0.25">
      <c r="A1920" s="22">
        <v>970</v>
      </c>
      <c r="B1920" s="22" t="s">
        <v>489</v>
      </c>
      <c r="C1920" s="22" t="s">
        <v>72</v>
      </c>
      <c r="D1920" s="22" t="s">
        <v>73</v>
      </c>
      <c r="E1920" s="158">
        <v>20830</v>
      </c>
      <c r="F1920" s="159">
        <v>57273</v>
      </c>
      <c r="G1920" s="159">
        <v>1192996590</v>
      </c>
      <c r="H1920" s="159">
        <v>119299659</v>
      </c>
      <c r="I1920" s="159">
        <v>1312296249</v>
      </c>
      <c r="J1920" s="159" t="e">
        <f>bargiri[[#This Row],[مقدار]]*INDEX(invoice[پیش دریافت به ازای هر کیلوگرم],MATCH(bargiri[[#This Row],[شماره سند مبنا]],invoice[شماره پیش فاکتور],0))</f>
        <v>#N/A</v>
      </c>
      <c r="K1920" s="159" t="e">
        <f>bargiri[[#This Row],[مبلغ خالص]]-bargiri[[#This Row],[میزان استهلاک پیش دریافتی]]</f>
        <v>#N/A</v>
      </c>
      <c r="L1920" s="160"/>
      <c r="M1920" s="159"/>
      <c r="N1920" s="159" t="e">
        <f>IF(bargiri[[#This Row],[مبلغ واریزی]]&lt;&gt;"",bargiri[[#This Row],[مانده مبلغ]]-bargiri[[#This Row],[مبلغ واریزی]],bargiri[[#This Row],[مانده مبلغ]])</f>
        <v>#N/A</v>
      </c>
      <c r="O1920" s="159"/>
      <c r="P1920" s="159" t="e">
        <f>VLOOKUP(bargiri[[#This Row],[شماره سند مبنا]],invoice[[شماره پیش فاکتور]:[پیش دریافت به ازای هر کیلوگرم]],14,0)</f>
        <v>#N/A</v>
      </c>
      <c r="Q1920" s="159" t="e">
        <f>IF(bargiri[[#This Row],[مبلغ ناخالص]]-(bargiri[[#This Row],[نرخ استهلاک]]*bargiri[[#This Row],[مقدار]])&lt;0,0,bargiri[[#This Row],[مبلغ ناخالص]]-(bargiri[[#This Row],[نرخ استهلاک]]*bargiri[[#This Row],[مقدار]]))</f>
        <v>#N/A</v>
      </c>
    </row>
    <row r="1921" spans="1:17" s="22" customFormat="1" ht="13.8" x14ac:dyDescent="0.25">
      <c r="A1921" s="22">
        <v>969</v>
      </c>
      <c r="B1921" s="22" t="s">
        <v>490</v>
      </c>
      <c r="C1921" s="22" t="s">
        <v>72</v>
      </c>
      <c r="D1921" s="22" t="s">
        <v>73</v>
      </c>
      <c r="E1921" s="158">
        <v>21050</v>
      </c>
      <c r="F1921" s="159">
        <v>57273</v>
      </c>
      <c r="G1921" s="159">
        <v>1205596650</v>
      </c>
      <c r="H1921" s="159">
        <v>120559665</v>
      </c>
      <c r="I1921" s="159">
        <v>1326156315</v>
      </c>
      <c r="J1921" s="159" t="e">
        <f>bargiri[[#This Row],[مقدار]]*INDEX(invoice[پیش دریافت به ازای هر کیلوگرم],MATCH(bargiri[[#This Row],[شماره سند مبنا]],invoice[شماره پیش فاکتور],0))</f>
        <v>#N/A</v>
      </c>
      <c r="K1921" s="159" t="e">
        <f>bargiri[[#This Row],[مبلغ خالص]]-bargiri[[#This Row],[میزان استهلاک پیش دریافتی]]</f>
        <v>#N/A</v>
      </c>
      <c r="L1921" s="160"/>
      <c r="M1921" s="159"/>
      <c r="N1921" s="159" t="e">
        <f>IF(bargiri[[#This Row],[مبلغ واریزی]]&lt;&gt;"",bargiri[[#This Row],[مانده مبلغ]]-bargiri[[#This Row],[مبلغ واریزی]],bargiri[[#This Row],[مانده مبلغ]])</f>
        <v>#N/A</v>
      </c>
      <c r="O1921" s="159"/>
      <c r="P1921" s="159" t="e">
        <f>VLOOKUP(bargiri[[#This Row],[شماره سند مبنا]],invoice[[شماره پیش فاکتور]:[پیش دریافت به ازای هر کیلوگرم]],14,0)</f>
        <v>#N/A</v>
      </c>
      <c r="Q1921" s="159" t="e">
        <f>IF(bargiri[[#This Row],[مبلغ ناخالص]]-(bargiri[[#This Row],[نرخ استهلاک]]*bargiri[[#This Row],[مقدار]])&lt;0,0,bargiri[[#This Row],[مبلغ ناخالص]]-(bargiri[[#This Row],[نرخ استهلاک]]*bargiri[[#This Row],[مقدار]]))</f>
        <v>#N/A</v>
      </c>
    </row>
    <row r="1922" spans="1:17" s="22" customFormat="1" ht="13.8" x14ac:dyDescent="0.25">
      <c r="A1922" s="22">
        <v>968</v>
      </c>
      <c r="B1922" s="22" t="s">
        <v>490</v>
      </c>
      <c r="C1922" s="22" t="s">
        <v>72</v>
      </c>
      <c r="D1922" s="22" t="s">
        <v>73</v>
      </c>
      <c r="E1922" s="158">
        <v>21005</v>
      </c>
      <c r="F1922" s="159">
        <v>57273</v>
      </c>
      <c r="G1922" s="159">
        <v>1203019365</v>
      </c>
      <c r="H1922" s="159">
        <v>120301937</v>
      </c>
      <c r="I1922" s="159">
        <v>1323321302</v>
      </c>
      <c r="J1922" s="159" t="e">
        <f>bargiri[[#This Row],[مقدار]]*INDEX(invoice[پیش دریافت به ازای هر کیلوگرم],MATCH(bargiri[[#This Row],[شماره سند مبنا]],invoice[شماره پیش فاکتور],0))</f>
        <v>#N/A</v>
      </c>
      <c r="K1922" s="159" t="e">
        <f>bargiri[[#This Row],[مبلغ خالص]]-bargiri[[#This Row],[میزان استهلاک پیش دریافتی]]</f>
        <v>#N/A</v>
      </c>
      <c r="L1922" s="160"/>
      <c r="M1922" s="159"/>
      <c r="N1922" s="159" t="e">
        <f>IF(bargiri[[#This Row],[مبلغ واریزی]]&lt;&gt;"",bargiri[[#This Row],[مانده مبلغ]]-bargiri[[#This Row],[مبلغ واریزی]],bargiri[[#This Row],[مانده مبلغ]])</f>
        <v>#N/A</v>
      </c>
      <c r="O1922" s="159"/>
      <c r="P1922" s="159" t="e">
        <f>VLOOKUP(bargiri[[#This Row],[شماره سند مبنا]],invoice[[شماره پیش فاکتور]:[پیش دریافت به ازای هر کیلوگرم]],14,0)</f>
        <v>#N/A</v>
      </c>
      <c r="Q1922" s="159" t="e">
        <f>IF(bargiri[[#This Row],[مبلغ ناخالص]]-(bargiri[[#This Row],[نرخ استهلاک]]*bargiri[[#This Row],[مقدار]])&lt;0,0,bargiri[[#This Row],[مبلغ ناخالص]]-(bargiri[[#This Row],[نرخ استهلاک]]*bargiri[[#This Row],[مقدار]]))</f>
        <v>#N/A</v>
      </c>
    </row>
    <row r="1923" spans="1:17" s="22" customFormat="1" ht="13.8" x14ac:dyDescent="0.25">
      <c r="A1923" s="22">
        <v>967</v>
      </c>
      <c r="B1923" s="22" t="s">
        <v>490</v>
      </c>
      <c r="C1923" s="22" t="s">
        <v>72</v>
      </c>
      <c r="D1923" s="22" t="s">
        <v>73</v>
      </c>
      <c r="E1923" s="158">
        <v>21135</v>
      </c>
      <c r="F1923" s="159">
        <v>57273</v>
      </c>
      <c r="G1923" s="159">
        <v>1210464855</v>
      </c>
      <c r="H1923" s="159">
        <v>121046486</v>
      </c>
      <c r="I1923" s="159">
        <v>1331511341</v>
      </c>
      <c r="J1923" s="159" t="e">
        <f>bargiri[[#This Row],[مقدار]]*INDEX(invoice[پیش دریافت به ازای هر کیلوگرم],MATCH(bargiri[[#This Row],[شماره سند مبنا]],invoice[شماره پیش فاکتور],0))</f>
        <v>#N/A</v>
      </c>
      <c r="K1923" s="159" t="e">
        <f>bargiri[[#This Row],[مبلغ خالص]]-bargiri[[#This Row],[میزان استهلاک پیش دریافتی]]</f>
        <v>#N/A</v>
      </c>
      <c r="L1923" s="160"/>
      <c r="M1923" s="159"/>
      <c r="N1923" s="159" t="e">
        <f>IF(bargiri[[#This Row],[مبلغ واریزی]]&lt;&gt;"",bargiri[[#This Row],[مانده مبلغ]]-bargiri[[#This Row],[مبلغ واریزی]],bargiri[[#This Row],[مانده مبلغ]])</f>
        <v>#N/A</v>
      </c>
      <c r="O1923" s="159"/>
      <c r="P1923" s="159" t="e">
        <f>VLOOKUP(bargiri[[#This Row],[شماره سند مبنا]],invoice[[شماره پیش فاکتور]:[پیش دریافت به ازای هر کیلوگرم]],14,0)</f>
        <v>#N/A</v>
      </c>
      <c r="Q1923" s="159" t="e">
        <f>IF(bargiri[[#This Row],[مبلغ ناخالص]]-(bargiri[[#This Row],[نرخ استهلاک]]*bargiri[[#This Row],[مقدار]])&lt;0,0,bargiri[[#This Row],[مبلغ ناخالص]]-(bargiri[[#This Row],[نرخ استهلاک]]*bargiri[[#This Row],[مقدار]]))</f>
        <v>#N/A</v>
      </c>
    </row>
    <row r="1924" spans="1:17" s="22" customFormat="1" ht="13.8" x14ac:dyDescent="0.25">
      <c r="A1924" s="22">
        <v>966</v>
      </c>
      <c r="B1924" s="22" t="s">
        <v>127</v>
      </c>
      <c r="C1924" s="22" t="s">
        <v>72</v>
      </c>
      <c r="D1924" s="22" t="s">
        <v>73</v>
      </c>
      <c r="E1924" s="158">
        <v>21450</v>
      </c>
      <c r="F1924" s="159">
        <v>57273</v>
      </c>
      <c r="G1924" s="159">
        <v>1228505850</v>
      </c>
      <c r="H1924" s="159">
        <v>122850585</v>
      </c>
      <c r="I1924" s="159">
        <v>1351356435</v>
      </c>
      <c r="J1924" s="159" t="e">
        <f>bargiri[[#This Row],[مقدار]]*INDEX(invoice[پیش دریافت به ازای هر کیلوگرم],MATCH(bargiri[[#This Row],[شماره سند مبنا]],invoice[شماره پیش فاکتور],0))</f>
        <v>#N/A</v>
      </c>
      <c r="K1924" s="159" t="e">
        <f>bargiri[[#This Row],[مبلغ خالص]]-bargiri[[#This Row],[میزان استهلاک پیش دریافتی]]</f>
        <v>#N/A</v>
      </c>
      <c r="L1924" s="160"/>
      <c r="M1924" s="159"/>
      <c r="N1924" s="159" t="e">
        <f>IF(bargiri[[#This Row],[مبلغ واریزی]]&lt;&gt;"",bargiri[[#This Row],[مانده مبلغ]]-bargiri[[#This Row],[مبلغ واریزی]],bargiri[[#This Row],[مانده مبلغ]])</f>
        <v>#N/A</v>
      </c>
      <c r="O1924" s="159"/>
      <c r="P1924" s="159" t="e">
        <f>VLOOKUP(bargiri[[#This Row],[شماره سند مبنا]],invoice[[شماره پیش فاکتور]:[پیش دریافت به ازای هر کیلوگرم]],14,0)</f>
        <v>#N/A</v>
      </c>
      <c r="Q1924" s="159" t="e">
        <f>IF(bargiri[[#This Row],[مبلغ ناخالص]]-(bargiri[[#This Row],[نرخ استهلاک]]*bargiri[[#This Row],[مقدار]])&lt;0,0,bargiri[[#This Row],[مبلغ ناخالص]]-(bargiri[[#This Row],[نرخ استهلاک]]*bargiri[[#This Row],[مقدار]]))</f>
        <v>#N/A</v>
      </c>
    </row>
    <row r="1925" spans="1:17" s="22" customFormat="1" ht="13.8" x14ac:dyDescent="0.25">
      <c r="A1925" s="22">
        <v>965</v>
      </c>
      <c r="B1925" s="22" t="s">
        <v>123</v>
      </c>
      <c r="C1925" s="22" t="s">
        <v>72</v>
      </c>
      <c r="D1925" s="22" t="s">
        <v>73</v>
      </c>
      <c r="E1925" s="158">
        <v>20635</v>
      </c>
      <c r="F1925" s="159">
        <v>57273</v>
      </c>
      <c r="G1925" s="159">
        <v>1181828355</v>
      </c>
      <c r="H1925" s="159">
        <v>118182836</v>
      </c>
      <c r="I1925" s="159">
        <v>1300011191</v>
      </c>
      <c r="J1925" s="159" t="e">
        <f>bargiri[[#This Row],[مقدار]]*INDEX(invoice[پیش دریافت به ازای هر کیلوگرم],MATCH(bargiri[[#This Row],[شماره سند مبنا]],invoice[شماره پیش فاکتور],0))</f>
        <v>#N/A</v>
      </c>
      <c r="K1925" s="159" t="e">
        <f>bargiri[[#This Row],[مبلغ خالص]]-bargiri[[#This Row],[میزان استهلاک پیش دریافتی]]</f>
        <v>#N/A</v>
      </c>
      <c r="L1925" s="160"/>
      <c r="M1925" s="159"/>
      <c r="N1925" s="159" t="e">
        <f>IF(bargiri[[#This Row],[مبلغ واریزی]]&lt;&gt;"",bargiri[[#This Row],[مانده مبلغ]]-bargiri[[#This Row],[مبلغ واریزی]],bargiri[[#This Row],[مانده مبلغ]])</f>
        <v>#N/A</v>
      </c>
      <c r="O1925" s="159"/>
      <c r="P1925" s="159" t="e">
        <f>VLOOKUP(bargiri[[#This Row],[شماره سند مبنا]],invoice[[شماره پیش فاکتور]:[پیش دریافت به ازای هر کیلوگرم]],14,0)</f>
        <v>#N/A</v>
      </c>
      <c r="Q1925" s="159" t="e">
        <f>IF(bargiri[[#This Row],[مبلغ ناخالص]]-(bargiri[[#This Row],[نرخ استهلاک]]*bargiri[[#This Row],[مقدار]])&lt;0,0,bargiri[[#This Row],[مبلغ ناخالص]]-(bargiri[[#This Row],[نرخ استهلاک]]*bargiri[[#This Row],[مقدار]]))</f>
        <v>#N/A</v>
      </c>
    </row>
    <row r="1926" spans="1:17" s="22" customFormat="1" ht="13.8" x14ac:dyDescent="0.25">
      <c r="A1926" s="22">
        <v>964</v>
      </c>
      <c r="B1926" s="22" t="s">
        <v>123</v>
      </c>
      <c r="C1926" s="22" t="s">
        <v>72</v>
      </c>
      <c r="D1926" s="22" t="s">
        <v>73</v>
      </c>
      <c r="E1926" s="158">
        <v>20980</v>
      </c>
      <c r="F1926" s="159">
        <v>57273</v>
      </c>
      <c r="G1926" s="159">
        <v>1201587540</v>
      </c>
      <c r="H1926" s="159">
        <v>120158754</v>
      </c>
      <c r="I1926" s="159">
        <v>1321746294</v>
      </c>
      <c r="J1926" s="159" t="e">
        <f>bargiri[[#This Row],[مقدار]]*INDEX(invoice[پیش دریافت به ازای هر کیلوگرم],MATCH(bargiri[[#This Row],[شماره سند مبنا]],invoice[شماره پیش فاکتور],0))</f>
        <v>#N/A</v>
      </c>
      <c r="K1926" s="159" t="e">
        <f>bargiri[[#This Row],[مبلغ خالص]]-bargiri[[#This Row],[میزان استهلاک پیش دریافتی]]</f>
        <v>#N/A</v>
      </c>
      <c r="L1926" s="160"/>
      <c r="M1926" s="159"/>
      <c r="N1926" s="159" t="e">
        <f>IF(bargiri[[#This Row],[مبلغ واریزی]]&lt;&gt;"",bargiri[[#This Row],[مانده مبلغ]]-bargiri[[#This Row],[مبلغ واریزی]],bargiri[[#This Row],[مانده مبلغ]])</f>
        <v>#N/A</v>
      </c>
      <c r="O1926" s="159"/>
      <c r="P1926" s="159" t="e">
        <f>VLOOKUP(bargiri[[#This Row],[شماره سند مبنا]],invoice[[شماره پیش فاکتور]:[پیش دریافت به ازای هر کیلوگرم]],14,0)</f>
        <v>#N/A</v>
      </c>
      <c r="Q1926" s="159" t="e">
        <f>IF(bargiri[[#This Row],[مبلغ ناخالص]]-(bargiri[[#This Row],[نرخ استهلاک]]*bargiri[[#This Row],[مقدار]])&lt;0,0,bargiri[[#This Row],[مبلغ ناخالص]]-(bargiri[[#This Row],[نرخ استهلاک]]*bargiri[[#This Row],[مقدار]]))</f>
        <v>#N/A</v>
      </c>
    </row>
    <row r="1927" spans="1:17" s="22" customFormat="1" ht="13.8" x14ac:dyDescent="0.25">
      <c r="A1927" s="22">
        <v>963</v>
      </c>
      <c r="B1927" s="22" t="s">
        <v>123</v>
      </c>
      <c r="C1927" s="22" t="s">
        <v>72</v>
      </c>
      <c r="D1927" s="22" t="s">
        <v>73</v>
      </c>
      <c r="E1927" s="158">
        <v>20980</v>
      </c>
      <c r="F1927" s="159">
        <v>57273</v>
      </c>
      <c r="G1927" s="159">
        <v>1201587540</v>
      </c>
      <c r="H1927" s="159">
        <v>120158754</v>
      </c>
      <c r="I1927" s="159">
        <v>1321746294</v>
      </c>
      <c r="J1927" s="159" t="e">
        <f>bargiri[[#This Row],[مقدار]]*INDEX(invoice[پیش دریافت به ازای هر کیلوگرم],MATCH(bargiri[[#This Row],[شماره سند مبنا]],invoice[شماره پیش فاکتور],0))</f>
        <v>#N/A</v>
      </c>
      <c r="K1927" s="159" t="e">
        <f>bargiri[[#This Row],[مبلغ خالص]]-bargiri[[#This Row],[میزان استهلاک پیش دریافتی]]</f>
        <v>#N/A</v>
      </c>
      <c r="L1927" s="160"/>
      <c r="M1927" s="159"/>
      <c r="N1927" s="159" t="e">
        <f>IF(bargiri[[#This Row],[مبلغ واریزی]]&lt;&gt;"",bargiri[[#This Row],[مانده مبلغ]]-bargiri[[#This Row],[مبلغ واریزی]],bargiri[[#This Row],[مانده مبلغ]])</f>
        <v>#N/A</v>
      </c>
      <c r="O1927" s="159"/>
      <c r="P1927" s="159" t="e">
        <f>VLOOKUP(bargiri[[#This Row],[شماره سند مبنا]],invoice[[شماره پیش فاکتور]:[پیش دریافت به ازای هر کیلوگرم]],14,0)</f>
        <v>#N/A</v>
      </c>
      <c r="Q1927" s="159" t="e">
        <f>IF(bargiri[[#This Row],[مبلغ ناخالص]]-(bargiri[[#This Row],[نرخ استهلاک]]*bargiri[[#This Row],[مقدار]])&lt;0,0,bargiri[[#This Row],[مبلغ ناخالص]]-(bargiri[[#This Row],[نرخ استهلاک]]*bargiri[[#This Row],[مقدار]]))</f>
        <v>#N/A</v>
      </c>
    </row>
    <row r="1928" spans="1:17" s="22" customFormat="1" ht="13.8" x14ac:dyDescent="0.25">
      <c r="A1928" s="22">
        <v>962</v>
      </c>
      <c r="B1928" s="22" t="s">
        <v>74</v>
      </c>
      <c r="C1928" s="22" t="s">
        <v>75</v>
      </c>
      <c r="D1928" s="22" t="s">
        <v>73</v>
      </c>
      <c r="E1928" s="158">
        <v>21110</v>
      </c>
      <c r="F1928" s="159">
        <v>57273</v>
      </c>
      <c r="G1928" s="159">
        <v>1209033030</v>
      </c>
      <c r="H1928" s="159">
        <v>120903303</v>
      </c>
      <c r="I1928" s="159">
        <v>1329936333</v>
      </c>
      <c r="J1928" s="159" t="e">
        <f>bargiri[[#This Row],[مقدار]]*INDEX(invoice[پیش دریافت به ازای هر کیلوگرم],MATCH(bargiri[[#This Row],[شماره سند مبنا]],invoice[شماره پیش فاکتور],0))</f>
        <v>#N/A</v>
      </c>
      <c r="K1928" s="159" t="e">
        <f>bargiri[[#This Row],[مبلغ خالص]]-bargiri[[#This Row],[میزان استهلاک پیش دریافتی]]</f>
        <v>#N/A</v>
      </c>
      <c r="L1928" s="160"/>
      <c r="M1928" s="159"/>
      <c r="N1928" s="159" t="e">
        <f>IF(bargiri[[#This Row],[مبلغ واریزی]]&lt;&gt;"",bargiri[[#This Row],[مانده مبلغ]]-bargiri[[#This Row],[مبلغ واریزی]],bargiri[[#This Row],[مانده مبلغ]])</f>
        <v>#N/A</v>
      </c>
      <c r="O1928" s="159"/>
      <c r="P1928" s="159" t="e">
        <f>VLOOKUP(bargiri[[#This Row],[شماره سند مبنا]],invoice[[شماره پیش فاکتور]:[پیش دریافت به ازای هر کیلوگرم]],14,0)</f>
        <v>#N/A</v>
      </c>
      <c r="Q1928" s="159" t="e">
        <f>IF(bargiri[[#This Row],[مبلغ ناخالص]]-(bargiri[[#This Row],[نرخ استهلاک]]*bargiri[[#This Row],[مقدار]])&lt;0,0,bargiri[[#This Row],[مبلغ ناخالص]]-(bargiri[[#This Row],[نرخ استهلاک]]*bargiri[[#This Row],[مقدار]]))</f>
        <v>#N/A</v>
      </c>
    </row>
    <row r="1929" spans="1:17" s="22" customFormat="1" ht="13.8" x14ac:dyDescent="0.25">
      <c r="A1929" s="22">
        <v>961</v>
      </c>
      <c r="B1929" s="22" t="s">
        <v>74</v>
      </c>
      <c r="C1929" s="22" t="s">
        <v>75</v>
      </c>
      <c r="D1929" s="22" t="s">
        <v>73</v>
      </c>
      <c r="E1929" s="158">
        <v>21135</v>
      </c>
      <c r="F1929" s="159">
        <v>57273</v>
      </c>
      <c r="G1929" s="159">
        <v>1210464855</v>
      </c>
      <c r="H1929" s="159">
        <v>121046486</v>
      </c>
      <c r="I1929" s="159">
        <v>1331511341</v>
      </c>
      <c r="J1929" s="159" t="e">
        <f>bargiri[[#This Row],[مقدار]]*INDEX(invoice[پیش دریافت به ازای هر کیلوگرم],MATCH(bargiri[[#This Row],[شماره سند مبنا]],invoice[شماره پیش فاکتور],0))</f>
        <v>#N/A</v>
      </c>
      <c r="K1929" s="159" t="e">
        <f>bargiri[[#This Row],[مبلغ خالص]]-bargiri[[#This Row],[میزان استهلاک پیش دریافتی]]</f>
        <v>#N/A</v>
      </c>
      <c r="L1929" s="160"/>
      <c r="M1929" s="159"/>
      <c r="N1929" s="159" t="e">
        <f>IF(bargiri[[#This Row],[مبلغ واریزی]]&lt;&gt;"",bargiri[[#This Row],[مانده مبلغ]]-bargiri[[#This Row],[مبلغ واریزی]],bargiri[[#This Row],[مانده مبلغ]])</f>
        <v>#N/A</v>
      </c>
      <c r="O1929" s="159"/>
      <c r="P1929" s="159" t="e">
        <f>VLOOKUP(bargiri[[#This Row],[شماره سند مبنا]],invoice[[شماره پیش فاکتور]:[پیش دریافت به ازای هر کیلوگرم]],14,0)</f>
        <v>#N/A</v>
      </c>
      <c r="Q1929" s="159" t="e">
        <f>IF(bargiri[[#This Row],[مبلغ ناخالص]]-(bargiri[[#This Row],[نرخ استهلاک]]*bargiri[[#This Row],[مقدار]])&lt;0,0,bargiri[[#This Row],[مبلغ ناخالص]]-(bargiri[[#This Row],[نرخ استهلاک]]*bargiri[[#This Row],[مقدار]]))</f>
        <v>#N/A</v>
      </c>
    </row>
    <row r="1930" spans="1:17" s="22" customFormat="1" ht="13.8" x14ac:dyDescent="0.25">
      <c r="A1930" s="22">
        <v>960</v>
      </c>
      <c r="B1930" s="22" t="s">
        <v>74</v>
      </c>
      <c r="C1930" s="22" t="s">
        <v>75</v>
      </c>
      <c r="D1930" s="22" t="s">
        <v>73</v>
      </c>
      <c r="E1930" s="158">
        <v>20825</v>
      </c>
      <c r="F1930" s="159">
        <v>57273</v>
      </c>
      <c r="G1930" s="159">
        <v>1192710225</v>
      </c>
      <c r="H1930" s="159">
        <v>119271023</v>
      </c>
      <c r="I1930" s="159">
        <v>1311981248</v>
      </c>
      <c r="J1930" s="159" t="e">
        <f>bargiri[[#This Row],[مقدار]]*INDEX(invoice[پیش دریافت به ازای هر کیلوگرم],MATCH(bargiri[[#This Row],[شماره سند مبنا]],invoice[شماره پیش فاکتور],0))</f>
        <v>#N/A</v>
      </c>
      <c r="K1930" s="159" t="e">
        <f>bargiri[[#This Row],[مبلغ خالص]]-bargiri[[#This Row],[میزان استهلاک پیش دریافتی]]</f>
        <v>#N/A</v>
      </c>
      <c r="L1930" s="160"/>
      <c r="M1930" s="159"/>
      <c r="N1930" s="159" t="e">
        <f>IF(bargiri[[#This Row],[مبلغ واریزی]]&lt;&gt;"",bargiri[[#This Row],[مانده مبلغ]]-bargiri[[#This Row],[مبلغ واریزی]],bargiri[[#This Row],[مانده مبلغ]])</f>
        <v>#N/A</v>
      </c>
      <c r="O1930" s="159"/>
      <c r="P1930" s="159" t="e">
        <f>VLOOKUP(bargiri[[#This Row],[شماره سند مبنا]],invoice[[شماره پیش فاکتور]:[پیش دریافت به ازای هر کیلوگرم]],14,0)</f>
        <v>#N/A</v>
      </c>
      <c r="Q1930" s="159" t="e">
        <f>IF(bargiri[[#This Row],[مبلغ ناخالص]]-(bargiri[[#This Row],[نرخ استهلاک]]*bargiri[[#This Row],[مقدار]])&lt;0,0,bargiri[[#This Row],[مبلغ ناخالص]]-(bargiri[[#This Row],[نرخ استهلاک]]*bargiri[[#This Row],[مقدار]]))</f>
        <v>#N/A</v>
      </c>
    </row>
    <row r="1931" spans="1:17" s="22" customFormat="1" ht="13.8" x14ac:dyDescent="0.25">
      <c r="A1931" s="22">
        <v>959</v>
      </c>
      <c r="B1931" s="22" t="s">
        <v>74</v>
      </c>
      <c r="C1931" s="22" t="s">
        <v>75</v>
      </c>
      <c r="D1931" s="22" t="s">
        <v>73</v>
      </c>
      <c r="E1931" s="158">
        <v>20700</v>
      </c>
      <c r="F1931" s="159">
        <v>57273</v>
      </c>
      <c r="G1931" s="159">
        <v>1185551100</v>
      </c>
      <c r="H1931" s="159">
        <v>118555110</v>
      </c>
      <c r="I1931" s="159">
        <v>1304106210</v>
      </c>
      <c r="J1931" s="159" t="e">
        <f>bargiri[[#This Row],[مقدار]]*INDEX(invoice[پیش دریافت به ازای هر کیلوگرم],MATCH(bargiri[[#This Row],[شماره سند مبنا]],invoice[شماره پیش فاکتور],0))</f>
        <v>#N/A</v>
      </c>
      <c r="K1931" s="159" t="e">
        <f>bargiri[[#This Row],[مبلغ خالص]]-bargiri[[#This Row],[میزان استهلاک پیش دریافتی]]</f>
        <v>#N/A</v>
      </c>
      <c r="L1931" s="160"/>
      <c r="M1931" s="159"/>
      <c r="N1931" s="159" t="e">
        <f>IF(bargiri[[#This Row],[مبلغ واریزی]]&lt;&gt;"",bargiri[[#This Row],[مانده مبلغ]]-bargiri[[#This Row],[مبلغ واریزی]],bargiri[[#This Row],[مانده مبلغ]])</f>
        <v>#N/A</v>
      </c>
      <c r="O1931" s="159"/>
      <c r="P1931" s="159" t="e">
        <f>VLOOKUP(bargiri[[#This Row],[شماره سند مبنا]],invoice[[شماره پیش فاکتور]:[پیش دریافت به ازای هر کیلوگرم]],14,0)</f>
        <v>#N/A</v>
      </c>
      <c r="Q1931" s="159" t="e">
        <f>IF(bargiri[[#This Row],[مبلغ ناخالص]]-(bargiri[[#This Row],[نرخ استهلاک]]*bargiri[[#This Row],[مقدار]])&lt;0,0,bargiri[[#This Row],[مبلغ ناخالص]]-(bargiri[[#This Row],[نرخ استهلاک]]*bargiri[[#This Row],[مقدار]]))</f>
        <v>#N/A</v>
      </c>
    </row>
    <row r="1932" spans="1:17" s="22" customFormat="1" ht="13.8" x14ac:dyDescent="0.25">
      <c r="A1932" s="22">
        <v>958</v>
      </c>
      <c r="B1932" s="22" t="s">
        <v>491</v>
      </c>
      <c r="C1932" s="22" t="s">
        <v>47</v>
      </c>
      <c r="D1932" s="22" t="s">
        <v>43</v>
      </c>
      <c r="E1932" s="158">
        <v>15010</v>
      </c>
      <c r="F1932" s="159">
        <v>65000</v>
      </c>
      <c r="G1932" s="159">
        <v>975650000</v>
      </c>
      <c r="H1932" s="159">
        <v>87808500</v>
      </c>
      <c r="I1932" s="159">
        <v>1063458500</v>
      </c>
      <c r="J1932" s="159" t="e">
        <f>bargiri[[#This Row],[مقدار]]*INDEX(invoice[پیش دریافت به ازای هر کیلوگرم],MATCH(bargiri[[#This Row],[شماره سند مبنا]],invoice[شماره پیش فاکتور],0))</f>
        <v>#N/A</v>
      </c>
      <c r="K1932" s="159" t="e">
        <f>bargiri[[#This Row],[مبلغ خالص]]-bargiri[[#This Row],[میزان استهلاک پیش دریافتی]]</f>
        <v>#N/A</v>
      </c>
      <c r="L1932" s="160"/>
      <c r="M1932" s="159"/>
      <c r="N1932" s="159" t="e">
        <f>IF(bargiri[[#This Row],[مبلغ واریزی]]&lt;&gt;"",bargiri[[#This Row],[مانده مبلغ]]-bargiri[[#This Row],[مبلغ واریزی]],bargiri[[#This Row],[مانده مبلغ]])</f>
        <v>#N/A</v>
      </c>
      <c r="O1932" s="159"/>
      <c r="P1932" s="159" t="e">
        <f>VLOOKUP(bargiri[[#This Row],[شماره سند مبنا]],invoice[[شماره پیش فاکتور]:[پیش دریافت به ازای هر کیلوگرم]],14,0)</f>
        <v>#N/A</v>
      </c>
      <c r="Q1932" s="159" t="e">
        <f>IF(bargiri[[#This Row],[مبلغ ناخالص]]-(bargiri[[#This Row],[نرخ استهلاک]]*bargiri[[#This Row],[مقدار]])&lt;0,0,bargiri[[#This Row],[مبلغ ناخالص]]-(bargiri[[#This Row],[نرخ استهلاک]]*bargiri[[#This Row],[مقدار]]))</f>
        <v>#N/A</v>
      </c>
    </row>
    <row r="1933" spans="1:17" s="22" customFormat="1" ht="13.8" x14ac:dyDescent="0.25">
      <c r="A1933" s="22">
        <v>957</v>
      </c>
      <c r="B1933" s="22" t="s">
        <v>491</v>
      </c>
      <c r="C1933" s="22" t="s">
        <v>109</v>
      </c>
      <c r="D1933" s="22" t="s">
        <v>110</v>
      </c>
      <c r="E1933" s="158">
        <v>19165</v>
      </c>
      <c r="F1933" s="159">
        <v>70000</v>
      </c>
      <c r="G1933" s="159">
        <v>1341550000</v>
      </c>
      <c r="H1933" s="159">
        <v>134155000</v>
      </c>
      <c r="I1933" s="159">
        <v>1475705000</v>
      </c>
      <c r="J1933" s="159" t="e">
        <f>bargiri[[#This Row],[مقدار]]*INDEX(invoice[پیش دریافت به ازای هر کیلوگرم],MATCH(bargiri[[#This Row],[شماره سند مبنا]],invoice[شماره پیش فاکتور],0))</f>
        <v>#N/A</v>
      </c>
      <c r="K1933" s="159" t="e">
        <f>bargiri[[#This Row],[مبلغ خالص]]-bargiri[[#This Row],[میزان استهلاک پیش دریافتی]]</f>
        <v>#N/A</v>
      </c>
      <c r="L1933" s="160"/>
      <c r="M1933" s="159"/>
      <c r="N1933" s="159" t="e">
        <f>IF(bargiri[[#This Row],[مبلغ واریزی]]&lt;&gt;"",bargiri[[#This Row],[مانده مبلغ]]-bargiri[[#This Row],[مبلغ واریزی]],bargiri[[#This Row],[مانده مبلغ]])</f>
        <v>#N/A</v>
      </c>
      <c r="O1933" s="159"/>
      <c r="P1933" s="159" t="e">
        <f>VLOOKUP(bargiri[[#This Row],[شماره سند مبنا]],invoice[[شماره پیش فاکتور]:[پیش دریافت به ازای هر کیلوگرم]],14,0)</f>
        <v>#N/A</v>
      </c>
      <c r="Q1933" s="159" t="e">
        <f>IF(bargiri[[#This Row],[مبلغ ناخالص]]-(bargiri[[#This Row],[نرخ استهلاک]]*bargiri[[#This Row],[مقدار]])&lt;0,0,bargiri[[#This Row],[مبلغ ناخالص]]-(bargiri[[#This Row],[نرخ استهلاک]]*bargiri[[#This Row],[مقدار]]))</f>
        <v>#N/A</v>
      </c>
    </row>
    <row r="1934" spans="1:17" s="22" customFormat="1" ht="13.8" x14ac:dyDescent="0.25">
      <c r="A1934" s="22">
        <v>956</v>
      </c>
      <c r="B1934" s="22" t="s">
        <v>491</v>
      </c>
      <c r="C1934" s="22" t="s">
        <v>128</v>
      </c>
      <c r="D1934" s="22" t="s">
        <v>129</v>
      </c>
      <c r="E1934" s="158">
        <v>8620</v>
      </c>
      <c r="F1934" s="159">
        <v>80000</v>
      </c>
      <c r="G1934" s="159">
        <v>689600000</v>
      </c>
      <c r="H1934" s="159">
        <v>68960000</v>
      </c>
      <c r="I1934" s="159">
        <v>758560000</v>
      </c>
      <c r="J1934" s="159">
        <f>bargiri[[#This Row],[مقدار]]*INDEX(invoice[پیش دریافت به ازای هر کیلوگرم],MATCH(bargiri[[#This Row],[شماره سند مبنا]],invoice[شماره پیش فاکتور],0))</f>
        <v>114336627.03064813</v>
      </c>
      <c r="K1934" s="159">
        <f>bargiri[[#This Row],[مبلغ خالص]]-bargiri[[#This Row],[میزان استهلاک پیش دریافتی]]</f>
        <v>644223372.96935189</v>
      </c>
      <c r="L1934" s="160"/>
      <c r="M1934" s="159"/>
      <c r="N1934" s="159">
        <f>IF(bargiri[[#This Row],[مبلغ واریزی]]&lt;&gt;"",bargiri[[#This Row],[مانده مبلغ]]-bargiri[[#This Row],[مبلغ واریزی]],bargiri[[#This Row],[مانده مبلغ]])</f>
        <v>644223372.96935189</v>
      </c>
      <c r="O1934" s="159"/>
      <c r="P1934" s="159">
        <f>VLOOKUP(bargiri[[#This Row],[شماره سند مبنا]],invoice[[شماره پیش فاکتور]:[پیش دریافت به ازای هر کیلوگرم]],14,0)</f>
        <v>13264.109864344331</v>
      </c>
      <c r="Q1934" s="159">
        <f>IF(bargiri[[#This Row],[مبلغ ناخالص]]-(bargiri[[#This Row],[نرخ استهلاک]]*bargiri[[#This Row],[مقدار]])&lt;0,0,bargiri[[#This Row],[مبلغ ناخالص]]-(bargiri[[#This Row],[نرخ استهلاک]]*bargiri[[#This Row],[مقدار]]))</f>
        <v>575263372.96935189</v>
      </c>
    </row>
    <row r="1935" spans="1:17" s="22" customFormat="1" ht="13.8" x14ac:dyDescent="0.25">
      <c r="A1935" s="22">
        <v>955</v>
      </c>
      <c r="B1935" s="22" t="s">
        <v>491</v>
      </c>
      <c r="C1935" s="22" t="s">
        <v>115</v>
      </c>
      <c r="D1935" s="22" t="s">
        <v>116</v>
      </c>
      <c r="E1935" s="158">
        <v>13030</v>
      </c>
      <c r="F1935" s="159">
        <v>75000</v>
      </c>
      <c r="G1935" s="159">
        <v>977250000</v>
      </c>
      <c r="H1935" s="159">
        <v>97725000</v>
      </c>
      <c r="I1935" s="159">
        <v>1074975000</v>
      </c>
      <c r="J1935" s="159">
        <f>bargiri[[#This Row],[مقدار]]*INDEX(invoice[پیش دریافت به ازای هر کیلوگرم],MATCH(bargiri[[#This Row],[شماره سند مبنا]],invoice[شماره پیش فاکتور],0))</f>
        <v>195582996.43757755</v>
      </c>
      <c r="K1935" s="159">
        <f>bargiri[[#This Row],[مبلغ خالص]]-bargiri[[#This Row],[میزان استهلاک پیش دریافتی]]</f>
        <v>879392003.56242251</v>
      </c>
      <c r="L1935" s="160"/>
      <c r="M1935" s="159"/>
      <c r="N1935" s="159">
        <f>IF(bargiri[[#This Row],[مبلغ واریزی]]&lt;&gt;"",bargiri[[#This Row],[مانده مبلغ]]-bargiri[[#This Row],[مبلغ واریزی]],bargiri[[#This Row],[مانده مبلغ]])</f>
        <v>879392003.56242251</v>
      </c>
      <c r="O1935" s="159"/>
      <c r="P1935" s="159">
        <f>VLOOKUP(bargiri[[#This Row],[شماره سند مبنا]],invoice[[شماره پیش فاکتور]:[پیش دریافت به ازای هر کیلوگرم]],14,0)</f>
        <v>15010.206940719689</v>
      </c>
      <c r="Q1935" s="159">
        <f>IF(bargiri[[#This Row],[مبلغ ناخالص]]-(bargiri[[#This Row],[نرخ استهلاک]]*bargiri[[#This Row],[مقدار]])&lt;0,0,bargiri[[#This Row],[مبلغ ناخالص]]-(bargiri[[#This Row],[نرخ استهلاک]]*bargiri[[#This Row],[مقدار]]))</f>
        <v>781667003.56242251</v>
      </c>
    </row>
    <row r="1936" spans="1:17" s="22" customFormat="1" ht="13.8" x14ac:dyDescent="0.25">
      <c r="A1936" s="22">
        <v>954</v>
      </c>
      <c r="B1936" s="22" t="s">
        <v>150</v>
      </c>
      <c r="C1936" s="22" t="s">
        <v>81</v>
      </c>
      <c r="D1936" s="22" t="s">
        <v>35</v>
      </c>
      <c r="E1936" s="158">
        <v>7615</v>
      </c>
      <c r="F1936" s="159">
        <v>70000</v>
      </c>
      <c r="G1936" s="159">
        <v>533050000</v>
      </c>
      <c r="H1936" s="159">
        <v>53305000</v>
      </c>
      <c r="I1936" s="159">
        <v>586355000</v>
      </c>
      <c r="J1936" s="159" t="e">
        <f>bargiri[[#This Row],[مقدار]]*INDEX(invoice[پیش دریافت به ازای هر کیلوگرم],MATCH(bargiri[[#This Row],[شماره سند مبنا]],invoice[شماره پیش فاکتور],0))</f>
        <v>#N/A</v>
      </c>
      <c r="K1936" s="159" t="e">
        <f>bargiri[[#This Row],[مبلغ خالص]]-bargiri[[#This Row],[میزان استهلاک پیش دریافتی]]</f>
        <v>#N/A</v>
      </c>
      <c r="L1936" s="160"/>
      <c r="M1936" s="159"/>
      <c r="N1936" s="159" t="e">
        <f>IF(bargiri[[#This Row],[مبلغ واریزی]]&lt;&gt;"",bargiri[[#This Row],[مانده مبلغ]]-bargiri[[#This Row],[مبلغ واریزی]],bargiri[[#This Row],[مانده مبلغ]])</f>
        <v>#N/A</v>
      </c>
      <c r="O1936" s="159"/>
      <c r="P1936" s="159" t="e">
        <f>VLOOKUP(bargiri[[#This Row],[شماره سند مبنا]],invoice[[شماره پیش فاکتور]:[پیش دریافت به ازای هر کیلوگرم]],14,0)</f>
        <v>#N/A</v>
      </c>
      <c r="Q1936" s="159" t="e">
        <f>IF(bargiri[[#This Row],[مبلغ ناخالص]]-(bargiri[[#This Row],[نرخ استهلاک]]*bargiri[[#This Row],[مقدار]])&lt;0,0,bargiri[[#This Row],[مبلغ ناخالص]]-(bargiri[[#This Row],[نرخ استهلاک]]*bargiri[[#This Row],[مقدار]]))</f>
        <v>#N/A</v>
      </c>
    </row>
    <row r="1937" spans="1:17" s="22" customFormat="1" ht="13.8" x14ac:dyDescent="0.25">
      <c r="A1937" s="22">
        <v>953</v>
      </c>
      <c r="B1937" s="22" t="s">
        <v>150</v>
      </c>
      <c r="C1937" s="22" t="s">
        <v>86</v>
      </c>
      <c r="D1937" s="22" t="s">
        <v>30</v>
      </c>
      <c r="E1937" s="158">
        <v>11130</v>
      </c>
      <c r="F1937" s="159">
        <v>65000</v>
      </c>
      <c r="G1937" s="159">
        <v>723450000</v>
      </c>
      <c r="H1937" s="159">
        <v>72345000</v>
      </c>
      <c r="I1937" s="159">
        <v>795795000</v>
      </c>
      <c r="J1937" s="159" t="e">
        <f>bargiri[[#This Row],[مقدار]]*INDEX(invoice[پیش دریافت به ازای هر کیلوگرم],MATCH(bargiri[[#This Row],[شماره سند مبنا]],invoice[شماره پیش فاکتور],0))</f>
        <v>#N/A</v>
      </c>
      <c r="K1937" s="159" t="e">
        <f>bargiri[[#This Row],[مبلغ خالص]]-bargiri[[#This Row],[میزان استهلاک پیش دریافتی]]</f>
        <v>#N/A</v>
      </c>
      <c r="L1937" s="160"/>
      <c r="M1937" s="159"/>
      <c r="N1937" s="159" t="e">
        <f>IF(bargiri[[#This Row],[مبلغ واریزی]]&lt;&gt;"",bargiri[[#This Row],[مانده مبلغ]]-bargiri[[#This Row],[مبلغ واریزی]],bargiri[[#This Row],[مانده مبلغ]])</f>
        <v>#N/A</v>
      </c>
      <c r="O1937" s="159"/>
      <c r="P1937" s="159" t="e">
        <f>VLOOKUP(bargiri[[#This Row],[شماره سند مبنا]],invoice[[شماره پیش فاکتور]:[پیش دریافت به ازای هر کیلوگرم]],14,0)</f>
        <v>#N/A</v>
      </c>
      <c r="Q1937" s="159" t="e">
        <f>IF(bargiri[[#This Row],[مبلغ ناخالص]]-(bargiri[[#This Row],[نرخ استهلاک]]*bargiri[[#This Row],[مقدار]])&lt;0,0,bargiri[[#This Row],[مبلغ ناخالص]]-(bargiri[[#This Row],[نرخ استهلاک]]*bargiri[[#This Row],[مقدار]]))</f>
        <v>#N/A</v>
      </c>
    </row>
    <row r="1938" spans="1:17" s="22" customFormat="1" ht="13.8" x14ac:dyDescent="0.25">
      <c r="A1938" s="22">
        <v>952</v>
      </c>
      <c r="B1938" s="22" t="s">
        <v>150</v>
      </c>
      <c r="C1938" s="22" t="s">
        <v>115</v>
      </c>
      <c r="D1938" s="22" t="s">
        <v>116</v>
      </c>
      <c r="E1938" s="158">
        <v>19060</v>
      </c>
      <c r="F1938" s="159">
        <v>75000</v>
      </c>
      <c r="G1938" s="159">
        <v>1429500000</v>
      </c>
      <c r="H1938" s="159">
        <v>142950000</v>
      </c>
      <c r="I1938" s="159">
        <v>1572450000</v>
      </c>
      <c r="J1938" s="159">
        <f>bargiri[[#This Row],[مقدار]]*INDEX(invoice[پیش دریافت به ازای هر کیلوگرم],MATCH(bargiri[[#This Row],[شماره سند مبنا]],invoice[شماره پیش فاکتور],0))</f>
        <v>286094544.29011726</v>
      </c>
      <c r="K1938" s="159">
        <f>bargiri[[#This Row],[مبلغ خالص]]-bargiri[[#This Row],[میزان استهلاک پیش دریافتی]]</f>
        <v>1286355455.7098827</v>
      </c>
      <c r="L1938" s="160"/>
      <c r="M1938" s="159"/>
      <c r="N1938" s="159">
        <f>IF(bargiri[[#This Row],[مبلغ واریزی]]&lt;&gt;"",bargiri[[#This Row],[مانده مبلغ]]-bargiri[[#This Row],[مبلغ واریزی]],bargiri[[#This Row],[مانده مبلغ]])</f>
        <v>1286355455.7098827</v>
      </c>
      <c r="O1938" s="159"/>
      <c r="P1938" s="159">
        <f>VLOOKUP(bargiri[[#This Row],[شماره سند مبنا]],invoice[[شماره پیش فاکتور]:[پیش دریافت به ازای هر کیلوگرم]],14,0)</f>
        <v>15010.206940719689</v>
      </c>
      <c r="Q1938" s="159">
        <f>IF(bargiri[[#This Row],[مبلغ ناخالص]]-(bargiri[[#This Row],[نرخ استهلاک]]*bargiri[[#This Row],[مقدار]])&lt;0,0,bargiri[[#This Row],[مبلغ ناخالص]]-(bargiri[[#This Row],[نرخ استهلاک]]*bargiri[[#This Row],[مقدار]]))</f>
        <v>1143405455.7098827</v>
      </c>
    </row>
    <row r="1939" spans="1:17" s="22" customFormat="1" ht="13.8" x14ac:dyDescent="0.25">
      <c r="A1939" s="22">
        <v>951</v>
      </c>
      <c r="B1939" s="22" t="s">
        <v>492</v>
      </c>
      <c r="C1939" s="22" t="s">
        <v>24</v>
      </c>
      <c r="D1939" s="22" t="s">
        <v>25</v>
      </c>
      <c r="E1939" s="158">
        <v>20250</v>
      </c>
      <c r="F1939" s="159">
        <v>68000</v>
      </c>
      <c r="G1939" s="159">
        <v>1377000000</v>
      </c>
      <c r="H1939" s="159">
        <v>123930000</v>
      </c>
      <c r="I1939" s="159">
        <v>1500930000</v>
      </c>
      <c r="J1939" s="159" t="e">
        <f>bargiri[[#This Row],[مقدار]]*INDEX(invoice[پیش دریافت به ازای هر کیلوگرم],MATCH(bargiri[[#This Row],[شماره سند مبنا]],invoice[شماره پیش فاکتور],0))</f>
        <v>#N/A</v>
      </c>
      <c r="K1939" s="159" t="e">
        <f>bargiri[[#This Row],[مبلغ خالص]]-bargiri[[#This Row],[میزان استهلاک پیش دریافتی]]</f>
        <v>#N/A</v>
      </c>
      <c r="L1939" s="160"/>
      <c r="M1939" s="159"/>
      <c r="N1939" s="159" t="e">
        <f>IF(bargiri[[#This Row],[مبلغ واریزی]]&lt;&gt;"",bargiri[[#This Row],[مانده مبلغ]]-bargiri[[#This Row],[مبلغ واریزی]],bargiri[[#This Row],[مانده مبلغ]])</f>
        <v>#N/A</v>
      </c>
      <c r="O1939" s="159"/>
      <c r="P1939" s="159" t="e">
        <f>VLOOKUP(bargiri[[#This Row],[شماره سند مبنا]],invoice[[شماره پیش فاکتور]:[پیش دریافت به ازای هر کیلوگرم]],14,0)</f>
        <v>#N/A</v>
      </c>
      <c r="Q1939" s="159" t="e">
        <f>IF(bargiri[[#This Row],[مبلغ ناخالص]]-(bargiri[[#This Row],[نرخ استهلاک]]*bargiri[[#This Row],[مقدار]])&lt;0,0,bargiri[[#This Row],[مبلغ ناخالص]]-(bargiri[[#This Row],[نرخ استهلاک]]*bargiri[[#This Row],[مقدار]]))</f>
        <v>#N/A</v>
      </c>
    </row>
    <row r="1940" spans="1:17" s="22" customFormat="1" ht="13.8" x14ac:dyDescent="0.25">
      <c r="A1940" s="22">
        <v>950</v>
      </c>
      <c r="B1940" s="22" t="s">
        <v>148</v>
      </c>
      <c r="C1940" s="22" t="s">
        <v>79</v>
      </c>
      <c r="D1940" s="22" t="s">
        <v>17</v>
      </c>
      <c r="E1940" s="158">
        <v>10185</v>
      </c>
      <c r="F1940" s="159">
        <v>70000</v>
      </c>
      <c r="G1940" s="159">
        <v>712950000</v>
      </c>
      <c r="H1940" s="159">
        <v>71295000</v>
      </c>
      <c r="I1940" s="159">
        <v>784245000</v>
      </c>
      <c r="J1940" s="159" t="e">
        <f>bargiri[[#This Row],[مقدار]]*INDEX(invoice[پیش دریافت به ازای هر کیلوگرم],MATCH(bargiri[[#This Row],[شماره سند مبنا]],invoice[شماره پیش فاکتور],0))</f>
        <v>#N/A</v>
      </c>
      <c r="K1940" s="159" t="e">
        <f>bargiri[[#This Row],[مبلغ خالص]]-bargiri[[#This Row],[میزان استهلاک پیش دریافتی]]</f>
        <v>#N/A</v>
      </c>
      <c r="L1940" s="160"/>
      <c r="M1940" s="159"/>
      <c r="N1940" s="159" t="e">
        <f>IF(bargiri[[#This Row],[مبلغ واریزی]]&lt;&gt;"",bargiri[[#This Row],[مانده مبلغ]]-bargiri[[#This Row],[مبلغ واریزی]],bargiri[[#This Row],[مانده مبلغ]])</f>
        <v>#N/A</v>
      </c>
      <c r="O1940" s="159"/>
      <c r="P1940" s="159" t="e">
        <f>VLOOKUP(bargiri[[#This Row],[شماره سند مبنا]],invoice[[شماره پیش فاکتور]:[پیش دریافت به ازای هر کیلوگرم]],14,0)</f>
        <v>#N/A</v>
      </c>
      <c r="Q1940" s="159" t="e">
        <f>IF(bargiri[[#This Row],[مبلغ ناخالص]]-(bargiri[[#This Row],[نرخ استهلاک]]*bargiri[[#This Row],[مقدار]])&lt;0,0,bargiri[[#This Row],[مبلغ ناخالص]]-(bargiri[[#This Row],[نرخ استهلاک]]*bargiri[[#This Row],[مقدار]]))</f>
        <v>#N/A</v>
      </c>
    </row>
    <row r="1941" spans="1:17" s="22" customFormat="1" ht="13.8" x14ac:dyDescent="0.25">
      <c r="A1941" s="22">
        <v>949</v>
      </c>
      <c r="B1941" s="22" t="s">
        <v>148</v>
      </c>
      <c r="C1941" s="22" t="s">
        <v>66</v>
      </c>
      <c r="D1941" s="22" t="s">
        <v>67</v>
      </c>
      <c r="E1941" s="158">
        <v>19325</v>
      </c>
      <c r="F1941" s="159">
        <v>68500</v>
      </c>
      <c r="G1941" s="159">
        <v>1323762500</v>
      </c>
      <c r="H1941" s="159">
        <v>119138625</v>
      </c>
      <c r="I1941" s="159">
        <v>1442901125</v>
      </c>
      <c r="J1941" s="159" t="e">
        <f>bargiri[[#This Row],[مقدار]]*INDEX(invoice[پیش دریافت به ازای هر کیلوگرم],MATCH(bargiri[[#This Row],[شماره سند مبنا]],invoice[شماره پیش فاکتور],0))</f>
        <v>#N/A</v>
      </c>
      <c r="K1941" s="159" t="e">
        <f>bargiri[[#This Row],[مبلغ خالص]]-bargiri[[#This Row],[میزان استهلاک پیش دریافتی]]</f>
        <v>#N/A</v>
      </c>
      <c r="L1941" s="160"/>
      <c r="M1941" s="159"/>
      <c r="N1941" s="159" t="e">
        <f>IF(bargiri[[#This Row],[مبلغ واریزی]]&lt;&gt;"",bargiri[[#This Row],[مانده مبلغ]]-bargiri[[#This Row],[مبلغ واریزی]],bargiri[[#This Row],[مانده مبلغ]])</f>
        <v>#N/A</v>
      </c>
      <c r="O1941" s="159"/>
      <c r="P1941" s="159" t="e">
        <f>VLOOKUP(bargiri[[#This Row],[شماره سند مبنا]],invoice[[شماره پیش فاکتور]:[پیش دریافت به ازای هر کیلوگرم]],14,0)</f>
        <v>#N/A</v>
      </c>
      <c r="Q1941" s="159" t="e">
        <f>IF(bargiri[[#This Row],[مبلغ ناخالص]]-(bargiri[[#This Row],[نرخ استهلاک]]*bargiri[[#This Row],[مقدار]])&lt;0,0,bargiri[[#This Row],[مبلغ ناخالص]]-(bargiri[[#This Row],[نرخ استهلاک]]*bargiri[[#This Row],[مقدار]]))</f>
        <v>#N/A</v>
      </c>
    </row>
    <row r="1942" spans="1:17" s="22" customFormat="1" ht="13.8" x14ac:dyDescent="0.25">
      <c r="A1942" s="22">
        <v>948</v>
      </c>
      <c r="B1942" s="22" t="s">
        <v>148</v>
      </c>
      <c r="C1942" s="22" t="s">
        <v>109</v>
      </c>
      <c r="D1942" s="22" t="s">
        <v>110</v>
      </c>
      <c r="E1942" s="158">
        <v>19035</v>
      </c>
      <c r="F1942" s="159">
        <v>70000</v>
      </c>
      <c r="G1942" s="159">
        <v>1332450000</v>
      </c>
      <c r="H1942" s="159">
        <v>133245000</v>
      </c>
      <c r="I1942" s="159">
        <v>1465695000</v>
      </c>
      <c r="J1942" s="159" t="e">
        <f>bargiri[[#This Row],[مقدار]]*INDEX(invoice[پیش دریافت به ازای هر کیلوگرم],MATCH(bargiri[[#This Row],[شماره سند مبنا]],invoice[شماره پیش فاکتور],0))</f>
        <v>#N/A</v>
      </c>
      <c r="K1942" s="159" t="e">
        <f>bargiri[[#This Row],[مبلغ خالص]]-bargiri[[#This Row],[میزان استهلاک پیش دریافتی]]</f>
        <v>#N/A</v>
      </c>
      <c r="L1942" s="160"/>
      <c r="M1942" s="159"/>
      <c r="N1942" s="159" t="e">
        <f>IF(bargiri[[#This Row],[مبلغ واریزی]]&lt;&gt;"",bargiri[[#This Row],[مانده مبلغ]]-bargiri[[#This Row],[مبلغ واریزی]],bargiri[[#This Row],[مانده مبلغ]])</f>
        <v>#N/A</v>
      </c>
      <c r="O1942" s="159"/>
      <c r="P1942" s="159" t="e">
        <f>VLOOKUP(bargiri[[#This Row],[شماره سند مبنا]],invoice[[شماره پیش فاکتور]:[پیش دریافت به ازای هر کیلوگرم]],14,0)</f>
        <v>#N/A</v>
      </c>
      <c r="Q1942" s="159" t="e">
        <f>IF(bargiri[[#This Row],[مبلغ ناخالص]]-(bargiri[[#This Row],[نرخ استهلاک]]*bargiri[[#This Row],[مقدار]])&lt;0,0,bargiri[[#This Row],[مبلغ ناخالص]]-(bargiri[[#This Row],[نرخ استهلاک]]*bargiri[[#This Row],[مقدار]]))</f>
        <v>#N/A</v>
      </c>
    </row>
    <row r="1943" spans="1:17" s="22" customFormat="1" ht="13.8" x14ac:dyDescent="0.25">
      <c r="A1943" s="22">
        <v>947</v>
      </c>
      <c r="B1943" s="22" t="s">
        <v>148</v>
      </c>
      <c r="C1943" s="22" t="s">
        <v>128</v>
      </c>
      <c r="D1943" s="22" t="s">
        <v>129</v>
      </c>
      <c r="E1943" s="158">
        <v>9170</v>
      </c>
      <c r="F1943" s="159">
        <v>80000</v>
      </c>
      <c r="G1943" s="159">
        <v>733600000</v>
      </c>
      <c r="H1943" s="159">
        <v>73360000</v>
      </c>
      <c r="I1943" s="159">
        <v>806960000</v>
      </c>
      <c r="J1943" s="159">
        <f>bargiri[[#This Row],[مقدار]]*INDEX(invoice[پیش دریافت به ازای هر کیلوگرم],MATCH(bargiri[[#This Row],[شماره سند مبنا]],invoice[شماره پیش فاکتور],0))</f>
        <v>121631887.45603752</v>
      </c>
      <c r="K1943" s="159">
        <f>bargiri[[#This Row],[مبلغ خالص]]-bargiri[[#This Row],[میزان استهلاک پیش دریافتی]]</f>
        <v>685328112.54396248</v>
      </c>
      <c r="L1943" s="160"/>
      <c r="M1943" s="159"/>
      <c r="N1943" s="159">
        <f>IF(bargiri[[#This Row],[مبلغ واریزی]]&lt;&gt;"",bargiri[[#This Row],[مانده مبلغ]]-bargiri[[#This Row],[مبلغ واریزی]],bargiri[[#This Row],[مانده مبلغ]])</f>
        <v>685328112.54396248</v>
      </c>
      <c r="O1943" s="159"/>
      <c r="P1943" s="159">
        <f>VLOOKUP(bargiri[[#This Row],[شماره سند مبنا]],invoice[[شماره پیش فاکتور]:[پیش دریافت به ازای هر کیلوگرم]],14,0)</f>
        <v>13264.109864344331</v>
      </c>
      <c r="Q1943" s="159">
        <f>IF(bargiri[[#This Row],[مبلغ ناخالص]]-(bargiri[[#This Row],[نرخ استهلاک]]*bargiri[[#This Row],[مقدار]])&lt;0,0,bargiri[[#This Row],[مبلغ ناخالص]]-(bargiri[[#This Row],[نرخ استهلاک]]*bargiri[[#This Row],[مقدار]]))</f>
        <v>611968112.54396248</v>
      </c>
    </row>
    <row r="1944" spans="1:17" s="22" customFormat="1" ht="13.8" x14ac:dyDescent="0.25">
      <c r="A1944" s="22">
        <v>946</v>
      </c>
      <c r="B1944" s="22" t="s">
        <v>493</v>
      </c>
      <c r="C1944" s="22" t="s">
        <v>47</v>
      </c>
      <c r="D1944" s="22" t="s">
        <v>43</v>
      </c>
      <c r="E1944" s="158">
        <v>5130</v>
      </c>
      <c r="F1944" s="159">
        <v>65000</v>
      </c>
      <c r="G1944" s="159">
        <v>333450000</v>
      </c>
      <c r="H1944" s="159">
        <v>30010500</v>
      </c>
      <c r="I1944" s="159">
        <v>363460500</v>
      </c>
      <c r="J1944" s="159" t="e">
        <f>bargiri[[#This Row],[مقدار]]*INDEX(invoice[پیش دریافت به ازای هر کیلوگرم],MATCH(bargiri[[#This Row],[شماره سند مبنا]],invoice[شماره پیش فاکتور],0))</f>
        <v>#N/A</v>
      </c>
      <c r="K1944" s="159" t="e">
        <f>bargiri[[#This Row],[مبلغ خالص]]-bargiri[[#This Row],[میزان استهلاک پیش دریافتی]]</f>
        <v>#N/A</v>
      </c>
      <c r="L1944" s="160"/>
      <c r="M1944" s="159"/>
      <c r="N1944" s="159" t="e">
        <f>IF(bargiri[[#This Row],[مبلغ واریزی]]&lt;&gt;"",bargiri[[#This Row],[مانده مبلغ]]-bargiri[[#This Row],[مبلغ واریزی]],bargiri[[#This Row],[مانده مبلغ]])</f>
        <v>#N/A</v>
      </c>
      <c r="O1944" s="159"/>
      <c r="P1944" s="159" t="e">
        <f>VLOOKUP(bargiri[[#This Row],[شماره سند مبنا]],invoice[[شماره پیش فاکتور]:[پیش دریافت به ازای هر کیلوگرم]],14,0)</f>
        <v>#N/A</v>
      </c>
      <c r="Q1944" s="159" t="e">
        <f>IF(bargiri[[#This Row],[مبلغ ناخالص]]-(bargiri[[#This Row],[نرخ استهلاک]]*bargiri[[#This Row],[مقدار]])&lt;0,0,bargiri[[#This Row],[مبلغ ناخالص]]-(bargiri[[#This Row],[نرخ استهلاک]]*bargiri[[#This Row],[مقدار]]))</f>
        <v>#N/A</v>
      </c>
    </row>
    <row r="1945" spans="1:17" s="22" customFormat="1" ht="13.8" x14ac:dyDescent="0.25">
      <c r="A1945" s="22">
        <v>945</v>
      </c>
      <c r="B1945" s="22" t="s">
        <v>493</v>
      </c>
      <c r="C1945" s="22" t="s">
        <v>88</v>
      </c>
      <c r="D1945" s="22" t="s">
        <v>89</v>
      </c>
      <c r="E1945" s="158">
        <v>20140</v>
      </c>
      <c r="F1945" s="159">
        <v>78000</v>
      </c>
      <c r="G1945" s="159">
        <v>1570920000</v>
      </c>
      <c r="H1945" s="159">
        <v>157092000</v>
      </c>
      <c r="I1945" s="159">
        <v>1728012000</v>
      </c>
      <c r="J1945" s="159" t="e">
        <f>bargiri[[#This Row],[مقدار]]*INDEX(invoice[پیش دریافت به ازای هر کیلوگرم],MATCH(bargiri[[#This Row],[شماره سند مبنا]],invoice[شماره پیش فاکتور],0))</f>
        <v>#N/A</v>
      </c>
      <c r="K1945" s="159" t="e">
        <f>bargiri[[#This Row],[مبلغ خالص]]-bargiri[[#This Row],[میزان استهلاک پیش دریافتی]]</f>
        <v>#N/A</v>
      </c>
      <c r="L1945" s="160"/>
      <c r="M1945" s="159"/>
      <c r="N1945" s="159" t="e">
        <f>IF(bargiri[[#This Row],[مبلغ واریزی]]&lt;&gt;"",bargiri[[#This Row],[مانده مبلغ]]-bargiri[[#This Row],[مبلغ واریزی]],bargiri[[#This Row],[مانده مبلغ]])</f>
        <v>#N/A</v>
      </c>
      <c r="O1945" s="159"/>
      <c r="P1945" s="159" t="e">
        <f>VLOOKUP(bargiri[[#This Row],[شماره سند مبنا]],invoice[[شماره پیش فاکتور]:[پیش دریافت به ازای هر کیلوگرم]],14,0)</f>
        <v>#N/A</v>
      </c>
      <c r="Q1945" s="159" t="e">
        <f>IF(bargiri[[#This Row],[مبلغ ناخالص]]-(bargiri[[#This Row],[نرخ استهلاک]]*bargiri[[#This Row],[مقدار]])&lt;0,0,bargiri[[#This Row],[مبلغ ناخالص]]-(bargiri[[#This Row],[نرخ استهلاک]]*bargiri[[#This Row],[مقدار]]))</f>
        <v>#N/A</v>
      </c>
    </row>
    <row r="1946" spans="1:17" s="22" customFormat="1" ht="13.8" x14ac:dyDescent="0.25">
      <c r="A1946" s="22">
        <v>944</v>
      </c>
      <c r="B1946" s="22" t="s">
        <v>493</v>
      </c>
      <c r="C1946" s="22" t="s">
        <v>142</v>
      </c>
      <c r="D1946" s="22" t="s">
        <v>126</v>
      </c>
      <c r="E1946" s="158">
        <v>14265</v>
      </c>
      <c r="F1946" s="159">
        <v>79301</v>
      </c>
      <c r="G1946" s="159">
        <v>1131228765</v>
      </c>
      <c r="H1946" s="159">
        <v>113122877</v>
      </c>
      <c r="I1946" s="159">
        <v>1244351642</v>
      </c>
      <c r="J1946" s="159" t="e">
        <f>bargiri[[#This Row],[مقدار]]*INDEX(invoice[پیش دریافت به ازای هر کیلوگرم],MATCH(bargiri[[#This Row],[شماره سند مبنا]],invoice[شماره پیش فاکتور],0))</f>
        <v>#N/A</v>
      </c>
      <c r="K1946" s="159" t="e">
        <f>bargiri[[#This Row],[مبلغ خالص]]-bargiri[[#This Row],[میزان استهلاک پیش دریافتی]]</f>
        <v>#N/A</v>
      </c>
      <c r="L1946" s="160"/>
      <c r="M1946" s="159"/>
      <c r="N1946" s="159" t="e">
        <f>IF(bargiri[[#This Row],[مبلغ واریزی]]&lt;&gt;"",bargiri[[#This Row],[مانده مبلغ]]-bargiri[[#This Row],[مبلغ واریزی]],bargiri[[#This Row],[مانده مبلغ]])</f>
        <v>#N/A</v>
      </c>
      <c r="O1946" s="159"/>
      <c r="P1946" s="159" t="e">
        <f>VLOOKUP(bargiri[[#This Row],[شماره سند مبنا]],invoice[[شماره پیش فاکتور]:[پیش دریافت به ازای هر کیلوگرم]],14,0)</f>
        <v>#N/A</v>
      </c>
      <c r="Q1946" s="159" t="e">
        <f>IF(bargiri[[#This Row],[مبلغ ناخالص]]-(bargiri[[#This Row],[نرخ استهلاک]]*bargiri[[#This Row],[مقدار]])&lt;0,0,bargiri[[#This Row],[مبلغ ناخالص]]-(bargiri[[#This Row],[نرخ استهلاک]]*bargiri[[#This Row],[مقدار]]))</f>
        <v>#N/A</v>
      </c>
    </row>
    <row r="1947" spans="1:17" s="22" customFormat="1" ht="13.8" x14ac:dyDescent="0.25">
      <c r="A1947" s="22">
        <v>943</v>
      </c>
      <c r="B1947" s="22" t="s">
        <v>493</v>
      </c>
      <c r="C1947" s="22" t="s">
        <v>47</v>
      </c>
      <c r="D1947" s="22" t="s">
        <v>43</v>
      </c>
      <c r="E1947" s="158">
        <v>5140</v>
      </c>
      <c r="F1947" s="159">
        <v>65000</v>
      </c>
      <c r="G1947" s="159">
        <v>334100000</v>
      </c>
      <c r="H1947" s="159">
        <v>30069000</v>
      </c>
      <c r="I1947" s="159">
        <v>364169000</v>
      </c>
      <c r="J1947" s="159" t="e">
        <f>bargiri[[#This Row],[مقدار]]*INDEX(invoice[پیش دریافت به ازای هر کیلوگرم],MATCH(bargiri[[#This Row],[شماره سند مبنا]],invoice[شماره پیش فاکتور],0))</f>
        <v>#N/A</v>
      </c>
      <c r="K1947" s="159" t="e">
        <f>bargiri[[#This Row],[مبلغ خالص]]-bargiri[[#This Row],[میزان استهلاک پیش دریافتی]]</f>
        <v>#N/A</v>
      </c>
      <c r="L1947" s="160"/>
      <c r="M1947" s="159"/>
      <c r="N1947" s="159" t="e">
        <f>IF(bargiri[[#This Row],[مبلغ واریزی]]&lt;&gt;"",bargiri[[#This Row],[مانده مبلغ]]-bargiri[[#This Row],[مبلغ واریزی]],bargiri[[#This Row],[مانده مبلغ]])</f>
        <v>#N/A</v>
      </c>
      <c r="O1947" s="159"/>
      <c r="P1947" s="159" t="e">
        <f>VLOOKUP(bargiri[[#This Row],[شماره سند مبنا]],invoice[[شماره پیش فاکتور]:[پیش دریافت به ازای هر کیلوگرم]],14,0)</f>
        <v>#N/A</v>
      </c>
      <c r="Q1947" s="159" t="e">
        <f>IF(bargiri[[#This Row],[مبلغ ناخالص]]-(bargiri[[#This Row],[نرخ استهلاک]]*bargiri[[#This Row],[مقدار]])&lt;0,0,bargiri[[#This Row],[مبلغ ناخالص]]-(bargiri[[#This Row],[نرخ استهلاک]]*bargiri[[#This Row],[مقدار]]))</f>
        <v>#N/A</v>
      </c>
    </row>
    <row r="1948" spans="1:17" s="22" customFormat="1" ht="13.8" x14ac:dyDescent="0.25">
      <c r="A1948" s="22">
        <v>942</v>
      </c>
      <c r="B1948" s="22" t="s">
        <v>493</v>
      </c>
      <c r="C1948" s="22" t="s">
        <v>69</v>
      </c>
      <c r="D1948" s="22" t="s">
        <v>70</v>
      </c>
      <c r="E1948" s="158">
        <v>20165</v>
      </c>
      <c r="F1948" s="159">
        <v>70000</v>
      </c>
      <c r="G1948" s="159">
        <v>1411550000</v>
      </c>
      <c r="H1948" s="159">
        <v>127039500</v>
      </c>
      <c r="I1948" s="159">
        <v>1538589500</v>
      </c>
      <c r="J1948" s="159" t="e">
        <f>bargiri[[#This Row],[مقدار]]*INDEX(invoice[پیش دریافت به ازای هر کیلوگرم],MATCH(bargiri[[#This Row],[شماره سند مبنا]],invoice[شماره پیش فاکتور],0))</f>
        <v>#N/A</v>
      </c>
      <c r="K1948" s="159" t="e">
        <f>bargiri[[#This Row],[مبلغ خالص]]-bargiri[[#This Row],[میزان استهلاک پیش دریافتی]]</f>
        <v>#N/A</v>
      </c>
      <c r="L1948" s="160"/>
      <c r="M1948" s="159"/>
      <c r="N1948" s="159" t="e">
        <f>IF(bargiri[[#This Row],[مبلغ واریزی]]&lt;&gt;"",bargiri[[#This Row],[مانده مبلغ]]-bargiri[[#This Row],[مبلغ واریزی]],bargiri[[#This Row],[مانده مبلغ]])</f>
        <v>#N/A</v>
      </c>
      <c r="O1948" s="159"/>
      <c r="P1948" s="159" t="e">
        <f>VLOOKUP(bargiri[[#This Row],[شماره سند مبنا]],invoice[[شماره پیش فاکتور]:[پیش دریافت به ازای هر کیلوگرم]],14,0)</f>
        <v>#N/A</v>
      </c>
      <c r="Q1948" s="159" t="e">
        <f>IF(bargiri[[#This Row],[مبلغ ناخالص]]-(bargiri[[#This Row],[نرخ استهلاک]]*bargiri[[#This Row],[مقدار]])&lt;0,0,bargiri[[#This Row],[مبلغ ناخالص]]-(bargiri[[#This Row],[نرخ استهلاک]]*bargiri[[#This Row],[مقدار]]))</f>
        <v>#N/A</v>
      </c>
    </row>
    <row r="1949" spans="1:17" s="22" customFormat="1" ht="13.8" x14ac:dyDescent="0.25">
      <c r="A1949" s="22">
        <v>941</v>
      </c>
      <c r="B1949" s="22" t="s">
        <v>492</v>
      </c>
      <c r="C1949" s="22" t="s">
        <v>66</v>
      </c>
      <c r="D1949" s="22" t="s">
        <v>67</v>
      </c>
      <c r="E1949" s="158">
        <v>22280</v>
      </c>
      <c r="F1949" s="159">
        <v>68500</v>
      </c>
      <c r="G1949" s="159">
        <v>1526180000</v>
      </c>
      <c r="H1949" s="159">
        <v>137356200</v>
      </c>
      <c r="I1949" s="159">
        <v>1663536200</v>
      </c>
      <c r="J1949" s="159" t="e">
        <f>bargiri[[#This Row],[مقدار]]*INDEX(invoice[پیش دریافت به ازای هر کیلوگرم],MATCH(bargiri[[#This Row],[شماره سند مبنا]],invoice[شماره پیش فاکتور],0))</f>
        <v>#N/A</v>
      </c>
      <c r="K1949" s="159" t="e">
        <f>bargiri[[#This Row],[مبلغ خالص]]-bargiri[[#This Row],[میزان استهلاک پیش دریافتی]]</f>
        <v>#N/A</v>
      </c>
      <c r="L1949" s="160"/>
      <c r="M1949" s="159"/>
      <c r="N1949" s="159" t="e">
        <f>IF(bargiri[[#This Row],[مبلغ واریزی]]&lt;&gt;"",bargiri[[#This Row],[مانده مبلغ]]-bargiri[[#This Row],[مبلغ واریزی]],bargiri[[#This Row],[مانده مبلغ]])</f>
        <v>#N/A</v>
      </c>
      <c r="O1949" s="159"/>
      <c r="P1949" s="159" t="e">
        <f>VLOOKUP(bargiri[[#This Row],[شماره سند مبنا]],invoice[[شماره پیش فاکتور]:[پیش دریافت به ازای هر کیلوگرم]],14,0)</f>
        <v>#N/A</v>
      </c>
      <c r="Q1949" s="159" t="e">
        <f>IF(bargiri[[#This Row],[مبلغ ناخالص]]-(bargiri[[#This Row],[نرخ استهلاک]]*bargiri[[#This Row],[مقدار]])&lt;0,0,bargiri[[#This Row],[مبلغ ناخالص]]-(bargiri[[#This Row],[نرخ استهلاک]]*bargiri[[#This Row],[مقدار]]))</f>
        <v>#N/A</v>
      </c>
    </row>
    <row r="1950" spans="1:17" s="22" customFormat="1" ht="13.8" x14ac:dyDescent="0.25">
      <c r="A1950" s="22">
        <v>940</v>
      </c>
      <c r="B1950" s="22" t="s">
        <v>492</v>
      </c>
      <c r="C1950" s="22" t="s">
        <v>86</v>
      </c>
      <c r="D1950" s="22" t="s">
        <v>30</v>
      </c>
      <c r="E1950" s="158">
        <v>10250</v>
      </c>
      <c r="F1950" s="159">
        <v>65000</v>
      </c>
      <c r="G1950" s="159">
        <v>666250000</v>
      </c>
      <c r="H1950" s="159">
        <v>66625000</v>
      </c>
      <c r="I1950" s="159">
        <v>732875000</v>
      </c>
      <c r="J1950" s="159" t="e">
        <f>bargiri[[#This Row],[مقدار]]*INDEX(invoice[پیش دریافت به ازای هر کیلوگرم],MATCH(bargiri[[#This Row],[شماره سند مبنا]],invoice[شماره پیش فاکتور],0))</f>
        <v>#N/A</v>
      </c>
      <c r="K1950" s="159" t="e">
        <f>bargiri[[#This Row],[مبلغ خالص]]-bargiri[[#This Row],[میزان استهلاک پیش دریافتی]]</f>
        <v>#N/A</v>
      </c>
      <c r="L1950" s="160"/>
      <c r="M1950" s="159"/>
      <c r="N1950" s="159" t="e">
        <f>IF(bargiri[[#This Row],[مبلغ واریزی]]&lt;&gt;"",bargiri[[#This Row],[مانده مبلغ]]-bargiri[[#This Row],[مبلغ واریزی]],bargiri[[#This Row],[مانده مبلغ]])</f>
        <v>#N/A</v>
      </c>
      <c r="O1950" s="159"/>
      <c r="P1950" s="159" t="e">
        <f>VLOOKUP(bargiri[[#This Row],[شماره سند مبنا]],invoice[[شماره پیش فاکتور]:[پیش دریافت به ازای هر کیلوگرم]],14,0)</f>
        <v>#N/A</v>
      </c>
      <c r="Q1950" s="159" t="e">
        <f>IF(bargiri[[#This Row],[مبلغ ناخالص]]-(bargiri[[#This Row],[نرخ استهلاک]]*bargiri[[#This Row],[مقدار]])&lt;0,0,bargiri[[#This Row],[مبلغ ناخالص]]-(bargiri[[#This Row],[نرخ استهلاک]]*bargiri[[#This Row],[مقدار]]))</f>
        <v>#N/A</v>
      </c>
    </row>
    <row r="1951" spans="1:17" s="22" customFormat="1" ht="13.8" x14ac:dyDescent="0.25">
      <c r="A1951" s="22">
        <v>938</v>
      </c>
      <c r="B1951" s="22" t="s">
        <v>494</v>
      </c>
      <c r="C1951" s="22" t="s">
        <v>109</v>
      </c>
      <c r="D1951" s="22" t="s">
        <v>110</v>
      </c>
      <c r="E1951" s="158">
        <v>19160</v>
      </c>
      <c r="F1951" s="159">
        <v>70000</v>
      </c>
      <c r="G1951" s="159">
        <v>1341200000</v>
      </c>
      <c r="H1951" s="159">
        <v>134120000</v>
      </c>
      <c r="I1951" s="159">
        <v>1475320000</v>
      </c>
      <c r="J1951" s="159" t="e">
        <f>bargiri[[#This Row],[مقدار]]*INDEX(invoice[پیش دریافت به ازای هر کیلوگرم],MATCH(bargiri[[#This Row],[شماره سند مبنا]],invoice[شماره پیش فاکتور],0))</f>
        <v>#N/A</v>
      </c>
      <c r="K1951" s="159" t="e">
        <f>bargiri[[#This Row],[مبلغ خالص]]-bargiri[[#This Row],[میزان استهلاک پیش دریافتی]]</f>
        <v>#N/A</v>
      </c>
      <c r="L1951" s="160"/>
      <c r="M1951" s="159"/>
      <c r="N1951" s="159" t="e">
        <f>IF(bargiri[[#This Row],[مبلغ واریزی]]&lt;&gt;"",bargiri[[#This Row],[مانده مبلغ]]-bargiri[[#This Row],[مبلغ واریزی]],bargiri[[#This Row],[مانده مبلغ]])</f>
        <v>#N/A</v>
      </c>
      <c r="O1951" s="159"/>
      <c r="P1951" s="159" t="e">
        <f>VLOOKUP(bargiri[[#This Row],[شماره سند مبنا]],invoice[[شماره پیش فاکتور]:[پیش دریافت به ازای هر کیلوگرم]],14,0)</f>
        <v>#N/A</v>
      </c>
      <c r="Q1951" s="159" t="e">
        <f>IF(bargiri[[#This Row],[مبلغ ناخالص]]-(bargiri[[#This Row],[نرخ استهلاک]]*bargiri[[#This Row],[مقدار]])&lt;0,0,bargiri[[#This Row],[مبلغ ناخالص]]-(bargiri[[#This Row],[نرخ استهلاک]]*bargiri[[#This Row],[مقدار]]))</f>
        <v>#N/A</v>
      </c>
    </row>
    <row r="1952" spans="1:17" s="22" customFormat="1" ht="13.8" x14ac:dyDescent="0.25">
      <c r="A1952" s="22">
        <v>936</v>
      </c>
      <c r="B1952" s="22" t="s">
        <v>481</v>
      </c>
      <c r="C1952" s="22" t="s">
        <v>81</v>
      </c>
      <c r="D1952" s="22" t="s">
        <v>35</v>
      </c>
      <c r="E1952" s="158">
        <v>7200</v>
      </c>
      <c r="F1952" s="159">
        <v>70000</v>
      </c>
      <c r="G1952" s="159">
        <v>504000000</v>
      </c>
      <c r="H1952" s="159">
        <v>50400000</v>
      </c>
      <c r="I1952" s="159">
        <v>554400000</v>
      </c>
      <c r="J1952" s="159" t="e">
        <f>bargiri[[#This Row],[مقدار]]*INDEX(invoice[پیش دریافت به ازای هر کیلوگرم],MATCH(bargiri[[#This Row],[شماره سند مبنا]],invoice[شماره پیش فاکتور],0))</f>
        <v>#N/A</v>
      </c>
      <c r="K1952" s="159" t="e">
        <f>bargiri[[#This Row],[مبلغ خالص]]-bargiri[[#This Row],[میزان استهلاک پیش دریافتی]]</f>
        <v>#N/A</v>
      </c>
      <c r="L1952" s="160"/>
      <c r="M1952" s="159"/>
      <c r="N1952" s="159" t="e">
        <f>IF(bargiri[[#This Row],[مبلغ واریزی]]&lt;&gt;"",bargiri[[#This Row],[مانده مبلغ]]-bargiri[[#This Row],[مبلغ واریزی]],bargiri[[#This Row],[مانده مبلغ]])</f>
        <v>#N/A</v>
      </c>
      <c r="O1952" s="159"/>
      <c r="P1952" s="159" t="e">
        <f>VLOOKUP(bargiri[[#This Row],[شماره سند مبنا]],invoice[[شماره پیش فاکتور]:[پیش دریافت به ازای هر کیلوگرم]],14,0)</f>
        <v>#N/A</v>
      </c>
      <c r="Q1952" s="159" t="e">
        <f>IF(bargiri[[#This Row],[مبلغ ناخالص]]-(bargiri[[#This Row],[نرخ استهلاک]]*bargiri[[#This Row],[مقدار]])&lt;0,0,bargiri[[#This Row],[مبلغ ناخالص]]-(bargiri[[#This Row],[نرخ استهلاک]]*bargiri[[#This Row],[مقدار]]))</f>
        <v>#N/A</v>
      </c>
    </row>
    <row r="1953" spans="1:17" s="22" customFormat="1" ht="13.8" x14ac:dyDescent="0.25">
      <c r="A1953" s="22">
        <v>933</v>
      </c>
      <c r="B1953" s="22" t="s">
        <v>481</v>
      </c>
      <c r="C1953" s="22" t="s">
        <v>66</v>
      </c>
      <c r="D1953" s="22" t="s">
        <v>67</v>
      </c>
      <c r="E1953" s="158">
        <v>20100</v>
      </c>
      <c r="F1953" s="159">
        <v>68500</v>
      </c>
      <c r="G1953" s="159">
        <v>1376850000</v>
      </c>
      <c r="H1953" s="159">
        <v>123916500</v>
      </c>
      <c r="I1953" s="159">
        <v>1500766500</v>
      </c>
      <c r="J1953" s="159" t="e">
        <f>bargiri[[#This Row],[مقدار]]*INDEX(invoice[پیش دریافت به ازای هر کیلوگرم],MATCH(bargiri[[#This Row],[شماره سند مبنا]],invoice[شماره پیش فاکتور],0))</f>
        <v>#N/A</v>
      </c>
      <c r="K1953" s="159" t="e">
        <f>bargiri[[#This Row],[مبلغ خالص]]-bargiri[[#This Row],[میزان استهلاک پیش دریافتی]]</f>
        <v>#N/A</v>
      </c>
      <c r="L1953" s="160"/>
      <c r="M1953" s="159"/>
      <c r="N1953" s="159" t="e">
        <f>IF(bargiri[[#This Row],[مبلغ واریزی]]&lt;&gt;"",bargiri[[#This Row],[مانده مبلغ]]-bargiri[[#This Row],[مبلغ واریزی]],bargiri[[#This Row],[مانده مبلغ]])</f>
        <v>#N/A</v>
      </c>
      <c r="O1953" s="159"/>
      <c r="P1953" s="159" t="e">
        <f>VLOOKUP(bargiri[[#This Row],[شماره سند مبنا]],invoice[[شماره پیش فاکتور]:[پیش دریافت به ازای هر کیلوگرم]],14,0)</f>
        <v>#N/A</v>
      </c>
      <c r="Q1953" s="159" t="e">
        <f>IF(bargiri[[#This Row],[مبلغ ناخالص]]-(bargiri[[#This Row],[نرخ استهلاک]]*bargiri[[#This Row],[مقدار]])&lt;0,0,bargiri[[#This Row],[مبلغ ناخالص]]-(bargiri[[#This Row],[نرخ استهلاک]]*bargiri[[#This Row],[مقدار]]))</f>
        <v>#N/A</v>
      </c>
    </row>
    <row r="1954" spans="1:17" s="22" customFormat="1" ht="13.8" x14ac:dyDescent="0.25">
      <c r="A1954" s="22">
        <v>932</v>
      </c>
      <c r="B1954" s="22" t="s">
        <v>495</v>
      </c>
      <c r="C1954" s="22" t="s">
        <v>109</v>
      </c>
      <c r="D1954" s="22" t="s">
        <v>110</v>
      </c>
      <c r="E1954" s="158">
        <v>19090</v>
      </c>
      <c r="F1954" s="159">
        <v>70000</v>
      </c>
      <c r="G1954" s="159">
        <v>1336300000</v>
      </c>
      <c r="H1954" s="159">
        <v>133630000</v>
      </c>
      <c r="I1954" s="159">
        <v>1469930000</v>
      </c>
      <c r="J1954" s="159" t="e">
        <f>bargiri[[#This Row],[مقدار]]*INDEX(invoice[پیش دریافت به ازای هر کیلوگرم],MATCH(bargiri[[#This Row],[شماره سند مبنا]],invoice[شماره پیش فاکتور],0))</f>
        <v>#N/A</v>
      </c>
      <c r="K1954" s="159" t="e">
        <f>bargiri[[#This Row],[مبلغ خالص]]-bargiri[[#This Row],[میزان استهلاک پیش دریافتی]]</f>
        <v>#N/A</v>
      </c>
      <c r="L1954" s="160"/>
      <c r="M1954" s="159"/>
      <c r="N1954" s="159" t="e">
        <f>IF(bargiri[[#This Row],[مبلغ واریزی]]&lt;&gt;"",bargiri[[#This Row],[مانده مبلغ]]-bargiri[[#This Row],[مبلغ واریزی]],bargiri[[#This Row],[مانده مبلغ]])</f>
        <v>#N/A</v>
      </c>
      <c r="O1954" s="159"/>
      <c r="P1954" s="159" t="e">
        <f>VLOOKUP(bargiri[[#This Row],[شماره سند مبنا]],invoice[[شماره پیش فاکتور]:[پیش دریافت به ازای هر کیلوگرم]],14,0)</f>
        <v>#N/A</v>
      </c>
      <c r="Q1954" s="159" t="e">
        <f>IF(bargiri[[#This Row],[مبلغ ناخالص]]-(bargiri[[#This Row],[نرخ استهلاک]]*bargiri[[#This Row],[مقدار]])&lt;0,0,bargiri[[#This Row],[مبلغ ناخالص]]-(bargiri[[#This Row],[نرخ استهلاک]]*bargiri[[#This Row],[مقدار]]))</f>
        <v>#N/A</v>
      </c>
    </row>
    <row r="1955" spans="1:17" s="22" customFormat="1" ht="13.8" x14ac:dyDescent="0.25">
      <c r="A1955" s="22">
        <v>931</v>
      </c>
      <c r="B1955" s="22" t="s">
        <v>495</v>
      </c>
      <c r="C1955" s="22" t="s">
        <v>66</v>
      </c>
      <c r="D1955" s="22" t="s">
        <v>67</v>
      </c>
      <c r="E1955" s="158">
        <v>12080</v>
      </c>
      <c r="F1955" s="159">
        <v>68500</v>
      </c>
      <c r="G1955" s="159">
        <v>827480000</v>
      </c>
      <c r="H1955" s="159">
        <v>74473200</v>
      </c>
      <c r="I1955" s="159">
        <v>901953200</v>
      </c>
      <c r="J1955" s="159" t="e">
        <f>bargiri[[#This Row],[مقدار]]*INDEX(invoice[پیش دریافت به ازای هر کیلوگرم],MATCH(bargiri[[#This Row],[شماره سند مبنا]],invoice[شماره پیش فاکتور],0))</f>
        <v>#N/A</v>
      </c>
      <c r="K1955" s="159" t="e">
        <f>bargiri[[#This Row],[مبلغ خالص]]-bargiri[[#This Row],[میزان استهلاک پیش دریافتی]]</f>
        <v>#N/A</v>
      </c>
      <c r="L1955" s="160"/>
      <c r="M1955" s="159"/>
      <c r="N1955" s="159" t="e">
        <f>IF(bargiri[[#This Row],[مبلغ واریزی]]&lt;&gt;"",bargiri[[#This Row],[مانده مبلغ]]-bargiri[[#This Row],[مبلغ واریزی]],bargiri[[#This Row],[مانده مبلغ]])</f>
        <v>#N/A</v>
      </c>
      <c r="O1955" s="159"/>
      <c r="P1955" s="159" t="e">
        <f>VLOOKUP(bargiri[[#This Row],[شماره سند مبنا]],invoice[[شماره پیش فاکتور]:[پیش دریافت به ازای هر کیلوگرم]],14,0)</f>
        <v>#N/A</v>
      </c>
      <c r="Q1955" s="159" t="e">
        <f>IF(bargiri[[#This Row],[مبلغ ناخالص]]-(bargiri[[#This Row],[نرخ استهلاک]]*bargiri[[#This Row],[مقدار]])&lt;0,0,bargiri[[#This Row],[مبلغ ناخالص]]-(bargiri[[#This Row],[نرخ استهلاک]]*bargiri[[#This Row],[مقدار]]))</f>
        <v>#N/A</v>
      </c>
    </row>
    <row r="1956" spans="1:17" s="22" customFormat="1" ht="13.8" x14ac:dyDescent="0.25">
      <c r="A1956" s="22">
        <v>930</v>
      </c>
      <c r="B1956" s="22" t="s">
        <v>496</v>
      </c>
      <c r="C1956" s="22" t="s">
        <v>66</v>
      </c>
      <c r="D1956" s="22" t="s">
        <v>67</v>
      </c>
      <c r="E1956" s="158">
        <v>17350</v>
      </c>
      <c r="F1956" s="159">
        <v>68500</v>
      </c>
      <c r="G1956" s="159">
        <v>1188475000</v>
      </c>
      <c r="H1956" s="159">
        <v>106962750</v>
      </c>
      <c r="I1956" s="159">
        <v>1295437750</v>
      </c>
      <c r="J1956" s="159" t="e">
        <f>bargiri[[#This Row],[مقدار]]*INDEX(invoice[پیش دریافت به ازای هر کیلوگرم],MATCH(bargiri[[#This Row],[شماره سند مبنا]],invoice[شماره پیش فاکتور],0))</f>
        <v>#N/A</v>
      </c>
      <c r="K1956" s="159" t="e">
        <f>bargiri[[#This Row],[مبلغ خالص]]-bargiri[[#This Row],[میزان استهلاک پیش دریافتی]]</f>
        <v>#N/A</v>
      </c>
      <c r="L1956" s="160"/>
      <c r="M1956" s="159"/>
      <c r="N1956" s="159" t="e">
        <f>IF(bargiri[[#This Row],[مبلغ واریزی]]&lt;&gt;"",bargiri[[#This Row],[مانده مبلغ]]-bargiri[[#This Row],[مبلغ واریزی]],bargiri[[#This Row],[مانده مبلغ]])</f>
        <v>#N/A</v>
      </c>
      <c r="O1956" s="159"/>
      <c r="P1956" s="159" t="e">
        <f>VLOOKUP(bargiri[[#This Row],[شماره سند مبنا]],invoice[[شماره پیش فاکتور]:[پیش دریافت به ازای هر کیلوگرم]],14,0)</f>
        <v>#N/A</v>
      </c>
      <c r="Q1956" s="159" t="e">
        <f>IF(bargiri[[#This Row],[مبلغ ناخالص]]-(bargiri[[#This Row],[نرخ استهلاک]]*bargiri[[#This Row],[مقدار]])&lt;0,0,bargiri[[#This Row],[مبلغ ناخالص]]-(bargiri[[#This Row],[نرخ استهلاک]]*bargiri[[#This Row],[مقدار]]))</f>
        <v>#N/A</v>
      </c>
    </row>
    <row r="1957" spans="1:17" s="22" customFormat="1" ht="13.8" x14ac:dyDescent="0.25">
      <c r="A1957" s="22">
        <v>929</v>
      </c>
      <c r="B1957" s="22" t="s">
        <v>496</v>
      </c>
      <c r="C1957" s="22" t="s">
        <v>47</v>
      </c>
      <c r="D1957" s="22" t="s">
        <v>43</v>
      </c>
      <c r="E1957" s="158">
        <v>19060</v>
      </c>
      <c r="F1957" s="159">
        <v>65000</v>
      </c>
      <c r="G1957" s="159">
        <v>1238900000</v>
      </c>
      <c r="H1957" s="159">
        <v>111501000</v>
      </c>
      <c r="I1957" s="159">
        <v>1350401000</v>
      </c>
      <c r="J1957" s="159" t="e">
        <f>bargiri[[#This Row],[مقدار]]*INDEX(invoice[پیش دریافت به ازای هر کیلوگرم],MATCH(bargiri[[#This Row],[شماره سند مبنا]],invoice[شماره پیش فاکتور],0))</f>
        <v>#N/A</v>
      </c>
      <c r="K1957" s="159" t="e">
        <f>bargiri[[#This Row],[مبلغ خالص]]-bargiri[[#This Row],[میزان استهلاک پیش دریافتی]]</f>
        <v>#N/A</v>
      </c>
      <c r="L1957" s="160"/>
      <c r="M1957" s="159"/>
      <c r="N1957" s="159" t="e">
        <f>IF(bargiri[[#This Row],[مبلغ واریزی]]&lt;&gt;"",bargiri[[#This Row],[مانده مبلغ]]-bargiri[[#This Row],[مبلغ واریزی]],bargiri[[#This Row],[مانده مبلغ]])</f>
        <v>#N/A</v>
      </c>
      <c r="O1957" s="159"/>
      <c r="P1957" s="159" t="e">
        <f>VLOOKUP(bargiri[[#This Row],[شماره سند مبنا]],invoice[[شماره پیش فاکتور]:[پیش دریافت به ازای هر کیلوگرم]],14,0)</f>
        <v>#N/A</v>
      </c>
      <c r="Q1957" s="159" t="e">
        <f>IF(bargiri[[#This Row],[مبلغ ناخالص]]-(bargiri[[#This Row],[نرخ استهلاک]]*bargiri[[#This Row],[مقدار]])&lt;0,0,bargiri[[#This Row],[مبلغ ناخالص]]-(bargiri[[#This Row],[نرخ استهلاک]]*bargiri[[#This Row],[مقدار]]))</f>
        <v>#N/A</v>
      </c>
    </row>
    <row r="1958" spans="1:17" s="22" customFormat="1" ht="13.8" x14ac:dyDescent="0.25">
      <c r="A1958" s="22">
        <v>928</v>
      </c>
      <c r="B1958" s="22" t="s">
        <v>496</v>
      </c>
      <c r="C1958" s="22" t="s">
        <v>115</v>
      </c>
      <c r="D1958" s="22" t="s">
        <v>116</v>
      </c>
      <c r="E1958" s="158">
        <v>18710</v>
      </c>
      <c r="F1958" s="159">
        <v>75000</v>
      </c>
      <c r="G1958" s="159">
        <v>1403250000</v>
      </c>
      <c r="H1958" s="159">
        <v>140325000</v>
      </c>
      <c r="I1958" s="159">
        <v>1543575000</v>
      </c>
      <c r="J1958" s="159">
        <f>bargiri[[#This Row],[مقدار]]*INDEX(invoice[پیش دریافت به ازای هر کیلوگرم],MATCH(bargiri[[#This Row],[شماره سند مبنا]],invoice[شماره پیش فاکتور],0))</f>
        <v>280840971.86086535</v>
      </c>
      <c r="K1958" s="159">
        <f>bargiri[[#This Row],[مبلغ خالص]]-bargiri[[#This Row],[میزان استهلاک پیش دریافتی]]</f>
        <v>1262734028.1391346</v>
      </c>
      <c r="L1958" s="160"/>
      <c r="M1958" s="159"/>
      <c r="N1958" s="159">
        <f>IF(bargiri[[#This Row],[مبلغ واریزی]]&lt;&gt;"",bargiri[[#This Row],[مانده مبلغ]]-bargiri[[#This Row],[مبلغ واریزی]],bargiri[[#This Row],[مانده مبلغ]])</f>
        <v>1262734028.1391346</v>
      </c>
      <c r="O1958" s="159"/>
      <c r="P1958" s="159">
        <f>VLOOKUP(bargiri[[#This Row],[شماره سند مبنا]],invoice[[شماره پیش فاکتور]:[پیش دریافت به ازای هر کیلوگرم]],14,0)</f>
        <v>15010.206940719689</v>
      </c>
      <c r="Q1958" s="159">
        <f>IF(bargiri[[#This Row],[مبلغ ناخالص]]-(bargiri[[#This Row],[نرخ استهلاک]]*bargiri[[#This Row],[مقدار]])&lt;0,0,bargiri[[#This Row],[مبلغ ناخالص]]-(bargiri[[#This Row],[نرخ استهلاک]]*bargiri[[#This Row],[مقدار]]))</f>
        <v>1122409028.1391346</v>
      </c>
    </row>
    <row r="1959" spans="1:17" s="22" customFormat="1" ht="13.8" x14ac:dyDescent="0.25">
      <c r="A1959" s="22">
        <v>921</v>
      </c>
      <c r="B1959" s="22" t="s">
        <v>131</v>
      </c>
      <c r="C1959" s="22" t="s">
        <v>128</v>
      </c>
      <c r="D1959" s="22" t="s">
        <v>129</v>
      </c>
      <c r="E1959" s="158">
        <v>8110</v>
      </c>
      <c r="F1959" s="159">
        <v>80000</v>
      </c>
      <c r="G1959" s="159">
        <v>648800000</v>
      </c>
      <c r="H1959" s="159">
        <v>64880000</v>
      </c>
      <c r="I1959" s="159">
        <v>713680000</v>
      </c>
      <c r="J1959" s="159">
        <f>bargiri[[#This Row],[مقدار]]*INDEX(invoice[پیش دریافت به ازای هر کیلوگرم],MATCH(bargiri[[#This Row],[شماره سند مبنا]],invoice[شماره پیش فاکتور],0))</f>
        <v>107571930.99983253</v>
      </c>
      <c r="K1959" s="159">
        <f>bargiri[[#This Row],[مبلغ خالص]]-bargiri[[#This Row],[میزان استهلاک پیش دریافتی]]</f>
        <v>606108069.00016749</v>
      </c>
      <c r="L1959" s="160"/>
      <c r="M1959" s="159"/>
      <c r="N1959" s="159">
        <f>IF(bargiri[[#This Row],[مبلغ واریزی]]&lt;&gt;"",bargiri[[#This Row],[مانده مبلغ]]-bargiri[[#This Row],[مبلغ واریزی]],bargiri[[#This Row],[مانده مبلغ]])</f>
        <v>606108069.00016749</v>
      </c>
      <c r="O1959" s="159"/>
      <c r="P1959" s="159">
        <f>VLOOKUP(bargiri[[#This Row],[شماره سند مبنا]],invoice[[شماره پیش فاکتور]:[پیش دریافت به ازای هر کیلوگرم]],14,0)</f>
        <v>13264.109864344331</v>
      </c>
      <c r="Q1959" s="159">
        <f>IF(bargiri[[#This Row],[مبلغ ناخالص]]-(bargiri[[#This Row],[نرخ استهلاک]]*bargiri[[#This Row],[مقدار]])&lt;0,0,bargiri[[#This Row],[مبلغ ناخالص]]-(bargiri[[#This Row],[نرخ استهلاک]]*bargiri[[#This Row],[مقدار]]))</f>
        <v>541228069.00016749</v>
      </c>
    </row>
    <row r="1960" spans="1:17" s="22" customFormat="1" ht="13.8" x14ac:dyDescent="0.25">
      <c r="A1960" s="22">
        <v>920</v>
      </c>
      <c r="B1960" s="22" t="s">
        <v>131</v>
      </c>
      <c r="C1960" s="22" t="s">
        <v>66</v>
      </c>
      <c r="D1960" s="22" t="s">
        <v>67</v>
      </c>
      <c r="E1960" s="158">
        <v>20095</v>
      </c>
      <c r="F1960" s="159">
        <v>68500</v>
      </c>
      <c r="G1960" s="159">
        <v>1376507500</v>
      </c>
      <c r="H1960" s="159">
        <v>123885675</v>
      </c>
      <c r="I1960" s="159">
        <v>1500393175</v>
      </c>
      <c r="J1960" s="159" t="e">
        <f>bargiri[[#This Row],[مقدار]]*INDEX(invoice[پیش دریافت به ازای هر کیلوگرم],MATCH(bargiri[[#This Row],[شماره سند مبنا]],invoice[شماره پیش فاکتور],0))</f>
        <v>#N/A</v>
      </c>
      <c r="K1960" s="159" t="e">
        <f>bargiri[[#This Row],[مبلغ خالص]]-bargiri[[#This Row],[میزان استهلاک پیش دریافتی]]</f>
        <v>#N/A</v>
      </c>
      <c r="L1960" s="160"/>
      <c r="M1960" s="159"/>
      <c r="N1960" s="159" t="e">
        <f>IF(bargiri[[#This Row],[مبلغ واریزی]]&lt;&gt;"",bargiri[[#This Row],[مانده مبلغ]]-bargiri[[#This Row],[مبلغ واریزی]],bargiri[[#This Row],[مانده مبلغ]])</f>
        <v>#N/A</v>
      </c>
      <c r="O1960" s="159"/>
      <c r="P1960" s="159" t="e">
        <f>VLOOKUP(bargiri[[#This Row],[شماره سند مبنا]],invoice[[شماره پیش فاکتور]:[پیش دریافت به ازای هر کیلوگرم]],14,0)</f>
        <v>#N/A</v>
      </c>
      <c r="Q1960" s="159" t="e">
        <f>IF(bargiri[[#This Row],[مبلغ ناخالص]]-(bargiri[[#This Row],[نرخ استهلاک]]*bargiri[[#This Row],[مقدار]])&lt;0,0,bargiri[[#This Row],[مبلغ ناخالص]]-(bargiri[[#This Row],[نرخ استهلاک]]*bargiri[[#This Row],[مقدار]]))</f>
        <v>#N/A</v>
      </c>
    </row>
    <row r="1961" spans="1:17" s="22" customFormat="1" ht="13.8" x14ac:dyDescent="0.25">
      <c r="A1961" s="22">
        <v>919</v>
      </c>
      <c r="B1961" s="22" t="s">
        <v>131</v>
      </c>
      <c r="C1961" s="22" t="s">
        <v>84</v>
      </c>
      <c r="D1961" s="22" t="s">
        <v>51</v>
      </c>
      <c r="E1961" s="158">
        <v>20100</v>
      </c>
      <c r="F1961" s="159">
        <v>70000</v>
      </c>
      <c r="G1961" s="159">
        <v>1407000000</v>
      </c>
      <c r="H1961" s="159">
        <v>140700000</v>
      </c>
      <c r="I1961" s="159">
        <v>1547700000</v>
      </c>
      <c r="J1961" s="159" t="e">
        <f>bargiri[[#This Row],[مقدار]]*INDEX(invoice[پیش دریافت به ازای هر کیلوگرم],MATCH(bargiri[[#This Row],[شماره سند مبنا]],invoice[شماره پیش فاکتور],0))</f>
        <v>#N/A</v>
      </c>
      <c r="K1961" s="159" t="e">
        <f>bargiri[[#This Row],[مبلغ خالص]]-bargiri[[#This Row],[میزان استهلاک پیش دریافتی]]</f>
        <v>#N/A</v>
      </c>
      <c r="L1961" s="160"/>
      <c r="M1961" s="159"/>
      <c r="N1961" s="159" t="e">
        <f>IF(bargiri[[#This Row],[مبلغ واریزی]]&lt;&gt;"",bargiri[[#This Row],[مانده مبلغ]]-bargiri[[#This Row],[مبلغ واریزی]],bargiri[[#This Row],[مانده مبلغ]])</f>
        <v>#N/A</v>
      </c>
      <c r="O1961" s="159"/>
      <c r="P1961" s="159" t="e">
        <f>VLOOKUP(bargiri[[#This Row],[شماره سند مبنا]],invoice[[شماره پیش فاکتور]:[پیش دریافت به ازای هر کیلوگرم]],14,0)</f>
        <v>#N/A</v>
      </c>
      <c r="Q1961" s="159" t="e">
        <f>IF(bargiri[[#This Row],[مبلغ ناخالص]]-(bargiri[[#This Row],[نرخ استهلاک]]*bargiri[[#This Row],[مقدار]])&lt;0,0,bargiri[[#This Row],[مبلغ ناخالص]]-(bargiri[[#This Row],[نرخ استهلاک]]*bargiri[[#This Row],[مقدار]]))</f>
        <v>#N/A</v>
      </c>
    </row>
    <row r="1962" spans="1:17" s="22" customFormat="1" ht="13.8" x14ac:dyDescent="0.25">
      <c r="A1962" s="22">
        <v>918</v>
      </c>
      <c r="B1962" s="22" t="s">
        <v>497</v>
      </c>
      <c r="C1962" s="22" t="s">
        <v>66</v>
      </c>
      <c r="D1962" s="22" t="s">
        <v>67</v>
      </c>
      <c r="E1962" s="158">
        <v>20240</v>
      </c>
      <c r="F1962" s="159">
        <v>68500</v>
      </c>
      <c r="G1962" s="159">
        <v>1386440000</v>
      </c>
      <c r="H1962" s="159">
        <v>124779600</v>
      </c>
      <c r="I1962" s="159">
        <v>1511219600</v>
      </c>
      <c r="J1962" s="159" t="e">
        <f>bargiri[[#This Row],[مقدار]]*INDEX(invoice[پیش دریافت به ازای هر کیلوگرم],MATCH(bargiri[[#This Row],[شماره سند مبنا]],invoice[شماره پیش فاکتور],0))</f>
        <v>#N/A</v>
      </c>
      <c r="K1962" s="159" t="e">
        <f>bargiri[[#This Row],[مبلغ خالص]]-bargiri[[#This Row],[میزان استهلاک پیش دریافتی]]</f>
        <v>#N/A</v>
      </c>
      <c r="L1962" s="160"/>
      <c r="M1962" s="159"/>
      <c r="N1962" s="159" t="e">
        <f>IF(bargiri[[#This Row],[مبلغ واریزی]]&lt;&gt;"",bargiri[[#This Row],[مانده مبلغ]]-bargiri[[#This Row],[مبلغ واریزی]],bargiri[[#This Row],[مانده مبلغ]])</f>
        <v>#N/A</v>
      </c>
      <c r="O1962" s="159"/>
      <c r="P1962" s="159" t="e">
        <f>VLOOKUP(bargiri[[#This Row],[شماره سند مبنا]],invoice[[شماره پیش فاکتور]:[پیش دریافت به ازای هر کیلوگرم]],14,0)</f>
        <v>#N/A</v>
      </c>
      <c r="Q1962" s="159" t="e">
        <f>IF(bargiri[[#This Row],[مبلغ ناخالص]]-(bargiri[[#This Row],[نرخ استهلاک]]*bargiri[[#This Row],[مقدار]])&lt;0,0,bargiri[[#This Row],[مبلغ ناخالص]]-(bargiri[[#This Row],[نرخ استهلاک]]*bargiri[[#This Row],[مقدار]]))</f>
        <v>#N/A</v>
      </c>
    </row>
    <row r="1963" spans="1:17" s="22" customFormat="1" ht="13.8" x14ac:dyDescent="0.25">
      <c r="A1963" s="22">
        <v>917</v>
      </c>
      <c r="B1963" s="22" t="s">
        <v>497</v>
      </c>
      <c r="C1963" s="22" t="s">
        <v>66</v>
      </c>
      <c r="D1963" s="22" t="s">
        <v>67</v>
      </c>
      <c r="E1963" s="158">
        <v>20180</v>
      </c>
      <c r="F1963" s="159">
        <v>68500</v>
      </c>
      <c r="G1963" s="159">
        <v>1382330000</v>
      </c>
      <c r="H1963" s="159">
        <v>124409700</v>
      </c>
      <c r="I1963" s="159">
        <v>1506739700</v>
      </c>
      <c r="J1963" s="159" t="e">
        <f>bargiri[[#This Row],[مقدار]]*INDEX(invoice[پیش دریافت به ازای هر کیلوگرم],MATCH(bargiri[[#This Row],[شماره سند مبنا]],invoice[شماره پیش فاکتور],0))</f>
        <v>#N/A</v>
      </c>
      <c r="K1963" s="159" t="e">
        <f>bargiri[[#This Row],[مبلغ خالص]]-bargiri[[#This Row],[میزان استهلاک پیش دریافتی]]</f>
        <v>#N/A</v>
      </c>
      <c r="L1963" s="160"/>
      <c r="M1963" s="159"/>
      <c r="N1963" s="159" t="e">
        <f>IF(bargiri[[#This Row],[مبلغ واریزی]]&lt;&gt;"",bargiri[[#This Row],[مانده مبلغ]]-bargiri[[#This Row],[مبلغ واریزی]],bargiri[[#This Row],[مانده مبلغ]])</f>
        <v>#N/A</v>
      </c>
      <c r="O1963" s="159"/>
      <c r="P1963" s="159" t="e">
        <f>VLOOKUP(bargiri[[#This Row],[شماره سند مبنا]],invoice[[شماره پیش فاکتور]:[پیش دریافت به ازای هر کیلوگرم]],14,0)</f>
        <v>#N/A</v>
      </c>
      <c r="Q1963" s="159" t="e">
        <f>IF(bargiri[[#This Row],[مبلغ ناخالص]]-(bargiri[[#This Row],[نرخ استهلاک]]*bargiri[[#This Row],[مقدار]])&lt;0,0,bargiri[[#This Row],[مبلغ ناخالص]]-(bargiri[[#This Row],[نرخ استهلاک]]*bargiri[[#This Row],[مقدار]]))</f>
        <v>#N/A</v>
      </c>
    </row>
    <row r="1964" spans="1:17" s="22" customFormat="1" ht="13.8" x14ac:dyDescent="0.25">
      <c r="A1964" s="22">
        <v>916</v>
      </c>
      <c r="B1964" s="22" t="s">
        <v>497</v>
      </c>
      <c r="C1964" s="22" t="s">
        <v>69</v>
      </c>
      <c r="D1964" s="22" t="s">
        <v>70</v>
      </c>
      <c r="E1964" s="158">
        <v>20205</v>
      </c>
      <c r="F1964" s="159">
        <v>70000</v>
      </c>
      <c r="G1964" s="159">
        <v>1414350000</v>
      </c>
      <c r="H1964" s="159">
        <v>127291500</v>
      </c>
      <c r="I1964" s="159">
        <v>1541641500</v>
      </c>
      <c r="J1964" s="159" t="e">
        <f>bargiri[[#This Row],[مقدار]]*INDEX(invoice[پیش دریافت به ازای هر کیلوگرم],MATCH(bargiri[[#This Row],[شماره سند مبنا]],invoice[شماره پیش فاکتور],0))</f>
        <v>#N/A</v>
      </c>
      <c r="K1964" s="159" t="e">
        <f>bargiri[[#This Row],[مبلغ خالص]]-bargiri[[#This Row],[میزان استهلاک پیش دریافتی]]</f>
        <v>#N/A</v>
      </c>
      <c r="L1964" s="160"/>
      <c r="M1964" s="159"/>
      <c r="N1964" s="159" t="e">
        <f>IF(bargiri[[#This Row],[مبلغ واریزی]]&lt;&gt;"",bargiri[[#This Row],[مانده مبلغ]]-bargiri[[#This Row],[مبلغ واریزی]],bargiri[[#This Row],[مانده مبلغ]])</f>
        <v>#N/A</v>
      </c>
      <c r="O1964" s="159"/>
      <c r="P1964" s="159" t="e">
        <f>VLOOKUP(bargiri[[#This Row],[شماره سند مبنا]],invoice[[شماره پیش فاکتور]:[پیش دریافت به ازای هر کیلوگرم]],14,0)</f>
        <v>#N/A</v>
      </c>
      <c r="Q1964" s="159" t="e">
        <f>IF(bargiri[[#This Row],[مبلغ ناخالص]]-(bargiri[[#This Row],[نرخ استهلاک]]*bargiri[[#This Row],[مقدار]])&lt;0,0,bargiri[[#This Row],[مبلغ ناخالص]]-(bargiri[[#This Row],[نرخ استهلاک]]*bargiri[[#This Row],[مقدار]]))</f>
        <v>#N/A</v>
      </c>
    </row>
    <row r="1965" spans="1:17" s="22" customFormat="1" ht="13.8" x14ac:dyDescent="0.25">
      <c r="A1965" s="22">
        <v>915</v>
      </c>
      <c r="B1965" s="22" t="s">
        <v>367</v>
      </c>
      <c r="C1965" s="22" t="s">
        <v>69</v>
      </c>
      <c r="D1965" s="22" t="s">
        <v>70</v>
      </c>
      <c r="E1965" s="158">
        <v>5570</v>
      </c>
      <c r="F1965" s="159">
        <v>70000</v>
      </c>
      <c r="G1965" s="159">
        <v>389900000</v>
      </c>
      <c r="H1965" s="159">
        <v>35091000</v>
      </c>
      <c r="I1965" s="159">
        <v>424991000</v>
      </c>
      <c r="J1965" s="159" t="e">
        <f>bargiri[[#This Row],[مقدار]]*INDEX(invoice[پیش دریافت به ازای هر کیلوگرم],MATCH(bargiri[[#This Row],[شماره سند مبنا]],invoice[شماره پیش فاکتور],0))</f>
        <v>#N/A</v>
      </c>
      <c r="K1965" s="159" t="e">
        <f>bargiri[[#This Row],[مبلغ خالص]]-bargiri[[#This Row],[میزان استهلاک پیش دریافتی]]</f>
        <v>#N/A</v>
      </c>
      <c r="L1965" s="160"/>
      <c r="M1965" s="159"/>
      <c r="N1965" s="159" t="e">
        <f>IF(bargiri[[#This Row],[مبلغ واریزی]]&lt;&gt;"",bargiri[[#This Row],[مانده مبلغ]]-bargiri[[#This Row],[مبلغ واریزی]],bargiri[[#This Row],[مانده مبلغ]])</f>
        <v>#N/A</v>
      </c>
      <c r="O1965" s="159"/>
      <c r="P1965" s="159" t="e">
        <f>VLOOKUP(bargiri[[#This Row],[شماره سند مبنا]],invoice[[شماره پیش فاکتور]:[پیش دریافت به ازای هر کیلوگرم]],14,0)</f>
        <v>#N/A</v>
      </c>
      <c r="Q1965" s="159" t="e">
        <f>IF(bargiri[[#This Row],[مبلغ ناخالص]]-(bargiri[[#This Row],[نرخ استهلاک]]*bargiri[[#This Row],[مقدار]])&lt;0,0,bargiri[[#This Row],[مبلغ ناخالص]]-(bargiri[[#This Row],[نرخ استهلاک]]*bargiri[[#This Row],[مقدار]]))</f>
        <v>#N/A</v>
      </c>
    </row>
    <row r="1966" spans="1:17" s="22" customFormat="1" ht="13.8" x14ac:dyDescent="0.25">
      <c r="A1966" s="22">
        <v>914</v>
      </c>
      <c r="B1966" s="22" t="s">
        <v>367</v>
      </c>
      <c r="C1966" s="22" t="s">
        <v>97</v>
      </c>
      <c r="D1966" s="22" t="s">
        <v>40</v>
      </c>
      <c r="E1966" s="158">
        <v>18130</v>
      </c>
      <c r="F1966" s="159">
        <v>85000</v>
      </c>
      <c r="G1966" s="159">
        <v>1541050000</v>
      </c>
      <c r="H1966" s="159">
        <v>154105000</v>
      </c>
      <c r="I1966" s="159">
        <v>1695155000</v>
      </c>
      <c r="J1966" s="159" t="e">
        <f>bargiri[[#This Row],[مقدار]]*INDEX(invoice[پیش دریافت به ازای هر کیلوگرم],MATCH(bargiri[[#This Row],[شماره سند مبنا]],invoice[شماره پیش فاکتور],0))</f>
        <v>#N/A</v>
      </c>
      <c r="K1966" s="159" t="e">
        <f>bargiri[[#This Row],[مبلغ خالص]]-bargiri[[#This Row],[میزان استهلاک پیش دریافتی]]</f>
        <v>#N/A</v>
      </c>
      <c r="L1966" s="160"/>
      <c r="M1966" s="159"/>
      <c r="N1966" s="159" t="e">
        <f>IF(bargiri[[#This Row],[مبلغ واریزی]]&lt;&gt;"",bargiri[[#This Row],[مانده مبلغ]]-bargiri[[#This Row],[مبلغ واریزی]],bargiri[[#This Row],[مانده مبلغ]])</f>
        <v>#N/A</v>
      </c>
      <c r="O1966" s="159"/>
      <c r="P1966" s="159" t="e">
        <f>VLOOKUP(bargiri[[#This Row],[شماره سند مبنا]],invoice[[شماره پیش فاکتور]:[پیش دریافت به ازای هر کیلوگرم]],14,0)</f>
        <v>#N/A</v>
      </c>
      <c r="Q1966" s="159" t="e">
        <f>IF(bargiri[[#This Row],[مبلغ ناخالص]]-(bargiri[[#This Row],[نرخ استهلاک]]*bargiri[[#This Row],[مقدار]])&lt;0,0,bargiri[[#This Row],[مبلغ ناخالص]]-(bargiri[[#This Row],[نرخ استهلاک]]*bargiri[[#This Row],[مقدار]]))</f>
        <v>#N/A</v>
      </c>
    </row>
    <row r="1967" spans="1:17" s="22" customFormat="1" ht="13.8" x14ac:dyDescent="0.25">
      <c r="A1967" s="22">
        <v>910</v>
      </c>
      <c r="B1967" s="22" t="s">
        <v>367</v>
      </c>
      <c r="C1967" s="22" t="s">
        <v>109</v>
      </c>
      <c r="D1967" s="22" t="s">
        <v>110</v>
      </c>
      <c r="E1967" s="158">
        <v>18650</v>
      </c>
      <c r="F1967" s="159">
        <v>70000</v>
      </c>
      <c r="G1967" s="159">
        <v>1305500000</v>
      </c>
      <c r="H1967" s="159">
        <v>130550000</v>
      </c>
      <c r="I1967" s="159">
        <v>1436050000</v>
      </c>
      <c r="J1967" s="159" t="e">
        <f>bargiri[[#This Row],[مقدار]]*INDEX(invoice[پیش دریافت به ازای هر کیلوگرم],MATCH(bargiri[[#This Row],[شماره سند مبنا]],invoice[شماره پیش فاکتور],0))</f>
        <v>#N/A</v>
      </c>
      <c r="K1967" s="159" t="e">
        <f>bargiri[[#This Row],[مبلغ خالص]]-bargiri[[#This Row],[میزان استهلاک پیش دریافتی]]</f>
        <v>#N/A</v>
      </c>
      <c r="L1967" s="160"/>
      <c r="M1967" s="159"/>
      <c r="N1967" s="159" t="e">
        <f>IF(bargiri[[#This Row],[مبلغ واریزی]]&lt;&gt;"",bargiri[[#This Row],[مانده مبلغ]]-bargiri[[#This Row],[مبلغ واریزی]],bargiri[[#This Row],[مانده مبلغ]])</f>
        <v>#N/A</v>
      </c>
      <c r="O1967" s="159"/>
      <c r="P1967" s="159" t="e">
        <f>VLOOKUP(bargiri[[#This Row],[شماره سند مبنا]],invoice[[شماره پیش فاکتور]:[پیش دریافت به ازای هر کیلوگرم]],14,0)</f>
        <v>#N/A</v>
      </c>
      <c r="Q1967" s="159" t="e">
        <f>IF(bargiri[[#This Row],[مبلغ ناخالص]]-(bargiri[[#This Row],[نرخ استهلاک]]*bargiri[[#This Row],[مقدار]])&lt;0,0,bargiri[[#This Row],[مبلغ ناخالص]]-(bargiri[[#This Row],[نرخ استهلاک]]*bargiri[[#This Row],[مقدار]]))</f>
        <v>#N/A</v>
      </c>
    </row>
    <row r="1968" spans="1:17" s="22" customFormat="1" ht="13.8" x14ac:dyDescent="0.25">
      <c r="A1968" s="22">
        <v>909</v>
      </c>
      <c r="B1968" s="22" t="s">
        <v>483</v>
      </c>
      <c r="C1968" s="22" t="s">
        <v>66</v>
      </c>
      <c r="D1968" s="22" t="s">
        <v>67</v>
      </c>
      <c r="E1968" s="158">
        <v>15150</v>
      </c>
      <c r="F1968" s="159">
        <v>68500</v>
      </c>
      <c r="G1968" s="159">
        <v>1037775000</v>
      </c>
      <c r="H1968" s="159">
        <v>93399750</v>
      </c>
      <c r="I1968" s="159">
        <v>1131174750</v>
      </c>
      <c r="J1968" s="159" t="e">
        <f>bargiri[[#This Row],[مقدار]]*INDEX(invoice[پیش دریافت به ازای هر کیلوگرم],MATCH(bargiri[[#This Row],[شماره سند مبنا]],invoice[شماره پیش فاکتور],0))</f>
        <v>#N/A</v>
      </c>
      <c r="K1968" s="159" t="e">
        <f>bargiri[[#This Row],[مبلغ خالص]]-bargiri[[#This Row],[میزان استهلاک پیش دریافتی]]</f>
        <v>#N/A</v>
      </c>
      <c r="L1968" s="160"/>
      <c r="M1968" s="159"/>
      <c r="N1968" s="159" t="e">
        <f>IF(bargiri[[#This Row],[مبلغ واریزی]]&lt;&gt;"",bargiri[[#This Row],[مانده مبلغ]]-bargiri[[#This Row],[مبلغ واریزی]],bargiri[[#This Row],[مانده مبلغ]])</f>
        <v>#N/A</v>
      </c>
      <c r="O1968" s="159"/>
      <c r="P1968" s="159" t="e">
        <f>VLOOKUP(bargiri[[#This Row],[شماره سند مبنا]],invoice[[شماره پیش فاکتور]:[پیش دریافت به ازای هر کیلوگرم]],14,0)</f>
        <v>#N/A</v>
      </c>
      <c r="Q1968" s="159" t="e">
        <f>IF(bargiri[[#This Row],[مبلغ ناخالص]]-(bargiri[[#This Row],[نرخ استهلاک]]*bargiri[[#This Row],[مقدار]])&lt;0,0,bargiri[[#This Row],[مبلغ ناخالص]]-(bargiri[[#This Row],[نرخ استهلاک]]*bargiri[[#This Row],[مقدار]]))</f>
        <v>#N/A</v>
      </c>
    </row>
    <row r="1969" spans="1:17" s="22" customFormat="1" ht="13.8" x14ac:dyDescent="0.25">
      <c r="A1969" s="22">
        <v>908</v>
      </c>
      <c r="B1969" s="22" t="s">
        <v>483</v>
      </c>
      <c r="C1969" s="22" t="s">
        <v>66</v>
      </c>
      <c r="D1969" s="22" t="s">
        <v>67</v>
      </c>
      <c r="E1969" s="158">
        <v>15430</v>
      </c>
      <c r="F1969" s="159">
        <v>68500</v>
      </c>
      <c r="G1969" s="159">
        <v>1056955000</v>
      </c>
      <c r="H1969" s="159">
        <v>95125950</v>
      </c>
      <c r="I1969" s="159">
        <v>1152080950</v>
      </c>
      <c r="J1969" s="159" t="e">
        <f>bargiri[[#This Row],[مقدار]]*INDEX(invoice[پیش دریافت به ازای هر کیلوگرم],MATCH(bargiri[[#This Row],[شماره سند مبنا]],invoice[شماره پیش فاکتور],0))</f>
        <v>#N/A</v>
      </c>
      <c r="K1969" s="159" t="e">
        <f>bargiri[[#This Row],[مبلغ خالص]]-bargiri[[#This Row],[میزان استهلاک پیش دریافتی]]</f>
        <v>#N/A</v>
      </c>
      <c r="L1969" s="160"/>
      <c r="M1969" s="159"/>
      <c r="N1969" s="159" t="e">
        <f>IF(bargiri[[#This Row],[مبلغ واریزی]]&lt;&gt;"",bargiri[[#This Row],[مانده مبلغ]]-bargiri[[#This Row],[مبلغ واریزی]],bargiri[[#This Row],[مانده مبلغ]])</f>
        <v>#N/A</v>
      </c>
      <c r="O1969" s="159"/>
      <c r="P1969" s="159" t="e">
        <f>VLOOKUP(bargiri[[#This Row],[شماره سند مبنا]],invoice[[شماره پیش فاکتور]:[پیش دریافت به ازای هر کیلوگرم]],14,0)</f>
        <v>#N/A</v>
      </c>
      <c r="Q1969" s="159" t="e">
        <f>IF(bargiri[[#This Row],[مبلغ ناخالص]]-(bargiri[[#This Row],[نرخ استهلاک]]*bargiri[[#This Row],[مقدار]])&lt;0,0,bargiri[[#This Row],[مبلغ ناخالص]]-(bargiri[[#This Row],[نرخ استهلاک]]*bargiri[[#This Row],[مقدار]]))</f>
        <v>#N/A</v>
      </c>
    </row>
    <row r="1970" spans="1:17" s="22" customFormat="1" ht="13.8" x14ac:dyDescent="0.25">
      <c r="A1970" s="22">
        <v>907</v>
      </c>
      <c r="B1970" s="22" t="s">
        <v>483</v>
      </c>
      <c r="C1970" s="22" t="s">
        <v>86</v>
      </c>
      <c r="D1970" s="22" t="s">
        <v>30</v>
      </c>
      <c r="E1970" s="158">
        <v>11975</v>
      </c>
      <c r="F1970" s="159">
        <v>65000</v>
      </c>
      <c r="G1970" s="159">
        <v>778375000</v>
      </c>
      <c r="H1970" s="159">
        <v>77837500</v>
      </c>
      <c r="I1970" s="159">
        <v>856212500</v>
      </c>
      <c r="J1970" s="159" t="e">
        <f>bargiri[[#This Row],[مقدار]]*INDEX(invoice[پیش دریافت به ازای هر کیلوگرم],MATCH(bargiri[[#This Row],[شماره سند مبنا]],invoice[شماره پیش فاکتور],0))</f>
        <v>#N/A</v>
      </c>
      <c r="K1970" s="159" t="e">
        <f>bargiri[[#This Row],[مبلغ خالص]]-bargiri[[#This Row],[میزان استهلاک پیش دریافتی]]</f>
        <v>#N/A</v>
      </c>
      <c r="L1970" s="160"/>
      <c r="M1970" s="159"/>
      <c r="N1970" s="159" t="e">
        <f>IF(bargiri[[#This Row],[مبلغ واریزی]]&lt;&gt;"",bargiri[[#This Row],[مانده مبلغ]]-bargiri[[#This Row],[مبلغ واریزی]],bargiri[[#This Row],[مانده مبلغ]])</f>
        <v>#N/A</v>
      </c>
      <c r="O1970" s="159"/>
      <c r="P1970" s="159" t="e">
        <f>VLOOKUP(bargiri[[#This Row],[شماره سند مبنا]],invoice[[شماره پیش فاکتور]:[پیش دریافت به ازای هر کیلوگرم]],14,0)</f>
        <v>#N/A</v>
      </c>
      <c r="Q1970" s="159" t="e">
        <f>IF(bargiri[[#This Row],[مبلغ ناخالص]]-(bargiri[[#This Row],[نرخ استهلاک]]*bargiri[[#This Row],[مقدار]])&lt;0,0,bargiri[[#This Row],[مبلغ ناخالص]]-(bargiri[[#This Row],[نرخ استهلاک]]*bargiri[[#This Row],[مقدار]]))</f>
        <v>#N/A</v>
      </c>
    </row>
    <row r="1971" spans="1:17" s="22" customFormat="1" ht="13.8" x14ac:dyDescent="0.25">
      <c r="A1971" s="22">
        <v>906</v>
      </c>
      <c r="B1971" s="22" t="s">
        <v>483</v>
      </c>
      <c r="C1971" s="22" t="s">
        <v>79</v>
      </c>
      <c r="D1971" s="22" t="s">
        <v>17</v>
      </c>
      <c r="E1971" s="158">
        <v>21075</v>
      </c>
      <c r="F1971" s="159">
        <v>70000</v>
      </c>
      <c r="G1971" s="159">
        <v>1475250000</v>
      </c>
      <c r="H1971" s="159">
        <v>147525000</v>
      </c>
      <c r="I1971" s="159">
        <v>1622775000</v>
      </c>
      <c r="J1971" s="159" t="e">
        <f>bargiri[[#This Row],[مقدار]]*INDEX(invoice[پیش دریافت به ازای هر کیلوگرم],MATCH(bargiri[[#This Row],[شماره سند مبنا]],invoice[شماره پیش فاکتور],0))</f>
        <v>#N/A</v>
      </c>
      <c r="K1971" s="159" t="e">
        <f>bargiri[[#This Row],[مبلغ خالص]]-bargiri[[#This Row],[میزان استهلاک پیش دریافتی]]</f>
        <v>#N/A</v>
      </c>
      <c r="L1971" s="160"/>
      <c r="M1971" s="159"/>
      <c r="N1971" s="159" t="e">
        <f>IF(bargiri[[#This Row],[مبلغ واریزی]]&lt;&gt;"",bargiri[[#This Row],[مانده مبلغ]]-bargiri[[#This Row],[مبلغ واریزی]],bargiri[[#This Row],[مانده مبلغ]])</f>
        <v>#N/A</v>
      </c>
      <c r="O1971" s="159"/>
      <c r="P1971" s="159" t="e">
        <f>VLOOKUP(bargiri[[#This Row],[شماره سند مبنا]],invoice[[شماره پیش فاکتور]:[پیش دریافت به ازای هر کیلوگرم]],14,0)</f>
        <v>#N/A</v>
      </c>
      <c r="Q1971" s="159" t="e">
        <f>IF(bargiri[[#This Row],[مبلغ ناخالص]]-(bargiri[[#This Row],[نرخ استهلاک]]*bargiri[[#This Row],[مقدار]])&lt;0,0,bargiri[[#This Row],[مبلغ ناخالص]]-(bargiri[[#This Row],[نرخ استهلاک]]*bargiri[[#This Row],[مقدار]]))</f>
        <v>#N/A</v>
      </c>
    </row>
    <row r="1972" spans="1:17" s="22" customFormat="1" ht="13.8" x14ac:dyDescent="0.25">
      <c r="A1972" s="22">
        <v>904</v>
      </c>
      <c r="B1972" s="22" t="s">
        <v>483</v>
      </c>
      <c r="C1972" s="22" t="s">
        <v>59</v>
      </c>
      <c r="D1972" s="22" t="s">
        <v>57</v>
      </c>
      <c r="E1972" s="158">
        <v>10025</v>
      </c>
      <c r="F1972" s="159">
        <v>80000</v>
      </c>
      <c r="G1972" s="159">
        <v>802000000</v>
      </c>
      <c r="H1972" s="159">
        <v>72180000</v>
      </c>
      <c r="I1972" s="159">
        <v>874180000</v>
      </c>
      <c r="J1972" s="159" t="e">
        <f>bargiri[[#This Row],[مقدار]]*INDEX(invoice[پیش دریافت به ازای هر کیلوگرم],MATCH(bargiri[[#This Row],[شماره سند مبنا]],invoice[شماره پیش فاکتور],0))</f>
        <v>#N/A</v>
      </c>
      <c r="K1972" s="159" t="e">
        <f>bargiri[[#This Row],[مبلغ خالص]]-bargiri[[#This Row],[میزان استهلاک پیش دریافتی]]</f>
        <v>#N/A</v>
      </c>
      <c r="L1972" s="160"/>
      <c r="M1972" s="159"/>
      <c r="N1972" s="159" t="e">
        <f>IF(bargiri[[#This Row],[مبلغ واریزی]]&lt;&gt;"",bargiri[[#This Row],[مانده مبلغ]]-bargiri[[#This Row],[مبلغ واریزی]],bargiri[[#This Row],[مانده مبلغ]])</f>
        <v>#N/A</v>
      </c>
      <c r="O1972" s="159"/>
      <c r="P1972" s="159" t="e">
        <f>VLOOKUP(bargiri[[#This Row],[شماره سند مبنا]],invoice[[شماره پیش فاکتور]:[پیش دریافت به ازای هر کیلوگرم]],14,0)</f>
        <v>#N/A</v>
      </c>
      <c r="Q1972" s="159" t="e">
        <f>IF(bargiri[[#This Row],[مبلغ ناخالص]]-(bargiri[[#This Row],[نرخ استهلاک]]*bargiri[[#This Row],[مقدار]])&lt;0,0,bargiri[[#This Row],[مبلغ ناخالص]]-(bargiri[[#This Row],[نرخ استهلاک]]*bargiri[[#This Row],[مقدار]]))</f>
        <v>#N/A</v>
      </c>
    </row>
    <row r="1973" spans="1:17" s="22" customFormat="1" ht="13.8" x14ac:dyDescent="0.25">
      <c r="A1973" s="22">
        <v>903</v>
      </c>
      <c r="B1973" s="22" t="s">
        <v>498</v>
      </c>
      <c r="C1973" s="22" t="s">
        <v>66</v>
      </c>
      <c r="D1973" s="22" t="s">
        <v>67</v>
      </c>
      <c r="E1973" s="158">
        <v>19680</v>
      </c>
      <c r="F1973" s="159">
        <v>68500</v>
      </c>
      <c r="G1973" s="159">
        <v>1348080000</v>
      </c>
      <c r="H1973" s="159">
        <v>121327200</v>
      </c>
      <c r="I1973" s="159">
        <v>1469407200</v>
      </c>
      <c r="J1973" s="159" t="e">
        <f>bargiri[[#This Row],[مقدار]]*INDEX(invoice[پیش دریافت به ازای هر کیلوگرم],MATCH(bargiri[[#This Row],[شماره سند مبنا]],invoice[شماره پیش فاکتور],0))</f>
        <v>#N/A</v>
      </c>
      <c r="K1973" s="159" t="e">
        <f>bargiri[[#This Row],[مبلغ خالص]]-bargiri[[#This Row],[میزان استهلاک پیش دریافتی]]</f>
        <v>#N/A</v>
      </c>
      <c r="L1973" s="160"/>
      <c r="M1973" s="159"/>
      <c r="N1973" s="159" t="e">
        <f>IF(bargiri[[#This Row],[مبلغ واریزی]]&lt;&gt;"",bargiri[[#This Row],[مانده مبلغ]]-bargiri[[#This Row],[مبلغ واریزی]],bargiri[[#This Row],[مانده مبلغ]])</f>
        <v>#N/A</v>
      </c>
      <c r="O1973" s="159"/>
      <c r="P1973" s="159" t="e">
        <f>VLOOKUP(bargiri[[#This Row],[شماره سند مبنا]],invoice[[شماره پیش فاکتور]:[پیش دریافت به ازای هر کیلوگرم]],14,0)</f>
        <v>#N/A</v>
      </c>
      <c r="Q1973" s="159" t="e">
        <f>IF(bargiri[[#This Row],[مبلغ ناخالص]]-(bargiri[[#This Row],[نرخ استهلاک]]*bargiri[[#This Row],[مقدار]])&lt;0,0,bargiri[[#This Row],[مبلغ ناخالص]]-(bargiri[[#This Row],[نرخ استهلاک]]*bargiri[[#This Row],[مقدار]]))</f>
        <v>#N/A</v>
      </c>
    </row>
    <row r="1974" spans="1:17" s="22" customFormat="1" ht="13.8" x14ac:dyDescent="0.25">
      <c r="A1974" s="22">
        <v>902</v>
      </c>
      <c r="B1974" s="22" t="s">
        <v>498</v>
      </c>
      <c r="C1974" s="22" t="s">
        <v>66</v>
      </c>
      <c r="D1974" s="22" t="s">
        <v>67</v>
      </c>
      <c r="E1974" s="158">
        <v>20080</v>
      </c>
      <c r="F1974" s="159">
        <v>68500</v>
      </c>
      <c r="G1974" s="159">
        <v>1375480000</v>
      </c>
      <c r="H1974" s="159">
        <v>123793200</v>
      </c>
      <c r="I1974" s="159">
        <v>1499273200</v>
      </c>
      <c r="J1974" s="159" t="e">
        <f>bargiri[[#This Row],[مقدار]]*INDEX(invoice[پیش دریافت به ازای هر کیلوگرم],MATCH(bargiri[[#This Row],[شماره سند مبنا]],invoice[شماره پیش فاکتور],0))</f>
        <v>#N/A</v>
      </c>
      <c r="K1974" s="159" t="e">
        <f>bargiri[[#This Row],[مبلغ خالص]]-bargiri[[#This Row],[میزان استهلاک پیش دریافتی]]</f>
        <v>#N/A</v>
      </c>
      <c r="L1974" s="160"/>
      <c r="M1974" s="159"/>
      <c r="N1974" s="159" t="e">
        <f>IF(bargiri[[#This Row],[مبلغ واریزی]]&lt;&gt;"",bargiri[[#This Row],[مانده مبلغ]]-bargiri[[#This Row],[مبلغ واریزی]],bargiri[[#This Row],[مانده مبلغ]])</f>
        <v>#N/A</v>
      </c>
      <c r="O1974" s="159"/>
      <c r="P1974" s="159" t="e">
        <f>VLOOKUP(bargiri[[#This Row],[شماره سند مبنا]],invoice[[شماره پیش فاکتور]:[پیش دریافت به ازای هر کیلوگرم]],14,0)</f>
        <v>#N/A</v>
      </c>
      <c r="Q1974" s="159" t="e">
        <f>IF(bargiri[[#This Row],[مبلغ ناخالص]]-(bargiri[[#This Row],[نرخ استهلاک]]*bargiri[[#This Row],[مقدار]])&lt;0,0,bargiri[[#This Row],[مبلغ ناخالص]]-(bargiri[[#This Row],[نرخ استهلاک]]*bargiri[[#This Row],[مقدار]]))</f>
        <v>#N/A</v>
      </c>
    </row>
    <row r="1975" spans="1:17" s="22" customFormat="1" ht="13.8" x14ac:dyDescent="0.25">
      <c r="A1975" s="22">
        <v>901</v>
      </c>
      <c r="B1975" s="22" t="s">
        <v>498</v>
      </c>
      <c r="C1975" s="22" t="s">
        <v>109</v>
      </c>
      <c r="D1975" s="22" t="s">
        <v>110</v>
      </c>
      <c r="E1975" s="158">
        <v>19190</v>
      </c>
      <c r="F1975" s="159">
        <v>70000</v>
      </c>
      <c r="G1975" s="159">
        <v>1343300000</v>
      </c>
      <c r="H1975" s="159">
        <v>134330000</v>
      </c>
      <c r="I1975" s="159">
        <v>1477630000</v>
      </c>
      <c r="J1975" s="159" t="e">
        <f>bargiri[[#This Row],[مقدار]]*INDEX(invoice[پیش دریافت به ازای هر کیلوگرم],MATCH(bargiri[[#This Row],[شماره سند مبنا]],invoice[شماره پیش فاکتور],0))</f>
        <v>#N/A</v>
      </c>
      <c r="K1975" s="159" t="e">
        <f>bargiri[[#This Row],[مبلغ خالص]]-bargiri[[#This Row],[میزان استهلاک پیش دریافتی]]</f>
        <v>#N/A</v>
      </c>
      <c r="L1975" s="160"/>
      <c r="M1975" s="159"/>
      <c r="N1975" s="159" t="e">
        <f>IF(bargiri[[#This Row],[مبلغ واریزی]]&lt;&gt;"",bargiri[[#This Row],[مانده مبلغ]]-bargiri[[#This Row],[مبلغ واریزی]],bargiri[[#This Row],[مانده مبلغ]])</f>
        <v>#N/A</v>
      </c>
      <c r="O1975" s="159"/>
      <c r="P1975" s="159" t="e">
        <f>VLOOKUP(bargiri[[#This Row],[شماره سند مبنا]],invoice[[شماره پیش فاکتور]:[پیش دریافت به ازای هر کیلوگرم]],14,0)</f>
        <v>#N/A</v>
      </c>
      <c r="Q1975" s="159" t="e">
        <f>IF(bargiri[[#This Row],[مبلغ ناخالص]]-(bargiri[[#This Row],[نرخ استهلاک]]*bargiri[[#This Row],[مقدار]])&lt;0,0,bargiri[[#This Row],[مبلغ ناخالص]]-(bargiri[[#This Row],[نرخ استهلاک]]*bargiri[[#This Row],[مقدار]]))</f>
        <v>#N/A</v>
      </c>
    </row>
    <row r="1976" spans="1:17" s="22" customFormat="1" ht="13.8" x14ac:dyDescent="0.25">
      <c r="A1976" s="22">
        <v>900</v>
      </c>
      <c r="B1976" s="22" t="s">
        <v>484</v>
      </c>
      <c r="C1976" s="22" t="s">
        <v>88</v>
      </c>
      <c r="D1976" s="22" t="s">
        <v>89</v>
      </c>
      <c r="E1976" s="158">
        <v>10065</v>
      </c>
      <c r="F1976" s="159">
        <v>78000</v>
      </c>
      <c r="G1976" s="159">
        <v>785070000</v>
      </c>
      <c r="H1976" s="159">
        <v>78507000</v>
      </c>
      <c r="I1976" s="159">
        <v>863577000</v>
      </c>
      <c r="J1976" s="159" t="e">
        <f>bargiri[[#This Row],[مقدار]]*INDEX(invoice[پیش دریافت به ازای هر کیلوگرم],MATCH(bargiri[[#This Row],[شماره سند مبنا]],invoice[شماره پیش فاکتور],0))</f>
        <v>#N/A</v>
      </c>
      <c r="K1976" s="159" t="e">
        <f>bargiri[[#This Row],[مبلغ خالص]]-bargiri[[#This Row],[میزان استهلاک پیش دریافتی]]</f>
        <v>#N/A</v>
      </c>
      <c r="L1976" s="160"/>
      <c r="M1976" s="159"/>
      <c r="N1976" s="159" t="e">
        <f>IF(bargiri[[#This Row],[مبلغ واریزی]]&lt;&gt;"",bargiri[[#This Row],[مانده مبلغ]]-bargiri[[#This Row],[مبلغ واریزی]],bargiri[[#This Row],[مانده مبلغ]])</f>
        <v>#N/A</v>
      </c>
      <c r="O1976" s="159"/>
      <c r="P1976" s="159" t="e">
        <f>VLOOKUP(bargiri[[#This Row],[شماره سند مبنا]],invoice[[شماره پیش فاکتور]:[پیش دریافت به ازای هر کیلوگرم]],14,0)</f>
        <v>#N/A</v>
      </c>
      <c r="Q1976" s="159" t="e">
        <f>IF(bargiri[[#This Row],[مبلغ ناخالص]]-(bargiri[[#This Row],[نرخ استهلاک]]*bargiri[[#This Row],[مقدار]])&lt;0,0,bargiri[[#This Row],[مبلغ ناخالص]]-(bargiri[[#This Row],[نرخ استهلاک]]*bargiri[[#This Row],[مقدار]]))</f>
        <v>#N/A</v>
      </c>
    </row>
    <row r="1977" spans="1:17" s="22" customFormat="1" ht="13.8" x14ac:dyDescent="0.25">
      <c r="A1977" s="22">
        <v>899</v>
      </c>
      <c r="B1977" s="22" t="s">
        <v>484</v>
      </c>
      <c r="C1977" s="22" t="s">
        <v>66</v>
      </c>
      <c r="D1977" s="22" t="s">
        <v>67</v>
      </c>
      <c r="E1977" s="158">
        <v>20210</v>
      </c>
      <c r="F1977" s="159">
        <v>68500</v>
      </c>
      <c r="G1977" s="159">
        <v>1384385000</v>
      </c>
      <c r="H1977" s="159">
        <v>124594650</v>
      </c>
      <c r="I1977" s="159">
        <v>1508979650</v>
      </c>
      <c r="J1977" s="159" t="e">
        <f>bargiri[[#This Row],[مقدار]]*INDEX(invoice[پیش دریافت به ازای هر کیلوگرم],MATCH(bargiri[[#This Row],[شماره سند مبنا]],invoice[شماره پیش فاکتور],0))</f>
        <v>#N/A</v>
      </c>
      <c r="K1977" s="159" t="e">
        <f>bargiri[[#This Row],[مبلغ خالص]]-bargiri[[#This Row],[میزان استهلاک پیش دریافتی]]</f>
        <v>#N/A</v>
      </c>
      <c r="L1977" s="160"/>
      <c r="M1977" s="159"/>
      <c r="N1977" s="159" t="e">
        <f>IF(bargiri[[#This Row],[مبلغ واریزی]]&lt;&gt;"",bargiri[[#This Row],[مانده مبلغ]]-bargiri[[#This Row],[مبلغ واریزی]],bargiri[[#This Row],[مانده مبلغ]])</f>
        <v>#N/A</v>
      </c>
      <c r="O1977" s="159"/>
      <c r="P1977" s="159" t="e">
        <f>VLOOKUP(bargiri[[#This Row],[شماره سند مبنا]],invoice[[شماره پیش فاکتور]:[پیش دریافت به ازای هر کیلوگرم]],14,0)</f>
        <v>#N/A</v>
      </c>
      <c r="Q1977" s="159" t="e">
        <f>IF(bargiri[[#This Row],[مبلغ ناخالص]]-(bargiri[[#This Row],[نرخ استهلاک]]*bargiri[[#This Row],[مقدار]])&lt;0,0,bargiri[[#This Row],[مبلغ ناخالص]]-(bargiri[[#This Row],[نرخ استهلاک]]*bargiri[[#This Row],[مقدار]]))</f>
        <v>#N/A</v>
      </c>
    </row>
    <row r="1978" spans="1:17" s="22" customFormat="1" ht="13.8" x14ac:dyDescent="0.25">
      <c r="A1978" s="22">
        <v>896</v>
      </c>
      <c r="B1978" s="22" t="s">
        <v>484</v>
      </c>
      <c r="C1978" s="22" t="s">
        <v>59</v>
      </c>
      <c r="D1978" s="22" t="s">
        <v>57</v>
      </c>
      <c r="E1978" s="158">
        <v>10050</v>
      </c>
      <c r="F1978" s="159">
        <v>80000</v>
      </c>
      <c r="G1978" s="159">
        <v>804000000</v>
      </c>
      <c r="H1978" s="159">
        <v>72360000</v>
      </c>
      <c r="I1978" s="159">
        <v>876360000</v>
      </c>
      <c r="J1978" s="159" t="e">
        <f>bargiri[[#This Row],[مقدار]]*INDEX(invoice[پیش دریافت به ازای هر کیلوگرم],MATCH(bargiri[[#This Row],[شماره سند مبنا]],invoice[شماره پیش فاکتور],0))</f>
        <v>#N/A</v>
      </c>
      <c r="K1978" s="159" t="e">
        <f>bargiri[[#This Row],[مبلغ خالص]]-bargiri[[#This Row],[میزان استهلاک پیش دریافتی]]</f>
        <v>#N/A</v>
      </c>
      <c r="L1978" s="160"/>
      <c r="M1978" s="159"/>
      <c r="N1978" s="159" t="e">
        <f>IF(bargiri[[#This Row],[مبلغ واریزی]]&lt;&gt;"",bargiri[[#This Row],[مانده مبلغ]]-bargiri[[#This Row],[مبلغ واریزی]],bargiri[[#This Row],[مانده مبلغ]])</f>
        <v>#N/A</v>
      </c>
      <c r="O1978" s="159"/>
      <c r="P1978" s="159" t="e">
        <f>VLOOKUP(bargiri[[#This Row],[شماره سند مبنا]],invoice[[شماره پیش فاکتور]:[پیش دریافت به ازای هر کیلوگرم]],14,0)</f>
        <v>#N/A</v>
      </c>
      <c r="Q1978" s="159" t="e">
        <f>IF(bargiri[[#This Row],[مبلغ ناخالص]]-(bargiri[[#This Row],[نرخ استهلاک]]*bargiri[[#This Row],[مقدار]])&lt;0,0,bargiri[[#This Row],[مبلغ ناخالص]]-(bargiri[[#This Row],[نرخ استهلاک]]*bargiri[[#This Row],[مقدار]]))</f>
        <v>#N/A</v>
      </c>
    </row>
    <row r="1979" spans="1:17" s="22" customFormat="1" ht="13.8" x14ac:dyDescent="0.25">
      <c r="A1979" s="22">
        <v>895</v>
      </c>
      <c r="B1979" s="22" t="s">
        <v>242</v>
      </c>
      <c r="C1979" s="22" t="s">
        <v>24</v>
      </c>
      <c r="D1979" s="22" t="s">
        <v>25</v>
      </c>
      <c r="E1979" s="158">
        <v>22845</v>
      </c>
      <c r="F1979" s="159">
        <v>68000</v>
      </c>
      <c r="G1979" s="159">
        <v>1553460000</v>
      </c>
      <c r="H1979" s="159">
        <v>139811400</v>
      </c>
      <c r="I1979" s="159">
        <v>1693271400</v>
      </c>
      <c r="J1979" s="159" t="e">
        <f>bargiri[[#This Row],[مقدار]]*INDEX(invoice[پیش دریافت به ازای هر کیلوگرم],MATCH(bargiri[[#This Row],[شماره سند مبنا]],invoice[شماره پیش فاکتور],0))</f>
        <v>#N/A</v>
      </c>
      <c r="K1979" s="159" t="e">
        <f>bargiri[[#This Row],[مبلغ خالص]]-bargiri[[#This Row],[میزان استهلاک پیش دریافتی]]</f>
        <v>#N/A</v>
      </c>
      <c r="L1979" s="160"/>
      <c r="M1979" s="159"/>
      <c r="N1979" s="159" t="e">
        <f>IF(bargiri[[#This Row],[مبلغ واریزی]]&lt;&gt;"",bargiri[[#This Row],[مانده مبلغ]]-bargiri[[#This Row],[مبلغ واریزی]],bargiri[[#This Row],[مانده مبلغ]])</f>
        <v>#N/A</v>
      </c>
      <c r="O1979" s="159"/>
      <c r="P1979" s="159" t="e">
        <f>VLOOKUP(bargiri[[#This Row],[شماره سند مبنا]],invoice[[شماره پیش فاکتور]:[پیش دریافت به ازای هر کیلوگرم]],14,0)</f>
        <v>#N/A</v>
      </c>
      <c r="Q1979" s="159" t="e">
        <f>IF(bargiri[[#This Row],[مبلغ ناخالص]]-(bargiri[[#This Row],[نرخ استهلاک]]*bargiri[[#This Row],[مقدار]])&lt;0,0,bargiri[[#This Row],[مبلغ ناخالص]]-(bargiri[[#This Row],[نرخ استهلاک]]*bargiri[[#This Row],[مقدار]]))</f>
        <v>#N/A</v>
      </c>
    </row>
    <row r="1980" spans="1:17" s="22" customFormat="1" ht="13.8" x14ac:dyDescent="0.25">
      <c r="A1980" s="22">
        <v>894</v>
      </c>
      <c r="B1980" s="22" t="s">
        <v>499</v>
      </c>
      <c r="C1980" s="22" t="s">
        <v>109</v>
      </c>
      <c r="D1980" s="22" t="s">
        <v>110</v>
      </c>
      <c r="E1980" s="158">
        <v>19260</v>
      </c>
      <c r="F1980" s="159">
        <v>70000</v>
      </c>
      <c r="G1980" s="159">
        <v>1348200000</v>
      </c>
      <c r="H1980" s="159">
        <v>134820000</v>
      </c>
      <c r="I1980" s="159">
        <v>1483020000</v>
      </c>
      <c r="J1980" s="159" t="e">
        <f>bargiri[[#This Row],[مقدار]]*INDEX(invoice[پیش دریافت به ازای هر کیلوگرم],MATCH(bargiri[[#This Row],[شماره سند مبنا]],invoice[شماره پیش فاکتور],0))</f>
        <v>#N/A</v>
      </c>
      <c r="K1980" s="159" t="e">
        <f>bargiri[[#This Row],[مبلغ خالص]]-bargiri[[#This Row],[میزان استهلاک پیش دریافتی]]</f>
        <v>#N/A</v>
      </c>
      <c r="L1980" s="160"/>
      <c r="M1980" s="159"/>
      <c r="N1980" s="159" t="e">
        <f>IF(bargiri[[#This Row],[مبلغ واریزی]]&lt;&gt;"",bargiri[[#This Row],[مانده مبلغ]]-bargiri[[#This Row],[مبلغ واریزی]],bargiri[[#This Row],[مانده مبلغ]])</f>
        <v>#N/A</v>
      </c>
      <c r="O1980" s="159"/>
      <c r="P1980" s="159" t="e">
        <f>VLOOKUP(bargiri[[#This Row],[شماره سند مبنا]],invoice[[شماره پیش فاکتور]:[پیش دریافت به ازای هر کیلوگرم]],14,0)</f>
        <v>#N/A</v>
      </c>
      <c r="Q1980" s="159" t="e">
        <f>IF(bargiri[[#This Row],[مبلغ ناخالص]]-(bargiri[[#This Row],[نرخ استهلاک]]*bargiri[[#This Row],[مقدار]])&lt;0,0,bargiri[[#This Row],[مبلغ ناخالص]]-(bargiri[[#This Row],[نرخ استهلاک]]*bargiri[[#This Row],[مقدار]]))</f>
        <v>#N/A</v>
      </c>
    </row>
    <row r="1981" spans="1:17" s="22" customFormat="1" ht="13.8" x14ac:dyDescent="0.25">
      <c r="A1981" s="22">
        <v>893</v>
      </c>
      <c r="B1981" s="22" t="s">
        <v>485</v>
      </c>
      <c r="C1981" s="22" t="s">
        <v>47</v>
      </c>
      <c r="D1981" s="22" t="s">
        <v>43</v>
      </c>
      <c r="E1981" s="158">
        <v>11255</v>
      </c>
      <c r="F1981" s="159">
        <v>65000</v>
      </c>
      <c r="G1981" s="159">
        <v>731575000</v>
      </c>
      <c r="H1981" s="159">
        <v>65841750</v>
      </c>
      <c r="I1981" s="159">
        <v>797416750</v>
      </c>
      <c r="J1981" s="159" t="e">
        <f>bargiri[[#This Row],[مقدار]]*INDEX(invoice[پیش دریافت به ازای هر کیلوگرم],MATCH(bargiri[[#This Row],[شماره سند مبنا]],invoice[شماره پیش فاکتور],0))</f>
        <v>#N/A</v>
      </c>
      <c r="K1981" s="159" t="e">
        <f>bargiri[[#This Row],[مبلغ خالص]]-bargiri[[#This Row],[میزان استهلاک پیش دریافتی]]</f>
        <v>#N/A</v>
      </c>
      <c r="L1981" s="160"/>
      <c r="M1981" s="159"/>
      <c r="N1981" s="159" t="e">
        <f>IF(bargiri[[#This Row],[مبلغ واریزی]]&lt;&gt;"",bargiri[[#This Row],[مانده مبلغ]]-bargiri[[#This Row],[مبلغ واریزی]],bargiri[[#This Row],[مانده مبلغ]])</f>
        <v>#N/A</v>
      </c>
      <c r="O1981" s="159"/>
      <c r="P1981" s="159" t="e">
        <f>VLOOKUP(bargiri[[#This Row],[شماره سند مبنا]],invoice[[شماره پیش فاکتور]:[پیش دریافت به ازای هر کیلوگرم]],14,0)</f>
        <v>#N/A</v>
      </c>
      <c r="Q1981" s="159" t="e">
        <f>IF(bargiri[[#This Row],[مبلغ ناخالص]]-(bargiri[[#This Row],[نرخ استهلاک]]*bargiri[[#This Row],[مقدار]])&lt;0,0,bargiri[[#This Row],[مبلغ ناخالص]]-(bargiri[[#This Row],[نرخ استهلاک]]*bargiri[[#This Row],[مقدار]]))</f>
        <v>#N/A</v>
      </c>
    </row>
    <row r="1982" spans="1:17" s="22" customFormat="1" ht="13.8" x14ac:dyDescent="0.25">
      <c r="A1982" s="22">
        <v>892</v>
      </c>
      <c r="B1982" s="22" t="s">
        <v>485</v>
      </c>
      <c r="C1982" s="22" t="s">
        <v>86</v>
      </c>
      <c r="D1982" s="22" t="s">
        <v>30</v>
      </c>
      <c r="E1982" s="158">
        <v>11920</v>
      </c>
      <c r="F1982" s="159">
        <v>65000</v>
      </c>
      <c r="G1982" s="159">
        <v>774800000</v>
      </c>
      <c r="H1982" s="159">
        <v>77480000</v>
      </c>
      <c r="I1982" s="159">
        <v>852280000</v>
      </c>
      <c r="J1982" s="159" t="e">
        <f>bargiri[[#This Row],[مقدار]]*INDEX(invoice[پیش دریافت به ازای هر کیلوگرم],MATCH(bargiri[[#This Row],[شماره سند مبنا]],invoice[شماره پیش فاکتور],0))</f>
        <v>#N/A</v>
      </c>
      <c r="K1982" s="159" t="e">
        <f>bargiri[[#This Row],[مبلغ خالص]]-bargiri[[#This Row],[میزان استهلاک پیش دریافتی]]</f>
        <v>#N/A</v>
      </c>
      <c r="L1982" s="160"/>
      <c r="M1982" s="159"/>
      <c r="N1982" s="159" t="e">
        <f>IF(bargiri[[#This Row],[مبلغ واریزی]]&lt;&gt;"",bargiri[[#This Row],[مانده مبلغ]]-bargiri[[#This Row],[مبلغ واریزی]],bargiri[[#This Row],[مانده مبلغ]])</f>
        <v>#N/A</v>
      </c>
      <c r="O1982" s="159"/>
      <c r="P1982" s="159" t="e">
        <f>VLOOKUP(bargiri[[#This Row],[شماره سند مبنا]],invoice[[شماره پیش فاکتور]:[پیش دریافت به ازای هر کیلوگرم]],14,0)</f>
        <v>#N/A</v>
      </c>
      <c r="Q1982" s="159" t="e">
        <f>IF(bargiri[[#This Row],[مبلغ ناخالص]]-(bargiri[[#This Row],[نرخ استهلاک]]*bargiri[[#This Row],[مقدار]])&lt;0,0,bargiri[[#This Row],[مبلغ ناخالص]]-(bargiri[[#This Row],[نرخ استهلاک]]*bargiri[[#This Row],[مقدار]]))</f>
        <v>#N/A</v>
      </c>
    </row>
    <row r="1983" spans="1:17" s="22" customFormat="1" ht="13.8" x14ac:dyDescent="0.25">
      <c r="A1983" s="22">
        <v>889</v>
      </c>
      <c r="B1983" s="22" t="s">
        <v>485</v>
      </c>
      <c r="C1983" s="22" t="s">
        <v>47</v>
      </c>
      <c r="D1983" s="22" t="s">
        <v>43</v>
      </c>
      <c r="E1983" s="158">
        <v>20350</v>
      </c>
      <c r="F1983" s="159">
        <v>65000</v>
      </c>
      <c r="G1983" s="159">
        <v>1322750000</v>
      </c>
      <c r="H1983" s="159">
        <v>119047500</v>
      </c>
      <c r="I1983" s="159">
        <v>1441797500</v>
      </c>
      <c r="J1983" s="159" t="e">
        <f>bargiri[[#This Row],[مقدار]]*INDEX(invoice[پیش دریافت به ازای هر کیلوگرم],MATCH(bargiri[[#This Row],[شماره سند مبنا]],invoice[شماره پیش فاکتور],0))</f>
        <v>#N/A</v>
      </c>
      <c r="K1983" s="159" t="e">
        <f>bargiri[[#This Row],[مبلغ خالص]]-bargiri[[#This Row],[میزان استهلاک پیش دریافتی]]</f>
        <v>#N/A</v>
      </c>
      <c r="L1983" s="160"/>
      <c r="M1983" s="159"/>
      <c r="N1983" s="159" t="e">
        <f>IF(bargiri[[#This Row],[مبلغ واریزی]]&lt;&gt;"",bargiri[[#This Row],[مانده مبلغ]]-bargiri[[#This Row],[مبلغ واریزی]],bargiri[[#This Row],[مانده مبلغ]])</f>
        <v>#N/A</v>
      </c>
      <c r="O1983" s="159"/>
      <c r="P1983" s="159" t="e">
        <f>VLOOKUP(bargiri[[#This Row],[شماره سند مبنا]],invoice[[شماره پیش فاکتور]:[پیش دریافت به ازای هر کیلوگرم]],14,0)</f>
        <v>#N/A</v>
      </c>
      <c r="Q1983" s="159" t="e">
        <f>IF(bargiri[[#This Row],[مبلغ ناخالص]]-(bargiri[[#This Row],[نرخ استهلاک]]*bargiri[[#This Row],[مقدار]])&lt;0,0,bargiri[[#This Row],[مبلغ ناخالص]]-(bargiri[[#This Row],[نرخ استهلاک]]*bargiri[[#This Row],[مقدار]]))</f>
        <v>#N/A</v>
      </c>
    </row>
    <row r="1984" spans="1:17" s="22" customFormat="1" ht="13.8" x14ac:dyDescent="0.25">
      <c r="A1984" s="22">
        <v>887</v>
      </c>
      <c r="B1984" s="22" t="s">
        <v>153</v>
      </c>
      <c r="C1984" s="22" t="s">
        <v>88</v>
      </c>
      <c r="D1984" s="22" t="s">
        <v>89</v>
      </c>
      <c r="E1984" s="158">
        <v>20245</v>
      </c>
      <c r="F1984" s="159">
        <v>78000</v>
      </c>
      <c r="G1984" s="159">
        <v>1579110000</v>
      </c>
      <c r="H1984" s="159">
        <v>157911000</v>
      </c>
      <c r="I1984" s="159">
        <v>1737021000</v>
      </c>
      <c r="J1984" s="159" t="e">
        <f>bargiri[[#This Row],[مقدار]]*INDEX(invoice[پیش دریافت به ازای هر کیلوگرم],MATCH(bargiri[[#This Row],[شماره سند مبنا]],invoice[شماره پیش فاکتور],0))</f>
        <v>#N/A</v>
      </c>
      <c r="K1984" s="159" t="e">
        <f>bargiri[[#This Row],[مبلغ خالص]]-bargiri[[#This Row],[میزان استهلاک پیش دریافتی]]</f>
        <v>#N/A</v>
      </c>
      <c r="L1984" s="160"/>
      <c r="M1984" s="159"/>
      <c r="N1984" s="159" t="e">
        <f>IF(bargiri[[#This Row],[مبلغ واریزی]]&lt;&gt;"",bargiri[[#This Row],[مانده مبلغ]]-bargiri[[#This Row],[مبلغ واریزی]],bargiri[[#This Row],[مانده مبلغ]])</f>
        <v>#N/A</v>
      </c>
      <c r="O1984" s="159"/>
      <c r="P1984" s="159" t="e">
        <f>VLOOKUP(bargiri[[#This Row],[شماره سند مبنا]],invoice[[شماره پیش فاکتور]:[پیش دریافت به ازای هر کیلوگرم]],14,0)</f>
        <v>#N/A</v>
      </c>
      <c r="Q1984" s="159" t="e">
        <f>IF(bargiri[[#This Row],[مبلغ ناخالص]]-(bargiri[[#This Row],[نرخ استهلاک]]*bargiri[[#This Row],[مقدار]])&lt;0,0,bargiri[[#This Row],[مبلغ ناخالص]]-(bargiri[[#This Row],[نرخ استهلاک]]*bargiri[[#This Row],[مقدار]]))</f>
        <v>#N/A</v>
      </c>
    </row>
    <row r="1985" spans="1:17" s="22" customFormat="1" ht="13.8" x14ac:dyDescent="0.25">
      <c r="A1985" s="22">
        <v>886</v>
      </c>
      <c r="B1985" s="22" t="s">
        <v>153</v>
      </c>
      <c r="C1985" s="22" t="s">
        <v>66</v>
      </c>
      <c r="D1985" s="22" t="s">
        <v>67</v>
      </c>
      <c r="E1985" s="158">
        <v>20180</v>
      </c>
      <c r="F1985" s="159">
        <v>68500</v>
      </c>
      <c r="G1985" s="159">
        <v>1382330000</v>
      </c>
      <c r="H1985" s="159">
        <v>124409700</v>
      </c>
      <c r="I1985" s="159">
        <v>1506739700</v>
      </c>
      <c r="J1985" s="159" t="e">
        <f>bargiri[[#This Row],[مقدار]]*INDEX(invoice[پیش دریافت به ازای هر کیلوگرم],MATCH(bargiri[[#This Row],[شماره سند مبنا]],invoice[شماره پیش فاکتور],0))</f>
        <v>#N/A</v>
      </c>
      <c r="K1985" s="159" t="e">
        <f>bargiri[[#This Row],[مبلغ خالص]]-bargiri[[#This Row],[میزان استهلاک پیش دریافتی]]</f>
        <v>#N/A</v>
      </c>
      <c r="L1985" s="160"/>
      <c r="M1985" s="159"/>
      <c r="N1985" s="159" t="e">
        <f>IF(bargiri[[#This Row],[مبلغ واریزی]]&lt;&gt;"",bargiri[[#This Row],[مانده مبلغ]]-bargiri[[#This Row],[مبلغ واریزی]],bargiri[[#This Row],[مانده مبلغ]])</f>
        <v>#N/A</v>
      </c>
      <c r="O1985" s="159"/>
      <c r="P1985" s="159" t="e">
        <f>VLOOKUP(bargiri[[#This Row],[شماره سند مبنا]],invoice[[شماره پیش فاکتور]:[پیش دریافت به ازای هر کیلوگرم]],14,0)</f>
        <v>#N/A</v>
      </c>
      <c r="Q1985" s="159" t="e">
        <f>IF(bargiri[[#This Row],[مبلغ ناخالص]]-(bargiri[[#This Row],[نرخ استهلاک]]*bargiri[[#This Row],[مقدار]])&lt;0,0,bargiri[[#This Row],[مبلغ ناخالص]]-(bargiri[[#This Row],[نرخ استهلاک]]*bargiri[[#This Row],[مقدار]]))</f>
        <v>#N/A</v>
      </c>
    </row>
    <row r="1986" spans="1:17" s="22" customFormat="1" ht="13.8" x14ac:dyDescent="0.25">
      <c r="A1986" s="22">
        <v>885</v>
      </c>
      <c r="B1986" s="22" t="s">
        <v>153</v>
      </c>
      <c r="C1986" s="22" t="s">
        <v>109</v>
      </c>
      <c r="D1986" s="22" t="s">
        <v>110</v>
      </c>
      <c r="E1986" s="158">
        <v>19175</v>
      </c>
      <c r="F1986" s="159">
        <v>70000</v>
      </c>
      <c r="G1986" s="159">
        <v>1342250000</v>
      </c>
      <c r="H1986" s="159">
        <v>134225000</v>
      </c>
      <c r="I1986" s="159">
        <v>1476475000</v>
      </c>
      <c r="J1986" s="159" t="e">
        <f>bargiri[[#This Row],[مقدار]]*INDEX(invoice[پیش دریافت به ازای هر کیلوگرم],MATCH(bargiri[[#This Row],[شماره سند مبنا]],invoice[شماره پیش فاکتور],0))</f>
        <v>#N/A</v>
      </c>
      <c r="K1986" s="159" t="e">
        <f>bargiri[[#This Row],[مبلغ خالص]]-bargiri[[#This Row],[میزان استهلاک پیش دریافتی]]</f>
        <v>#N/A</v>
      </c>
      <c r="L1986" s="160"/>
      <c r="M1986" s="159"/>
      <c r="N1986" s="159" t="e">
        <f>IF(bargiri[[#This Row],[مبلغ واریزی]]&lt;&gt;"",bargiri[[#This Row],[مانده مبلغ]]-bargiri[[#This Row],[مبلغ واریزی]],bargiri[[#This Row],[مانده مبلغ]])</f>
        <v>#N/A</v>
      </c>
      <c r="O1986" s="159"/>
      <c r="P1986" s="159" t="e">
        <f>VLOOKUP(bargiri[[#This Row],[شماره سند مبنا]],invoice[[شماره پیش فاکتور]:[پیش دریافت به ازای هر کیلوگرم]],14,0)</f>
        <v>#N/A</v>
      </c>
      <c r="Q1986" s="159" t="e">
        <f>IF(bargiri[[#This Row],[مبلغ ناخالص]]-(bargiri[[#This Row],[نرخ استهلاک]]*bargiri[[#This Row],[مقدار]])&lt;0,0,bargiri[[#This Row],[مبلغ ناخالص]]-(bargiri[[#This Row],[نرخ استهلاک]]*bargiri[[#This Row],[مقدار]]))</f>
        <v>#N/A</v>
      </c>
    </row>
    <row r="1987" spans="1:17" s="22" customFormat="1" ht="13.8" x14ac:dyDescent="0.25">
      <c r="A1987" s="22">
        <v>884</v>
      </c>
      <c r="B1987" s="22" t="s">
        <v>153</v>
      </c>
      <c r="C1987" s="22" t="s">
        <v>115</v>
      </c>
      <c r="D1987" s="22" t="s">
        <v>116</v>
      </c>
      <c r="E1987" s="158">
        <v>10040</v>
      </c>
      <c r="F1987" s="159">
        <v>75000</v>
      </c>
      <c r="G1987" s="159">
        <v>753000000</v>
      </c>
      <c r="H1987" s="159">
        <v>75300000</v>
      </c>
      <c r="I1987" s="159">
        <v>828300000</v>
      </c>
      <c r="J1987" s="159">
        <f>bargiri[[#This Row],[مقدار]]*INDEX(invoice[پیش دریافت به ازای هر کیلوگرم],MATCH(bargiri[[#This Row],[شماره سند مبنا]],invoice[شماره پیش فاکتور],0))</f>
        <v>150702477.68482569</v>
      </c>
      <c r="K1987" s="159">
        <f>bargiri[[#This Row],[مبلغ خالص]]-bargiri[[#This Row],[میزان استهلاک پیش دریافتی]]</f>
        <v>677597522.31517434</v>
      </c>
      <c r="L1987" s="160"/>
      <c r="M1987" s="159"/>
      <c r="N1987" s="159">
        <f>IF(bargiri[[#This Row],[مبلغ واریزی]]&lt;&gt;"",bargiri[[#This Row],[مانده مبلغ]]-bargiri[[#This Row],[مبلغ واریزی]],bargiri[[#This Row],[مانده مبلغ]])</f>
        <v>677597522.31517434</v>
      </c>
      <c r="O1987" s="159"/>
      <c r="P1987" s="159">
        <f>VLOOKUP(bargiri[[#This Row],[شماره سند مبنا]],invoice[[شماره پیش فاکتور]:[پیش دریافت به ازای هر کیلوگرم]],14,0)</f>
        <v>15010.206940719689</v>
      </c>
      <c r="Q1987" s="159">
        <f>IF(bargiri[[#This Row],[مبلغ ناخالص]]-(bargiri[[#This Row],[نرخ استهلاک]]*bargiri[[#This Row],[مقدار]])&lt;0,0,bargiri[[#This Row],[مبلغ ناخالص]]-(bargiri[[#This Row],[نرخ استهلاک]]*bargiri[[#This Row],[مقدار]]))</f>
        <v>602297522.31517434</v>
      </c>
    </row>
    <row r="1988" spans="1:17" s="22" customFormat="1" ht="13.8" x14ac:dyDescent="0.25">
      <c r="A1988" s="22">
        <v>883</v>
      </c>
      <c r="B1988" s="22" t="s">
        <v>500</v>
      </c>
      <c r="C1988" s="22" t="s">
        <v>69</v>
      </c>
      <c r="D1988" s="22" t="s">
        <v>70</v>
      </c>
      <c r="E1988" s="158">
        <v>20065</v>
      </c>
      <c r="F1988" s="159">
        <v>70000</v>
      </c>
      <c r="G1988" s="159">
        <v>1404550000</v>
      </c>
      <c r="H1988" s="159">
        <v>126409500</v>
      </c>
      <c r="I1988" s="159">
        <v>1530959500</v>
      </c>
      <c r="J1988" s="159" t="e">
        <f>bargiri[[#This Row],[مقدار]]*INDEX(invoice[پیش دریافت به ازای هر کیلوگرم],MATCH(bargiri[[#This Row],[شماره سند مبنا]],invoice[شماره پیش فاکتور],0))</f>
        <v>#N/A</v>
      </c>
      <c r="K1988" s="159" t="e">
        <f>bargiri[[#This Row],[مبلغ خالص]]-bargiri[[#This Row],[میزان استهلاک پیش دریافتی]]</f>
        <v>#N/A</v>
      </c>
      <c r="L1988" s="160"/>
      <c r="M1988" s="159"/>
      <c r="N1988" s="159" t="e">
        <f>IF(bargiri[[#This Row],[مبلغ واریزی]]&lt;&gt;"",bargiri[[#This Row],[مانده مبلغ]]-bargiri[[#This Row],[مبلغ واریزی]],bargiri[[#This Row],[مانده مبلغ]])</f>
        <v>#N/A</v>
      </c>
      <c r="O1988" s="159"/>
      <c r="P1988" s="159" t="e">
        <f>VLOOKUP(bargiri[[#This Row],[شماره سند مبنا]],invoice[[شماره پیش فاکتور]:[پیش دریافت به ازای هر کیلوگرم]],14,0)</f>
        <v>#N/A</v>
      </c>
      <c r="Q1988" s="159" t="e">
        <f>IF(bargiri[[#This Row],[مبلغ ناخالص]]-(bargiri[[#This Row],[نرخ استهلاک]]*bargiri[[#This Row],[مقدار]])&lt;0,0,bargiri[[#This Row],[مبلغ ناخالص]]-(bargiri[[#This Row],[نرخ استهلاک]]*bargiri[[#This Row],[مقدار]]))</f>
        <v>#N/A</v>
      </c>
    </row>
    <row r="1989" spans="1:17" s="22" customFormat="1" ht="13.8" x14ac:dyDescent="0.25">
      <c r="A1989" s="22">
        <v>882</v>
      </c>
      <c r="B1989" s="22" t="s">
        <v>500</v>
      </c>
      <c r="C1989" s="22" t="s">
        <v>115</v>
      </c>
      <c r="D1989" s="22" t="s">
        <v>116</v>
      </c>
      <c r="E1989" s="158">
        <v>21020</v>
      </c>
      <c r="F1989" s="159">
        <v>75000</v>
      </c>
      <c r="G1989" s="159">
        <v>1576500000</v>
      </c>
      <c r="H1989" s="159">
        <v>157650000</v>
      </c>
      <c r="I1989" s="159">
        <v>1734150000</v>
      </c>
      <c r="J1989" s="159">
        <f>bargiri[[#This Row],[مقدار]]*INDEX(invoice[پیش دریافت به ازای هر کیلوگرم],MATCH(bargiri[[#This Row],[شماره سند مبنا]],invoice[شماره پیش فاکتور],0))</f>
        <v>315514549.89392787</v>
      </c>
      <c r="K1989" s="159">
        <f>bargiri[[#This Row],[مبلغ خالص]]-bargiri[[#This Row],[میزان استهلاک پیش دریافتی]]</f>
        <v>1418635450.1060722</v>
      </c>
      <c r="L1989" s="160"/>
      <c r="M1989" s="159"/>
      <c r="N1989" s="159">
        <f>IF(bargiri[[#This Row],[مبلغ واریزی]]&lt;&gt;"",bargiri[[#This Row],[مانده مبلغ]]-bargiri[[#This Row],[مبلغ واریزی]],bargiri[[#This Row],[مانده مبلغ]])</f>
        <v>1418635450.1060722</v>
      </c>
      <c r="O1989" s="159"/>
      <c r="P1989" s="159">
        <f>VLOOKUP(bargiri[[#This Row],[شماره سند مبنا]],invoice[[شماره پیش فاکتور]:[پیش دریافت به ازای هر کیلوگرم]],14,0)</f>
        <v>15010.206940719689</v>
      </c>
      <c r="Q1989" s="159">
        <f>IF(bargiri[[#This Row],[مبلغ ناخالص]]-(bargiri[[#This Row],[نرخ استهلاک]]*bargiri[[#This Row],[مقدار]])&lt;0,0,bargiri[[#This Row],[مبلغ ناخالص]]-(bargiri[[#This Row],[نرخ استهلاک]]*bargiri[[#This Row],[مقدار]]))</f>
        <v>1260985450.1060722</v>
      </c>
    </row>
    <row r="1990" spans="1:17" s="22" customFormat="1" ht="13.8" x14ac:dyDescent="0.25">
      <c r="A1990" s="22">
        <v>881</v>
      </c>
      <c r="B1990" s="22" t="s">
        <v>118</v>
      </c>
      <c r="C1990" s="22" t="s">
        <v>47</v>
      </c>
      <c r="D1990" s="22" t="s">
        <v>43</v>
      </c>
      <c r="E1990" s="158">
        <v>16205</v>
      </c>
      <c r="F1990" s="159">
        <v>65000</v>
      </c>
      <c r="G1990" s="159">
        <v>1053325000</v>
      </c>
      <c r="H1990" s="159">
        <v>94799250</v>
      </c>
      <c r="I1990" s="159">
        <v>1148124250</v>
      </c>
      <c r="J1990" s="159" t="e">
        <f>bargiri[[#This Row],[مقدار]]*INDEX(invoice[پیش دریافت به ازای هر کیلوگرم],MATCH(bargiri[[#This Row],[شماره سند مبنا]],invoice[شماره پیش فاکتور],0))</f>
        <v>#N/A</v>
      </c>
      <c r="K1990" s="159" t="e">
        <f>bargiri[[#This Row],[مبلغ خالص]]-bargiri[[#This Row],[میزان استهلاک پیش دریافتی]]</f>
        <v>#N/A</v>
      </c>
      <c r="L1990" s="160"/>
      <c r="M1990" s="159"/>
      <c r="N1990" s="159" t="e">
        <f>IF(bargiri[[#This Row],[مبلغ واریزی]]&lt;&gt;"",bargiri[[#This Row],[مانده مبلغ]]-bargiri[[#This Row],[مبلغ واریزی]],bargiri[[#This Row],[مانده مبلغ]])</f>
        <v>#N/A</v>
      </c>
      <c r="O1990" s="159"/>
      <c r="P1990" s="159" t="e">
        <f>VLOOKUP(bargiri[[#This Row],[شماره سند مبنا]],invoice[[شماره پیش فاکتور]:[پیش دریافت به ازای هر کیلوگرم]],14,0)</f>
        <v>#N/A</v>
      </c>
      <c r="Q1990" s="159" t="e">
        <f>IF(bargiri[[#This Row],[مبلغ ناخالص]]-(bargiri[[#This Row],[نرخ استهلاک]]*bargiri[[#This Row],[مقدار]])&lt;0,0,bargiri[[#This Row],[مبلغ ناخالص]]-(bargiri[[#This Row],[نرخ استهلاک]]*bargiri[[#This Row],[مقدار]]))</f>
        <v>#N/A</v>
      </c>
    </row>
    <row r="1991" spans="1:17" s="22" customFormat="1" ht="13.8" x14ac:dyDescent="0.25">
      <c r="A1991" s="22">
        <v>880</v>
      </c>
      <c r="B1991" s="22" t="s">
        <v>118</v>
      </c>
      <c r="C1991" s="22" t="s">
        <v>115</v>
      </c>
      <c r="D1991" s="22" t="s">
        <v>116</v>
      </c>
      <c r="E1991" s="158">
        <v>20925</v>
      </c>
      <c r="F1991" s="159">
        <v>75000</v>
      </c>
      <c r="G1991" s="159">
        <v>1569375000</v>
      </c>
      <c r="H1991" s="159">
        <v>156937500</v>
      </c>
      <c r="I1991" s="159">
        <v>1726312500</v>
      </c>
      <c r="J1991" s="159">
        <f>bargiri[[#This Row],[مقدار]]*INDEX(invoice[پیش دریافت به ازای هر کیلوگرم],MATCH(bargiri[[#This Row],[شماره سند مبنا]],invoice[شماره پیش فاکتور],0))</f>
        <v>314088580.23455948</v>
      </c>
      <c r="K1991" s="159">
        <f>bargiri[[#This Row],[مبلغ خالص]]-bargiri[[#This Row],[میزان استهلاک پیش دریافتی]]</f>
        <v>1412223919.7654405</v>
      </c>
      <c r="L1991" s="160"/>
      <c r="M1991" s="159"/>
      <c r="N1991" s="159">
        <f>IF(bargiri[[#This Row],[مبلغ واریزی]]&lt;&gt;"",bargiri[[#This Row],[مانده مبلغ]]-bargiri[[#This Row],[مبلغ واریزی]],bargiri[[#This Row],[مانده مبلغ]])</f>
        <v>1412223919.7654405</v>
      </c>
      <c r="O1991" s="159"/>
      <c r="P1991" s="159">
        <f>VLOOKUP(bargiri[[#This Row],[شماره سند مبنا]],invoice[[شماره پیش فاکتور]:[پیش دریافت به ازای هر کیلوگرم]],14,0)</f>
        <v>15010.206940719689</v>
      </c>
      <c r="Q1991" s="159">
        <f>IF(bargiri[[#This Row],[مبلغ ناخالص]]-(bargiri[[#This Row],[نرخ استهلاک]]*bargiri[[#This Row],[مقدار]])&lt;0,0,bargiri[[#This Row],[مبلغ ناخالص]]-(bargiri[[#This Row],[نرخ استهلاک]]*bargiri[[#This Row],[مقدار]]))</f>
        <v>1255286419.7654405</v>
      </c>
    </row>
    <row r="1992" spans="1:17" s="22" customFormat="1" ht="13.8" x14ac:dyDescent="0.25">
      <c r="A1992" s="22">
        <v>879</v>
      </c>
      <c r="B1992" s="22" t="s">
        <v>118</v>
      </c>
      <c r="C1992" s="22" t="s">
        <v>47</v>
      </c>
      <c r="D1992" s="22" t="s">
        <v>43</v>
      </c>
      <c r="E1992" s="158">
        <v>17235</v>
      </c>
      <c r="F1992" s="159">
        <v>65000</v>
      </c>
      <c r="G1992" s="159">
        <v>1120275000</v>
      </c>
      <c r="H1992" s="159">
        <v>100824750</v>
      </c>
      <c r="I1992" s="159">
        <v>1221099750</v>
      </c>
      <c r="J1992" s="159" t="e">
        <f>bargiri[[#This Row],[مقدار]]*INDEX(invoice[پیش دریافت به ازای هر کیلوگرم],MATCH(bargiri[[#This Row],[شماره سند مبنا]],invoice[شماره پیش فاکتور],0))</f>
        <v>#N/A</v>
      </c>
      <c r="K1992" s="159" t="e">
        <f>bargiri[[#This Row],[مبلغ خالص]]-bargiri[[#This Row],[میزان استهلاک پیش دریافتی]]</f>
        <v>#N/A</v>
      </c>
      <c r="L1992" s="160"/>
      <c r="M1992" s="159"/>
      <c r="N1992" s="159" t="e">
        <f>IF(bargiri[[#This Row],[مبلغ واریزی]]&lt;&gt;"",bargiri[[#This Row],[مانده مبلغ]]-bargiri[[#This Row],[مبلغ واریزی]],bargiri[[#This Row],[مانده مبلغ]])</f>
        <v>#N/A</v>
      </c>
      <c r="O1992" s="159"/>
      <c r="P1992" s="159" t="e">
        <f>VLOOKUP(bargiri[[#This Row],[شماره سند مبنا]],invoice[[شماره پیش فاکتور]:[پیش دریافت به ازای هر کیلوگرم]],14,0)</f>
        <v>#N/A</v>
      </c>
      <c r="Q1992" s="159" t="e">
        <f>IF(bargiri[[#This Row],[مبلغ ناخالص]]-(bargiri[[#This Row],[نرخ استهلاک]]*bargiri[[#This Row],[مقدار]])&lt;0,0,bargiri[[#This Row],[مبلغ ناخالص]]-(bargiri[[#This Row],[نرخ استهلاک]]*bargiri[[#This Row],[مقدار]]))</f>
        <v>#N/A</v>
      </c>
    </row>
    <row r="1993" spans="1:17" s="22" customFormat="1" ht="13.8" x14ac:dyDescent="0.25">
      <c r="A1993" s="22">
        <v>878</v>
      </c>
      <c r="B1993" s="22" t="s">
        <v>118</v>
      </c>
      <c r="C1993" s="22" t="s">
        <v>109</v>
      </c>
      <c r="D1993" s="22" t="s">
        <v>110</v>
      </c>
      <c r="E1993" s="158">
        <v>19265</v>
      </c>
      <c r="F1993" s="159">
        <v>70000</v>
      </c>
      <c r="G1993" s="159">
        <v>1348550000</v>
      </c>
      <c r="H1993" s="159">
        <v>134855000</v>
      </c>
      <c r="I1993" s="159">
        <v>1483405000</v>
      </c>
      <c r="J1993" s="159" t="e">
        <f>bargiri[[#This Row],[مقدار]]*INDEX(invoice[پیش دریافت به ازای هر کیلوگرم],MATCH(bargiri[[#This Row],[شماره سند مبنا]],invoice[شماره پیش فاکتور],0))</f>
        <v>#N/A</v>
      </c>
      <c r="K1993" s="159" t="e">
        <f>bargiri[[#This Row],[مبلغ خالص]]-bargiri[[#This Row],[میزان استهلاک پیش دریافتی]]</f>
        <v>#N/A</v>
      </c>
      <c r="L1993" s="160"/>
      <c r="M1993" s="159"/>
      <c r="N1993" s="159" t="e">
        <f>IF(bargiri[[#This Row],[مبلغ واریزی]]&lt;&gt;"",bargiri[[#This Row],[مانده مبلغ]]-bargiri[[#This Row],[مبلغ واریزی]],bargiri[[#This Row],[مانده مبلغ]])</f>
        <v>#N/A</v>
      </c>
      <c r="O1993" s="159"/>
      <c r="P1993" s="159" t="e">
        <f>VLOOKUP(bargiri[[#This Row],[شماره سند مبنا]],invoice[[شماره پیش فاکتور]:[پیش دریافت به ازای هر کیلوگرم]],14,0)</f>
        <v>#N/A</v>
      </c>
      <c r="Q1993" s="159" t="e">
        <f>IF(bargiri[[#This Row],[مبلغ ناخالص]]-(bargiri[[#This Row],[نرخ استهلاک]]*bargiri[[#This Row],[مقدار]])&lt;0,0,bargiri[[#This Row],[مبلغ ناخالص]]-(bargiri[[#This Row],[نرخ استهلاک]]*bargiri[[#This Row],[مقدار]]))</f>
        <v>#N/A</v>
      </c>
    </row>
    <row r="1994" spans="1:17" s="22" customFormat="1" ht="13.8" x14ac:dyDescent="0.25">
      <c r="A1994" s="22">
        <v>877</v>
      </c>
      <c r="B1994" s="22" t="s">
        <v>486</v>
      </c>
      <c r="C1994" s="22" t="s">
        <v>79</v>
      </c>
      <c r="D1994" s="22" t="s">
        <v>17</v>
      </c>
      <c r="E1994" s="158">
        <v>15240</v>
      </c>
      <c r="F1994" s="159">
        <v>70000</v>
      </c>
      <c r="G1994" s="159">
        <v>1066800000</v>
      </c>
      <c r="H1994" s="159">
        <v>106680000</v>
      </c>
      <c r="I1994" s="159">
        <v>1173480000</v>
      </c>
      <c r="J1994" s="159" t="e">
        <f>bargiri[[#This Row],[مقدار]]*INDEX(invoice[پیش دریافت به ازای هر کیلوگرم],MATCH(bargiri[[#This Row],[شماره سند مبنا]],invoice[شماره پیش فاکتور],0))</f>
        <v>#N/A</v>
      </c>
      <c r="K1994" s="159" t="e">
        <f>bargiri[[#This Row],[مبلغ خالص]]-bargiri[[#This Row],[میزان استهلاک پیش دریافتی]]</f>
        <v>#N/A</v>
      </c>
      <c r="L1994" s="160"/>
      <c r="M1994" s="159"/>
      <c r="N1994" s="159" t="e">
        <f>IF(bargiri[[#This Row],[مبلغ واریزی]]&lt;&gt;"",bargiri[[#This Row],[مانده مبلغ]]-bargiri[[#This Row],[مبلغ واریزی]],bargiri[[#This Row],[مانده مبلغ]])</f>
        <v>#N/A</v>
      </c>
      <c r="O1994" s="159"/>
      <c r="P1994" s="159" t="e">
        <f>VLOOKUP(bargiri[[#This Row],[شماره سند مبنا]],invoice[[شماره پیش فاکتور]:[پیش دریافت به ازای هر کیلوگرم]],14,0)</f>
        <v>#N/A</v>
      </c>
      <c r="Q1994" s="159" t="e">
        <f>IF(bargiri[[#This Row],[مبلغ ناخالص]]-(bargiri[[#This Row],[نرخ استهلاک]]*bargiri[[#This Row],[مقدار]])&lt;0,0,bargiri[[#This Row],[مبلغ ناخالص]]-(bargiri[[#This Row],[نرخ استهلاک]]*bargiri[[#This Row],[مقدار]]))</f>
        <v>#N/A</v>
      </c>
    </row>
    <row r="1995" spans="1:17" s="22" customFormat="1" ht="13.8" x14ac:dyDescent="0.25">
      <c r="A1995" s="22">
        <v>873</v>
      </c>
      <c r="B1995" s="22" t="s">
        <v>501</v>
      </c>
      <c r="C1995" s="22" t="s">
        <v>19</v>
      </c>
      <c r="D1995" s="22" t="s">
        <v>20</v>
      </c>
      <c r="E1995" s="158">
        <v>17355</v>
      </c>
      <c r="F1995" s="159">
        <v>65000</v>
      </c>
      <c r="G1995" s="159">
        <v>1128075000</v>
      </c>
      <c r="H1995" s="159">
        <v>101526750</v>
      </c>
      <c r="I1995" s="159">
        <v>1229601750</v>
      </c>
      <c r="J1995" s="159" t="e">
        <f>bargiri[[#This Row],[مقدار]]*INDEX(invoice[پیش دریافت به ازای هر کیلوگرم],MATCH(bargiri[[#This Row],[شماره سند مبنا]],invoice[شماره پیش فاکتور],0))</f>
        <v>#N/A</v>
      </c>
      <c r="K1995" s="159" t="e">
        <f>bargiri[[#This Row],[مبلغ خالص]]-bargiri[[#This Row],[میزان استهلاک پیش دریافتی]]</f>
        <v>#N/A</v>
      </c>
      <c r="L1995" s="160"/>
      <c r="M1995" s="159"/>
      <c r="N1995" s="159" t="e">
        <f>IF(bargiri[[#This Row],[مبلغ واریزی]]&lt;&gt;"",bargiri[[#This Row],[مانده مبلغ]]-bargiri[[#This Row],[مبلغ واریزی]],bargiri[[#This Row],[مانده مبلغ]])</f>
        <v>#N/A</v>
      </c>
      <c r="O1995" s="159"/>
      <c r="P1995" s="159" t="e">
        <f>VLOOKUP(bargiri[[#This Row],[شماره سند مبنا]],invoice[[شماره پیش فاکتور]:[پیش دریافت به ازای هر کیلوگرم]],14,0)</f>
        <v>#N/A</v>
      </c>
      <c r="Q1995" s="159" t="e">
        <f>IF(bargiri[[#This Row],[مبلغ ناخالص]]-(bargiri[[#This Row],[نرخ استهلاک]]*bargiri[[#This Row],[مقدار]])&lt;0,0,bargiri[[#This Row],[مبلغ ناخالص]]-(bargiri[[#This Row],[نرخ استهلاک]]*bargiri[[#This Row],[مقدار]]))</f>
        <v>#N/A</v>
      </c>
    </row>
    <row r="1996" spans="1:17" s="22" customFormat="1" ht="13.8" x14ac:dyDescent="0.25">
      <c r="A1996" s="22">
        <v>872</v>
      </c>
      <c r="B1996" s="22" t="s">
        <v>501</v>
      </c>
      <c r="C1996" s="22" t="s">
        <v>24</v>
      </c>
      <c r="D1996" s="22" t="s">
        <v>25</v>
      </c>
      <c r="E1996" s="158">
        <v>20130</v>
      </c>
      <c r="F1996" s="159">
        <v>68000</v>
      </c>
      <c r="G1996" s="159">
        <v>1368840000</v>
      </c>
      <c r="H1996" s="159">
        <v>123195600</v>
      </c>
      <c r="I1996" s="159">
        <v>1492035600</v>
      </c>
      <c r="J1996" s="159" t="e">
        <f>bargiri[[#This Row],[مقدار]]*INDEX(invoice[پیش دریافت به ازای هر کیلوگرم],MATCH(bargiri[[#This Row],[شماره سند مبنا]],invoice[شماره پیش فاکتور],0))</f>
        <v>#N/A</v>
      </c>
      <c r="K1996" s="159" t="e">
        <f>bargiri[[#This Row],[مبلغ خالص]]-bargiri[[#This Row],[میزان استهلاک پیش دریافتی]]</f>
        <v>#N/A</v>
      </c>
      <c r="L1996" s="160"/>
      <c r="M1996" s="159"/>
      <c r="N1996" s="159" t="e">
        <f>IF(bargiri[[#This Row],[مبلغ واریزی]]&lt;&gt;"",bargiri[[#This Row],[مانده مبلغ]]-bargiri[[#This Row],[مبلغ واریزی]],bargiri[[#This Row],[مانده مبلغ]])</f>
        <v>#N/A</v>
      </c>
      <c r="O1996" s="159"/>
      <c r="P1996" s="159" t="e">
        <f>VLOOKUP(bargiri[[#This Row],[شماره سند مبنا]],invoice[[شماره پیش فاکتور]:[پیش دریافت به ازای هر کیلوگرم]],14,0)</f>
        <v>#N/A</v>
      </c>
      <c r="Q1996" s="159" t="e">
        <f>IF(bargiri[[#This Row],[مبلغ ناخالص]]-(bargiri[[#This Row],[نرخ استهلاک]]*bargiri[[#This Row],[مقدار]])&lt;0,0,bargiri[[#This Row],[مبلغ ناخالص]]-(bargiri[[#This Row],[نرخ استهلاک]]*bargiri[[#This Row],[مقدار]]))</f>
        <v>#N/A</v>
      </c>
    </row>
    <row r="1997" spans="1:17" s="22" customFormat="1" ht="13.8" x14ac:dyDescent="0.25">
      <c r="A1997" s="22">
        <v>871</v>
      </c>
      <c r="B1997" s="22" t="s">
        <v>502</v>
      </c>
      <c r="C1997" s="22" t="s">
        <v>109</v>
      </c>
      <c r="D1997" s="22" t="s">
        <v>110</v>
      </c>
      <c r="E1997" s="158">
        <v>19305</v>
      </c>
      <c r="F1997" s="159">
        <v>70000</v>
      </c>
      <c r="G1997" s="159">
        <v>1351350000</v>
      </c>
      <c r="H1997" s="159">
        <v>135135000</v>
      </c>
      <c r="I1997" s="159">
        <v>1486485000</v>
      </c>
      <c r="J1997" s="159" t="e">
        <f>bargiri[[#This Row],[مقدار]]*INDEX(invoice[پیش دریافت به ازای هر کیلوگرم],MATCH(bargiri[[#This Row],[شماره سند مبنا]],invoice[شماره پیش فاکتور],0))</f>
        <v>#N/A</v>
      </c>
      <c r="K1997" s="159" t="e">
        <f>bargiri[[#This Row],[مبلغ خالص]]-bargiri[[#This Row],[میزان استهلاک پیش دریافتی]]</f>
        <v>#N/A</v>
      </c>
      <c r="L1997" s="160"/>
      <c r="M1997" s="159"/>
      <c r="N1997" s="159" t="e">
        <f>IF(bargiri[[#This Row],[مبلغ واریزی]]&lt;&gt;"",bargiri[[#This Row],[مانده مبلغ]]-bargiri[[#This Row],[مبلغ واریزی]],bargiri[[#This Row],[مانده مبلغ]])</f>
        <v>#N/A</v>
      </c>
      <c r="O1997" s="159"/>
      <c r="P1997" s="159" t="e">
        <f>VLOOKUP(bargiri[[#This Row],[شماره سند مبنا]],invoice[[شماره پیش فاکتور]:[پیش دریافت به ازای هر کیلوگرم]],14,0)</f>
        <v>#N/A</v>
      </c>
      <c r="Q1997" s="159" t="e">
        <f>IF(bargiri[[#This Row],[مبلغ ناخالص]]-(bargiri[[#This Row],[نرخ استهلاک]]*bargiri[[#This Row],[مقدار]])&lt;0,0,bargiri[[#This Row],[مبلغ ناخالص]]-(bargiri[[#This Row],[نرخ استهلاک]]*bargiri[[#This Row],[مقدار]]))</f>
        <v>#N/A</v>
      </c>
    </row>
    <row r="1998" spans="1:17" s="22" customFormat="1" ht="13.8" x14ac:dyDescent="0.25">
      <c r="A1998" s="22">
        <v>870</v>
      </c>
      <c r="B1998" s="22" t="s">
        <v>502</v>
      </c>
      <c r="C1998" s="22" t="s">
        <v>19</v>
      </c>
      <c r="D1998" s="22" t="s">
        <v>20</v>
      </c>
      <c r="E1998" s="158">
        <v>19800</v>
      </c>
      <c r="F1998" s="159">
        <v>65000</v>
      </c>
      <c r="G1998" s="159">
        <v>1287000000</v>
      </c>
      <c r="H1998" s="159">
        <v>115830000</v>
      </c>
      <c r="I1998" s="159">
        <v>1402830000</v>
      </c>
      <c r="J1998" s="159" t="e">
        <f>bargiri[[#This Row],[مقدار]]*INDEX(invoice[پیش دریافت به ازای هر کیلوگرم],MATCH(bargiri[[#This Row],[شماره سند مبنا]],invoice[شماره پیش فاکتور],0))</f>
        <v>#N/A</v>
      </c>
      <c r="K1998" s="159" t="e">
        <f>bargiri[[#This Row],[مبلغ خالص]]-bargiri[[#This Row],[میزان استهلاک پیش دریافتی]]</f>
        <v>#N/A</v>
      </c>
      <c r="L1998" s="160"/>
      <c r="M1998" s="159"/>
      <c r="N1998" s="159" t="e">
        <f>IF(bargiri[[#This Row],[مبلغ واریزی]]&lt;&gt;"",bargiri[[#This Row],[مانده مبلغ]]-bargiri[[#This Row],[مبلغ واریزی]],bargiri[[#This Row],[مانده مبلغ]])</f>
        <v>#N/A</v>
      </c>
      <c r="O1998" s="159"/>
      <c r="P1998" s="159" t="e">
        <f>VLOOKUP(bargiri[[#This Row],[شماره سند مبنا]],invoice[[شماره پیش فاکتور]:[پیش دریافت به ازای هر کیلوگرم]],14,0)</f>
        <v>#N/A</v>
      </c>
      <c r="Q1998" s="159" t="e">
        <f>IF(bargiri[[#This Row],[مبلغ ناخالص]]-(bargiri[[#This Row],[نرخ استهلاک]]*bargiri[[#This Row],[مقدار]])&lt;0,0,bargiri[[#This Row],[مبلغ ناخالص]]-(bargiri[[#This Row],[نرخ استهلاک]]*bargiri[[#This Row],[مقدار]]))</f>
        <v>#N/A</v>
      </c>
    </row>
    <row r="1999" spans="1:17" s="22" customFormat="1" ht="13.8" x14ac:dyDescent="0.25">
      <c r="A1999" s="22">
        <v>869</v>
      </c>
      <c r="B1999" s="22" t="s">
        <v>503</v>
      </c>
      <c r="C1999" s="22" t="s">
        <v>86</v>
      </c>
      <c r="D1999" s="22" t="s">
        <v>30</v>
      </c>
      <c r="E1999" s="158">
        <v>11715</v>
      </c>
      <c r="F1999" s="159">
        <v>65000</v>
      </c>
      <c r="G1999" s="159">
        <v>761475000</v>
      </c>
      <c r="H1999" s="159">
        <v>76147500</v>
      </c>
      <c r="I1999" s="159">
        <v>837622500</v>
      </c>
      <c r="J1999" s="159" t="e">
        <f>bargiri[[#This Row],[مقدار]]*INDEX(invoice[پیش دریافت به ازای هر کیلوگرم],MATCH(bargiri[[#This Row],[شماره سند مبنا]],invoice[شماره پیش فاکتور],0))</f>
        <v>#N/A</v>
      </c>
      <c r="K1999" s="159" t="e">
        <f>bargiri[[#This Row],[مبلغ خالص]]-bargiri[[#This Row],[میزان استهلاک پیش دریافتی]]</f>
        <v>#N/A</v>
      </c>
      <c r="L1999" s="160"/>
      <c r="M1999" s="159"/>
      <c r="N1999" s="159" t="e">
        <f>IF(bargiri[[#This Row],[مبلغ واریزی]]&lt;&gt;"",bargiri[[#This Row],[مانده مبلغ]]-bargiri[[#This Row],[مبلغ واریزی]],bargiri[[#This Row],[مانده مبلغ]])</f>
        <v>#N/A</v>
      </c>
      <c r="O1999" s="159"/>
      <c r="P1999" s="159" t="e">
        <f>VLOOKUP(bargiri[[#This Row],[شماره سند مبنا]],invoice[[شماره پیش فاکتور]:[پیش دریافت به ازای هر کیلوگرم]],14,0)</f>
        <v>#N/A</v>
      </c>
      <c r="Q1999" s="159" t="e">
        <f>IF(bargiri[[#This Row],[مبلغ ناخالص]]-(bargiri[[#This Row],[نرخ استهلاک]]*bargiri[[#This Row],[مقدار]])&lt;0,0,bargiri[[#This Row],[مبلغ ناخالص]]-(bargiri[[#This Row],[نرخ استهلاک]]*bargiri[[#This Row],[مقدار]]))</f>
        <v>#N/A</v>
      </c>
    </row>
    <row r="2000" spans="1:17" s="22" customFormat="1" ht="13.8" x14ac:dyDescent="0.25">
      <c r="A2000" s="22">
        <v>868</v>
      </c>
      <c r="B2000" s="22" t="s">
        <v>503</v>
      </c>
      <c r="C2000" s="22" t="s">
        <v>47</v>
      </c>
      <c r="D2000" s="22" t="s">
        <v>43</v>
      </c>
      <c r="E2000" s="158">
        <v>20305</v>
      </c>
      <c r="F2000" s="159">
        <v>65000</v>
      </c>
      <c r="G2000" s="159">
        <v>1319825000</v>
      </c>
      <c r="H2000" s="159">
        <v>118784250</v>
      </c>
      <c r="I2000" s="159">
        <v>1438609250</v>
      </c>
      <c r="J2000" s="159" t="e">
        <f>bargiri[[#This Row],[مقدار]]*INDEX(invoice[پیش دریافت به ازای هر کیلوگرم],MATCH(bargiri[[#This Row],[شماره سند مبنا]],invoice[شماره پیش فاکتور],0))</f>
        <v>#N/A</v>
      </c>
      <c r="K2000" s="159" t="e">
        <f>bargiri[[#This Row],[مبلغ خالص]]-bargiri[[#This Row],[میزان استهلاک پیش دریافتی]]</f>
        <v>#N/A</v>
      </c>
      <c r="L2000" s="160"/>
      <c r="M2000" s="159"/>
      <c r="N2000" s="159" t="e">
        <f>IF(bargiri[[#This Row],[مبلغ واریزی]]&lt;&gt;"",bargiri[[#This Row],[مانده مبلغ]]-bargiri[[#This Row],[مبلغ واریزی]],bargiri[[#This Row],[مانده مبلغ]])</f>
        <v>#N/A</v>
      </c>
      <c r="O2000" s="159"/>
      <c r="P2000" s="159" t="e">
        <f>VLOOKUP(bargiri[[#This Row],[شماره سند مبنا]],invoice[[شماره پیش فاکتور]:[پیش دریافت به ازای هر کیلوگرم]],14,0)</f>
        <v>#N/A</v>
      </c>
      <c r="Q2000" s="159" t="e">
        <f>IF(bargiri[[#This Row],[مبلغ ناخالص]]-(bargiri[[#This Row],[نرخ استهلاک]]*bargiri[[#This Row],[مقدار]])&lt;0,0,bargiri[[#This Row],[مبلغ ناخالص]]-(bargiri[[#This Row],[نرخ استهلاک]]*bargiri[[#This Row],[مقدار]]))</f>
        <v>#N/A</v>
      </c>
    </row>
    <row r="2001" spans="1:17" s="22" customFormat="1" ht="13.8" x14ac:dyDescent="0.25">
      <c r="A2001" s="22">
        <v>867</v>
      </c>
      <c r="B2001" s="22" t="s">
        <v>503</v>
      </c>
      <c r="C2001" s="22" t="s">
        <v>97</v>
      </c>
      <c r="D2001" s="22" t="s">
        <v>40</v>
      </c>
      <c r="E2001" s="158">
        <v>18295</v>
      </c>
      <c r="F2001" s="159">
        <v>85000</v>
      </c>
      <c r="G2001" s="159">
        <v>1555075000</v>
      </c>
      <c r="H2001" s="159">
        <v>155507500</v>
      </c>
      <c r="I2001" s="159">
        <v>1710582500</v>
      </c>
      <c r="J2001" s="159" t="e">
        <f>bargiri[[#This Row],[مقدار]]*INDEX(invoice[پیش دریافت به ازای هر کیلوگرم],MATCH(bargiri[[#This Row],[شماره سند مبنا]],invoice[شماره پیش فاکتور],0))</f>
        <v>#N/A</v>
      </c>
      <c r="K2001" s="159" t="e">
        <f>bargiri[[#This Row],[مبلغ خالص]]-bargiri[[#This Row],[میزان استهلاک پیش دریافتی]]</f>
        <v>#N/A</v>
      </c>
      <c r="L2001" s="160"/>
      <c r="M2001" s="159"/>
      <c r="N2001" s="159" t="e">
        <f>IF(bargiri[[#This Row],[مبلغ واریزی]]&lt;&gt;"",bargiri[[#This Row],[مانده مبلغ]]-bargiri[[#This Row],[مبلغ واریزی]],bargiri[[#This Row],[مانده مبلغ]])</f>
        <v>#N/A</v>
      </c>
      <c r="O2001" s="159"/>
      <c r="P2001" s="159" t="e">
        <f>VLOOKUP(bargiri[[#This Row],[شماره سند مبنا]],invoice[[شماره پیش فاکتور]:[پیش دریافت به ازای هر کیلوگرم]],14,0)</f>
        <v>#N/A</v>
      </c>
      <c r="Q2001" s="159" t="e">
        <f>IF(bargiri[[#This Row],[مبلغ ناخالص]]-(bargiri[[#This Row],[نرخ استهلاک]]*bargiri[[#This Row],[مقدار]])&lt;0,0,bargiri[[#This Row],[مبلغ ناخالص]]-(bargiri[[#This Row],[نرخ استهلاک]]*bargiri[[#This Row],[مقدار]]))</f>
        <v>#N/A</v>
      </c>
    </row>
    <row r="2002" spans="1:17" s="22" customFormat="1" ht="13.8" x14ac:dyDescent="0.25">
      <c r="A2002" s="22">
        <v>866</v>
      </c>
      <c r="B2002" s="22" t="s">
        <v>504</v>
      </c>
      <c r="C2002" s="22" t="s">
        <v>109</v>
      </c>
      <c r="D2002" s="22" t="s">
        <v>110</v>
      </c>
      <c r="E2002" s="158">
        <v>19150</v>
      </c>
      <c r="F2002" s="159">
        <v>70000</v>
      </c>
      <c r="G2002" s="159">
        <v>1340500000</v>
      </c>
      <c r="H2002" s="159">
        <v>134050000</v>
      </c>
      <c r="I2002" s="159">
        <v>1474550000</v>
      </c>
      <c r="J2002" s="159" t="e">
        <f>bargiri[[#This Row],[مقدار]]*INDEX(invoice[پیش دریافت به ازای هر کیلوگرم],MATCH(bargiri[[#This Row],[شماره سند مبنا]],invoice[شماره پیش فاکتور],0))</f>
        <v>#N/A</v>
      </c>
      <c r="K2002" s="159" t="e">
        <f>bargiri[[#This Row],[مبلغ خالص]]-bargiri[[#This Row],[میزان استهلاک پیش دریافتی]]</f>
        <v>#N/A</v>
      </c>
      <c r="L2002" s="160"/>
      <c r="M2002" s="159"/>
      <c r="N2002" s="159" t="e">
        <f>IF(bargiri[[#This Row],[مبلغ واریزی]]&lt;&gt;"",bargiri[[#This Row],[مانده مبلغ]]-bargiri[[#This Row],[مبلغ واریزی]],bargiri[[#This Row],[مانده مبلغ]])</f>
        <v>#N/A</v>
      </c>
      <c r="O2002" s="159"/>
      <c r="P2002" s="159" t="e">
        <f>VLOOKUP(bargiri[[#This Row],[شماره سند مبنا]],invoice[[شماره پیش فاکتور]:[پیش دریافت به ازای هر کیلوگرم]],14,0)</f>
        <v>#N/A</v>
      </c>
      <c r="Q2002" s="159" t="e">
        <f>IF(bargiri[[#This Row],[مبلغ ناخالص]]-(bargiri[[#This Row],[نرخ استهلاک]]*bargiri[[#This Row],[مقدار]])&lt;0,0,bargiri[[#This Row],[مبلغ ناخالص]]-(bargiri[[#This Row],[نرخ استهلاک]]*bargiri[[#This Row],[مقدار]]))</f>
        <v>#N/A</v>
      </c>
    </row>
    <row r="2003" spans="1:17" s="22" customFormat="1" ht="13.8" x14ac:dyDescent="0.25">
      <c r="A2003" s="22">
        <v>865</v>
      </c>
      <c r="B2003" s="22" t="s">
        <v>505</v>
      </c>
      <c r="C2003" s="22" t="s">
        <v>79</v>
      </c>
      <c r="D2003" s="22" t="s">
        <v>17</v>
      </c>
      <c r="E2003" s="158">
        <v>22865</v>
      </c>
      <c r="F2003" s="159">
        <v>70000</v>
      </c>
      <c r="G2003" s="159">
        <v>1600550000</v>
      </c>
      <c r="H2003" s="159">
        <v>160055000</v>
      </c>
      <c r="I2003" s="159">
        <v>1760605000</v>
      </c>
      <c r="J2003" s="159" t="e">
        <f>bargiri[[#This Row],[مقدار]]*INDEX(invoice[پیش دریافت به ازای هر کیلوگرم],MATCH(bargiri[[#This Row],[شماره سند مبنا]],invoice[شماره پیش فاکتور],0))</f>
        <v>#N/A</v>
      </c>
      <c r="K2003" s="159" t="e">
        <f>bargiri[[#This Row],[مبلغ خالص]]-bargiri[[#This Row],[میزان استهلاک پیش دریافتی]]</f>
        <v>#N/A</v>
      </c>
      <c r="L2003" s="160"/>
      <c r="M2003" s="159"/>
      <c r="N2003" s="159" t="e">
        <f>IF(bargiri[[#This Row],[مبلغ واریزی]]&lt;&gt;"",bargiri[[#This Row],[مانده مبلغ]]-bargiri[[#This Row],[مبلغ واریزی]],bargiri[[#This Row],[مانده مبلغ]])</f>
        <v>#N/A</v>
      </c>
      <c r="O2003" s="159"/>
      <c r="P2003" s="159" t="e">
        <f>VLOOKUP(bargiri[[#This Row],[شماره سند مبنا]],invoice[[شماره پیش فاکتور]:[پیش دریافت به ازای هر کیلوگرم]],14,0)</f>
        <v>#N/A</v>
      </c>
      <c r="Q2003" s="159" t="e">
        <f>IF(bargiri[[#This Row],[مبلغ ناخالص]]-(bargiri[[#This Row],[نرخ استهلاک]]*bargiri[[#This Row],[مقدار]])&lt;0,0,bargiri[[#This Row],[مبلغ ناخالص]]-(bargiri[[#This Row],[نرخ استهلاک]]*bargiri[[#This Row],[مقدار]]))</f>
        <v>#N/A</v>
      </c>
    </row>
    <row r="2004" spans="1:17" s="22" customFormat="1" ht="13.8" x14ac:dyDescent="0.25">
      <c r="A2004" s="22">
        <v>864</v>
      </c>
      <c r="B2004" s="22" t="s">
        <v>505</v>
      </c>
      <c r="C2004" s="22" t="s">
        <v>19</v>
      </c>
      <c r="D2004" s="22" t="s">
        <v>20</v>
      </c>
      <c r="E2004" s="158">
        <v>20370</v>
      </c>
      <c r="F2004" s="159">
        <v>65000</v>
      </c>
      <c r="G2004" s="159">
        <v>1324050000</v>
      </c>
      <c r="H2004" s="159">
        <v>119164500</v>
      </c>
      <c r="I2004" s="159">
        <v>1443214500</v>
      </c>
      <c r="J2004" s="159" t="e">
        <f>bargiri[[#This Row],[مقدار]]*INDEX(invoice[پیش دریافت به ازای هر کیلوگرم],MATCH(bargiri[[#This Row],[شماره سند مبنا]],invoice[شماره پیش فاکتور],0))</f>
        <v>#N/A</v>
      </c>
      <c r="K2004" s="159" t="e">
        <f>bargiri[[#This Row],[مبلغ خالص]]-bargiri[[#This Row],[میزان استهلاک پیش دریافتی]]</f>
        <v>#N/A</v>
      </c>
      <c r="L2004" s="160"/>
      <c r="M2004" s="159"/>
      <c r="N2004" s="159" t="e">
        <f>IF(bargiri[[#This Row],[مبلغ واریزی]]&lt;&gt;"",bargiri[[#This Row],[مانده مبلغ]]-bargiri[[#This Row],[مبلغ واریزی]],bargiri[[#This Row],[مانده مبلغ]])</f>
        <v>#N/A</v>
      </c>
      <c r="O2004" s="159"/>
      <c r="P2004" s="159" t="e">
        <f>VLOOKUP(bargiri[[#This Row],[شماره سند مبنا]],invoice[[شماره پیش فاکتور]:[پیش دریافت به ازای هر کیلوگرم]],14,0)</f>
        <v>#N/A</v>
      </c>
      <c r="Q2004" s="159" t="e">
        <f>IF(bargiri[[#This Row],[مبلغ ناخالص]]-(bargiri[[#This Row],[نرخ استهلاک]]*bargiri[[#This Row],[مقدار]])&lt;0,0,bargiri[[#This Row],[مبلغ ناخالص]]-(bargiri[[#This Row],[نرخ استهلاک]]*bargiri[[#This Row],[مقدار]]))</f>
        <v>#N/A</v>
      </c>
    </row>
    <row r="2005" spans="1:17" s="22" customFormat="1" ht="13.8" x14ac:dyDescent="0.25">
      <c r="A2005" s="22">
        <v>863</v>
      </c>
      <c r="B2005" s="22" t="s">
        <v>140</v>
      </c>
      <c r="C2005" s="22" t="s">
        <v>19</v>
      </c>
      <c r="D2005" s="22" t="s">
        <v>20</v>
      </c>
      <c r="E2005" s="158">
        <v>19745</v>
      </c>
      <c r="F2005" s="159">
        <v>65000</v>
      </c>
      <c r="G2005" s="159">
        <v>1283425000</v>
      </c>
      <c r="H2005" s="159">
        <v>115508250</v>
      </c>
      <c r="I2005" s="159">
        <v>1398933250</v>
      </c>
      <c r="J2005" s="159" t="e">
        <f>bargiri[[#This Row],[مقدار]]*INDEX(invoice[پیش دریافت به ازای هر کیلوگرم],MATCH(bargiri[[#This Row],[شماره سند مبنا]],invoice[شماره پیش فاکتور],0))</f>
        <v>#N/A</v>
      </c>
      <c r="K2005" s="159" t="e">
        <f>bargiri[[#This Row],[مبلغ خالص]]-bargiri[[#This Row],[میزان استهلاک پیش دریافتی]]</f>
        <v>#N/A</v>
      </c>
      <c r="L2005" s="160"/>
      <c r="M2005" s="159"/>
      <c r="N2005" s="159" t="e">
        <f>IF(bargiri[[#This Row],[مبلغ واریزی]]&lt;&gt;"",bargiri[[#This Row],[مانده مبلغ]]-bargiri[[#This Row],[مبلغ واریزی]],bargiri[[#This Row],[مانده مبلغ]])</f>
        <v>#N/A</v>
      </c>
      <c r="O2005" s="159"/>
      <c r="P2005" s="159" t="e">
        <f>VLOOKUP(bargiri[[#This Row],[شماره سند مبنا]],invoice[[شماره پیش فاکتور]:[پیش دریافت به ازای هر کیلوگرم]],14,0)</f>
        <v>#N/A</v>
      </c>
      <c r="Q2005" s="159" t="e">
        <f>IF(bargiri[[#This Row],[مبلغ ناخالص]]-(bargiri[[#This Row],[نرخ استهلاک]]*bargiri[[#This Row],[مقدار]])&lt;0,0,bargiri[[#This Row],[مبلغ ناخالص]]-(bargiri[[#This Row],[نرخ استهلاک]]*bargiri[[#This Row],[مقدار]]))</f>
        <v>#N/A</v>
      </c>
    </row>
    <row r="2006" spans="1:17" s="22" customFormat="1" ht="13.8" x14ac:dyDescent="0.25">
      <c r="A2006" s="22">
        <v>862</v>
      </c>
      <c r="B2006" s="22" t="s">
        <v>140</v>
      </c>
      <c r="C2006" s="22" t="s">
        <v>109</v>
      </c>
      <c r="D2006" s="22" t="s">
        <v>110</v>
      </c>
      <c r="E2006" s="158">
        <v>19190</v>
      </c>
      <c r="F2006" s="159">
        <v>70000</v>
      </c>
      <c r="G2006" s="159">
        <v>1343300000</v>
      </c>
      <c r="H2006" s="159">
        <v>134330000</v>
      </c>
      <c r="I2006" s="159">
        <v>1477630000</v>
      </c>
      <c r="J2006" s="159" t="e">
        <f>bargiri[[#This Row],[مقدار]]*INDEX(invoice[پیش دریافت به ازای هر کیلوگرم],MATCH(bargiri[[#This Row],[شماره سند مبنا]],invoice[شماره پیش فاکتور],0))</f>
        <v>#N/A</v>
      </c>
      <c r="K2006" s="159" t="e">
        <f>bargiri[[#This Row],[مبلغ خالص]]-bargiri[[#This Row],[میزان استهلاک پیش دریافتی]]</f>
        <v>#N/A</v>
      </c>
      <c r="L2006" s="160"/>
      <c r="M2006" s="159"/>
      <c r="N2006" s="159" t="e">
        <f>IF(bargiri[[#This Row],[مبلغ واریزی]]&lt;&gt;"",bargiri[[#This Row],[مانده مبلغ]]-bargiri[[#This Row],[مبلغ واریزی]],bargiri[[#This Row],[مانده مبلغ]])</f>
        <v>#N/A</v>
      </c>
      <c r="O2006" s="159"/>
      <c r="P2006" s="159" t="e">
        <f>VLOOKUP(bargiri[[#This Row],[شماره سند مبنا]],invoice[[شماره پیش فاکتور]:[پیش دریافت به ازای هر کیلوگرم]],14,0)</f>
        <v>#N/A</v>
      </c>
      <c r="Q2006" s="159" t="e">
        <f>IF(bargiri[[#This Row],[مبلغ ناخالص]]-(bargiri[[#This Row],[نرخ استهلاک]]*bargiri[[#This Row],[مقدار]])&lt;0,0,bargiri[[#This Row],[مبلغ ناخالص]]-(bargiri[[#This Row],[نرخ استهلاک]]*bargiri[[#This Row],[مقدار]]))</f>
        <v>#N/A</v>
      </c>
    </row>
    <row r="2007" spans="1:17" s="22" customFormat="1" ht="13.8" x14ac:dyDescent="0.25">
      <c r="A2007" s="22">
        <v>861</v>
      </c>
      <c r="B2007" s="22" t="s">
        <v>506</v>
      </c>
      <c r="C2007" s="22" t="s">
        <v>59</v>
      </c>
      <c r="D2007" s="22" t="s">
        <v>57</v>
      </c>
      <c r="E2007" s="158">
        <v>9905</v>
      </c>
      <c r="F2007" s="159">
        <v>80000</v>
      </c>
      <c r="G2007" s="159">
        <v>792400000</v>
      </c>
      <c r="H2007" s="159">
        <v>71316000</v>
      </c>
      <c r="I2007" s="159">
        <v>863716000</v>
      </c>
      <c r="J2007" s="159" t="e">
        <f>bargiri[[#This Row],[مقدار]]*INDEX(invoice[پیش دریافت به ازای هر کیلوگرم],MATCH(bargiri[[#This Row],[شماره سند مبنا]],invoice[شماره پیش فاکتور],0))</f>
        <v>#N/A</v>
      </c>
      <c r="K2007" s="159" t="e">
        <f>bargiri[[#This Row],[مبلغ خالص]]-bargiri[[#This Row],[میزان استهلاک پیش دریافتی]]</f>
        <v>#N/A</v>
      </c>
      <c r="L2007" s="160"/>
      <c r="M2007" s="159"/>
      <c r="N2007" s="159" t="e">
        <f>IF(bargiri[[#This Row],[مبلغ واریزی]]&lt;&gt;"",bargiri[[#This Row],[مانده مبلغ]]-bargiri[[#This Row],[مبلغ واریزی]],bargiri[[#This Row],[مانده مبلغ]])</f>
        <v>#N/A</v>
      </c>
      <c r="O2007" s="159"/>
      <c r="P2007" s="159" t="e">
        <f>VLOOKUP(bargiri[[#This Row],[شماره سند مبنا]],invoice[[شماره پیش فاکتور]:[پیش دریافت به ازای هر کیلوگرم]],14,0)</f>
        <v>#N/A</v>
      </c>
      <c r="Q2007" s="159" t="e">
        <f>IF(bargiri[[#This Row],[مبلغ ناخالص]]-(bargiri[[#This Row],[نرخ استهلاک]]*bargiri[[#This Row],[مقدار]])&lt;0,0,bargiri[[#This Row],[مبلغ ناخالص]]-(bargiri[[#This Row],[نرخ استهلاک]]*bargiri[[#This Row],[مقدار]]))</f>
        <v>#N/A</v>
      </c>
    </row>
    <row r="2008" spans="1:17" s="22" customFormat="1" ht="13.8" x14ac:dyDescent="0.25">
      <c r="A2008" s="22">
        <v>860</v>
      </c>
      <c r="B2008" s="22" t="s">
        <v>87</v>
      </c>
      <c r="C2008" s="22" t="s">
        <v>29</v>
      </c>
      <c r="D2008" s="22" t="s">
        <v>30</v>
      </c>
      <c r="E2008" s="158">
        <v>6340</v>
      </c>
      <c r="F2008" s="159">
        <v>70000</v>
      </c>
      <c r="G2008" s="159">
        <v>443800000</v>
      </c>
      <c r="H2008" s="159">
        <v>44380000</v>
      </c>
      <c r="I2008" s="159">
        <v>488180000</v>
      </c>
      <c r="J2008" s="159" t="e">
        <f>bargiri[[#This Row],[مقدار]]*INDEX(invoice[پیش دریافت به ازای هر کیلوگرم],MATCH(bargiri[[#This Row],[شماره سند مبنا]],invoice[شماره پیش فاکتور],0))</f>
        <v>#N/A</v>
      </c>
      <c r="K2008" s="159" t="e">
        <f>bargiri[[#This Row],[مبلغ خالص]]-bargiri[[#This Row],[میزان استهلاک پیش دریافتی]]</f>
        <v>#N/A</v>
      </c>
      <c r="L2008" s="160"/>
      <c r="M2008" s="159"/>
      <c r="N2008" s="159" t="e">
        <f>IF(bargiri[[#This Row],[مبلغ واریزی]]&lt;&gt;"",bargiri[[#This Row],[مانده مبلغ]]-bargiri[[#This Row],[مبلغ واریزی]],bargiri[[#This Row],[مانده مبلغ]])</f>
        <v>#N/A</v>
      </c>
      <c r="O2008" s="159"/>
      <c r="P2008" s="159" t="e">
        <f>VLOOKUP(bargiri[[#This Row],[شماره سند مبنا]],invoice[[شماره پیش فاکتور]:[پیش دریافت به ازای هر کیلوگرم]],14,0)</f>
        <v>#N/A</v>
      </c>
      <c r="Q2008" s="159" t="e">
        <f>IF(bargiri[[#This Row],[مبلغ ناخالص]]-(bargiri[[#This Row],[نرخ استهلاک]]*bargiri[[#This Row],[مقدار]])&lt;0,0,bargiri[[#This Row],[مبلغ ناخالص]]-(bargiri[[#This Row],[نرخ استهلاک]]*bargiri[[#This Row],[مقدار]]))</f>
        <v>#N/A</v>
      </c>
    </row>
    <row r="2009" spans="1:17" s="22" customFormat="1" ht="13.8" x14ac:dyDescent="0.25">
      <c r="A2009" s="22">
        <v>860</v>
      </c>
      <c r="B2009" s="22" t="s">
        <v>87</v>
      </c>
      <c r="C2009" s="22" t="s">
        <v>86</v>
      </c>
      <c r="D2009" s="22" t="s">
        <v>30</v>
      </c>
      <c r="E2009" s="158">
        <v>5575</v>
      </c>
      <c r="F2009" s="159">
        <v>65000</v>
      </c>
      <c r="G2009" s="159">
        <v>362375000</v>
      </c>
      <c r="H2009" s="159">
        <v>36237500</v>
      </c>
      <c r="I2009" s="159">
        <v>398612500</v>
      </c>
      <c r="J2009" s="159" t="e">
        <f>bargiri[[#This Row],[مقدار]]*INDEX(invoice[پیش دریافت به ازای هر کیلوگرم],MATCH(bargiri[[#This Row],[شماره سند مبنا]],invoice[شماره پیش فاکتور],0))</f>
        <v>#N/A</v>
      </c>
      <c r="K2009" s="159" t="e">
        <f>bargiri[[#This Row],[مبلغ خالص]]-bargiri[[#This Row],[میزان استهلاک پیش دریافتی]]</f>
        <v>#N/A</v>
      </c>
      <c r="L2009" s="160"/>
      <c r="M2009" s="159"/>
      <c r="N2009" s="159" t="e">
        <f>IF(bargiri[[#This Row],[مبلغ واریزی]]&lt;&gt;"",bargiri[[#This Row],[مانده مبلغ]]-bargiri[[#This Row],[مبلغ واریزی]],bargiri[[#This Row],[مانده مبلغ]])</f>
        <v>#N/A</v>
      </c>
      <c r="O2009" s="159"/>
      <c r="P2009" s="159" t="e">
        <f>VLOOKUP(bargiri[[#This Row],[شماره سند مبنا]],invoice[[شماره پیش فاکتور]:[پیش دریافت به ازای هر کیلوگرم]],14,0)</f>
        <v>#N/A</v>
      </c>
      <c r="Q2009" s="159" t="e">
        <f>IF(bargiri[[#This Row],[مبلغ ناخالص]]-(bargiri[[#This Row],[نرخ استهلاک]]*bargiri[[#This Row],[مقدار]])&lt;0,0,bargiri[[#This Row],[مبلغ ناخالص]]-(bargiri[[#This Row],[نرخ استهلاک]]*bargiri[[#This Row],[مقدار]]))</f>
        <v>#N/A</v>
      </c>
    </row>
    <row r="2010" spans="1:17" s="22" customFormat="1" ht="13.8" x14ac:dyDescent="0.25">
      <c r="A2010" s="22">
        <v>859</v>
      </c>
      <c r="B2010" s="22" t="s">
        <v>87</v>
      </c>
      <c r="C2010" s="22" t="s">
        <v>109</v>
      </c>
      <c r="D2010" s="22" t="s">
        <v>110</v>
      </c>
      <c r="E2010" s="158">
        <v>19220</v>
      </c>
      <c r="F2010" s="159">
        <v>70000</v>
      </c>
      <c r="G2010" s="159">
        <v>1345400000</v>
      </c>
      <c r="H2010" s="159">
        <v>134540000</v>
      </c>
      <c r="I2010" s="159">
        <v>1479940000</v>
      </c>
      <c r="J2010" s="159" t="e">
        <f>bargiri[[#This Row],[مقدار]]*INDEX(invoice[پیش دریافت به ازای هر کیلوگرم],MATCH(bargiri[[#This Row],[شماره سند مبنا]],invoice[شماره پیش فاکتور],0))</f>
        <v>#N/A</v>
      </c>
      <c r="K2010" s="159" t="e">
        <f>bargiri[[#This Row],[مبلغ خالص]]-bargiri[[#This Row],[میزان استهلاک پیش دریافتی]]</f>
        <v>#N/A</v>
      </c>
      <c r="L2010" s="160"/>
      <c r="M2010" s="159"/>
      <c r="N2010" s="159" t="e">
        <f>IF(bargiri[[#This Row],[مبلغ واریزی]]&lt;&gt;"",bargiri[[#This Row],[مانده مبلغ]]-bargiri[[#This Row],[مبلغ واریزی]],bargiri[[#This Row],[مانده مبلغ]])</f>
        <v>#N/A</v>
      </c>
      <c r="O2010" s="159"/>
      <c r="P2010" s="159" t="e">
        <f>VLOOKUP(bargiri[[#This Row],[شماره سند مبنا]],invoice[[شماره پیش فاکتور]:[پیش دریافت به ازای هر کیلوگرم]],14,0)</f>
        <v>#N/A</v>
      </c>
      <c r="Q2010" s="159" t="e">
        <f>IF(bargiri[[#This Row],[مبلغ ناخالص]]-(bargiri[[#This Row],[نرخ استهلاک]]*bargiri[[#This Row],[مقدار]])&lt;0,0,bargiri[[#This Row],[مبلغ ناخالص]]-(bargiri[[#This Row],[نرخ استهلاک]]*bargiri[[#This Row],[مقدار]]))</f>
        <v>#N/A</v>
      </c>
    </row>
    <row r="2011" spans="1:17" s="22" customFormat="1" ht="13.8" x14ac:dyDescent="0.25">
      <c r="A2011" s="22">
        <v>858</v>
      </c>
      <c r="B2011" s="22" t="s">
        <v>87</v>
      </c>
      <c r="C2011" s="22" t="s">
        <v>69</v>
      </c>
      <c r="D2011" s="22" t="s">
        <v>70</v>
      </c>
      <c r="E2011" s="158">
        <v>20680</v>
      </c>
      <c r="F2011" s="159">
        <v>70000</v>
      </c>
      <c r="G2011" s="159">
        <v>1447600000</v>
      </c>
      <c r="H2011" s="159">
        <v>130284000</v>
      </c>
      <c r="I2011" s="159">
        <v>1577884000</v>
      </c>
      <c r="J2011" s="159" t="e">
        <f>bargiri[[#This Row],[مقدار]]*INDEX(invoice[پیش دریافت به ازای هر کیلوگرم],MATCH(bargiri[[#This Row],[شماره سند مبنا]],invoice[شماره پیش فاکتور],0))</f>
        <v>#N/A</v>
      </c>
      <c r="K2011" s="159" t="e">
        <f>bargiri[[#This Row],[مبلغ خالص]]-bargiri[[#This Row],[میزان استهلاک پیش دریافتی]]</f>
        <v>#N/A</v>
      </c>
      <c r="L2011" s="160"/>
      <c r="M2011" s="159"/>
      <c r="N2011" s="159" t="e">
        <f>IF(bargiri[[#This Row],[مبلغ واریزی]]&lt;&gt;"",bargiri[[#This Row],[مانده مبلغ]]-bargiri[[#This Row],[مبلغ واریزی]],bargiri[[#This Row],[مانده مبلغ]])</f>
        <v>#N/A</v>
      </c>
      <c r="O2011" s="159"/>
      <c r="P2011" s="159" t="e">
        <f>VLOOKUP(bargiri[[#This Row],[شماره سند مبنا]],invoice[[شماره پیش فاکتور]:[پیش دریافت به ازای هر کیلوگرم]],14,0)</f>
        <v>#N/A</v>
      </c>
      <c r="Q2011" s="159" t="e">
        <f>IF(bargiri[[#This Row],[مبلغ ناخالص]]-(bargiri[[#This Row],[نرخ استهلاک]]*bargiri[[#This Row],[مقدار]])&lt;0,0,bargiri[[#This Row],[مبلغ ناخالص]]-(bargiri[[#This Row],[نرخ استهلاک]]*bargiri[[#This Row],[مقدار]]))</f>
        <v>#N/A</v>
      </c>
    </row>
    <row r="2012" spans="1:17" s="22" customFormat="1" ht="13.8" x14ac:dyDescent="0.25">
      <c r="A2012" s="22">
        <v>857</v>
      </c>
      <c r="B2012" s="22" t="s">
        <v>507</v>
      </c>
      <c r="C2012" s="22" t="s">
        <v>19</v>
      </c>
      <c r="D2012" s="22" t="s">
        <v>20</v>
      </c>
      <c r="E2012" s="158">
        <v>18720</v>
      </c>
      <c r="F2012" s="159">
        <v>65000</v>
      </c>
      <c r="G2012" s="159">
        <v>1216800000</v>
      </c>
      <c r="H2012" s="159">
        <v>109512000</v>
      </c>
      <c r="I2012" s="159">
        <v>1326312000</v>
      </c>
      <c r="J2012" s="159" t="e">
        <f>bargiri[[#This Row],[مقدار]]*INDEX(invoice[پیش دریافت به ازای هر کیلوگرم],MATCH(bargiri[[#This Row],[شماره سند مبنا]],invoice[شماره پیش فاکتور],0))</f>
        <v>#N/A</v>
      </c>
      <c r="K2012" s="159" t="e">
        <f>bargiri[[#This Row],[مبلغ خالص]]-bargiri[[#This Row],[میزان استهلاک پیش دریافتی]]</f>
        <v>#N/A</v>
      </c>
      <c r="L2012" s="160"/>
      <c r="M2012" s="159"/>
      <c r="N2012" s="159" t="e">
        <f>IF(bargiri[[#This Row],[مبلغ واریزی]]&lt;&gt;"",bargiri[[#This Row],[مانده مبلغ]]-bargiri[[#This Row],[مبلغ واریزی]],bargiri[[#This Row],[مانده مبلغ]])</f>
        <v>#N/A</v>
      </c>
      <c r="O2012" s="159"/>
      <c r="P2012" s="159" t="e">
        <f>VLOOKUP(bargiri[[#This Row],[شماره سند مبنا]],invoice[[شماره پیش فاکتور]:[پیش دریافت به ازای هر کیلوگرم]],14,0)</f>
        <v>#N/A</v>
      </c>
      <c r="Q2012" s="159" t="e">
        <f>IF(bargiri[[#This Row],[مبلغ ناخالص]]-(bargiri[[#This Row],[نرخ استهلاک]]*bargiri[[#This Row],[مقدار]])&lt;0,0,bargiri[[#This Row],[مبلغ ناخالص]]-(bargiri[[#This Row],[نرخ استهلاک]]*bargiri[[#This Row],[مقدار]]))</f>
        <v>#N/A</v>
      </c>
    </row>
    <row r="2013" spans="1:17" s="22" customFormat="1" ht="13.8" x14ac:dyDescent="0.25">
      <c r="A2013" s="22">
        <v>856</v>
      </c>
      <c r="B2013" s="22" t="s">
        <v>143</v>
      </c>
      <c r="C2013" s="22" t="s">
        <v>19</v>
      </c>
      <c r="D2013" s="22" t="s">
        <v>20</v>
      </c>
      <c r="E2013" s="158">
        <v>18615</v>
      </c>
      <c r="F2013" s="159">
        <v>65000</v>
      </c>
      <c r="G2013" s="159">
        <v>1209975000</v>
      </c>
      <c r="H2013" s="159">
        <v>108897750</v>
      </c>
      <c r="I2013" s="159">
        <v>1318872750</v>
      </c>
      <c r="J2013" s="159" t="e">
        <f>bargiri[[#This Row],[مقدار]]*INDEX(invoice[پیش دریافت به ازای هر کیلوگرم],MATCH(bargiri[[#This Row],[شماره سند مبنا]],invoice[شماره پیش فاکتور],0))</f>
        <v>#N/A</v>
      </c>
      <c r="K2013" s="159" t="e">
        <f>bargiri[[#This Row],[مبلغ خالص]]-bargiri[[#This Row],[میزان استهلاک پیش دریافتی]]</f>
        <v>#N/A</v>
      </c>
      <c r="L2013" s="160"/>
      <c r="M2013" s="159"/>
      <c r="N2013" s="159" t="e">
        <f>IF(bargiri[[#This Row],[مبلغ واریزی]]&lt;&gt;"",bargiri[[#This Row],[مانده مبلغ]]-bargiri[[#This Row],[مبلغ واریزی]],bargiri[[#This Row],[مانده مبلغ]])</f>
        <v>#N/A</v>
      </c>
      <c r="O2013" s="159"/>
      <c r="P2013" s="159" t="e">
        <f>VLOOKUP(bargiri[[#This Row],[شماره سند مبنا]],invoice[[شماره پیش فاکتور]:[پیش دریافت به ازای هر کیلوگرم]],14,0)</f>
        <v>#N/A</v>
      </c>
      <c r="Q2013" s="159" t="e">
        <f>IF(bargiri[[#This Row],[مبلغ ناخالص]]-(bargiri[[#This Row],[نرخ استهلاک]]*bargiri[[#This Row],[مقدار]])&lt;0,0,bargiri[[#This Row],[مبلغ ناخالص]]-(bargiri[[#This Row],[نرخ استهلاک]]*bargiri[[#This Row],[مقدار]]))</f>
        <v>#N/A</v>
      </c>
    </row>
    <row r="2014" spans="1:17" s="22" customFormat="1" ht="13.8" x14ac:dyDescent="0.25">
      <c r="A2014" s="22">
        <v>855</v>
      </c>
      <c r="B2014" s="22" t="s">
        <v>143</v>
      </c>
      <c r="C2014" s="22" t="s">
        <v>125</v>
      </c>
      <c r="D2014" s="22" t="s">
        <v>126</v>
      </c>
      <c r="E2014" s="158">
        <v>9665</v>
      </c>
      <c r="F2014" s="159">
        <v>75000</v>
      </c>
      <c r="G2014" s="159">
        <v>724875000</v>
      </c>
      <c r="H2014" s="159">
        <v>72487500</v>
      </c>
      <c r="I2014" s="159">
        <v>797362500</v>
      </c>
      <c r="J2014" s="159" t="e">
        <f>bargiri[[#This Row],[مقدار]]*INDEX(invoice[پیش دریافت به ازای هر کیلوگرم],MATCH(bargiri[[#This Row],[شماره سند مبنا]],invoice[شماره پیش فاکتور],0))</f>
        <v>#N/A</v>
      </c>
      <c r="K2014" s="159" t="e">
        <f>bargiri[[#This Row],[مبلغ خالص]]-bargiri[[#This Row],[میزان استهلاک پیش دریافتی]]</f>
        <v>#N/A</v>
      </c>
      <c r="L2014" s="160"/>
      <c r="M2014" s="159"/>
      <c r="N2014" s="159" t="e">
        <f>IF(bargiri[[#This Row],[مبلغ واریزی]]&lt;&gt;"",bargiri[[#This Row],[مانده مبلغ]]-bargiri[[#This Row],[مبلغ واریزی]],bargiri[[#This Row],[مانده مبلغ]])</f>
        <v>#N/A</v>
      </c>
      <c r="O2014" s="159"/>
      <c r="P2014" s="159" t="e">
        <f>VLOOKUP(bargiri[[#This Row],[شماره سند مبنا]],invoice[[شماره پیش فاکتور]:[پیش دریافت به ازای هر کیلوگرم]],14,0)</f>
        <v>#N/A</v>
      </c>
      <c r="Q2014" s="159" t="e">
        <f>IF(bargiri[[#This Row],[مبلغ ناخالص]]-(bargiri[[#This Row],[نرخ استهلاک]]*bargiri[[#This Row],[مقدار]])&lt;0,0,bargiri[[#This Row],[مبلغ ناخالص]]-(bargiri[[#This Row],[نرخ استهلاک]]*bargiri[[#This Row],[مقدار]]))</f>
        <v>#N/A</v>
      </c>
    </row>
    <row r="2015" spans="1:17" s="22" customFormat="1" ht="13.8" x14ac:dyDescent="0.25">
      <c r="A2015" s="22">
        <v>855</v>
      </c>
      <c r="B2015" s="22" t="s">
        <v>143</v>
      </c>
      <c r="C2015" s="22" t="s">
        <v>142</v>
      </c>
      <c r="D2015" s="22" t="s">
        <v>126</v>
      </c>
      <c r="E2015" s="158">
        <v>10605</v>
      </c>
      <c r="F2015" s="159">
        <v>79301</v>
      </c>
      <c r="G2015" s="159">
        <v>840987105</v>
      </c>
      <c r="H2015" s="159">
        <v>84098711</v>
      </c>
      <c r="I2015" s="159">
        <v>925085816</v>
      </c>
      <c r="J2015" s="159" t="e">
        <f>bargiri[[#This Row],[مقدار]]*INDEX(invoice[پیش دریافت به ازای هر کیلوگرم],MATCH(bargiri[[#This Row],[شماره سند مبنا]],invoice[شماره پیش فاکتور],0))</f>
        <v>#N/A</v>
      </c>
      <c r="K2015" s="159" t="e">
        <f>bargiri[[#This Row],[مبلغ خالص]]-bargiri[[#This Row],[میزان استهلاک پیش دریافتی]]</f>
        <v>#N/A</v>
      </c>
      <c r="L2015" s="160"/>
      <c r="M2015" s="159"/>
      <c r="N2015" s="159" t="e">
        <f>IF(bargiri[[#This Row],[مبلغ واریزی]]&lt;&gt;"",bargiri[[#This Row],[مانده مبلغ]]-bargiri[[#This Row],[مبلغ واریزی]],bargiri[[#This Row],[مانده مبلغ]])</f>
        <v>#N/A</v>
      </c>
      <c r="O2015" s="159"/>
      <c r="P2015" s="159" t="e">
        <f>VLOOKUP(bargiri[[#This Row],[شماره سند مبنا]],invoice[[شماره پیش فاکتور]:[پیش دریافت به ازای هر کیلوگرم]],14,0)</f>
        <v>#N/A</v>
      </c>
      <c r="Q2015" s="159" t="e">
        <f>IF(bargiri[[#This Row],[مبلغ ناخالص]]-(bargiri[[#This Row],[نرخ استهلاک]]*bargiri[[#This Row],[مقدار]])&lt;0,0,bargiri[[#This Row],[مبلغ ناخالص]]-(bargiri[[#This Row],[نرخ استهلاک]]*bargiri[[#This Row],[مقدار]]))</f>
        <v>#N/A</v>
      </c>
    </row>
    <row r="2016" spans="1:17" s="22" customFormat="1" ht="13.8" x14ac:dyDescent="0.25">
      <c r="A2016" s="22">
        <v>854</v>
      </c>
      <c r="B2016" s="22" t="s">
        <v>143</v>
      </c>
      <c r="C2016" s="22" t="s">
        <v>109</v>
      </c>
      <c r="D2016" s="22" t="s">
        <v>110</v>
      </c>
      <c r="E2016" s="158">
        <v>19185</v>
      </c>
      <c r="F2016" s="159">
        <v>70000</v>
      </c>
      <c r="G2016" s="159">
        <v>1342950000</v>
      </c>
      <c r="H2016" s="159">
        <v>134295000</v>
      </c>
      <c r="I2016" s="159">
        <v>1477245000</v>
      </c>
      <c r="J2016" s="159" t="e">
        <f>bargiri[[#This Row],[مقدار]]*INDEX(invoice[پیش دریافت به ازای هر کیلوگرم],MATCH(bargiri[[#This Row],[شماره سند مبنا]],invoice[شماره پیش فاکتور],0))</f>
        <v>#N/A</v>
      </c>
      <c r="K2016" s="159" t="e">
        <f>bargiri[[#This Row],[مبلغ خالص]]-bargiri[[#This Row],[میزان استهلاک پیش دریافتی]]</f>
        <v>#N/A</v>
      </c>
      <c r="L2016" s="160"/>
      <c r="M2016" s="159"/>
      <c r="N2016" s="159" t="e">
        <f>IF(bargiri[[#This Row],[مبلغ واریزی]]&lt;&gt;"",bargiri[[#This Row],[مانده مبلغ]]-bargiri[[#This Row],[مبلغ واریزی]],bargiri[[#This Row],[مانده مبلغ]])</f>
        <v>#N/A</v>
      </c>
      <c r="O2016" s="159"/>
      <c r="P2016" s="159" t="e">
        <f>VLOOKUP(bargiri[[#This Row],[شماره سند مبنا]],invoice[[شماره پیش فاکتور]:[پیش دریافت به ازای هر کیلوگرم]],14,0)</f>
        <v>#N/A</v>
      </c>
      <c r="Q2016" s="159" t="e">
        <f>IF(bargiri[[#This Row],[مبلغ ناخالص]]-(bargiri[[#This Row],[نرخ استهلاک]]*bargiri[[#This Row],[مقدار]])&lt;0,0,bargiri[[#This Row],[مبلغ ناخالص]]-(bargiri[[#This Row],[نرخ استهلاک]]*bargiri[[#This Row],[مقدار]]))</f>
        <v>#N/A</v>
      </c>
    </row>
    <row r="2017" spans="1:17" s="22" customFormat="1" ht="13.8" x14ac:dyDescent="0.25">
      <c r="A2017" s="22">
        <v>853</v>
      </c>
      <c r="B2017" s="22" t="s">
        <v>143</v>
      </c>
      <c r="C2017" s="22" t="s">
        <v>66</v>
      </c>
      <c r="D2017" s="22" t="s">
        <v>67</v>
      </c>
      <c r="E2017" s="158">
        <v>21270</v>
      </c>
      <c r="F2017" s="159">
        <v>68500</v>
      </c>
      <c r="G2017" s="159">
        <v>1456995000</v>
      </c>
      <c r="H2017" s="159">
        <v>131129550</v>
      </c>
      <c r="I2017" s="159">
        <v>1588124550</v>
      </c>
      <c r="J2017" s="159" t="e">
        <f>bargiri[[#This Row],[مقدار]]*INDEX(invoice[پیش دریافت به ازای هر کیلوگرم],MATCH(bargiri[[#This Row],[شماره سند مبنا]],invoice[شماره پیش فاکتور],0))</f>
        <v>#N/A</v>
      </c>
      <c r="K2017" s="159" t="e">
        <f>bargiri[[#This Row],[مبلغ خالص]]-bargiri[[#This Row],[میزان استهلاک پیش دریافتی]]</f>
        <v>#N/A</v>
      </c>
      <c r="L2017" s="160"/>
      <c r="M2017" s="159"/>
      <c r="N2017" s="159" t="e">
        <f>IF(bargiri[[#This Row],[مبلغ واریزی]]&lt;&gt;"",bargiri[[#This Row],[مانده مبلغ]]-bargiri[[#This Row],[مبلغ واریزی]],bargiri[[#This Row],[مانده مبلغ]])</f>
        <v>#N/A</v>
      </c>
      <c r="O2017" s="159"/>
      <c r="P2017" s="159" t="e">
        <f>VLOOKUP(bargiri[[#This Row],[شماره سند مبنا]],invoice[[شماره پیش فاکتور]:[پیش دریافت به ازای هر کیلوگرم]],14,0)</f>
        <v>#N/A</v>
      </c>
      <c r="Q2017" s="159" t="e">
        <f>IF(bargiri[[#This Row],[مبلغ ناخالص]]-(bargiri[[#This Row],[نرخ استهلاک]]*bargiri[[#This Row],[مقدار]])&lt;0,0,bargiri[[#This Row],[مبلغ ناخالص]]-(bargiri[[#This Row],[نرخ استهلاک]]*bargiri[[#This Row],[مقدار]]))</f>
        <v>#N/A</v>
      </c>
    </row>
    <row r="2018" spans="1:17" s="22" customFormat="1" ht="13.8" x14ac:dyDescent="0.25">
      <c r="A2018" s="22">
        <v>852</v>
      </c>
      <c r="B2018" s="22" t="s">
        <v>134</v>
      </c>
      <c r="C2018" s="22" t="s">
        <v>66</v>
      </c>
      <c r="D2018" s="22" t="s">
        <v>67</v>
      </c>
      <c r="E2018" s="158">
        <v>20735</v>
      </c>
      <c r="F2018" s="159">
        <v>68500</v>
      </c>
      <c r="G2018" s="159">
        <v>1420347500</v>
      </c>
      <c r="H2018" s="159">
        <v>127831275</v>
      </c>
      <c r="I2018" s="159">
        <v>1548178775</v>
      </c>
      <c r="J2018" s="159" t="e">
        <f>bargiri[[#This Row],[مقدار]]*INDEX(invoice[پیش دریافت به ازای هر کیلوگرم],MATCH(bargiri[[#This Row],[شماره سند مبنا]],invoice[شماره پیش فاکتور],0))</f>
        <v>#N/A</v>
      </c>
      <c r="K2018" s="159" t="e">
        <f>bargiri[[#This Row],[مبلغ خالص]]-bargiri[[#This Row],[میزان استهلاک پیش دریافتی]]</f>
        <v>#N/A</v>
      </c>
      <c r="L2018" s="160"/>
      <c r="M2018" s="159"/>
      <c r="N2018" s="159" t="e">
        <f>IF(bargiri[[#This Row],[مبلغ واریزی]]&lt;&gt;"",bargiri[[#This Row],[مانده مبلغ]]-bargiri[[#This Row],[مبلغ واریزی]],bargiri[[#This Row],[مانده مبلغ]])</f>
        <v>#N/A</v>
      </c>
      <c r="O2018" s="159"/>
      <c r="P2018" s="159" t="e">
        <f>VLOOKUP(bargiri[[#This Row],[شماره سند مبنا]],invoice[[شماره پیش فاکتور]:[پیش دریافت به ازای هر کیلوگرم]],14,0)</f>
        <v>#N/A</v>
      </c>
      <c r="Q2018" s="159" t="e">
        <f>IF(bargiri[[#This Row],[مبلغ ناخالص]]-(bargiri[[#This Row],[نرخ استهلاک]]*bargiri[[#This Row],[مقدار]])&lt;0,0,bargiri[[#This Row],[مبلغ ناخالص]]-(bargiri[[#This Row],[نرخ استهلاک]]*bargiri[[#This Row],[مقدار]]))</f>
        <v>#N/A</v>
      </c>
    </row>
    <row r="2019" spans="1:17" s="22" customFormat="1" ht="13.8" x14ac:dyDescent="0.25">
      <c r="A2019" s="22">
        <v>851</v>
      </c>
      <c r="B2019" s="22" t="s">
        <v>134</v>
      </c>
      <c r="C2019" s="22" t="s">
        <v>66</v>
      </c>
      <c r="D2019" s="22" t="s">
        <v>67</v>
      </c>
      <c r="E2019" s="158">
        <v>17295</v>
      </c>
      <c r="F2019" s="159">
        <v>68500</v>
      </c>
      <c r="G2019" s="159">
        <v>1184707500</v>
      </c>
      <c r="H2019" s="159">
        <v>106623675</v>
      </c>
      <c r="I2019" s="159">
        <v>1291331175</v>
      </c>
      <c r="J2019" s="159" t="e">
        <f>bargiri[[#This Row],[مقدار]]*INDEX(invoice[پیش دریافت به ازای هر کیلوگرم],MATCH(bargiri[[#This Row],[شماره سند مبنا]],invoice[شماره پیش فاکتور],0))</f>
        <v>#N/A</v>
      </c>
      <c r="K2019" s="159" t="e">
        <f>bargiri[[#This Row],[مبلغ خالص]]-bargiri[[#This Row],[میزان استهلاک پیش دریافتی]]</f>
        <v>#N/A</v>
      </c>
      <c r="L2019" s="160"/>
      <c r="M2019" s="159"/>
      <c r="N2019" s="159" t="e">
        <f>IF(bargiri[[#This Row],[مبلغ واریزی]]&lt;&gt;"",bargiri[[#This Row],[مانده مبلغ]]-bargiri[[#This Row],[مبلغ واریزی]],bargiri[[#This Row],[مانده مبلغ]])</f>
        <v>#N/A</v>
      </c>
      <c r="O2019" s="159"/>
      <c r="P2019" s="159" t="e">
        <f>VLOOKUP(bargiri[[#This Row],[شماره سند مبنا]],invoice[[شماره پیش فاکتور]:[پیش دریافت به ازای هر کیلوگرم]],14,0)</f>
        <v>#N/A</v>
      </c>
      <c r="Q2019" s="159" t="e">
        <f>IF(bargiri[[#This Row],[مبلغ ناخالص]]-(bargiri[[#This Row],[نرخ استهلاک]]*bargiri[[#This Row],[مقدار]])&lt;0,0,bargiri[[#This Row],[مبلغ ناخالص]]-(bargiri[[#This Row],[نرخ استهلاک]]*bargiri[[#This Row],[مقدار]]))</f>
        <v>#N/A</v>
      </c>
    </row>
    <row r="2020" spans="1:17" s="22" customFormat="1" ht="13.8" x14ac:dyDescent="0.25">
      <c r="A2020" s="22">
        <v>850</v>
      </c>
      <c r="B2020" s="22" t="s">
        <v>508</v>
      </c>
      <c r="C2020" s="22" t="s">
        <v>122</v>
      </c>
      <c r="D2020" s="22" t="s">
        <v>67</v>
      </c>
      <c r="E2020" s="158">
        <v>20005</v>
      </c>
      <c r="F2020" s="159">
        <v>75000</v>
      </c>
      <c r="G2020" s="159">
        <v>1500375000</v>
      </c>
      <c r="H2020" s="159">
        <v>150037500</v>
      </c>
      <c r="I2020" s="159">
        <v>1650412500</v>
      </c>
      <c r="J2020" s="159" t="e">
        <f>bargiri[[#This Row],[مقدار]]*INDEX(invoice[پیش دریافت به ازای هر کیلوگرم],MATCH(bargiri[[#This Row],[شماره سند مبنا]],invoice[شماره پیش فاکتور],0))</f>
        <v>#N/A</v>
      </c>
      <c r="K2020" s="159" t="e">
        <f>bargiri[[#This Row],[مبلغ خالص]]-bargiri[[#This Row],[میزان استهلاک پیش دریافتی]]</f>
        <v>#N/A</v>
      </c>
      <c r="L2020" s="160"/>
      <c r="M2020" s="159"/>
      <c r="N2020" s="159" t="e">
        <f>IF(bargiri[[#This Row],[مبلغ واریزی]]&lt;&gt;"",bargiri[[#This Row],[مانده مبلغ]]-bargiri[[#This Row],[مبلغ واریزی]],bargiri[[#This Row],[مانده مبلغ]])</f>
        <v>#N/A</v>
      </c>
      <c r="O2020" s="159"/>
      <c r="P2020" s="159" t="e">
        <f>VLOOKUP(bargiri[[#This Row],[شماره سند مبنا]],invoice[[شماره پیش فاکتور]:[پیش دریافت به ازای هر کیلوگرم]],14,0)</f>
        <v>#N/A</v>
      </c>
      <c r="Q2020" s="159" t="e">
        <f>IF(bargiri[[#This Row],[مبلغ ناخالص]]-(bargiri[[#This Row],[نرخ استهلاک]]*bargiri[[#This Row],[مقدار]])&lt;0,0,bargiri[[#This Row],[مبلغ ناخالص]]-(bargiri[[#This Row],[نرخ استهلاک]]*bargiri[[#This Row],[مقدار]]))</f>
        <v>#N/A</v>
      </c>
    </row>
    <row r="2021" spans="1:17" s="22" customFormat="1" ht="13.8" x14ac:dyDescent="0.25">
      <c r="A2021" s="22">
        <v>849</v>
      </c>
      <c r="B2021" s="22" t="s">
        <v>508</v>
      </c>
      <c r="C2021" s="22" t="s">
        <v>19</v>
      </c>
      <c r="D2021" s="22" t="s">
        <v>20</v>
      </c>
      <c r="E2021" s="158">
        <v>18725</v>
      </c>
      <c r="F2021" s="159">
        <v>65000</v>
      </c>
      <c r="G2021" s="159">
        <v>1217125000</v>
      </c>
      <c r="H2021" s="159">
        <v>109541250</v>
      </c>
      <c r="I2021" s="159">
        <v>1326666250</v>
      </c>
      <c r="J2021" s="159" t="e">
        <f>bargiri[[#This Row],[مقدار]]*INDEX(invoice[پیش دریافت به ازای هر کیلوگرم],MATCH(bargiri[[#This Row],[شماره سند مبنا]],invoice[شماره پیش فاکتور],0))</f>
        <v>#N/A</v>
      </c>
      <c r="K2021" s="159" t="e">
        <f>bargiri[[#This Row],[مبلغ خالص]]-bargiri[[#This Row],[میزان استهلاک پیش دریافتی]]</f>
        <v>#N/A</v>
      </c>
      <c r="L2021" s="160"/>
      <c r="M2021" s="159"/>
      <c r="N2021" s="159" t="e">
        <f>IF(bargiri[[#This Row],[مبلغ واریزی]]&lt;&gt;"",bargiri[[#This Row],[مانده مبلغ]]-bargiri[[#This Row],[مبلغ واریزی]],bargiri[[#This Row],[مانده مبلغ]])</f>
        <v>#N/A</v>
      </c>
      <c r="O2021" s="159"/>
      <c r="P2021" s="159" t="e">
        <f>VLOOKUP(bargiri[[#This Row],[شماره سند مبنا]],invoice[[شماره پیش فاکتور]:[پیش دریافت به ازای هر کیلوگرم]],14,0)</f>
        <v>#N/A</v>
      </c>
      <c r="Q2021" s="159" t="e">
        <f>IF(bargiri[[#This Row],[مبلغ ناخالص]]-(bargiri[[#This Row],[نرخ استهلاک]]*bargiri[[#This Row],[مقدار]])&lt;0,0,bargiri[[#This Row],[مبلغ ناخالص]]-(bargiri[[#This Row],[نرخ استهلاک]]*bargiri[[#This Row],[مقدار]]))</f>
        <v>#N/A</v>
      </c>
    </row>
    <row r="2022" spans="1:17" s="22" customFormat="1" ht="13.8" x14ac:dyDescent="0.25">
      <c r="A2022" s="22">
        <v>848</v>
      </c>
      <c r="B2022" s="22" t="s">
        <v>124</v>
      </c>
      <c r="C2022" s="22" t="s">
        <v>122</v>
      </c>
      <c r="D2022" s="22" t="s">
        <v>67</v>
      </c>
      <c r="E2022" s="158">
        <v>19955</v>
      </c>
      <c r="F2022" s="159">
        <v>75000</v>
      </c>
      <c r="G2022" s="159">
        <v>1496625000</v>
      </c>
      <c r="H2022" s="159">
        <v>149662500</v>
      </c>
      <c r="I2022" s="159">
        <v>1646287500</v>
      </c>
      <c r="J2022" s="159" t="e">
        <f>bargiri[[#This Row],[مقدار]]*INDEX(invoice[پیش دریافت به ازای هر کیلوگرم],MATCH(bargiri[[#This Row],[شماره سند مبنا]],invoice[شماره پیش فاکتور],0))</f>
        <v>#N/A</v>
      </c>
      <c r="K2022" s="159" t="e">
        <f>bargiri[[#This Row],[مبلغ خالص]]-bargiri[[#This Row],[میزان استهلاک پیش دریافتی]]</f>
        <v>#N/A</v>
      </c>
      <c r="L2022" s="160"/>
      <c r="M2022" s="159"/>
      <c r="N2022" s="159" t="e">
        <f>IF(bargiri[[#This Row],[مبلغ واریزی]]&lt;&gt;"",bargiri[[#This Row],[مانده مبلغ]]-bargiri[[#This Row],[مبلغ واریزی]],bargiri[[#This Row],[مانده مبلغ]])</f>
        <v>#N/A</v>
      </c>
      <c r="O2022" s="159"/>
      <c r="P2022" s="159" t="e">
        <f>VLOOKUP(bargiri[[#This Row],[شماره سند مبنا]],invoice[[شماره پیش فاکتور]:[پیش دریافت به ازای هر کیلوگرم]],14,0)</f>
        <v>#N/A</v>
      </c>
      <c r="Q2022" s="159" t="e">
        <f>IF(bargiri[[#This Row],[مبلغ ناخالص]]-(bargiri[[#This Row],[نرخ استهلاک]]*bargiri[[#This Row],[مقدار]])&lt;0,0,bargiri[[#This Row],[مبلغ ناخالص]]-(bargiri[[#This Row],[نرخ استهلاک]]*bargiri[[#This Row],[مقدار]]))</f>
        <v>#N/A</v>
      </c>
    </row>
    <row r="2023" spans="1:17" s="22" customFormat="1" ht="13.8" x14ac:dyDescent="0.25">
      <c r="A2023" s="22">
        <v>847</v>
      </c>
      <c r="B2023" s="22" t="s">
        <v>509</v>
      </c>
      <c r="C2023" s="22" t="s">
        <v>109</v>
      </c>
      <c r="D2023" s="22" t="s">
        <v>110</v>
      </c>
      <c r="E2023" s="158">
        <v>19240</v>
      </c>
      <c r="F2023" s="159">
        <v>70000</v>
      </c>
      <c r="G2023" s="159">
        <v>1346800000</v>
      </c>
      <c r="H2023" s="159">
        <v>134680000</v>
      </c>
      <c r="I2023" s="159">
        <v>1481480000</v>
      </c>
      <c r="J2023" s="159" t="e">
        <f>bargiri[[#This Row],[مقدار]]*INDEX(invoice[پیش دریافت به ازای هر کیلوگرم],MATCH(bargiri[[#This Row],[شماره سند مبنا]],invoice[شماره پیش فاکتور],0))</f>
        <v>#N/A</v>
      </c>
      <c r="K2023" s="159" t="e">
        <f>bargiri[[#This Row],[مبلغ خالص]]-bargiri[[#This Row],[میزان استهلاک پیش دریافتی]]</f>
        <v>#N/A</v>
      </c>
      <c r="L2023" s="160"/>
      <c r="M2023" s="159"/>
      <c r="N2023" s="159" t="e">
        <f>IF(bargiri[[#This Row],[مبلغ واریزی]]&lt;&gt;"",bargiri[[#This Row],[مانده مبلغ]]-bargiri[[#This Row],[مبلغ واریزی]],bargiri[[#This Row],[مانده مبلغ]])</f>
        <v>#N/A</v>
      </c>
      <c r="O2023" s="159"/>
      <c r="P2023" s="159" t="e">
        <f>VLOOKUP(bargiri[[#This Row],[شماره سند مبنا]],invoice[[شماره پیش فاکتور]:[پیش دریافت به ازای هر کیلوگرم]],14,0)</f>
        <v>#N/A</v>
      </c>
      <c r="Q2023" s="159" t="e">
        <f>IF(bargiri[[#This Row],[مبلغ ناخالص]]-(bargiri[[#This Row],[نرخ استهلاک]]*bargiri[[#This Row],[مقدار]])&lt;0,0,bargiri[[#This Row],[مبلغ ناخالص]]-(bargiri[[#This Row],[نرخ استهلاک]]*bargiri[[#This Row],[مقدار]]))</f>
        <v>#N/A</v>
      </c>
    </row>
    <row r="2024" spans="1:17" s="22" customFormat="1" ht="13.8" x14ac:dyDescent="0.25">
      <c r="A2024" s="22">
        <v>846</v>
      </c>
      <c r="B2024" s="22" t="s">
        <v>80</v>
      </c>
      <c r="C2024" s="22" t="s">
        <v>79</v>
      </c>
      <c r="D2024" s="22" t="s">
        <v>17</v>
      </c>
      <c r="E2024" s="158">
        <v>23240</v>
      </c>
      <c r="F2024" s="159">
        <v>70000</v>
      </c>
      <c r="G2024" s="159">
        <v>1626800000</v>
      </c>
      <c r="H2024" s="159">
        <v>162680000</v>
      </c>
      <c r="I2024" s="159">
        <v>1789480000</v>
      </c>
      <c r="J2024" s="159" t="e">
        <f>bargiri[[#This Row],[مقدار]]*INDEX(invoice[پیش دریافت به ازای هر کیلوگرم],MATCH(bargiri[[#This Row],[شماره سند مبنا]],invoice[شماره پیش فاکتور],0))</f>
        <v>#N/A</v>
      </c>
      <c r="K2024" s="159" t="e">
        <f>bargiri[[#This Row],[مبلغ خالص]]-bargiri[[#This Row],[میزان استهلاک پیش دریافتی]]</f>
        <v>#N/A</v>
      </c>
      <c r="L2024" s="160"/>
      <c r="M2024" s="159"/>
      <c r="N2024" s="159" t="e">
        <f>IF(bargiri[[#This Row],[مبلغ واریزی]]&lt;&gt;"",bargiri[[#This Row],[مانده مبلغ]]-bargiri[[#This Row],[مبلغ واریزی]],bargiri[[#This Row],[مانده مبلغ]])</f>
        <v>#N/A</v>
      </c>
      <c r="O2024" s="159"/>
      <c r="P2024" s="159" t="e">
        <f>VLOOKUP(bargiri[[#This Row],[شماره سند مبنا]],invoice[[شماره پیش فاکتور]:[پیش دریافت به ازای هر کیلوگرم]],14,0)</f>
        <v>#N/A</v>
      </c>
      <c r="Q2024" s="159" t="e">
        <f>IF(bargiri[[#This Row],[مبلغ ناخالص]]-(bargiri[[#This Row],[نرخ استهلاک]]*bargiri[[#This Row],[مقدار]])&lt;0,0,bargiri[[#This Row],[مبلغ ناخالص]]-(bargiri[[#This Row],[نرخ استهلاک]]*bargiri[[#This Row],[مقدار]]))</f>
        <v>#N/A</v>
      </c>
    </row>
    <row r="2025" spans="1:17" s="22" customFormat="1" ht="13.8" x14ac:dyDescent="0.25">
      <c r="A2025" s="22">
        <v>845</v>
      </c>
      <c r="B2025" s="22" t="s">
        <v>80</v>
      </c>
      <c r="C2025" s="22" t="s">
        <v>47</v>
      </c>
      <c r="D2025" s="22" t="s">
        <v>43</v>
      </c>
      <c r="E2025" s="158">
        <v>19720</v>
      </c>
      <c r="F2025" s="159">
        <v>65000</v>
      </c>
      <c r="G2025" s="159">
        <v>1281800000</v>
      </c>
      <c r="H2025" s="159">
        <v>115362000</v>
      </c>
      <c r="I2025" s="159">
        <v>1397162000</v>
      </c>
      <c r="J2025" s="159" t="e">
        <f>bargiri[[#This Row],[مقدار]]*INDEX(invoice[پیش دریافت به ازای هر کیلوگرم],MATCH(bargiri[[#This Row],[شماره سند مبنا]],invoice[شماره پیش فاکتور],0))</f>
        <v>#N/A</v>
      </c>
      <c r="K2025" s="159" t="e">
        <f>bargiri[[#This Row],[مبلغ خالص]]-bargiri[[#This Row],[میزان استهلاک پیش دریافتی]]</f>
        <v>#N/A</v>
      </c>
      <c r="L2025" s="160"/>
      <c r="M2025" s="159"/>
      <c r="N2025" s="159" t="e">
        <f>IF(bargiri[[#This Row],[مبلغ واریزی]]&lt;&gt;"",bargiri[[#This Row],[مانده مبلغ]]-bargiri[[#This Row],[مبلغ واریزی]],bargiri[[#This Row],[مانده مبلغ]])</f>
        <v>#N/A</v>
      </c>
      <c r="O2025" s="159"/>
      <c r="P2025" s="159" t="e">
        <f>VLOOKUP(bargiri[[#This Row],[شماره سند مبنا]],invoice[[شماره پیش فاکتور]:[پیش دریافت به ازای هر کیلوگرم]],14,0)</f>
        <v>#N/A</v>
      </c>
      <c r="Q2025" s="159" t="e">
        <f>IF(bargiri[[#This Row],[مبلغ ناخالص]]-(bargiri[[#This Row],[نرخ استهلاک]]*bargiri[[#This Row],[مقدار]])&lt;0,0,bargiri[[#This Row],[مبلغ ناخالص]]-(bargiri[[#This Row],[نرخ استهلاک]]*bargiri[[#This Row],[مقدار]]))</f>
        <v>#N/A</v>
      </c>
    </row>
    <row r="2026" spans="1:17" s="22" customFormat="1" ht="13.8" x14ac:dyDescent="0.25">
      <c r="A2026" s="22">
        <v>844</v>
      </c>
      <c r="B2026" s="22" t="s">
        <v>80</v>
      </c>
      <c r="C2026" s="22" t="s">
        <v>29</v>
      </c>
      <c r="D2026" s="22" t="s">
        <v>30</v>
      </c>
      <c r="E2026" s="158">
        <v>11855</v>
      </c>
      <c r="F2026" s="159">
        <v>70000</v>
      </c>
      <c r="G2026" s="159">
        <v>829850000</v>
      </c>
      <c r="H2026" s="159">
        <v>82985000</v>
      </c>
      <c r="I2026" s="159">
        <v>912835000</v>
      </c>
      <c r="J2026" s="159" t="e">
        <f>bargiri[[#This Row],[مقدار]]*INDEX(invoice[پیش دریافت به ازای هر کیلوگرم],MATCH(bargiri[[#This Row],[شماره سند مبنا]],invoice[شماره پیش فاکتور],0))</f>
        <v>#N/A</v>
      </c>
      <c r="K2026" s="159" t="e">
        <f>bargiri[[#This Row],[مبلغ خالص]]-bargiri[[#This Row],[میزان استهلاک پیش دریافتی]]</f>
        <v>#N/A</v>
      </c>
      <c r="L2026" s="160"/>
      <c r="M2026" s="159"/>
      <c r="N2026" s="159" t="e">
        <f>IF(bargiri[[#This Row],[مبلغ واریزی]]&lt;&gt;"",bargiri[[#This Row],[مانده مبلغ]]-bargiri[[#This Row],[مبلغ واریزی]],bargiri[[#This Row],[مانده مبلغ]])</f>
        <v>#N/A</v>
      </c>
      <c r="O2026" s="159"/>
      <c r="P2026" s="159" t="e">
        <f>VLOOKUP(bargiri[[#This Row],[شماره سند مبنا]],invoice[[شماره پیش فاکتور]:[پیش دریافت به ازای هر کیلوگرم]],14,0)</f>
        <v>#N/A</v>
      </c>
      <c r="Q2026" s="159" t="e">
        <f>IF(bargiri[[#This Row],[مبلغ ناخالص]]-(bargiri[[#This Row],[نرخ استهلاک]]*bargiri[[#This Row],[مقدار]])&lt;0,0,bargiri[[#This Row],[مبلغ ناخالص]]-(bargiri[[#This Row],[نرخ استهلاک]]*bargiri[[#This Row],[مقدار]]))</f>
        <v>#N/A</v>
      </c>
    </row>
    <row r="2027" spans="1:17" s="22" customFormat="1" ht="13.8" x14ac:dyDescent="0.25">
      <c r="A2027" s="22">
        <v>843</v>
      </c>
      <c r="B2027" s="22" t="s">
        <v>80</v>
      </c>
      <c r="C2027" s="22" t="s">
        <v>84</v>
      </c>
      <c r="D2027" s="22" t="s">
        <v>51</v>
      </c>
      <c r="E2027" s="158">
        <v>20230</v>
      </c>
      <c r="F2027" s="159">
        <v>70000</v>
      </c>
      <c r="G2027" s="159">
        <v>1416100000</v>
      </c>
      <c r="H2027" s="159">
        <v>141610000</v>
      </c>
      <c r="I2027" s="159">
        <v>1557710000</v>
      </c>
      <c r="J2027" s="159" t="e">
        <f>bargiri[[#This Row],[مقدار]]*INDEX(invoice[پیش دریافت به ازای هر کیلوگرم],MATCH(bargiri[[#This Row],[شماره سند مبنا]],invoice[شماره پیش فاکتور],0))</f>
        <v>#N/A</v>
      </c>
      <c r="K2027" s="159" t="e">
        <f>bargiri[[#This Row],[مبلغ خالص]]-bargiri[[#This Row],[میزان استهلاک پیش دریافتی]]</f>
        <v>#N/A</v>
      </c>
      <c r="L2027" s="160"/>
      <c r="M2027" s="159"/>
      <c r="N2027" s="159" t="e">
        <f>IF(bargiri[[#This Row],[مبلغ واریزی]]&lt;&gt;"",bargiri[[#This Row],[مانده مبلغ]]-bargiri[[#This Row],[مبلغ واریزی]],bargiri[[#This Row],[مانده مبلغ]])</f>
        <v>#N/A</v>
      </c>
      <c r="O2027" s="159"/>
      <c r="P2027" s="159" t="e">
        <f>VLOOKUP(bargiri[[#This Row],[شماره سند مبنا]],invoice[[شماره پیش فاکتور]:[پیش دریافت به ازای هر کیلوگرم]],14,0)</f>
        <v>#N/A</v>
      </c>
      <c r="Q2027" s="159" t="e">
        <f>IF(bargiri[[#This Row],[مبلغ ناخالص]]-(bargiri[[#This Row],[نرخ استهلاک]]*bargiri[[#This Row],[مقدار]])&lt;0,0,bargiri[[#This Row],[مبلغ ناخالص]]-(bargiri[[#This Row],[نرخ استهلاک]]*bargiri[[#This Row],[مقدار]]))</f>
        <v>#N/A</v>
      </c>
    </row>
    <row r="2028" spans="1:17" s="22" customFormat="1" ht="13.8" x14ac:dyDescent="0.25">
      <c r="A2028" s="22">
        <v>842</v>
      </c>
      <c r="B2028" s="22" t="s">
        <v>80</v>
      </c>
      <c r="C2028" s="22" t="s">
        <v>47</v>
      </c>
      <c r="D2028" s="22" t="s">
        <v>43</v>
      </c>
      <c r="E2028" s="158">
        <v>20675</v>
      </c>
      <c r="F2028" s="159">
        <v>65000</v>
      </c>
      <c r="G2028" s="159">
        <v>1343875000</v>
      </c>
      <c r="H2028" s="159">
        <v>120948750</v>
      </c>
      <c r="I2028" s="159">
        <v>1464823750</v>
      </c>
      <c r="J2028" s="159" t="e">
        <f>bargiri[[#This Row],[مقدار]]*INDEX(invoice[پیش دریافت به ازای هر کیلوگرم],MATCH(bargiri[[#This Row],[شماره سند مبنا]],invoice[شماره پیش فاکتور],0))</f>
        <v>#N/A</v>
      </c>
      <c r="K2028" s="159" t="e">
        <f>bargiri[[#This Row],[مبلغ خالص]]-bargiri[[#This Row],[میزان استهلاک پیش دریافتی]]</f>
        <v>#N/A</v>
      </c>
      <c r="L2028" s="160"/>
      <c r="M2028" s="159"/>
      <c r="N2028" s="159" t="e">
        <f>IF(bargiri[[#This Row],[مبلغ واریزی]]&lt;&gt;"",bargiri[[#This Row],[مانده مبلغ]]-bargiri[[#This Row],[مبلغ واریزی]],bargiri[[#This Row],[مانده مبلغ]])</f>
        <v>#N/A</v>
      </c>
      <c r="O2028" s="159"/>
      <c r="P2028" s="159" t="e">
        <f>VLOOKUP(bargiri[[#This Row],[شماره سند مبنا]],invoice[[شماره پیش فاکتور]:[پیش دریافت به ازای هر کیلوگرم]],14,0)</f>
        <v>#N/A</v>
      </c>
      <c r="Q2028" s="159" t="e">
        <f>IF(bargiri[[#This Row],[مبلغ ناخالص]]-(bargiri[[#This Row],[نرخ استهلاک]]*bargiri[[#This Row],[مقدار]])&lt;0,0,bargiri[[#This Row],[مبلغ ناخالص]]-(bargiri[[#This Row],[نرخ استهلاک]]*bargiri[[#This Row],[مقدار]]))</f>
        <v>#N/A</v>
      </c>
    </row>
    <row r="2029" spans="1:17" s="22" customFormat="1" ht="13.8" x14ac:dyDescent="0.25">
      <c r="A2029" s="22">
        <v>841</v>
      </c>
      <c r="B2029" s="22" t="s">
        <v>510</v>
      </c>
      <c r="C2029" s="22" t="s">
        <v>66</v>
      </c>
      <c r="D2029" s="22" t="s">
        <v>67</v>
      </c>
      <c r="E2029" s="158">
        <v>20570</v>
      </c>
      <c r="F2029" s="159">
        <v>68500</v>
      </c>
      <c r="G2029" s="159">
        <v>1409045000</v>
      </c>
      <c r="H2029" s="159">
        <v>126814050</v>
      </c>
      <c r="I2029" s="159">
        <v>1535859050</v>
      </c>
      <c r="J2029" s="159" t="e">
        <f>bargiri[[#This Row],[مقدار]]*INDEX(invoice[پیش دریافت به ازای هر کیلوگرم],MATCH(bargiri[[#This Row],[شماره سند مبنا]],invoice[شماره پیش فاکتور],0))</f>
        <v>#N/A</v>
      </c>
      <c r="K2029" s="159" t="e">
        <f>bargiri[[#This Row],[مبلغ خالص]]-bargiri[[#This Row],[میزان استهلاک پیش دریافتی]]</f>
        <v>#N/A</v>
      </c>
      <c r="L2029" s="160"/>
      <c r="M2029" s="159"/>
      <c r="N2029" s="159" t="e">
        <f>IF(bargiri[[#This Row],[مبلغ واریزی]]&lt;&gt;"",bargiri[[#This Row],[مانده مبلغ]]-bargiri[[#This Row],[مبلغ واریزی]],bargiri[[#This Row],[مانده مبلغ]])</f>
        <v>#N/A</v>
      </c>
      <c r="O2029" s="159"/>
      <c r="P2029" s="159" t="e">
        <f>VLOOKUP(bargiri[[#This Row],[شماره سند مبنا]],invoice[[شماره پیش فاکتور]:[پیش دریافت به ازای هر کیلوگرم]],14,0)</f>
        <v>#N/A</v>
      </c>
      <c r="Q2029" s="159" t="e">
        <f>IF(bargiri[[#This Row],[مبلغ ناخالص]]-(bargiri[[#This Row],[نرخ استهلاک]]*bargiri[[#This Row],[مقدار]])&lt;0,0,bargiri[[#This Row],[مبلغ ناخالص]]-(bargiri[[#This Row],[نرخ استهلاک]]*bargiri[[#This Row],[مقدار]]))</f>
        <v>#N/A</v>
      </c>
    </row>
    <row r="2030" spans="1:17" s="22" customFormat="1" ht="13.8" x14ac:dyDescent="0.25">
      <c r="A2030" s="22">
        <v>840</v>
      </c>
      <c r="B2030" s="22" t="s">
        <v>510</v>
      </c>
      <c r="C2030" s="22" t="s">
        <v>69</v>
      </c>
      <c r="D2030" s="22" t="s">
        <v>70</v>
      </c>
      <c r="E2030" s="158">
        <v>21540</v>
      </c>
      <c r="F2030" s="159">
        <v>70000</v>
      </c>
      <c r="G2030" s="159">
        <v>1507800000</v>
      </c>
      <c r="H2030" s="159">
        <v>135702000</v>
      </c>
      <c r="I2030" s="159">
        <v>1643502000</v>
      </c>
      <c r="J2030" s="159" t="e">
        <f>bargiri[[#This Row],[مقدار]]*INDEX(invoice[پیش دریافت به ازای هر کیلوگرم],MATCH(bargiri[[#This Row],[شماره سند مبنا]],invoice[شماره پیش فاکتور],0))</f>
        <v>#N/A</v>
      </c>
      <c r="K2030" s="159" t="e">
        <f>bargiri[[#This Row],[مبلغ خالص]]-bargiri[[#This Row],[میزان استهلاک پیش دریافتی]]</f>
        <v>#N/A</v>
      </c>
      <c r="L2030" s="160"/>
      <c r="M2030" s="159"/>
      <c r="N2030" s="159" t="e">
        <f>IF(bargiri[[#This Row],[مبلغ واریزی]]&lt;&gt;"",bargiri[[#This Row],[مانده مبلغ]]-bargiri[[#This Row],[مبلغ واریزی]],bargiri[[#This Row],[مانده مبلغ]])</f>
        <v>#N/A</v>
      </c>
      <c r="O2030" s="159"/>
      <c r="P2030" s="159" t="e">
        <f>VLOOKUP(bargiri[[#This Row],[شماره سند مبنا]],invoice[[شماره پیش فاکتور]:[پیش دریافت به ازای هر کیلوگرم]],14,0)</f>
        <v>#N/A</v>
      </c>
      <c r="Q2030" s="159" t="e">
        <f>IF(bargiri[[#This Row],[مبلغ ناخالص]]-(bargiri[[#This Row],[نرخ استهلاک]]*bargiri[[#This Row],[مقدار]])&lt;0,0,bargiri[[#This Row],[مبلغ ناخالص]]-(bargiri[[#This Row],[نرخ استهلاک]]*bargiri[[#This Row],[مقدار]]))</f>
        <v>#N/A</v>
      </c>
    </row>
    <row r="2031" spans="1:17" s="22" customFormat="1" ht="13.8" x14ac:dyDescent="0.25">
      <c r="A2031" s="22">
        <v>839</v>
      </c>
      <c r="B2031" s="22" t="s">
        <v>510</v>
      </c>
      <c r="C2031" s="22" t="s">
        <v>109</v>
      </c>
      <c r="D2031" s="22" t="s">
        <v>110</v>
      </c>
      <c r="E2031" s="158">
        <v>19160</v>
      </c>
      <c r="F2031" s="159">
        <v>70000</v>
      </c>
      <c r="G2031" s="159">
        <v>1341200000</v>
      </c>
      <c r="H2031" s="159">
        <v>134120000</v>
      </c>
      <c r="I2031" s="159">
        <v>1475320000</v>
      </c>
      <c r="J2031" s="159" t="e">
        <f>bargiri[[#This Row],[مقدار]]*INDEX(invoice[پیش دریافت به ازای هر کیلوگرم],MATCH(bargiri[[#This Row],[شماره سند مبنا]],invoice[شماره پیش فاکتور],0))</f>
        <v>#N/A</v>
      </c>
      <c r="K2031" s="159" t="e">
        <f>bargiri[[#This Row],[مبلغ خالص]]-bargiri[[#This Row],[میزان استهلاک پیش دریافتی]]</f>
        <v>#N/A</v>
      </c>
      <c r="L2031" s="160"/>
      <c r="M2031" s="159"/>
      <c r="N2031" s="159" t="e">
        <f>IF(bargiri[[#This Row],[مبلغ واریزی]]&lt;&gt;"",bargiri[[#This Row],[مانده مبلغ]]-bargiri[[#This Row],[مبلغ واریزی]],bargiri[[#This Row],[مانده مبلغ]])</f>
        <v>#N/A</v>
      </c>
      <c r="O2031" s="159"/>
      <c r="P2031" s="159" t="e">
        <f>VLOOKUP(bargiri[[#This Row],[شماره سند مبنا]],invoice[[شماره پیش فاکتور]:[پیش دریافت به ازای هر کیلوگرم]],14,0)</f>
        <v>#N/A</v>
      </c>
      <c r="Q2031" s="159" t="e">
        <f>IF(bargiri[[#This Row],[مبلغ ناخالص]]-(bargiri[[#This Row],[نرخ استهلاک]]*bargiri[[#This Row],[مقدار]])&lt;0,0,bargiri[[#This Row],[مبلغ ناخالص]]-(bargiri[[#This Row],[نرخ استهلاک]]*bargiri[[#This Row],[مقدار]]))</f>
        <v>#N/A</v>
      </c>
    </row>
    <row r="2032" spans="1:17" s="22" customFormat="1" ht="13.8" x14ac:dyDescent="0.25">
      <c r="A2032" s="22">
        <v>838</v>
      </c>
      <c r="B2032" s="22" t="s">
        <v>510</v>
      </c>
      <c r="C2032" s="22" t="s">
        <v>97</v>
      </c>
      <c r="D2032" s="22" t="s">
        <v>40</v>
      </c>
      <c r="E2032" s="158">
        <v>16670</v>
      </c>
      <c r="F2032" s="159">
        <v>85000</v>
      </c>
      <c r="G2032" s="159">
        <v>1416950000</v>
      </c>
      <c r="H2032" s="159">
        <v>141695000</v>
      </c>
      <c r="I2032" s="159">
        <v>1558645000</v>
      </c>
      <c r="J2032" s="159" t="e">
        <f>bargiri[[#This Row],[مقدار]]*INDEX(invoice[پیش دریافت به ازای هر کیلوگرم],MATCH(bargiri[[#This Row],[شماره سند مبنا]],invoice[شماره پیش فاکتور],0))</f>
        <v>#N/A</v>
      </c>
      <c r="K2032" s="159" t="e">
        <f>bargiri[[#This Row],[مبلغ خالص]]-bargiri[[#This Row],[میزان استهلاک پیش دریافتی]]</f>
        <v>#N/A</v>
      </c>
      <c r="L2032" s="160"/>
      <c r="M2032" s="159"/>
      <c r="N2032" s="159" t="e">
        <f>IF(bargiri[[#This Row],[مبلغ واریزی]]&lt;&gt;"",bargiri[[#This Row],[مانده مبلغ]]-bargiri[[#This Row],[مبلغ واریزی]],bargiri[[#This Row],[مانده مبلغ]])</f>
        <v>#N/A</v>
      </c>
      <c r="O2032" s="159"/>
      <c r="P2032" s="159" t="e">
        <f>VLOOKUP(bargiri[[#This Row],[شماره سند مبنا]],invoice[[شماره پیش فاکتور]:[پیش دریافت به ازای هر کیلوگرم]],14,0)</f>
        <v>#N/A</v>
      </c>
      <c r="Q2032" s="159" t="e">
        <f>IF(bargiri[[#This Row],[مبلغ ناخالص]]-(bargiri[[#This Row],[نرخ استهلاک]]*bargiri[[#This Row],[مقدار]])&lt;0,0,bargiri[[#This Row],[مبلغ ناخالص]]-(bargiri[[#This Row],[نرخ استهلاک]]*bargiri[[#This Row],[مقدار]]))</f>
        <v>#N/A</v>
      </c>
    </row>
    <row r="2033" spans="1:17" s="22" customFormat="1" ht="13.8" x14ac:dyDescent="0.25">
      <c r="A2033" s="22">
        <v>837</v>
      </c>
      <c r="B2033" s="22" t="s">
        <v>487</v>
      </c>
      <c r="C2033" s="22" t="s">
        <v>66</v>
      </c>
      <c r="D2033" s="22" t="s">
        <v>67</v>
      </c>
      <c r="E2033" s="158">
        <v>20690</v>
      </c>
      <c r="F2033" s="159">
        <v>68500</v>
      </c>
      <c r="G2033" s="159">
        <v>1417265000</v>
      </c>
      <c r="H2033" s="159">
        <v>127553850</v>
      </c>
      <c r="I2033" s="159">
        <v>1544818850</v>
      </c>
      <c r="J2033" s="159" t="e">
        <f>bargiri[[#This Row],[مقدار]]*INDEX(invoice[پیش دریافت به ازای هر کیلوگرم],MATCH(bargiri[[#This Row],[شماره سند مبنا]],invoice[شماره پیش فاکتور],0))</f>
        <v>#N/A</v>
      </c>
      <c r="K2033" s="159" t="e">
        <f>bargiri[[#This Row],[مبلغ خالص]]-bargiri[[#This Row],[میزان استهلاک پیش دریافتی]]</f>
        <v>#N/A</v>
      </c>
      <c r="L2033" s="160"/>
      <c r="M2033" s="159"/>
      <c r="N2033" s="159" t="e">
        <f>IF(bargiri[[#This Row],[مبلغ واریزی]]&lt;&gt;"",bargiri[[#This Row],[مانده مبلغ]]-bargiri[[#This Row],[مبلغ واریزی]],bargiri[[#This Row],[مانده مبلغ]])</f>
        <v>#N/A</v>
      </c>
      <c r="O2033" s="159"/>
      <c r="P2033" s="159" t="e">
        <f>VLOOKUP(bargiri[[#This Row],[شماره سند مبنا]],invoice[[شماره پیش فاکتور]:[پیش دریافت به ازای هر کیلوگرم]],14,0)</f>
        <v>#N/A</v>
      </c>
      <c r="Q2033" s="159" t="e">
        <f>IF(bargiri[[#This Row],[مبلغ ناخالص]]-(bargiri[[#This Row],[نرخ استهلاک]]*bargiri[[#This Row],[مقدار]])&lt;0,0,bargiri[[#This Row],[مبلغ ناخالص]]-(bargiri[[#This Row],[نرخ استهلاک]]*bargiri[[#This Row],[مقدار]]))</f>
        <v>#N/A</v>
      </c>
    </row>
    <row r="2034" spans="1:17" s="22" customFormat="1" ht="13.8" x14ac:dyDescent="0.25">
      <c r="A2034" s="22">
        <v>836</v>
      </c>
      <c r="B2034" s="22" t="s">
        <v>137</v>
      </c>
      <c r="C2034" s="22" t="s">
        <v>16</v>
      </c>
      <c r="D2034" s="22" t="s">
        <v>17</v>
      </c>
      <c r="E2034" s="158">
        <v>21605</v>
      </c>
      <c r="F2034" s="159">
        <v>77000</v>
      </c>
      <c r="G2034" s="159">
        <v>1663585000</v>
      </c>
      <c r="H2034" s="159">
        <v>149722650</v>
      </c>
      <c r="I2034" s="159">
        <v>1813307650</v>
      </c>
      <c r="J2034" s="159" t="e">
        <f>bargiri[[#This Row],[مقدار]]*INDEX(invoice[پیش دریافت به ازای هر کیلوگرم],MATCH(bargiri[[#This Row],[شماره سند مبنا]],invoice[شماره پیش فاکتور],0))</f>
        <v>#N/A</v>
      </c>
      <c r="K2034" s="159" t="e">
        <f>bargiri[[#This Row],[مبلغ خالص]]-bargiri[[#This Row],[میزان استهلاک پیش دریافتی]]</f>
        <v>#N/A</v>
      </c>
      <c r="L2034" s="160"/>
      <c r="M2034" s="159"/>
      <c r="N2034" s="159" t="e">
        <f>IF(bargiri[[#This Row],[مبلغ واریزی]]&lt;&gt;"",bargiri[[#This Row],[مانده مبلغ]]-bargiri[[#This Row],[مبلغ واریزی]],bargiri[[#This Row],[مانده مبلغ]])</f>
        <v>#N/A</v>
      </c>
      <c r="O2034" s="159"/>
      <c r="P2034" s="159" t="e">
        <f>VLOOKUP(bargiri[[#This Row],[شماره سند مبنا]],invoice[[شماره پیش فاکتور]:[پیش دریافت به ازای هر کیلوگرم]],14,0)</f>
        <v>#N/A</v>
      </c>
      <c r="Q2034" s="159" t="e">
        <f>IF(bargiri[[#This Row],[مبلغ ناخالص]]-(bargiri[[#This Row],[نرخ استهلاک]]*bargiri[[#This Row],[مقدار]])&lt;0,0,bargiri[[#This Row],[مبلغ ناخالص]]-(bargiri[[#This Row],[نرخ استهلاک]]*bargiri[[#This Row],[مقدار]]))</f>
        <v>#N/A</v>
      </c>
    </row>
    <row r="2035" spans="1:17" s="22" customFormat="1" ht="13.8" x14ac:dyDescent="0.25">
      <c r="A2035" s="22">
        <v>835</v>
      </c>
      <c r="B2035" s="22" t="s">
        <v>511</v>
      </c>
      <c r="C2035" s="22" t="s">
        <v>66</v>
      </c>
      <c r="D2035" s="22" t="s">
        <v>67</v>
      </c>
      <c r="E2035" s="158">
        <v>20190</v>
      </c>
      <c r="F2035" s="159">
        <v>68500</v>
      </c>
      <c r="G2035" s="159">
        <v>1383015000</v>
      </c>
      <c r="H2035" s="159">
        <v>124471350</v>
      </c>
      <c r="I2035" s="159">
        <v>1507486350</v>
      </c>
      <c r="J2035" s="159" t="e">
        <f>bargiri[[#This Row],[مقدار]]*INDEX(invoice[پیش دریافت به ازای هر کیلوگرم],MATCH(bargiri[[#This Row],[شماره سند مبنا]],invoice[شماره پیش فاکتور],0))</f>
        <v>#N/A</v>
      </c>
      <c r="K2035" s="159" t="e">
        <f>bargiri[[#This Row],[مبلغ خالص]]-bargiri[[#This Row],[میزان استهلاک پیش دریافتی]]</f>
        <v>#N/A</v>
      </c>
      <c r="L2035" s="160"/>
      <c r="M2035" s="159"/>
      <c r="N2035" s="159" t="e">
        <f>IF(bargiri[[#This Row],[مبلغ واریزی]]&lt;&gt;"",bargiri[[#This Row],[مانده مبلغ]]-bargiri[[#This Row],[مبلغ واریزی]],bargiri[[#This Row],[مانده مبلغ]])</f>
        <v>#N/A</v>
      </c>
      <c r="O2035" s="159"/>
      <c r="P2035" s="159" t="e">
        <f>VLOOKUP(bargiri[[#This Row],[شماره سند مبنا]],invoice[[شماره پیش فاکتور]:[پیش دریافت به ازای هر کیلوگرم]],14,0)</f>
        <v>#N/A</v>
      </c>
      <c r="Q2035" s="159" t="e">
        <f>IF(bargiri[[#This Row],[مبلغ ناخالص]]-(bargiri[[#This Row],[نرخ استهلاک]]*bargiri[[#This Row],[مقدار]])&lt;0,0,bargiri[[#This Row],[مبلغ ناخالص]]-(bargiri[[#This Row],[نرخ استهلاک]]*bargiri[[#This Row],[مقدار]]))</f>
        <v>#N/A</v>
      </c>
    </row>
    <row r="2036" spans="1:17" s="22" customFormat="1" ht="13.8" x14ac:dyDescent="0.25">
      <c r="A2036" s="22">
        <v>834</v>
      </c>
      <c r="B2036" s="22" t="s">
        <v>511</v>
      </c>
      <c r="C2036" s="22" t="s">
        <v>24</v>
      </c>
      <c r="D2036" s="22" t="s">
        <v>25</v>
      </c>
      <c r="E2036" s="158">
        <v>22380</v>
      </c>
      <c r="F2036" s="159">
        <v>68000</v>
      </c>
      <c r="G2036" s="159">
        <v>1521840000</v>
      </c>
      <c r="H2036" s="159">
        <v>136965600</v>
      </c>
      <c r="I2036" s="159">
        <v>1658805600</v>
      </c>
      <c r="J2036" s="159" t="e">
        <f>bargiri[[#This Row],[مقدار]]*INDEX(invoice[پیش دریافت به ازای هر کیلوگرم],MATCH(bargiri[[#This Row],[شماره سند مبنا]],invoice[شماره پیش فاکتور],0))</f>
        <v>#N/A</v>
      </c>
      <c r="K2036" s="159" t="e">
        <f>bargiri[[#This Row],[مبلغ خالص]]-bargiri[[#This Row],[میزان استهلاک پیش دریافتی]]</f>
        <v>#N/A</v>
      </c>
      <c r="L2036" s="160"/>
      <c r="M2036" s="159"/>
      <c r="N2036" s="159" t="e">
        <f>IF(bargiri[[#This Row],[مبلغ واریزی]]&lt;&gt;"",bargiri[[#This Row],[مانده مبلغ]]-bargiri[[#This Row],[مبلغ واریزی]],bargiri[[#This Row],[مانده مبلغ]])</f>
        <v>#N/A</v>
      </c>
      <c r="O2036" s="159"/>
      <c r="P2036" s="159" t="e">
        <f>VLOOKUP(bargiri[[#This Row],[شماره سند مبنا]],invoice[[شماره پیش فاکتور]:[پیش دریافت به ازای هر کیلوگرم]],14,0)</f>
        <v>#N/A</v>
      </c>
      <c r="Q2036" s="159" t="e">
        <f>IF(bargiri[[#This Row],[مبلغ ناخالص]]-(bargiri[[#This Row],[نرخ استهلاک]]*bargiri[[#This Row],[مقدار]])&lt;0,0,bargiri[[#This Row],[مبلغ ناخالص]]-(bargiri[[#This Row],[نرخ استهلاک]]*bargiri[[#This Row],[مقدار]]))</f>
        <v>#N/A</v>
      </c>
    </row>
    <row r="2037" spans="1:17" s="22" customFormat="1" ht="13.8" x14ac:dyDescent="0.25">
      <c r="A2037" s="22">
        <v>833</v>
      </c>
      <c r="B2037" s="22" t="s">
        <v>511</v>
      </c>
      <c r="C2037" s="22" t="s">
        <v>19</v>
      </c>
      <c r="D2037" s="22" t="s">
        <v>20</v>
      </c>
      <c r="E2037" s="158">
        <v>19335</v>
      </c>
      <c r="F2037" s="159">
        <v>65000</v>
      </c>
      <c r="G2037" s="159">
        <v>1256775000</v>
      </c>
      <c r="H2037" s="159">
        <v>113109750</v>
      </c>
      <c r="I2037" s="159">
        <v>1369884750</v>
      </c>
      <c r="J2037" s="159" t="e">
        <f>bargiri[[#This Row],[مقدار]]*INDEX(invoice[پیش دریافت به ازای هر کیلوگرم],MATCH(bargiri[[#This Row],[شماره سند مبنا]],invoice[شماره پیش فاکتور],0))</f>
        <v>#N/A</v>
      </c>
      <c r="K2037" s="159" t="e">
        <f>bargiri[[#This Row],[مبلغ خالص]]-bargiri[[#This Row],[میزان استهلاک پیش دریافتی]]</f>
        <v>#N/A</v>
      </c>
      <c r="L2037" s="160"/>
      <c r="M2037" s="159"/>
      <c r="N2037" s="159" t="e">
        <f>IF(bargiri[[#This Row],[مبلغ واریزی]]&lt;&gt;"",bargiri[[#This Row],[مانده مبلغ]]-bargiri[[#This Row],[مبلغ واریزی]],bargiri[[#This Row],[مانده مبلغ]])</f>
        <v>#N/A</v>
      </c>
      <c r="O2037" s="159"/>
      <c r="P2037" s="159" t="e">
        <f>VLOOKUP(bargiri[[#This Row],[شماره سند مبنا]],invoice[[شماره پیش فاکتور]:[پیش دریافت به ازای هر کیلوگرم]],14,0)</f>
        <v>#N/A</v>
      </c>
      <c r="Q2037" s="159" t="e">
        <f>IF(bargiri[[#This Row],[مبلغ ناخالص]]-(bargiri[[#This Row],[نرخ استهلاک]]*bargiri[[#This Row],[مقدار]])&lt;0,0,bargiri[[#This Row],[مبلغ ناخالص]]-(bargiri[[#This Row],[نرخ استهلاک]]*bargiri[[#This Row],[مقدار]]))</f>
        <v>#N/A</v>
      </c>
    </row>
    <row r="2038" spans="1:17" s="22" customFormat="1" ht="13.8" x14ac:dyDescent="0.25">
      <c r="A2038" s="22">
        <v>832</v>
      </c>
      <c r="B2038" s="22" t="s">
        <v>511</v>
      </c>
      <c r="C2038" s="22" t="s">
        <v>109</v>
      </c>
      <c r="D2038" s="22" t="s">
        <v>110</v>
      </c>
      <c r="E2038" s="158">
        <v>19190</v>
      </c>
      <c r="F2038" s="159">
        <v>70000</v>
      </c>
      <c r="G2038" s="159">
        <v>1343300000</v>
      </c>
      <c r="H2038" s="159">
        <v>134330000</v>
      </c>
      <c r="I2038" s="159">
        <v>1477630000</v>
      </c>
      <c r="J2038" s="159" t="e">
        <f>bargiri[[#This Row],[مقدار]]*INDEX(invoice[پیش دریافت به ازای هر کیلوگرم],MATCH(bargiri[[#This Row],[شماره سند مبنا]],invoice[شماره پیش فاکتور],0))</f>
        <v>#N/A</v>
      </c>
      <c r="K2038" s="159" t="e">
        <f>bargiri[[#This Row],[مبلغ خالص]]-bargiri[[#This Row],[میزان استهلاک پیش دریافتی]]</f>
        <v>#N/A</v>
      </c>
      <c r="L2038" s="160"/>
      <c r="M2038" s="159"/>
      <c r="N2038" s="159" t="e">
        <f>IF(bargiri[[#This Row],[مبلغ واریزی]]&lt;&gt;"",bargiri[[#This Row],[مانده مبلغ]]-bargiri[[#This Row],[مبلغ واریزی]],bargiri[[#This Row],[مانده مبلغ]])</f>
        <v>#N/A</v>
      </c>
      <c r="O2038" s="159"/>
      <c r="P2038" s="159" t="e">
        <f>VLOOKUP(bargiri[[#This Row],[شماره سند مبنا]],invoice[[شماره پیش فاکتور]:[پیش دریافت به ازای هر کیلوگرم]],14,0)</f>
        <v>#N/A</v>
      </c>
      <c r="Q2038" s="159" t="e">
        <f>IF(bargiri[[#This Row],[مبلغ ناخالص]]-(bargiri[[#This Row],[نرخ استهلاک]]*bargiri[[#This Row],[مقدار]])&lt;0,0,bargiri[[#This Row],[مبلغ ناخالص]]-(bargiri[[#This Row],[نرخ استهلاک]]*bargiri[[#This Row],[مقدار]]))</f>
        <v>#N/A</v>
      </c>
    </row>
    <row r="2039" spans="1:17" s="22" customFormat="1" ht="13.8" x14ac:dyDescent="0.25">
      <c r="A2039" s="22">
        <v>831</v>
      </c>
      <c r="B2039" s="22" t="s">
        <v>487</v>
      </c>
      <c r="C2039" s="22" t="s">
        <v>88</v>
      </c>
      <c r="D2039" s="22" t="s">
        <v>89</v>
      </c>
      <c r="E2039" s="158">
        <v>14800</v>
      </c>
      <c r="F2039" s="159">
        <v>78000</v>
      </c>
      <c r="G2039" s="159">
        <v>1154400000</v>
      </c>
      <c r="H2039" s="159">
        <v>115440000</v>
      </c>
      <c r="I2039" s="159">
        <v>1269840000</v>
      </c>
      <c r="J2039" s="159" t="e">
        <f>bargiri[[#This Row],[مقدار]]*INDEX(invoice[پیش دریافت به ازای هر کیلوگرم],MATCH(bargiri[[#This Row],[شماره سند مبنا]],invoice[شماره پیش فاکتور],0))</f>
        <v>#N/A</v>
      </c>
      <c r="K2039" s="159" t="e">
        <f>bargiri[[#This Row],[مبلغ خالص]]-bargiri[[#This Row],[میزان استهلاک پیش دریافتی]]</f>
        <v>#N/A</v>
      </c>
      <c r="L2039" s="160"/>
      <c r="M2039" s="159"/>
      <c r="N2039" s="159" t="e">
        <f>IF(bargiri[[#This Row],[مبلغ واریزی]]&lt;&gt;"",bargiri[[#This Row],[مانده مبلغ]]-bargiri[[#This Row],[مبلغ واریزی]],bargiri[[#This Row],[مانده مبلغ]])</f>
        <v>#N/A</v>
      </c>
      <c r="O2039" s="159"/>
      <c r="P2039" s="159" t="e">
        <f>VLOOKUP(bargiri[[#This Row],[شماره سند مبنا]],invoice[[شماره پیش فاکتور]:[پیش دریافت به ازای هر کیلوگرم]],14,0)</f>
        <v>#N/A</v>
      </c>
      <c r="Q2039" s="159" t="e">
        <f>IF(bargiri[[#This Row],[مبلغ ناخالص]]-(bargiri[[#This Row],[نرخ استهلاک]]*bargiri[[#This Row],[مقدار]])&lt;0,0,bargiri[[#This Row],[مبلغ ناخالص]]-(bargiri[[#This Row],[نرخ استهلاک]]*bargiri[[#This Row],[مقدار]]))</f>
        <v>#N/A</v>
      </c>
    </row>
    <row r="2040" spans="1:17" s="22" customFormat="1" ht="13.8" x14ac:dyDescent="0.25">
      <c r="A2040" s="22">
        <v>828</v>
      </c>
      <c r="B2040" s="22" t="s">
        <v>512</v>
      </c>
      <c r="C2040" s="22" t="s">
        <v>66</v>
      </c>
      <c r="D2040" s="22" t="s">
        <v>67</v>
      </c>
      <c r="E2040" s="158">
        <v>21105</v>
      </c>
      <c r="F2040" s="159">
        <v>68500</v>
      </c>
      <c r="G2040" s="159">
        <v>1445692500</v>
      </c>
      <c r="H2040" s="159">
        <v>130112325</v>
      </c>
      <c r="I2040" s="159">
        <v>1575804825</v>
      </c>
      <c r="J2040" s="159" t="e">
        <f>bargiri[[#This Row],[مقدار]]*INDEX(invoice[پیش دریافت به ازای هر کیلوگرم],MATCH(bargiri[[#This Row],[شماره سند مبنا]],invoice[شماره پیش فاکتور],0))</f>
        <v>#N/A</v>
      </c>
      <c r="K2040" s="159" t="e">
        <f>bargiri[[#This Row],[مبلغ خالص]]-bargiri[[#This Row],[میزان استهلاک پیش دریافتی]]</f>
        <v>#N/A</v>
      </c>
      <c r="L2040" s="160"/>
      <c r="M2040" s="159"/>
      <c r="N2040" s="159" t="e">
        <f>IF(bargiri[[#This Row],[مبلغ واریزی]]&lt;&gt;"",bargiri[[#This Row],[مانده مبلغ]]-bargiri[[#This Row],[مبلغ واریزی]],bargiri[[#This Row],[مانده مبلغ]])</f>
        <v>#N/A</v>
      </c>
      <c r="O2040" s="159"/>
      <c r="P2040" s="159" t="e">
        <f>VLOOKUP(bargiri[[#This Row],[شماره سند مبنا]],invoice[[شماره پیش فاکتور]:[پیش دریافت به ازای هر کیلوگرم]],14,0)</f>
        <v>#N/A</v>
      </c>
      <c r="Q2040" s="159" t="e">
        <f>IF(bargiri[[#This Row],[مبلغ ناخالص]]-(bargiri[[#This Row],[نرخ استهلاک]]*bargiri[[#This Row],[مقدار]])&lt;0,0,bargiri[[#This Row],[مبلغ ناخالص]]-(bargiri[[#This Row],[نرخ استهلاک]]*bargiri[[#This Row],[مقدار]]))</f>
        <v>#N/A</v>
      </c>
    </row>
    <row r="2041" spans="1:17" s="22" customFormat="1" ht="13.8" x14ac:dyDescent="0.25">
      <c r="A2041" s="22">
        <v>827</v>
      </c>
      <c r="B2041" s="22" t="s">
        <v>512</v>
      </c>
      <c r="C2041" s="22" t="s">
        <v>29</v>
      </c>
      <c r="D2041" s="22" t="s">
        <v>30</v>
      </c>
      <c r="E2041" s="158">
        <v>11675</v>
      </c>
      <c r="F2041" s="159">
        <v>70000</v>
      </c>
      <c r="G2041" s="159">
        <v>817250000</v>
      </c>
      <c r="H2041" s="159">
        <v>81725000</v>
      </c>
      <c r="I2041" s="159">
        <v>898975000</v>
      </c>
      <c r="J2041" s="159" t="e">
        <f>bargiri[[#This Row],[مقدار]]*INDEX(invoice[پیش دریافت به ازای هر کیلوگرم],MATCH(bargiri[[#This Row],[شماره سند مبنا]],invoice[شماره پیش فاکتور],0))</f>
        <v>#N/A</v>
      </c>
      <c r="K2041" s="159" t="e">
        <f>bargiri[[#This Row],[مبلغ خالص]]-bargiri[[#This Row],[میزان استهلاک پیش دریافتی]]</f>
        <v>#N/A</v>
      </c>
      <c r="L2041" s="160"/>
      <c r="M2041" s="159"/>
      <c r="N2041" s="159" t="e">
        <f>IF(bargiri[[#This Row],[مبلغ واریزی]]&lt;&gt;"",bargiri[[#This Row],[مانده مبلغ]]-bargiri[[#This Row],[مبلغ واریزی]],bargiri[[#This Row],[مانده مبلغ]])</f>
        <v>#N/A</v>
      </c>
      <c r="O2041" s="159"/>
      <c r="P2041" s="159" t="e">
        <f>VLOOKUP(bargiri[[#This Row],[شماره سند مبنا]],invoice[[شماره پیش فاکتور]:[پیش دریافت به ازای هر کیلوگرم]],14,0)</f>
        <v>#N/A</v>
      </c>
      <c r="Q2041" s="159" t="e">
        <f>IF(bargiri[[#This Row],[مبلغ ناخالص]]-(bargiri[[#This Row],[نرخ استهلاک]]*bargiri[[#This Row],[مقدار]])&lt;0,0,bargiri[[#This Row],[مبلغ ناخالص]]-(bargiri[[#This Row],[نرخ استهلاک]]*bargiri[[#This Row],[مقدار]]))</f>
        <v>#N/A</v>
      </c>
    </row>
    <row r="2042" spans="1:17" s="22" customFormat="1" ht="13.8" x14ac:dyDescent="0.25">
      <c r="A2042" s="22">
        <v>826</v>
      </c>
      <c r="B2042" s="22" t="s">
        <v>488</v>
      </c>
      <c r="C2042" s="22" t="s">
        <v>66</v>
      </c>
      <c r="D2042" s="22" t="s">
        <v>67</v>
      </c>
      <c r="E2042" s="158">
        <v>19725</v>
      </c>
      <c r="F2042" s="159">
        <v>68500</v>
      </c>
      <c r="G2042" s="159">
        <v>1351162500</v>
      </c>
      <c r="H2042" s="159">
        <v>121604625</v>
      </c>
      <c r="I2042" s="159">
        <v>1472767125</v>
      </c>
      <c r="J2042" s="159" t="e">
        <f>bargiri[[#This Row],[مقدار]]*INDEX(invoice[پیش دریافت به ازای هر کیلوگرم],MATCH(bargiri[[#This Row],[شماره سند مبنا]],invoice[شماره پیش فاکتور],0))</f>
        <v>#N/A</v>
      </c>
      <c r="K2042" s="159" t="e">
        <f>bargiri[[#This Row],[مبلغ خالص]]-bargiri[[#This Row],[میزان استهلاک پیش دریافتی]]</f>
        <v>#N/A</v>
      </c>
      <c r="L2042" s="160"/>
      <c r="M2042" s="159"/>
      <c r="N2042" s="159" t="e">
        <f>IF(bargiri[[#This Row],[مبلغ واریزی]]&lt;&gt;"",bargiri[[#This Row],[مانده مبلغ]]-bargiri[[#This Row],[مبلغ واریزی]],bargiri[[#This Row],[مانده مبلغ]])</f>
        <v>#N/A</v>
      </c>
      <c r="O2042" s="159"/>
      <c r="P2042" s="159" t="e">
        <f>VLOOKUP(bargiri[[#This Row],[شماره سند مبنا]],invoice[[شماره پیش فاکتور]:[پیش دریافت به ازای هر کیلوگرم]],14,0)</f>
        <v>#N/A</v>
      </c>
      <c r="Q2042" s="159" t="e">
        <f>IF(bargiri[[#This Row],[مبلغ ناخالص]]-(bargiri[[#This Row],[نرخ استهلاک]]*bargiri[[#This Row],[مقدار]])&lt;0,0,bargiri[[#This Row],[مبلغ ناخالص]]-(bargiri[[#This Row],[نرخ استهلاک]]*bargiri[[#This Row],[مقدار]]))</f>
        <v>#N/A</v>
      </c>
    </row>
    <row r="2043" spans="1:17" s="22" customFormat="1" ht="13.8" x14ac:dyDescent="0.25">
      <c r="A2043" s="22">
        <v>825</v>
      </c>
      <c r="B2043" s="22" t="s">
        <v>488</v>
      </c>
      <c r="C2043" s="22" t="s">
        <v>66</v>
      </c>
      <c r="D2043" s="22" t="s">
        <v>67</v>
      </c>
      <c r="E2043" s="158">
        <v>21085</v>
      </c>
      <c r="F2043" s="159">
        <v>68500</v>
      </c>
      <c r="G2043" s="159">
        <v>1444322500</v>
      </c>
      <c r="H2043" s="159">
        <v>129989025</v>
      </c>
      <c r="I2043" s="159">
        <v>1574311525</v>
      </c>
      <c r="J2043" s="159" t="e">
        <f>bargiri[[#This Row],[مقدار]]*INDEX(invoice[پیش دریافت به ازای هر کیلوگرم],MATCH(bargiri[[#This Row],[شماره سند مبنا]],invoice[شماره پیش فاکتور],0))</f>
        <v>#N/A</v>
      </c>
      <c r="K2043" s="159" t="e">
        <f>bargiri[[#This Row],[مبلغ خالص]]-bargiri[[#This Row],[میزان استهلاک پیش دریافتی]]</f>
        <v>#N/A</v>
      </c>
      <c r="L2043" s="160"/>
      <c r="M2043" s="159"/>
      <c r="N2043" s="159" t="e">
        <f>IF(bargiri[[#This Row],[مبلغ واریزی]]&lt;&gt;"",bargiri[[#This Row],[مانده مبلغ]]-bargiri[[#This Row],[مبلغ واریزی]],bargiri[[#This Row],[مانده مبلغ]])</f>
        <v>#N/A</v>
      </c>
      <c r="O2043" s="159"/>
      <c r="P2043" s="159" t="e">
        <f>VLOOKUP(bargiri[[#This Row],[شماره سند مبنا]],invoice[[شماره پیش فاکتور]:[پیش دریافت به ازای هر کیلوگرم]],14,0)</f>
        <v>#N/A</v>
      </c>
      <c r="Q2043" s="159" t="e">
        <f>IF(bargiri[[#This Row],[مبلغ ناخالص]]-(bargiri[[#This Row],[نرخ استهلاک]]*bargiri[[#This Row],[مقدار]])&lt;0,0,bargiri[[#This Row],[مبلغ ناخالص]]-(bargiri[[#This Row],[نرخ استهلاک]]*bargiri[[#This Row],[مقدار]]))</f>
        <v>#N/A</v>
      </c>
    </row>
    <row r="2044" spans="1:17" s="22" customFormat="1" ht="13.8" x14ac:dyDescent="0.25">
      <c r="A2044" s="22">
        <v>824</v>
      </c>
      <c r="B2044" s="22" t="s">
        <v>488</v>
      </c>
      <c r="C2044" s="22" t="s">
        <v>47</v>
      </c>
      <c r="D2044" s="22" t="s">
        <v>43</v>
      </c>
      <c r="E2044" s="158">
        <v>17965</v>
      </c>
      <c r="F2044" s="159">
        <v>65000</v>
      </c>
      <c r="G2044" s="159">
        <v>1167725000</v>
      </c>
      <c r="H2044" s="159">
        <v>105095250</v>
      </c>
      <c r="I2044" s="159">
        <v>1272820250</v>
      </c>
      <c r="J2044" s="159" t="e">
        <f>bargiri[[#This Row],[مقدار]]*INDEX(invoice[پیش دریافت به ازای هر کیلوگرم],MATCH(bargiri[[#This Row],[شماره سند مبنا]],invoice[شماره پیش فاکتور],0))</f>
        <v>#N/A</v>
      </c>
      <c r="K2044" s="159" t="e">
        <f>bargiri[[#This Row],[مبلغ خالص]]-bargiri[[#This Row],[میزان استهلاک پیش دریافتی]]</f>
        <v>#N/A</v>
      </c>
      <c r="L2044" s="160"/>
      <c r="M2044" s="159"/>
      <c r="N2044" s="159" t="e">
        <f>IF(bargiri[[#This Row],[مبلغ واریزی]]&lt;&gt;"",bargiri[[#This Row],[مانده مبلغ]]-bargiri[[#This Row],[مبلغ واریزی]],bargiri[[#This Row],[مانده مبلغ]])</f>
        <v>#N/A</v>
      </c>
      <c r="O2044" s="159"/>
      <c r="P2044" s="159" t="e">
        <f>VLOOKUP(bargiri[[#This Row],[شماره سند مبنا]],invoice[[شماره پیش فاکتور]:[پیش دریافت به ازای هر کیلوگرم]],14,0)</f>
        <v>#N/A</v>
      </c>
      <c r="Q2044" s="159" t="e">
        <f>IF(bargiri[[#This Row],[مبلغ ناخالص]]-(bargiri[[#This Row],[نرخ استهلاک]]*bargiri[[#This Row],[مقدار]])&lt;0,0,bargiri[[#This Row],[مبلغ ناخالص]]-(bargiri[[#This Row],[نرخ استهلاک]]*bargiri[[#This Row],[مقدار]]))</f>
        <v>#N/A</v>
      </c>
    </row>
    <row r="2045" spans="1:17" s="22" customFormat="1" ht="13.8" x14ac:dyDescent="0.25">
      <c r="A2045" s="22">
        <v>823</v>
      </c>
      <c r="B2045" s="22" t="s">
        <v>488</v>
      </c>
      <c r="C2045" s="22" t="s">
        <v>109</v>
      </c>
      <c r="D2045" s="22" t="s">
        <v>110</v>
      </c>
      <c r="E2045" s="158">
        <v>18900</v>
      </c>
      <c r="F2045" s="159">
        <v>70000</v>
      </c>
      <c r="G2045" s="159">
        <v>1323000000</v>
      </c>
      <c r="H2045" s="159">
        <v>132300000</v>
      </c>
      <c r="I2045" s="159">
        <v>1455300000</v>
      </c>
      <c r="J2045" s="159" t="e">
        <f>bargiri[[#This Row],[مقدار]]*INDEX(invoice[پیش دریافت به ازای هر کیلوگرم],MATCH(bargiri[[#This Row],[شماره سند مبنا]],invoice[شماره پیش فاکتور],0))</f>
        <v>#N/A</v>
      </c>
      <c r="K2045" s="159" t="e">
        <f>bargiri[[#This Row],[مبلغ خالص]]-bargiri[[#This Row],[میزان استهلاک پیش دریافتی]]</f>
        <v>#N/A</v>
      </c>
      <c r="L2045" s="160"/>
      <c r="M2045" s="159"/>
      <c r="N2045" s="159" t="e">
        <f>IF(bargiri[[#This Row],[مبلغ واریزی]]&lt;&gt;"",bargiri[[#This Row],[مانده مبلغ]]-bargiri[[#This Row],[مبلغ واریزی]],bargiri[[#This Row],[مانده مبلغ]])</f>
        <v>#N/A</v>
      </c>
      <c r="O2045" s="159"/>
      <c r="P2045" s="159" t="e">
        <f>VLOOKUP(bargiri[[#This Row],[شماره سند مبنا]],invoice[[شماره پیش فاکتور]:[پیش دریافت به ازای هر کیلوگرم]],14,0)</f>
        <v>#N/A</v>
      </c>
      <c r="Q2045" s="159" t="e">
        <f>IF(bargiri[[#This Row],[مبلغ ناخالص]]-(bargiri[[#This Row],[نرخ استهلاک]]*bargiri[[#This Row],[مقدار]])&lt;0,0,bargiri[[#This Row],[مبلغ ناخالص]]-(bargiri[[#This Row],[نرخ استهلاک]]*bargiri[[#This Row],[مقدار]]))</f>
        <v>#N/A</v>
      </c>
    </row>
    <row r="2046" spans="1:17" s="22" customFormat="1" ht="13.8" x14ac:dyDescent="0.25">
      <c r="A2046" s="22">
        <v>822</v>
      </c>
      <c r="B2046" s="22" t="s">
        <v>488</v>
      </c>
      <c r="C2046" s="22" t="s">
        <v>19</v>
      </c>
      <c r="D2046" s="22" t="s">
        <v>20</v>
      </c>
      <c r="E2046" s="158">
        <v>20550</v>
      </c>
      <c r="F2046" s="159">
        <v>65000</v>
      </c>
      <c r="G2046" s="159">
        <v>1335750000</v>
      </c>
      <c r="H2046" s="159">
        <v>120217500</v>
      </c>
      <c r="I2046" s="159">
        <v>1455967500</v>
      </c>
      <c r="J2046" s="159" t="e">
        <f>bargiri[[#This Row],[مقدار]]*INDEX(invoice[پیش دریافت به ازای هر کیلوگرم],MATCH(bargiri[[#This Row],[شماره سند مبنا]],invoice[شماره پیش فاکتور],0))</f>
        <v>#N/A</v>
      </c>
      <c r="K2046" s="159" t="e">
        <f>bargiri[[#This Row],[مبلغ خالص]]-bargiri[[#This Row],[میزان استهلاک پیش دریافتی]]</f>
        <v>#N/A</v>
      </c>
      <c r="L2046" s="160"/>
      <c r="M2046" s="159"/>
      <c r="N2046" s="159" t="e">
        <f>IF(bargiri[[#This Row],[مبلغ واریزی]]&lt;&gt;"",bargiri[[#This Row],[مانده مبلغ]]-bargiri[[#This Row],[مبلغ واریزی]],bargiri[[#This Row],[مانده مبلغ]])</f>
        <v>#N/A</v>
      </c>
      <c r="O2046" s="159"/>
      <c r="P2046" s="159" t="e">
        <f>VLOOKUP(bargiri[[#This Row],[شماره سند مبنا]],invoice[[شماره پیش فاکتور]:[پیش دریافت به ازای هر کیلوگرم]],14,0)</f>
        <v>#N/A</v>
      </c>
      <c r="Q2046" s="159" t="e">
        <f>IF(bargiri[[#This Row],[مبلغ ناخالص]]-(bargiri[[#This Row],[نرخ استهلاک]]*bargiri[[#This Row],[مقدار]])&lt;0,0,bargiri[[#This Row],[مبلغ ناخالص]]-(bargiri[[#This Row],[نرخ استهلاک]]*bargiri[[#This Row],[مقدار]]))</f>
        <v>#N/A</v>
      </c>
    </row>
    <row r="2047" spans="1:17" s="22" customFormat="1" ht="13.8" x14ac:dyDescent="0.25">
      <c r="A2047" s="22">
        <v>818</v>
      </c>
      <c r="B2047" s="22" t="s">
        <v>513</v>
      </c>
      <c r="C2047" s="22" t="s">
        <v>99</v>
      </c>
      <c r="D2047" s="22" t="s">
        <v>64</v>
      </c>
      <c r="E2047" s="158">
        <v>22150</v>
      </c>
      <c r="F2047" s="159">
        <v>75000</v>
      </c>
      <c r="G2047" s="159">
        <v>1661250000</v>
      </c>
      <c r="H2047" s="159">
        <v>166125000</v>
      </c>
      <c r="I2047" s="159">
        <v>1827375000</v>
      </c>
      <c r="J2047" s="159" t="e">
        <f>bargiri[[#This Row],[مقدار]]*INDEX(invoice[پیش دریافت به ازای هر کیلوگرم],MATCH(bargiri[[#This Row],[شماره سند مبنا]],invoice[شماره پیش فاکتور],0))</f>
        <v>#N/A</v>
      </c>
      <c r="K2047" s="159" t="e">
        <f>bargiri[[#This Row],[مبلغ خالص]]-bargiri[[#This Row],[میزان استهلاک پیش دریافتی]]</f>
        <v>#N/A</v>
      </c>
      <c r="L2047" s="160"/>
      <c r="M2047" s="159"/>
      <c r="N2047" s="159" t="e">
        <f>IF(bargiri[[#This Row],[مبلغ واریزی]]&lt;&gt;"",bargiri[[#This Row],[مانده مبلغ]]-bargiri[[#This Row],[مبلغ واریزی]],bargiri[[#This Row],[مانده مبلغ]])</f>
        <v>#N/A</v>
      </c>
      <c r="O2047" s="159"/>
      <c r="P2047" s="159" t="e">
        <f>VLOOKUP(bargiri[[#This Row],[شماره سند مبنا]],invoice[[شماره پیش فاکتور]:[پیش دریافت به ازای هر کیلوگرم]],14,0)</f>
        <v>#N/A</v>
      </c>
      <c r="Q2047" s="159" t="e">
        <f>IF(bargiri[[#This Row],[مبلغ ناخالص]]-(bargiri[[#This Row],[نرخ استهلاک]]*bargiri[[#This Row],[مقدار]])&lt;0,0,bargiri[[#This Row],[مبلغ ناخالص]]-(bargiri[[#This Row],[نرخ استهلاک]]*bargiri[[#This Row],[مقدار]]))</f>
        <v>#N/A</v>
      </c>
    </row>
    <row r="2048" spans="1:17" s="22" customFormat="1" ht="13.8" x14ac:dyDescent="0.25">
      <c r="A2048" s="22">
        <v>817</v>
      </c>
      <c r="B2048" s="22" t="s">
        <v>513</v>
      </c>
      <c r="C2048" s="22" t="s">
        <v>97</v>
      </c>
      <c r="D2048" s="22" t="s">
        <v>40</v>
      </c>
      <c r="E2048" s="158">
        <v>16935</v>
      </c>
      <c r="F2048" s="159">
        <v>85000</v>
      </c>
      <c r="G2048" s="159">
        <v>1439475000</v>
      </c>
      <c r="H2048" s="159">
        <v>143947500</v>
      </c>
      <c r="I2048" s="159">
        <v>1583422500</v>
      </c>
      <c r="J2048" s="159" t="e">
        <f>bargiri[[#This Row],[مقدار]]*INDEX(invoice[پیش دریافت به ازای هر کیلوگرم],MATCH(bargiri[[#This Row],[شماره سند مبنا]],invoice[شماره پیش فاکتور],0))</f>
        <v>#N/A</v>
      </c>
      <c r="K2048" s="159" t="e">
        <f>bargiri[[#This Row],[مبلغ خالص]]-bargiri[[#This Row],[میزان استهلاک پیش دریافتی]]</f>
        <v>#N/A</v>
      </c>
      <c r="L2048" s="160"/>
      <c r="M2048" s="159"/>
      <c r="N2048" s="159" t="e">
        <f>IF(bargiri[[#This Row],[مبلغ واریزی]]&lt;&gt;"",bargiri[[#This Row],[مانده مبلغ]]-bargiri[[#This Row],[مبلغ واریزی]],bargiri[[#This Row],[مانده مبلغ]])</f>
        <v>#N/A</v>
      </c>
      <c r="O2048" s="159"/>
      <c r="P2048" s="159" t="e">
        <f>VLOOKUP(bargiri[[#This Row],[شماره سند مبنا]],invoice[[شماره پیش فاکتور]:[پیش دریافت به ازای هر کیلوگرم]],14,0)</f>
        <v>#N/A</v>
      </c>
      <c r="Q2048" s="159" t="e">
        <f>IF(bargiri[[#This Row],[مبلغ ناخالص]]-(bargiri[[#This Row],[نرخ استهلاک]]*bargiri[[#This Row],[مقدار]])&lt;0,0,bargiri[[#This Row],[مبلغ ناخالص]]-(bargiri[[#This Row],[نرخ استهلاک]]*bargiri[[#This Row],[مقدار]]))</f>
        <v>#N/A</v>
      </c>
    </row>
    <row r="2049" spans="1:17" s="22" customFormat="1" ht="13.8" x14ac:dyDescent="0.25">
      <c r="A2049" s="22">
        <v>816</v>
      </c>
      <c r="B2049" s="22" t="s">
        <v>513</v>
      </c>
      <c r="C2049" s="22" t="s">
        <v>19</v>
      </c>
      <c r="D2049" s="22" t="s">
        <v>20</v>
      </c>
      <c r="E2049" s="158">
        <v>21120</v>
      </c>
      <c r="F2049" s="159">
        <v>65000</v>
      </c>
      <c r="G2049" s="159">
        <v>1372800000</v>
      </c>
      <c r="H2049" s="159">
        <v>123552000</v>
      </c>
      <c r="I2049" s="159">
        <v>1496352000</v>
      </c>
      <c r="J2049" s="159" t="e">
        <f>bargiri[[#This Row],[مقدار]]*INDEX(invoice[پیش دریافت به ازای هر کیلوگرم],MATCH(bargiri[[#This Row],[شماره سند مبنا]],invoice[شماره پیش فاکتور],0))</f>
        <v>#N/A</v>
      </c>
      <c r="K2049" s="159" t="e">
        <f>bargiri[[#This Row],[مبلغ خالص]]-bargiri[[#This Row],[میزان استهلاک پیش دریافتی]]</f>
        <v>#N/A</v>
      </c>
      <c r="L2049" s="160"/>
      <c r="M2049" s="159"/>
      <c r="N2049" s="159" t="e">
        <f>IF(bargiri[[#This Row],[مبلغ واریزی]]&lt;&gt;"",bargiri[[#This Row],[مانده مبلغ]]-bargiri[[#This Row],[مبلغ واریزی]],bargiri[[#This Row],[مانده مبلغ]])</f>
        <v>#N/A</v>
      </c>
      <c r="O2049" s="159"/>
      <c r="P2049" s="159" t="e">
        <f>VLOOKUP(bargiri[[#This Row],[شماره سند مبنا]],invoice[[شماره پیش فاکتور]:[پیش دریافت به ازای هر کیلوگرم]],14,0)</f>
        <v>#N/A</v>
      </c>
      <c r="Q2049" s="159" t="e">
        <f>IF(bargiri[[#This Row],[مبلغ ناخالص]]-(bargiri[[#This Row],[نرخ استهلاک]]*bargiri[[#This Row],[مقدار]])&lt;0,0,bargiri[[#This Row],[مبلغ ناخالص]]-(bargiri[[#This Row],[نرخ استهلاک]]*bargiri[[#This Row],[مقدار]]))</f>
        <v>#N/A</v>
      </c>
    </row>
    <row r="2050" spans="1:17" s="22" customFormat="1" ht="13.8" x14ac:dyDescent="0.25">
      <c r="A2050" s="22">
        <v>815</v>
      </c>
      <c r="B2050" s="22" t="s">
        <v>513</v>
      </c>
      <c r="C2050" s="22" t="s">
        <v>19</v>
      </c>
      <c r="D2050" s="22" t="s">
        <v>20</v>
      </c>
      <c r="E2050" s="158">
        <v>18035</v>
      </c>
      <c r="F2050" s="159">
        <v>65000</v>
      </c>
      <c r="G2050" s="159">
        <v>1172275000</v>
      </c>
      <c r="H2050" s="159">
        <v>105504750</v>
      </c>
      <c r="I2050" s="159">
        <v>1277779750</v>
      </c>
      <c r="J2050" s="159" t="e">
        <f>bargiri[[#This Row],[مقدار]]*INDEX(invoice[پیش دریافت به ازای هر کیلوگرم],MATCH(bargiri[[#This Row],[شماره سند مبنا]],invoice[شماره پیش فاکتور],0))</f>
        <v>#N/A</v>
      </c>
      <c r="K2050" s="159" t="e">
        <f>bargiri[[#This Row],[مبلغ خالص]]-bargiri[[#This Row],[میزان استهلاک پیش دریافتی]]</f>
        <v>#N/A</v>
      </c>
      <c r="L2050" s="160"/>
      <c r="M2050" s="159"/>
      <c r="N2050" s="159" t="e">
        <f>IF(bargiri[[#This Row],[مبلغ واریزی]]&lt;&gt;"",bargiri[[#This Row],[مانده مبلغ]]-bargiri[[#This Row],[مبلغ واریزی]],bargiri[[#This Row],[مانده مبلغ]])</f>
        <v>#N/A</v>
      </c>
      <c r="O2050" s="159"/>
      <c r="P2050" s="159" t="e">
        <f>VLOOKUP(bargiri[[#This Row],[شماره سند مبنا]],invoice[[شماره پیش فاکتور]:[پیش دریافت به ازای هر کیلوگرم]],14,0)</f>
        <v>#N/A</v>
      </c>
      <c r="Q2050" s="159" t="e">
        <f>IF(bargiri[[#This Row],[مبلغ ناخالص]]-(bargiri[[#This Row],[نرخ استهلاک]]*bargiri[[#This Row],[مقدار]])&lt;0,0,bargiri[[#This Row],[مبلغ ناخالص]]-(bargiri[[#This Row],[نرخ استهلاک]]*bargiri[[#This Row],[مقدار]]))</f>
        <v>#N/A</v>
      </c>
    </row>
    <row r="2051" spans="1:17" s="22" customFormat="1" ht="13.8" x14ac:dyDescent="0.25">
      <c r="A2051" s="22">
        <v>814</v>
      </c>
      <c r="B2051" s="22" t="s">
        <v>513</v>
      </c>
      <c r="C2051" s="22" t="s">
        <v>47</v>
      </c>
      <c r="D2051" s="22" t="s">
        <v>43</v>
      </c>
      <c r="E2051" s="158">
        <v>20120</v>
      </c>
      <c r="F2051" s="159">
        <v>65000</v>
      </c>
      <c r="G2051" s="159">
        <v>1307800000</v>
      </c>
      <c r="H2051" s="159">
        <v>117702000</v>
      </c>
      <c r="I2051" s="159">
        <v>1425502000</v>
      </c>
      <c r="J2051" s="159" t="e">
        <f>bargiri[[#This Row],[مقدار]]*INDEX(invoice[پیش دریافت به ازای هر کیلوگرم],MATCH(bargiri[[#This Row],[شماره سند مبنا]],invoice[شماره پیش فاکتور],0))</f>
        <v>#N/A</v>
      </c>
      <c r="K2051" s="159" t="e">
        <f>bargiri[[#This Row],[مبلغ خالص]]-bargiri[[#This Row],[میزان استهلاک پیش دریافتی]]</f>
        <v>#N/A</v>
      </c>
      <c r="L2051" s="160"/>
      <c r="M2051" s="159"/>
      <c r="N2051" s="159" t="e">
        <f>IF(bargiri[[#This Row],[مبلغ واریزی]]&lt;&gt;"",bargiri[[#This Row],[مانده مبلغ]]-bargiri[[#This Row],[مبلغ واریزی]],bargiri[[#This Row],[مانده مبلغ]])</f>
        <v>#N/A</v>
      </c>
      <c r="O2051" s="159"/>
      <c r="P2051" s="159" t="e">
        <f>VLOOKUP(bargiri[[#This Row],[شماره سند مبنا]],invoice[[شماره پیش فاکتور]:[پیش دریافت به ازای هر کیلوگرم]],14,0)</f>
        <v>#N/A</v>
      </c>
      <c r="Q2051" s="159" t="e">
        <f>IF(bargiri[[#This Row],[مبلغ ناخالص]]-(bargiri[[#This Row],[نرخ استهلاک]]*bargiri[[#This Row],[مقدار]])&lt;0,0,bargiri[[#This Row],[مبلغ ناخالص]]-(bargiri[[#This Row],[نرخ استهلاک]]*bargiri[[#This Row],[مقدار]]))</f>
        <v>#N/A</v>
      </c>
    </row>
    <row r="2052" spans="1:17" s="22" customFormat="1" ht="13.8" x14ac:dyDescent="0.25">
      <c r="A2052" s="22">
        <v>813</v>
      </c>
      <c r="B2052" s="22" t="s">
        <v>514</v>
      </c>
      <c r="C2052" s="22" t="s">
        <v>66</v>
      </c>
      <c r="D2052" s="22" t="s">
        <v>67</v>
      </c>
      <c r="E2052" s="158">
        <v>18095</v>
      </c>
      <c r="F2052" s="159">
        <v>68500</v>
      </c>
      <c r="G2052" s="159">
        <v>1239507500</v>
      </c>
      <c r="H2052" s="159">
        <v>111555675</v>
      </c>
      <c r="I2052" s="159">
        <v>1351063175</v>
      </c>
      <c r="J2052" s="159" t="e">
        <f>bargiri[[#This Row],[مقدار]]*INDEX(invoice[پیش دریافت به ازای هر کیلوگرم],MATCH(bargiri[[#This Row],[شماره سند مبنا]],invoice[شماره پیش فاکتور],0))</f>
        <v>#N/A</v>
      </c>
      <c r="K2052" s="159" t="e">
        <f>bargiri[[#This Row],[مبلغ خالص]]-bargiri[[#This Row],[میزان استهلاک پیش دریافتی]]</f>
        <v>#N/A</v>
      </c>
      <c r="L2052" s="160"/>
      <c r="M2052" s="159"/>
      <c r="N2052" s="159" t="e">
        <f>IF(bargiri[[#This Row],[مبلغ واریزی]]&lt;&gt;"",bargiri[[#This Row],[مانده مبلغ]]-bargiri[[#This Row],[مبلغ واریزی]],bargiri[[#This Row],[مانده مبلغ]])</f>
        <v>#N/A</v>
      </c>
      <c r="O2052" s="159"/>
      <c r="P2052" s="159" t="e">
        <f>VLOOKUP(bargiri[[#This Row],[شماره سند مبنا]],invoice[[شماره پیش فاکتور]:[پیش دریافت به ازای هر کیلوگرم]],14,0)</f>
        <v>#N/A</v>
      </c>
      <c r="Q2052" s="159" t="e">
        <f>IF(bargiri[[#This Row],[مبلغ ناخالص]]-(bargiri[[#This Row],[نرخ استهلاک]]*bargiri[[#This Row],[مقدار]])&lt;0,0,bargiri[[#This Row],[مبلغ ناخالص]]-(bargiri[[#This Row],[نرخ استهلاک]]*bargiri[[#This Row],[مقدار]]))</f>
        <v>#N/A</v>
      </c>
    </row>
    <row r="2053" spans="1:17" s="22" customFormat="1" ht="13.8" x14ac:dyDescent="0.25">
      <c r="A2053" s="22">
        <v>812</v>
      </c>
      <c r="B2053" s="22" t="s">
        <v>514</v>
      </c>
      <c r="C2053" s="22" t="s">
        <v>93</v>
      </c>
      <c r="D2053" s="22" t="s">
        <v>78</v>
      </c>
      <c r="E2053" s="158">
        <v>22120</v>
      </c>
      <c r="F2053" s="159">
        <v>70000</v>
      </c>
      <c r="G2053" s="159">
        <v>1548400000</v>
      </c>
      <c r="H2053" s="159">
        <v>154840000</v>
      </c>
      <c r="I2053" s="159">
        <v>1703240000</v>
      </c>
      <c r="J2053" s="159" t="e">
        <f>bargiri[[#This Row],[مقدار]]*INDEX(invoice[پیش دریافت به ازای هر کیلوگرم],MATCH(bargiri[[#This Row],[شماره سند مبنا]],invoice[شماره پیش فاکتور],0))</f>
        <v>#N/A</v>
      </c>
      <c r="K2053" s="159" t="e">
        <f>bargiri[[#This Row],[مبلغ خالص]]-bargiri[[#This Row],[میزان استهلاک پیش دریافتی]]</f>
        <v>#N/A</v>
      </c>
      <c r="L2053" s="160"/>
      <c r="M2053" s="159"/>
      <c r="N2053" s="159" t="e">
        <f>IF(bargiri[[#This Row],[مبلغ واریزی]]&lt;&gt;"",bargiri[[#This Row],[مانده مبلغ]]-bargiri[[#This Row],[مبلغ واریزی]],bargiri[[#This Row],[مانده مبلغ]])</f>
        <v>#N/A</v>
      </c>
      <c r="O2053" s="159"/>
      <c r="P2053" s="159" t="e">
        <f>VLOOKUP(bargiri[[#This Row],[شماره سند مبنا]],invoice[[شماره پیش فاکتور]:[پیش دریافت به ازای هر کیلوگرم]],14,0)</f>
        <v>#N/A</v>
      </c>
      <c r="Q2053" s="159" t="e">
        <f>IF(bargiri[[#This Row],[مبلغ ناخالص]]-(bargiri[[#This Row],[نرخ استهلاک]]*bargiri[[#This Row],[مقدار]])&lt;0,0,bargiri[[#This Row],[مبلغ ناخالص]]-(bargiri[[#This Row],[نرخ استهلاک]]*bargiri[[#This Row],[مقدار]]))</f>
        <v>#N/A</v>
      </c>
    </row>
    <row r="2054" spans="1:17" s="22" customFormat="1" ht="13.8" x14ac:dyDescent="0.25">
      <c r="A2054" s="22">
        <v>811</v>
      </c>
      <c r="B2054" s="22" t="s">
        <v>514</v>
      </c>
      <c r="C2054" s="22" t="s">
        <v>47</v>
      </c>
      <c r="D2054" s="22" t="s">
        <v>43</v>
      </c>
      <c r="E2054" s="158">
        <v>20205</v>
      </c>
      <c r="F2054" s="159">
        <v>65000</v>
      </c>
      <c r="G2054" s="159">
        <v>1313325000</v>
      </c>
      <c r="H2054" s="159">
        <v>118199250</v>
      </c>
      <c r="I2054" s="159">
        <v>1431524250</v>
      </c>
      <c r="J2054" s="159" t="e">
        <f>bargiri[[#This Row],[مقدار]]*INDEX(invoice[پیش دریافت به ازای هر کیلوگرم],MATCH(bargiri[[#This Row],[شماره سند مبنا]],invoice[شماره پیش فاکتور],0))</f>
        <v>#N/A</v>
      </c>
      <c r="K2054" s="159" t="e">
        <f>bargiri[[#This Row],[مبلغ خالص]]-bargiri[[#This Row],[میزان استهلاک پیش دریافتی]]</f>
        <v>#N/A</v>
      </c>
      <c r="L2054" s="160"/>
      <c r="M2054" s="159"/>
      <c r="N2054" s="159" t="e">
        <f>IF(bargiri[[#This Row],[مبلغ واریزی]]&lt;&gt;"",bargiri[[#This Row],[مانده مبلغ]]-bargiri[[#This Row],[مبلغ واریزی]],bargiri[[#This Row],[مانده مبلغ]])</f>
        <v>#N/A</v>
      </c>
      <c r="O2054" s="159"/>
      <c r="P2054" s="159" t="e">
        <f>VLOOKUP(bargiri[[#This Row],[شماره سند مبنا]],invoice[[شماره پیش فاکتور]:[پیش دریافت به ازای هر کیلوگرم]],14,0)</f>
        <v>#N/A</v>
      </c>
      <c r="Q2054" s="159" t="e">
        <f>IF(bargiri[[#This Row],[مبلغ ناخالص]]-(bargiri[[#This Row],[نرخ استهلاک]]*bargiri[[#This Row],[مقدار]])&lt;0,0,bargiri[[#This Row],[مبلغ ناخالص]]-(bargiri[[#This Row],[نرخ استهلاک]]*bargiri[[#This Row],[مقدار]]))</f>
        <v>#N/A</v>
      </c>
    </row>
    <row r="2055" spans="1:17" s="22" customFormat="1" ht="13.8" x14ac:dyDescent="0.25">
      <c r="A2055" s="22">
        <v>810</v>
      </c>
      <c r="B2055" s="22" t="s">
        <v>514</v>
      </c>
      <c r="C2055" s="22" t="s">
        <v>29</v>
      </c>
      <c r="D2055" s="22" t="s">
        <v>30</v>
      </c>
      <c r="E2055" s="158">
        <v>11255</v>
      </c>
      <c r="F2055" s="159">
        <v>70000</v>
      </c>
      <c r="G2055" s="159">
        <v>787850000</v>
      </c>
      <c r="H2055" s="159">
        <v>78785000</v>
      </c>
      <c r="I2055" s="159">
        <v>866635000</v>
      </c>
      <c r="J2055" s="159" t="e">
        <f>bargiri[[#This Row],[مقدار]]*INDEX(invoice[پیش دریافت به ازای هر کیلوگرم],MATCH(bargiri[[#This Row],[شماره سند مبنا]],invoice[شماره پیش فاکتور],0))</f>
        <v>#N/A</v>
      </c>
      <c r="K2055" s="159" t="e">
        <f>bargiri[[#This Row],[مبلغ خالص]]-bargiri[[#This Row],[میزان استهلاک پیش دریافتی]]</f>
        <v>#N/A</v>
      </c>
      <c r="L2055" s="160"/>
      <c r="M2055" s="159"/>
      <c r="N2055" s="159" t="e">
        <f>IF(bargiri[[#This Row],[مبلغ واریزی]]&lt;&gt;"",bargiri[[#This Row],[مانده مبلغ]]-bargiri[[#This Row],[مبلغ واریزی]],bargiri[[#This Row],[مانده مبلغ]])</f>
        <v>#N/A</v>
      </c>
      <c r="O2055" s="159"/>
      <c r="P2055" s="159" t="e">
        <f>VLOOKUP(bargiri[[#This Row],[شماره سند مبنا]],invoice[[شماره پیش فاکتور]:[پیش دریافت به ازای هر کیلوگرم]],14,0)</f>
        <v>#N/A</v>
      </c>
      <c r="Q2055" s="159" t="e">
        <f>IF(bargiri[[#This Row],[مبلغ ناخالص]]-(bargiri[[#This Row],[نرخ استهلاک]]*bargiri[[#This Row],[مقدار]])&lt;0,0,bargiri[[#This Row],[مبلغ ناخالص]]-(bargiri[[#This Row],[نرخ استهلاک]]*bargiri[[#This Row],[مقدار]]))</f>
        <v>#N/A</v>
      </c>
    </row>
    <row r="2056" spans="1:17" s="22" customFormat="1" ht="13.8" x14ac:dyDescent="0.25">
      <c r="A2056" s="22">
        <v>809</v>
      </c>
      <c r="B2056" s="22" t="s">
        <v>514</v>
      </c>
      <c r="C2056" s="22" t="s">
        <v>66</v>
      </c>
      <c r="D2056" s="22" t="s">
        <v>67</v>
      </c>
      <c r="E2056" s="158">
        <v>20645</v>
      </c>
      <c r="F2056" s="159">
        <v>68500</v>
      </c>
      <c r="G2056" s="159">
        <v>1414182500</v>
      </c>
      <c r="H2056" s="159">
        <v>127276425</v>
      </c>
      <c r="I2056" s="159">
        <v>1541458925</v>
      </c>
      <c r="J2056" s="159" t="e">
        <f>bargiri[[#This Row],[مقدار]]*INDEX(invoice[پیش دریافت به ازای هر کیلوگرم],MATCH(bargiri[[#This Row],[شماره سند مبنا]],invoice[شماره پیش فاکتور],0))</f>
        <v>#N/A</v>
      </c>
      <c r="K2056" s="159" t="e">
        <f>bargiri[[#This Row],[مبلغ خالص]]-bargiri[[#This Row],[میزان استهلاک پیش دریافتی]]</f>
        <v>#N/A</v>
      </c>
      <c r="L2056" s="160"/>
      <c r="M2056" s="159"/>
      <c r="N2056" s="159" t="e">
        <f>IF(bargiri[[#This Row],[مبلغ واریزی]]&lt;&gt;"",bargiri[[#This Row],[مانده مبلغ]]-bargiri[[#This Row],[مبلغ واریزی]],bargiri[[#This Row],[مانده مبلغ]])</f>
        <v>#N/A</v>
      </c>
      <c r="O2056" s="159"/>
      <c r="P2056" s="159" t="e">
        <f>VLOOKUP(bargiri[[#This Row],[شماره سند مبنا]],invoice[[شماره پیش فاکتور]:[پیش دریافت به ازای هر کیلوگرم]],14,0)</f>
        <v>#N/A</v>
      </c>
      <c r="Q2056" s="159" t="e">
        <f>IF(bargiri[[#This Row],[مبلغ ناخالص]]-(bargiri[[#This Row],[نرخ استهلاک]]*bargiri[[#This Row],[مقدار]])&lt;0,0,bargiri[[#This Row],[مبلغ ناخالص]]-(bargiri[[#This Row],[نرخ استهلاک]]*bargiri[[#This Row],[مقدار]]))</f>
        <v>#N/A</v>
      </c>
    </row>
    <row r="2057" spans="1:17" s="22" customFormat="1" ht="13.8" x14ac:dyDescent="0.25">
      <c r="A2057" s="22">
        <v>808</v>
      </c>
      <c r="B2057" s="22" t="s">
        <v>514</v>
      </c>
      <c r="C2057" s="22" t="s">
        <v>109</v>
      </c>
      <c r="D2057" s="22" t="s">
        <v>110</v>
      </c>
      <c r="E2057" s="158">
        <v>19105</v>
      </c>
      <c r="F2057" s="159">
        <v>70000</v>
      </c>
      <c r="G2057" s="159">
        <v>1337350000</v>
      </c>
      <c r="H2057" s="159">
        <v>133735000</v>
      </c>
      <c r="I2057" s="159">
        <v>1471085000</v>
      </c>
      <c r="J2057" s="159" t="e">
        <f>bargiri[[#This Row],[مقدار]]*INDEX(invoice[پیش دریافت به ازای هر کیلوگرم],MATCH(bargiri[[#This Row],[شماره سند مبنا]],invoice[شماره پیش فاکتور],0))</f>
        <v>#N/A</v>
      </c>
      <c r="K2057" s="159" t="e">
        <f>bargiri[[#This Row],[مبلغ خالص]]-bargiri[[#This Row],[میزان استهلاک پیش دریافتی]]</f>
        <v>#N/A</v>
      </c>
      <c r="L2057" s="160"/>
      <c r="M2057" s="159"/>
      <c r="N2057" s="159" t="e">
        <f>IF(bargiri[[#This Row],[مبلغ واریزی]]&lt;&gt;"",bargiri[[#This Row],[مانده مبلغ]]-bargiri[[#This Row],[مبلغ واریزی]],bargiri[[#This Row],[مانده مبلغ]])</f>
        <v>#N/A</v>
      </c>
      <c r="O2057" s="159"/>
      <c r="P2057" s="159" t="e">
        <f>VLOOKUP(bargiri[[#This Row],[شماره سند مبنا]],invoice[[شماره پیش فاکتور]:[پیش دریافت به ازای هر کیلوگرم]],14,0)</f>
        <v>#N/A</v>
      </c>
      <c r="Q2057" s="159" t="e">
        <f>IF(bargiri[[#This Row],[مبلغ ناخالص]]-(bargiri[[#This Row],[نرخ استهلاک]]*bargiri[[#This Row],[مقدار]])&lt;0,0,bargiri[[#This Row],[مبلغ ناخالص]]-(bargiri[[#This Row],[نرخ استهلاک]]*bargiri[[#This Row],[مقدار]]))</f>
        <v>#N/A</v>
      </c>
    </row>
    <row r="2058" spans="1:17" s="22" customFormat="1" ht="13.8" x14ac:dyDescent="0.25">
      <c r="A2058" s="22">
        <v>807</v>
      </c>
      <c r="B2058" s="22" t="s">
        <v>137</v>
      </c>
      <c r="C2058" s="22" t="s">
        <v>66</v>
      </c>
      <c r="D2058" s="22" t="s">
        <v>67</v>
      </c>
      <c r="E2058" s="158">
        <v>20045</v>
      </c>
      <c r="F2058" s="159">
        <v>68500</v>
      </c>
      <c r="G2058" s="159">
        <v>1373082500</v>
      </c>
      <c r="H2058" s="159">
        <v>123577425</v>
      </c>
      <c r="I2058" s="159">
        <v>1496659925</v>
      </c>
      <c r="J2058" s="159" t="e">
        <f>bargiri[[#This Row],[مقدار]]*INDEX(invoice[پیش دریافت به ازای هر کیلوگرم],MATCH(bargiri[[#This Row],[شماره سند مبنا]],invoice[شماره پیش فاکتور],0))</f>
        <v>#N/A</v>
      </c>
      <c r="K2058" s="159" t="e">
        <f>bargiri[[#This Row],[مبلغ خالص]]-bargiri[[#This Row],[میزان استهلاک پیش دریافتی]]</f>
        <v>#N/A</v>
      </c>
      <c r="L2058" s="160"/>
      <c r="M2058" s="159"/>
      <c r="N2058" s="159" t="e">
        <f>IF(bargiri[[#This Row],[مبلغ واریزی]]&lt;&gt;"",bargiri[[#This Row],[مانده مبلغ]]-bargiri[[#This Row],[مبلغ واریزی]],bargiri[[#This Row],[مانده مبلغ]])</f>
        <v>#N/A</v>
      </c>
      <c r="O2058" s="159"/>
      <c r="P2058" s="159" t="e">
        <f>VLOOKUP(bargiri[[#This Row],[شماره سند مبنا]],invoice[[شماره پیش فاکتور]:[پیش دریافت به ازای هر کیلوگرم]],14,0)</f>
        <v>#N/A</v>
      </c>
      <c r="Q2058" s="159" t="e">
        <f>IF(bargiri[[#This Row],[مبلغ ناخالص]]-(bargiri[[#This Row],[نرخ استهلاک]]*bargiri[[#This Row],[مقدار]])&lt;0,0,bargiri[[#This Row],[مبلغ ناخالص]]-(bargiri[[#This Row],[نرخ استهلاک]]*bargiri[[#This Row],[مقدار]]))</f>
        <v>#N/A</v>
      </c>
    </row>
    <row r="2059" spans="1:17" s="22" customFormat="1" ht="13.8" x14ac:dyDescent="0.25">
      <c r="A2059" s="22">
        <v>806</v>
      </c>
      <c r="B2059" s="22" t="s">
        <v>515</v>
      </c>
      <c r="C2059" s="22" t="s">
        <v>109</v>
      </c>
      <c r="D2059" s="22" t="s">
        <v>110</v>
      </c>
      <c r="E2059" s="158">
        <v>19115</v>
      </c>
      <c r="F2059" s="159">
        <v>70000</v>
      </c>
      <c r="G2059" s="159">
        <v>1338050000</v>
      </c>
      <c r="H2059" s="159">
        <v>133805000</v>
      </c>
      <c r="I2059" s="159">
        <v>1471855000</v>
      </c>
      <c r="J2059" s="159" t="e">
        <f>bargiri[[#This Row],[مقدار]]*INDEX(invoice[پیش دریافت به ازای هر کیلوگرم],MATCH(bargiri[[#This Row],[شماره سند مبنا]],invoice[شماره پیش فاکتور],0))</f>
        <v>#N/A</v>
      </c>
      <c r="K2059" s="159" t="e">
        <f>bargiri[[#This Row],[مبلغ خالص]]-bargiri[[#This Row],[میزان استهلاک پیش دریافتی]]</f>
        <v>#N/A</v>
      </c>
      <c r="L2059" s="160"/>
      <c r="M2059" s="159"/>
      <c r="N2059" s="159" t="e">
        <f>IF(bargiri[[#This Row],[مبلغ واریزی]]&lt;&gt;"",bargiri[[#This Row],[مانده مبلغ]]-bargiri[[#This Row],[مبلغ واریزی]],bargiri[[#This Row],[مانده مبلغ]])</f>
        <v>#N/A</v>
      </c>
      <c r="O2059" s="159"/>
      <c r="P2059" s="159" t="e">
        <f>VLOOKUP(bargiri[[#This Row],[شماره سند مبنا]],invoice[[شماره پیش فاکتور]:[پیش دریافت به ازای هر کیلوگرم]],14,0)</f>
        <v>#N/A</v>
      </c>
      <c r="Q2059" s="159" t="e">
        <f>IF(bargiri[[#This Row],[مبلغ ناخالص]]-(bargiri[[#This Row],[نرخ استهلاک]]*bargiri[[#This Row],[مقدار]])&lt;0,0,bargiri[[#This Row],[مبلغ ناخالص]]-(bargiri[[#This Row],[نرخ استهلاک]]*bargiri[[#This Row],[مقدار]]))</f>
        <v>#N/A</v>
      </c>
    </row>
    <row r="2060" spans="1:17" s="22" customFormat="1" ht="13.8" x14ac:dyDescent="0.25">
      <c r="A2060" s="22">
        <v>805</v>
      </c>
      <c r="B2060" s="22" t="s">
        <v>137</v>
      </c>
      <c r="C2060" s="22" t="s">
        <v>19</v>
      </c>
      <c r="D2060" s="22" t="s">
        <v>20</v>
      </c>
      <c r="E2060" s="158">
        <v>18690</v>
      </c>
      <c r="F2060" s="159">
        <v>65000</v>
      </c>
      <c r="G2060" s="159">
        <v>1214850000</v>
      </c>
      <c r="H2060" s="159">
        <v>109336500</v>
      </c>
      <c r="I2060" s="159">
        <v>1324186500</v>
      </c>
      <c r="J2060" s="159" t="e">
        <f>bargiri[[#This Row],[مقدار]]*INDEX(invoice[پیش دریافت به ازای هر کیلوگرم],MATCH(bargiri[[#This Row],[شماره سند مبنا]],invoice[شماره پیش فاکتور],0))</f>
        <v>#N/A</v>
      </c>
      <c r="K2060" s="159" t="e">
        <f>bargiri[[#This Row],[مبلغ خالص]]-bargiri[[#This Row],[میزان استهلاک پیش دریافتی]]</f>
        <v>#N/A</v>
      </c>
      <c r="L2060" s="160"/>
      <c r="M2060" s="159"/>
      <c r="N2060" s="159" t="e">
        <f>IF(bargiri[[#This Row],[مبلغ واریزی]]&lt;&gt;"",bargiri[[#This Row],[مانده مبلغ]]-bargiri[[#This Row],[مبلغ واریزی]],bargiri[[#This Row],[مانده مبلغ]])</f>
        <v>#N/A</v>
      </c>
      <c r="O2060" s="159"/>
      <c r="P2060" s="159" t="e">
        <f>VLOOKUP(bargiri[[#This Row],[شماره سند مبنا]],invoice[[شماره پیش فاکتور]:[پیش دریافت به ازای هر کیلوگرم]],14,0)</f>
        <v>#N/A</v>
      </c>
      <c r="Q2060" s="159" t="e">
        <f>IF(bargiri[[#This Row],[مبلغ ناخالص]]-(bargiri[[#This Row],[نرخ استهلاک]]*bargiri[[#This Row],[مقدار]])&lt;0,0,bargiri[[#This Row],[مبلغ ناخالص]]-(bargiri[[#This Row],[نرخ استهلاک]]*bargiri[[#This Row],[مقدار]]))</f>
        <v>#N/A</v>
      </c>
    </row>
    <row r="2061" spans="1:17" s="22" customFormat="1" ht="13.8" x14ac:dyDescent="0.25">
      <c r="A2061" s="22">
        <v>804</v>
      </c>
      <c r="B2061" s="22" t="s">
        <v>137</v>
      </c>
      <c r="C2061" s="22" t="s">
        <v>29</v>
      </c>
      <c r="D2061" s="22" t="s">
        <v>30</v>
      </c>
      <c r="E2061" s="158">
        <v>11325</v>
      </c>
      <c r="F2061" s="159">
        <v>70000</v>
      </c>
      <c r="G2061" s="159">
        <v>792750000</v>
      </c>
      <c r="H2061" s="159">
        <v>79275000</v>
      </c>
      <c r="I2061" s="159">
        <v>872025000</v>
      </c>
      <c r="J2061" s="159" t="e">
        <f>bargiri[[#This Row],[مقدار]]*INDEX(invoice[پیش دریافت به ازای هر کیلوگرم],MATCH(bargiri[[#This Row],[شماره سند مبنا]],invoice[شماره پیش فاکتور],0))</f>
        <v>#N/A</v>
      </c>
      <c r="K2061" s="159" t="e">
        <f>bargiri[[#This Row],[مبلغ خالص]]-bargiri[[#This Row],[میزان استهلاک پیش دریافتی]]</f>
        <v>#N/A</v>
      </c>
      <c r="L2061" s="160"/>
      <c r="M2061" s="159"/>
      <c r="N2061" s="159" t="e">
        <f>IF(bargiri[[#This Row],[مبلغ واریزی]]&lt;&gt;"",bargiri[[#This Row],[مانده مبلغ]]-bargiri[[#This Row],[مبلغ واریزی]],bargiri[[#This Row],[مانده مبلغ]])</f>
        <v>#N/A</v>
      </c>
      <c r="O2061" s="159"/>
      <c r="P2061" s="159" t="e">
        <f>VLOOKUP(bargiri[[#This Row],[شماره سند مبنا]],invoice[[شماره پیش فاکتور]:[پیش دریافت به ازای هر کیلوگرم]],14,0)</f>
        <v>#N/A</v>
      </c>
      <c r="Q2061" s="159" t="e">
        <f>IF(bargiri[[#This Row],[مبلغ ناخالص]]-(bargiri[[#This Row],[نرخ استهلاک]]*bargiri[[#This Row],[مقدار]])&lt;0,0,bargiri[[#This Row],[مبلغ ناخالص]]-(bargiri[[#This Row],[نرخ استهلاک]]*bargiri[[#This Row],[مقدار]]))</f>
        <v>#N/A</v>
      </c>
    </row>
    <row r="2062" spans="1:17" s="22" customFormat="1" ht="13.8" x14ac:dyDescent="0.25">
      <c r="A2062" s="22">
        <v>803</v>
      </c>
      <c r="B2062" s="22" t="s">
        <v>137</v>
      </c>
      <c r="C2062" s="22" t="s">
        <v>125</v>
      </c>
      <c r="D2062" s="22" t="s">
        <v>126</v>
      </c>
      <c r="E2062" s="158">
        <v>20270</v>
      </c>
      <c r="F2062" s="159">
        <v>75000</v>
      </c>
      <c r="G2062" s="159">
        <v>1520250000</v>
      </c>
      <c r="H2062" s="159">
        <v>152025000</v>
      </c>
      <c r="I2062" s="159">
        <v>1672275000</v>
      </c>
      <c r="J2062" s="159" t="e">
        <f>bargiri[[#This Row],[مقدار]]*INDEX(invoice[پیش دریافت به ازای هر کیلوگرم],MATCH(bargiri[[#This Row],[شماره سند مبنا]],invoice[شماره پیش فاکتور],0))</f>
        <v>#N/A</v>
      </c>
      <c r="K2062" s="159" t="e">
        <f>bargiri[[#This Row],[مبلغ خالص]]-bargiri[[#This Row],[میزان استهلاک پیش دریافتی]]</f>
        <v>#N/A</v>
      </c>
      <c r="L2062" s="160"/>
      <c r="M2062" s="159"/>
      <c r="N2062" s="159" t="e">
        <f>IF(bargiri[[#This Row],[مبلغ واریزی]]&lt;&gt;"",bargiri[[#This Row],[مانده مبلغ]]-bargiri[[#This Row],[مبلغ واریزی]],bargiri[[#This Row],[مانده مبلغ]])</f>
        <v>#N/A</v>
      </c>
      <c r="O2062" s="159"/>
      <c r="P2062" s="159" t="e">
        <f>VLOOKUP(bargiri[[#This Row],[شماره سند مبنا]],invoice[[شماره پیش فاکتور]:[پیش دریافت به ازای هر کیلوگرم]],14,0)</f>
        <v>#N/A</v>
      </c>
      <c r="Q2062" s="159" t="e">
        <f>IF(bargiri[[#This Row],[مبلغ ناخالص]]-(bargiri[[#This Row],[نرخ استهلاک]]*bargiri[[#This Row],[مقدار]])&lt;0,0,bargiri[[#This Row],[مبلغ ناخالص]]-(bargiri[[#This Row],[نرخ استهلاک]]*bargiri[[#This Row],[مقدار]]))</f>
        <v>#N/A</v>
      </c>
    </row>
    <row r="2063" spans="1:17" s="22" customFormat="1" ht="13.8" x14ac:dyDescent="0.25">
      <c r="A2063" s="22">
        <v>802</v>
      </c>
      <c r="B2063" s="22" t="s">
        <v>137</v>
      </c>
      <c r="C2063" s="22" t="s">
        <v>47</v>
      </c>
      <c r="D2063" s="22" t="s">
        <v>43</v>
      </c>
      <c r="E2063" s="158">
        <v>23215</v>
      </c>
      <c r="F2063" s="159">
        <v>65000</v>
      </c>
      <c r="G2063" s="159">
        <v>1508975000</v>
      </c>
      <c r="H2063" s="159">
        <v>135807750</v>
      </c>
      <c r="I2063" s="159">
        <v>1644782750</v>
      </c>
      <c r="J2063" s="159" t="e">
        <f>bargiri[[#This Row],[مقدار]]*INDEX(invoice[پیش دریافت به ازای هر کیلوگرم],MATCH(bargiri[[#This Row],[شماره سند مبنا]],invoice[شماره پیش فاکتور],0))</f>
        <v>#N/A</v>
      </c>
      <c r="K2063" s="159" t="e">
        <f>bargiri[[#This Row],[مبلغ خالص]]-bargiri[[#This Row],[میزان استهلاک پیش دریافتی]]</f>
        <v>#N/A</v>
      </c>
      <c r="L2063" s="160"/>
      <c r="M2063" s="159"/>
      <c r="N2063" s="159" t="e">
        <f>IF(bargiri[[#This Row],[مبلغ واریزی]]&lt;&gt;"",bargiri[[#This Row],[مانده مبلغ]]-bargiri[[#This Row],[مبلغ واریزی]],bargiri[[#This Row],[مانده مبلغ]])</f>
        <v>#N/A</v>
      </c>
      <c r="O2063" s="159"/>
      <c r="P2063" s="159" t="e">
        <f>VLOOKUP(bargiri[[#This Row],[شماره سند مبنا]],invoice[[شماره پیش فاکتور]:[پیش دریافت به ازای هر کیلوگرم]],14,0)</f>
        <v>#N/A</v>
      </c>
      <c r="Q2063" s="159" t="e">
        <f>IF(bargiri[[#This Row],[مبلغ ناخالص]]-(bargiri[[#This Row],[نرخ استهلاک]]*bargiri[[#This Row],[مقدار]])&lt;0,0,bargiri[[#This Row],[مبلغ ناخالص]]-(bargiri[[#This Row],[نرخ استهلاک]]*bargiri[[#This Row],[مقدار]]))</f>
        <v>#N/A</v>
      </c>
    </row>
    <row r="2064" spans="1:17" s="22" customFormat="1" ht="13.8" x14ac:dyDescent="0.25">
      <c r="A2064" s="22">
        <v>801</v>
      </c>
      <c r="B2064" s="22" t="s">
        <v>489</v>
      </c>
      <c r="C2064" s="22" t="s">
        <v>66</v>
      </c>
      <c r="D2064" s="22" t="s">
        <v>67</v>
      </c>
      <c r="E2064" s="158">
        <v>21090</v>
      </c>
      <c r="F2064" s="159">
        <v>68500</v>
      </c>
      <c r="G2064" s="159">
        <v>1444665000</v>
      </c>
      <c r="H2064" s="159">
        <v>130019850</v>
      </c>
      <c r="I2064" s="159">
        <v>1574684850</v>
      </c>
      <c r="J2064" s="159" t="e">
        <f>bargiri[[#This Row],[مقدار]]*INDEX(invoice[پیش دریافت به ازای هر کیلوگرم],MATCH(bargiri[[#This Row],[شماره سند مبنا]],invoice[شماره پیش فاکتور],0))</f>
        <v>#N/A</v>
      </c>
      <c r="K2064" s="159" t="e">
        <f>bargiri[[#This Row],[مبلغ خالص]]-bargiri[[#This Row],[میزان استهلاک پیش دریافتی]]</f>
        <v>#N/A</v>
      </c>
      <c r="L2064" s="160"/>
      <c r="M2064" s="159"/>
      <c r="N2064" s="159" t="e">
        <f>IF(bargiri[[#This Row],[مبلغ واریزی]]&lt;&gt;"",bargiri[[#This Row],[مانده مبلغ]]-bargiri[[#This Row],[مبلغ واریزی]],bargiri[[#This Row],[مانده مبلغ]])</f>
        <v>#N/A</v>
      </c>
      <c r="O2064" s="159"/>
      <c r="P2064" s="159" t="e">
        <f>VLOOKUP(bargiri[[#This Row],[شماره سند مبنا]],invoice[[شماره پیش فاکتور]:[پیش دریافت به ازای هر کیلوگرم]],14,0)</f>
        <v>#N/A</v>
      </c>
      <c r="Q2064" s="159" t="e">
        <f>IF(bargiri[[#This Row],[مبلغ ناخالص]]-(bargiri[[#This Row],[نرخ استهلاک]]*bargiri[[#This Row],[مقدار]])&lt;0,0,bargiri[[#This Row],[مبلغ ناخالص]]-(bargiri[[#This Row],[نرخ استهلاک]]*bargiri[[#This Row],[مقدار]]))</f>
        <v>#N/A</v>
      </c>
    </row>
    <row r="2065" spans="1:17" s="22" customFormat="1" ht="13.8" x14ac:dyDescent="0.25">
      <c r="A2065" s="22">
        <v>800</v>
      </c>
      <c r="B2065" s="22" t="s">
        <v>516</v>
      </c>
      <c r="C2065" s="22" t="s">
        <v>66</v>
      </c>
      <c r="D2065" s="22" t="s">
        <v>67</v>
      </c>
      <c r="E2065" s="158">
        <v>21190</v>
      </c>
      <c r="F2065" s="159">
        <v>68500</v>
      </c>
      <c r="G2065" s="159">
        <v>1451515000</v>
      </c>
      <c r="H2065" s="159">
        <v>130636350</v>
      </c>
      <c r="I2065" s="159">
        <v>1582151350</v>
      </c>
      <c r="J2065" s="159" t="e">
        <f>bargiri[[#This Row],[مقدار]]*INDEX(invoice[پیش دریافت به ازای هر کیلوگرم],MATCH(bargiri[[#This Row],[شماره سند مبنا]],invoice[شماره پیش فاکتور],0))</f>
        <v>#N/A</v>
      </c>
      <c r="K2065" s="159" t="e">
        <f>bargiri[[#This Row],[مبلغ خالص]]-bargiri[[#This Row],[میزان استهلاک پیش دریافتی]]</f>
        <v>#N/A</v>
      </c>
      <c r="L2065" s="160"/>
      <c r="M2065" s="159"/>
      <c r="N2065" s="159" t="e">
        <f>IF(bargiri[[#This Row],[مبلغ واریزی]]&lt;&gt;"",bargiri[[#This Row],[مانده مبلغ]]-bargiri[[#This Row],[مبلغ واریزی]],bargiri[[#This Row],[مانده مبلغ]])</f>
        <v>#N/A</v>
      </c>
      <c r="O2065" s="159"/>
      <c r="P2065" s="159" t="e">
        <f>VLOOKUP(bargiri[[#This Row],[شماره سند مبنا]],invoice[[شماره پیش فاکتور]:[پیش دریافت به ازای هر کیلوگرم]],14,0)</f>
        <v>#N/A</v>
      </c>
      <c r="Q2065" s="159" t="e">
        <f>IF(bargiri[[#This Row],[مبلغ ناخالص]]-(bargiri[[#This Row],[نرخ استهلاک]]*bargiri[[#This Row],[مقدار]])&lt;0,0,bargiri[[#This Row],[مبلغ ناخالص]]-(bargiri[[#This Row],[نرخ استهلاک]]*bargiri[[#This Row],[مقدار]]))</f>
        <v>#N/A</v>
      </c>
    </row>
    <row r="2066" spans="1:17" s="22" customFormat="1" ht="13.8" x14ac:dyDescent="0.25">
      <c r="A2066" s="22">
        <v>799</v>
      </c>
      <c r="B2066" s="22" t="s">
        <v>517</v>
      </c>
      <c r="C2066" s="22" t="s">
        <v>66</v>
      </c>
      <c r="D2066" s="22" t="s">
        <v>67</v>
      </c>
      <c r="E2066" s="158">
        <v>20240</v>
      </c>
      <c r="F2066" s="159">
        <v>68500</v>
      </c>
      <c r="G2066" s="159">
        <v>1386440000</v>
      </c>
      <c r="H2066" s="159">
        <v>124779600</v>
      </c>
      <c r="I2066" s="159">
        <v>1511219600</v>
      </c>
      <c r="J2066" s="159" t="e">
        <f>bargiri[[#This Row],[مقدار]]*INDEX(invoice[پیش دریافت به ازای هر کیلوگرم],MATCH(bargiri[[#This Row],[شماره سند مبنا]],invoice[شماره پیش فاکتور],0))</f>
        <v>#N/A</v>
      </c>
      <c r="K2066" s="159" t="e">
        <f>bargiri[[#This Row],[مبلغ خالص]]-bargiri[[#This Row],[میزان استهلاک پیش دریافتی]]</f>
        <v>#N/A</v>
      </c>
      <c r="L2066" s="160"/>
      <c r="M2066" s="159"/>
      <c r="N2066" s="159" t="e">
        <f>IF(bargiri[[#This Row],[مبلغ واریزی]]&lt;&gt;"",bargiri[[#This Row],[مانده مبلغ]]-bargiri[[#This Row],[مبلغ واریزی]],bargiri[[#This Row],[مانده مبلغ]])</f>
        <v>#N/A</v>
      </c>
      <c r="O2066" s="159"/>
      <c r="P2066" s="159" t="e">
        <f>VLOOKUP(bargiri[[#This Row],[شماره سند مبنا]],invoice[[شماره پیش فاکتور]:[پیش دریافت به ازای هر کیلوگرم]],14,0)</f>
        <v>#N/A</v>
      </c>
      <c r="Q2066" s="159" t="e">
        <f>IF(bargiri[[#This Row],[مبلغ ناخالص]]-(bargiri[[#This Row],[نرخ استهلاک]]*bargiri[[#This Row],[مقدار]])&lt;0,0,bargiri[[#This Row],[مبلغ ناخالص]]-(bargiri[[#This Row],[نرخ استهلاک]]*bargiri[[#This Row],[مقدار]]))</f>
        <v>#N/A</v>
      </c>
    </row>
    <row r="2067" spans="1:17" s="22" customFormat="1" ht="13.8" x14ac:dyDescent="0.25">
      <c r="A2067" s="22">
        <v>798</v>
      </c>
      <c r="B2067" s="22" t="s">
        <v>517</v>
      </c>
      <c r="C2067" s="22" t="s">
        <v>122</v>
      </c>
      <c r="D2067" s="22" t="s">
        <v>67</v>
      </c>
      <c r="E2067" s="158">
        <v>10040</v>
      </c>
      <c r="F2067" s="159">
        <v>75000</v>
      </c>
      <c r="G2067" s="159">
        <v>753000000</v>
      </c>
      <c r="H2067" s="159">
        <v>75300000</v>
      </c>
      <c r="I2067" s="159">
        <v>828300000</v>
      </c>
      <c r="J2067" s="159" t="e">
        <f>bargiri[[#This Row],[مقدار]]*INDEX(invoice[پیش دریافت به ازای هر کیلوگرم],MATCH(bargiri[[#This Row],[شماره سند مبنا]],invoice[شماره پیش فاکتور],0))</f>
        <v>#N/A</v>
      </c>
      <c r="K2067" s="159" t="e">
        <f>bargiri[[#This Row],[مبلغ خالص]]-bargiri[[#This Row],[میزان استهلاک پیش دریافتی]]</f>
        <v>#N/A</v>
      </c>
      <c r="L2067" s="160"/>
      <c r="M2067" s="159"/>
      <c r="N2067" s="159" t="e">
        <f>IF(bargiri[[#This Row],[مبلغ واریزی]]&lt;&gt;"",bargiri[[#This Row],[مانده مبلغ]]-bargiri[[#This Row],[مبلغ واریزی]],bargiri[[#This Row],[مانده مبلغ]])</f>
        <v>#N/A</v>
      </c>
      <c r="O2067" s="159"/>
      <c r="P2067" s="159" t="e">
        <f>VLOOKUP(bargiri[[#This Row],[شماره سند مبنا]],invoice[[شماره پیش فاکتور]:[پیش دریافت به ازای هر کیلوگرم]],14,0)</f>
        <v>#N/A</v>
      </c>
      <c r="Q2067" s="159" t="e">
        <f>IF(bargiri[[#This Row],[مبلغ ناخالص]]-(bargiri[[#This Row],[نرخ استهلاک]]*bargiri[[#This Row],[مقدار]])&lt;0,0,bargiri[[#This Row],[مبلغ ناخالص]]-(bargiri[[#This Row],[نرخ استهلاک]]*bargiri[[#This Row],[مقدار]]))</f>
        <v>#N/A</v>
      </c>
    </row>
    <row r="2068" spans="1:17" s="22" customFormat="1" ht="13.8" x14ac:dyDescent="0.25">
      <c r="A2068" s="22">
        <v>797</v>
      </c>
      <c r="B2068" s="22" t="s">
        <v>517</v>
      </c>
      <c r="C2068" s="22" t="s">
        <v>66</v>
      </c>
      <c r="D2068" s="22" t="s">
        <v>67</v>
      </c>
      <c r="E2068" s="158">
        <v>20245</v>
      </c>
      <c r="F2068" s="159">
        <v>68500</v>
      </c>
      <c r="G2068" s="159">
        <v>1386782500</v>
      </c>
      <c r="H2068" s="159">
        <v>124810425</v>
      </c>
      <c r="I2068" s="159">
        <v>1511592925</v>
      </c>
      <c r="J2068" s="159" t="e">
        <f>bargiri[[#This Row],[مقدار]]*INDEX(invoice[پیش دریافت به ازای هر کیلوگرم],MATCH(bargiri[[#This Row],[شماره سند مبنا]],invoice[شماره پیش فاکتور],0))</f>
        <v>#N/A</v>
      </c>
      <c r="K2068" s="159" t="e">
        <f>bargiri[[#This Row],[مبلغ خالص]]-bargiri[[#This Row],[میزان استهلاک پیش دریافتی]]</f>
        <v>#N/A</v>
      </c>
      <c r="L2068" s="160"/>
      <c r="M2068" s="159"/>
      <c r="N2068" s="159" t="e">
        <f>IF(bargiri[[#This Row],[مبلغ واریزی]]&lt;&gt;"",bargiri[[#This Row],[مانده مبلغ]]-bargiri[[#This Row],[مبلغ واریزی]],bargiri[[#This Row],[مانده مبلغ]])</f>
        <v>#N/A</v>
      </c>
      <c r="O2068" s="159"/>
      <c r="P2068" s="159" t="e">
        <f>VLOOKUP(bargiri[[#This Row],[شماره سند مبنا]],invoice[[شماره پیش فاکتور]:[پیش دریافت به ازای هر کیلوگرم]],14,0)</f>
        <v>#N/A</v>
      </c>
      <c r="Q2068" s="159" t="e">
        <f>IF(bargiri[[#This Row],[مبلغ ناخالص]]-(bargiri[[#This Row],[نرخ استهلاک]]*bargiri[[#This Row],[مقدار]])&lt;0,0,bargiri[[#This Row],[مبلغ ناخالص]]-(bargiri[[#This Row],[نرخ استهلاک]]*bargiri[[#This Row],[مقدار]]))</f>
        <v>#N/A</v>
      </c>
    </row>
    <row r="2069" spans="1:17" s="22" customFormat="1" ht="13.8" x14ac:dyDescent="0.25">
      <c r="A2069" s="22">
        <v>796</v>
      </c>
      <c r="B2069" s="22" t="s">
        <v>518</v>
      </c>
      <c r="C2069" s="22" t="s">
        <v>66</v>
      </c>
      <c r="D2069" s="22" t="s">
        <v>67</v>
      </c>
      <c r="E2069" s="158">
        <v>16690</v>
      </c>
      <c r="F2069" s="159">
        <v>68500</v>
      </c>
      <c r="G2069" s="159">
        <v>1143265000</v>
      </c>
      <c r="H2069" s="159">
        <v>102893850</v>
      </c>
      <c r="I2069" s="159">
        <v>1246158850</v>
      </c>
      <c r="J2069" s="159" t="e">
        <f>bargiri[[#This Row],[مقدار]]*INDEX(invoice[پیش دریافت به ازای هر کیلوگرم],MATCH(bargiri[[#This Row],[شماره سند مبنا]],invoice[شماره پیش فاکتور],0))</f>
        <v>#N/A</v>
      </c>
      <c r="K2069" s="159" t="e">
        <f>bargiri[[#This Row],[مبلغ خالص]]-bargiri[[#This Row],[میزان استهلاک پیش دریافتی]]</f>
        <v>#N/A</v>
      </c>
      <c r="L2069" s="160"/>
      <c r="M2069" s="159"/>
      <c r="N2069" s="159" t="e">
        <f>IF(bargiri[[#This Row],[مبلغ واریزی]]&lt;&gt;"",bargiri[[#This Row],[مانده مبلغ]]-bargiri[[#This Row],[مبلغ واریزی]],bargiri[[#This Row],[مانده مبلغ]])</f>
        <v>#N/A</v>
      </c>
      <c r="O2069" s="159"/>
      <c r="P2069" s="159" t="e">
        <f>VLOOKUP(bargiri[[#This Row],[شماره سند مبنا]],invoice[[شماره پیش فاکتور]:[پیش دریافت به ازای هر کیلوگرم]],14,0)</f>
        <v>#N/A</v>
      </c>
      <c r="Q2069" s="159" t="e">
        <f>IF(bargiri[[#This Row],[مبلغ ناخالص]]-(bargiri[[#This Row],[نرخ استهلاک]]*bargiri[[#This Row],[مقدار]])&lt;0,0,bargiri[[#This Row],[مبلغ ناخالص]]-(bargiri[[#This Row],[نرخ استهلاک]]*bargiri[[#This Row],[مقدار]]))</f>
        <v>#N/A</v>
      </c>
    </row>
    <row r="2070" spans="1:17" s="22" customFormat="1" ht="13.8" x14ac:dyDescent="0.25">
      <c r="A2070" s="22">
        <v>795</v>
      </c>
      <c r="B2070" s="22" t="s">
        <v>490</v>
      </c>
      <c r="C2070" s="22" t="s">
        <v>16</v>
      </c>
      <c r="D2070" s="22" t="s">
        <v>17</v>
      </c>
      <c r="E2070" s="158">
        <v>22255</v>
      </c>
      <c r="F2070" s="159">
        <v>77000</v>
      </c>
      <c r="G2070" s="159">
        <v>1713635000</v>
      </c>
      <c r="H2070" s="159">
        <v>154227150</v>
      </c>
      <c r="I2070" s="159">
        <v>1867862150</v>
      </c>
      <c r="J2070" s="159" t="e">
        <f>bargiri[[#This Row],[مقدار]]*INDEX(invoice[پیش دریافت به ازای هر کیلوگرم],MATCH(bargiri[[#This Row],[شماره سند مبنا]],invoice[شماره پیش فاکتور],0))</f>
        <v>#N/A</v>
      </c>
      <c r="K2070" s="159" t="e">
        <f>bargiri[[#This Row],[مبلغ خالص]]-bargiri[[#This Row],[میزان استهلاک پیش دریافتی]]</f>
        <v>#N/A</v>
      </c>
      <c r="L2070" s="160"/>
      <c r="M2070" s="159"/>
      <c r="N2070" s="159" t="e">
        <f>IF(bargiri[[#This Row],[مبلغ واریزی]]&lt;&gt;"",bargiri[[#This Row],[مانده مبلغ]]-bargiri[[#This Row],[مبلغ واریزی]],bargiri[[#This Row],[مانده مبلغ]])</f>
        <v>#N/A</v>
      </c>
      <c r="O2070" s="159"/>
      <c r="P2070" s="159" t="e">
        <f>VLOOKUP(bargiri[[#This Row],[شماره سند مبنا]],invoice[[شماره پیش فاکتور]:[پیش دریافت به ازای هر کیلوگرم]],14,0)</f>
        <v>#N/A</v>
      </c>
      <c r="Q2070" s="159" t="e">
        <f>IF(bargiri[[#This Row],[مبلغ ناخالص]]-(bargiri[[#This Row],[نرخ استهلاک]]*bargiri[[#This Row],[مقدار]])&lt;0,0,bargiri[[#This Row],[مبلغ ناخالص]]-(bargiri[[#This Row],[نرخ استهلاک]]*bargiri[[#This Row],[مقدار]]))</f>
        <v>#N/A</v>
      </c>
    </row>
    <row r="2071" spans="1:17" s="22" customFormat="1" ht="13.8" x14ac:dyDescent="0.25">
      <c r="A2071" s="22">
        <v>779</v>
      </c>
      <c r="B2071" s="22" t="s">
        <v>519</v>
      </c>
      <c r="C2071" s="22" t="s">
        <v>19</v>
      </c>
      <c r="D2071" s="22" t="s">
        <v>20</v>
      </c>
      <c r="E2071" s="158">
        <v>18480</v>
      </c>
      <c r="F2071" s="159">
        <v>65000</v>
      </c>
      <c r="G2071" s="159">
        <v>1201200000</v>
      </c>
      <c r="H2071" s="159">
        <v>108108000</v>
      </c>
      <c r="I2071" s="159">
        <v>1309308000</v>
      </c>
      <c r="J2071" s="159" t="e">
        <f>bargiri[[#This Row],[مقدار]]*INDEX(invoice[پیش دریافت به ازای هر کیلوگرم],MATCH(bargiri[[#This Row],[شماره سند مبنا]],invoice[شماره پیش فاکتور],0))</f>
        <v>#N/A</v>
      </c>
      <c r="K2071" s="159" t="e">
        <f>bargiri[[#This Row],[مبلغ خالص]]-bargiri[[#This Row],[میزان استهلاک پیش دریافتی]]</f>
        <v>#N/A</v>
      </c>
      <c r="L2071" s="160"/>
      <c r="M2071" s="159"/>
      <c r="N2071" s="159" t="e">
        <f>IF(bargiri[[#This Row],[مبلغ واریزی]]&lt;&gt;"",bargiri[[#This Row],[مانده مبلغ]]-bargiri[[#This Row],[مبلغ واریزی]],bargiri[[#This Row],[مانده مبلغ]])</f>
        <v>#N/A</v>
      </c>
      <c r="O2071" s="159"/>
      <c r="P2071" s="159" t="e">
        <f>VLOOKUP(bargiri[[#This Row],[شماره سند مبنا]],invoice[[شماره پیش فاکتور]:[پیش دریافت به ازای هر کیلوگرم]],14,0)</f>
        <v>#N/A</v>
      </c>
      <c r="Q2071" s="159" t="e">
        <f>IF(bargiri[[#This Row],[مبلغ ناخالص]]-(bargiri[[#This Row],[نرخ استهلاک]]*bargiri[[#This Row],[مقدار]])&lt;0,0,bargiri[[#This Row],[مبلغ ناخالص]]-(bargiri[[#This Row],[نرخ استهلاک]]*bargiri[[#This Row],[مقدار]]))</f>
        <v>#N/A</v>
      </c>
    </row>
    <row r="2072" spans="1:17" s="22" customFormat="1" ht="13.8" x14ac:dyDescent="0.25">
      <c r="A2072" s="22">
        <v>778</v>
      </c>
      <c r="B2072" s="22" t="s">
        <v>518</v>
      </c>
      <c r="C2072" s="22" t="s">
        <v>47</v>
      </c>
      <c r="D2072" s="22" t="s">
        <v>43</v>
      </c>
      <c r="E2072" s="158">
        <v>19695</v>
      </c>
      <c r="F2072" s="159">
        <v>65000</v>
      </c>
      <c r="G2072" s="159">
        <v>1280175000</v>
      </c>
      <c r="H2072" s="159">
        <v>115215750</v>
      </c>
      <c r="I2072" s="159">
        <v>1395390750</v>
      </c>
      <c r="J2072" s="159" t="e">
        <f>bargiri[[#This Row],[مقدار]]*INDEX(invoice[پیش دریافت به ازای هر کیلوگرم],MATCH(bargiri[[#This Row],[شماره سند مبنا]],invoice[شماره پیش فاکتور],0))</f>
        <v>#N/A</v>
      </c>
      <c r="K2072" s="159" t="e">
        <f>bargiri[[#This Row],[مبلغ خالص]]-bargiri[[#This Row],[میزان استهلاک پیش دریافتی]]</f>
        <v>#N/A</v>
      </c>
      <c r="L2072" s="160"/>
      <c r="M2072" s="159"/>
      <c r="N2072" s="159" t="e">
        <f>IF(bargiri[[#This Row],[مبلغ واریزی]]&lt;&gt;"",bargiri[[#This Row],[مانده مبلغ]]-bargiri[[#This Row],[مبلغ واریزی]],bargiri[[#This Row],[مانده مبلغ]])</f>
        <v>#N/A</v>
      </c>
      <c r="O2072" s="159"/>
      <c r="P2072" s="159" t="e">
        <f>VLOOKUP(bargiri[[#This Row],[شماره سند مبنا]],invoice[[شماره پیش فاکتور]:[پیش دریافت به ازای هر کیلوگرم]],14,0)</f>
        <v>#N/A</v>
      </c>
      <c r="Q2072" s="159" t="e">
        <f>IF(bargiri[[#This Row],[مبلغ ناخالص]]-(bargiri[[#This Row],[نرخ استهلاک]]*bargiri[[#This Row],[مقدار]])&lt;0,0,bargiri[[#This Row],[مبلغ ناخالص]]-(bargiri[[#This Row],[نرخ استهلاک]]*bargiri[[#This Row],[مقدار]]))</f>
        <v>#N/A</v>
      </c>
    </row>
    <row r="2073" spans="1:17" s="22" customFormat="1" ht="13.8" x14ac:dyDescent="0.25">
      <c r="A2073" s="22">
        <v>777</v>
      </c>
      <c r="B2073" s="22" t="s">
        <v>520</v>
      </c>
      <c r="C2073" s="22" t="s">
        <v>47</v>
      </c>
      <c r="D2073" s="22" t="s">
        <v>43</v>
      </c>
      <c r="E2073" s="158">
        <v>20220</v>
      </c>
      <c r="F2073" s="159">
        <v>65000</v>
      </c>
      <c r="G2073" s="159">
        <v>1314300000</v>
      </c>
      <c r="H2073" s="159">
        <v>118287000</v>
      </c>
      <c r="I2073" s="159">
        <v>1432587000</v>
      </c>
      <c r="J2073" s="159" t="e">
        <f>bargiri[[#This Row],[مقدار]]*INDEX(invoice[پیش دریافت به ازای هر کیلوگرم],MATCH(bargiri[[#This Row],[شماره سند مبنا]],invoice[شماره پیش فاکتور],0))</f>
        <v>#N/A</v>
      </c>
      <c r="K2073" s="159" t="e">
        <f>bargiri[[#This Row],[مبلغ خالص]]-bargiri[[#This Row],[میزان استهلاک پیش دریافتی]]</f>
        <v>#N/A</v>
      </c>
      <c r="L2073" s="160"/>
      <c r="M2073" s="159"/>
      <c r="N2073" s="159" t="e">
        <f>IF(bargiri[[#This Row],[مبلغ واریزی]]&lt;&gt;"",bargiri[[#This Row],[مانده مبلغ]]-bargiri[[#This Row],[مبلغ واریزی]],bargiri[[#This Row],[مانده مبلغ]])</f>
        <v>#N/A</v>
      </c>
      <c r="O2073" s="159"/>
      <c r="P2073" s="159" t="e">
        <f>VLOOKUP(bargiri[[#This Row],[شماره سند مبنا]],invoice[[شماره پیش فاکتور]:[پیش دریافت به ازای هر کیلوگرم]],14,0)</f>
        <v>#N/A</v>
      </c>
      <c r="Q2073" s="159" t="e">
        <f>IF(bargiri[[#This Row],[مبلغ ناخالص]]-(bargiri[[#This Row],[نرخ استهلاک]]*bargiri[[#This Row],[مقدار]])&lt;0,0,bargiri[[#This Row],[مبلغ ناخالص]]-(bargiri[[#This Row],[نرخ استهلاک]]*bargiri[[#This Row],[مقدار]]))</f>
        <v>#N/A</v>
      </c>
    </row>
    <row r="2074" spans="1:17" s="22" customFormat="1" ht="13.8" x14ac:dyDescent="0.25">
      <c r="A2074" s="22">
        <v>776</v>
      </c>
      <c r="B2074" s="22" t="s">
        <v>130</v>
      </c>
      <c r="C2074" s="22" t="s">
        <v>47</v>
      </c>
      <c r="D2074" s="22" t="s">
        <v>43</v>
      </c>
      <c r="E2074" s="158">
        <v>20055</v>
      </c>
      <c r="F2074" s="159">
        <v>65000</v>
      </c>
      <c r="G2074" s="159">
        <v>1303575000</v>
      </c>
      <c r="H2074" s="159">
        <v>117321750</v>
      </c>
      <c r="I2074" s="159">
        <v>1420896750</v>
      </c>
      <c r="J2074" s="159" t="e">
        <f>bargiri[[#This Row],[مقدار]]*INDEX(invoice[پیش دریافت به ازای هر کیلوگرم],MATCH(bargiri[[#This Row],[شماره سند مبنا]],invoice[شماره پیش فاکتور],0))</f>
        <v>#N/A</v>
      </c>
      <c r="K2074" s="159" t="e">
        <f>bargiri[[#This Row],[مبلغ خالص]]-bargiri[[#This Row],[میزان استهلاک پیش دریافتی]]</f>
        <v>#N/A</v>
      </c>
      <c r="L2074" s="160"/>
      <c r="M2074" s="159"/>
      <c r="N2074" s="159" t="e">
        <f>IF(bargiri[[#This Row],[مبلغ واریزی]]&lt;&gt;"",bargiri[[#This Row],[مانده مبلغ]]-bargiri[[#This Row],[مبلغ واریزی]],bargiri[[#This Row],[مانده مبلغ]])</f>
        <v>#N/A</v>
      </c>
      <c r="O2074" s="159"/>
      <c r="P2074" s="159" t="e">
        <f>VLOOKUP(bargiri[[#This Row],[شماره سند مبنا]],invoice[[شماره پیش فاکتور]:[پیش دریافت به ازای هر کیلوگرم]],14,0)</f>
        <v>#N/A</v>
      </c>
      <c r="Q2074" s="159" t="e">
        <f>IF(bargiri[[#This Row],[مبلغ ناخالص]]-(bargiri[[#This Row],[نرخ استهلاک]]*bargiri[[#This Row],[مقدار]])&lt;0,0,bargiri[[#This Row],[مبلغ ناخالص]]-(bargiri[[#This Row],[نرخ استهلاک]]*bargiri[[#This Row],[مقدار]]))</f>
        <v>#N/A</v>
      </c>
    </row>
    <row r="2075" spans="1:17" s="22" customFormat="1" ht="13.8" x14ac:dyDescent="0.25">
      <c r="A2075" s="22">
        <v>774</v>
      </c>
      <c r="B2075" s="22" t="s">
        <v>521</v>
      </c>
      <c r="C2075" s="22" t="s">
        <v>47</v>
      </c>
      <c r="D2075" s="22" t="s">
        <v>43</v>
      </c>
      <c r="E2075" s="158">
        <v>20115</v>
      </c>
      <c r="F2075" s="159">
        <v>65000</v>
      </c>
      <c r="G2075" s="159">
        <v>1307475000</v>
      </c>
      <c r="H2075" s="159">
        <v>117672750</v>
      </c>
      <c r="I2075" s="159">
        <v>1425147750</v>
      </c>
      <c r="J2075" s="159" t="e">
        <f>bargiri[[#This Row],[مقدار]]*INDEX(invoice[پیش دریافت به ازای هر کیلوگرم],MATCH(bargiri[[#This Row],[شماره سند مبنا]],invoice[شماره پیش فاکتور],0))</f>
        <v>#N/A</v>
      </c>
      <c r="K2075" s="159" t="e">
        <f>bargiri[[#This Row],[مبلغ خالص]]-bargiri[[#This Row],[میزان استهلاک پیش دریافتی]]</f>
        <v>#N/A</v>
      </c>
      <c r="L2075" s="160"/>
      <c r="M2075" s="159"/>
      <c r="N2075" s="159" t="e">
        <f>IF(bargiri[[#This Row],[مبلغ واریزی]]&lt;&gt;"",bargiri[[#This Row],[مانده مبلغ]]-bargiri[[#This Row],[مبلغ واریزی]],bargiri[[#This Row],[مانده مبلغ]])</f>
        <v>#N/A</v>
      </c>
      <c r="O2075" s="159"/>
      <c r="P2075" s="159" t="e">
        <f>VLOOKUP(bargiri[[#This Row],[شماره سند مبنا]],invoice[[شماره پیش فاکتور]:[پیش دریافت به ازای هر کیلوگرم]],14,0)</f>
        <v>#N/A</v>
      </c>
      <c r="Q2075" s="159" t="e">
        <f>IF(bargiri[[#This Row],[مبلغ ناخالص]]-(bargiri[[#This Row],[نرخ استهلاک]]*bargiri[[#This Row],[مقدار]])&lt;0,0,bargiri[[#This Row],[مبلغ ناخالص]]-(bargiri[[#This Row],[نرخ استهلاک]]*bargiri[[#This Row],[مقدار]]))</f>
        <v>#N/A</v>
      </c>
    </row>
    <row r="2076" spans="1:17" s="22" customFormat="1" ht="13.8" x14ac:dyDescent="0.25">
      <c r="A2076" s="22">
        <v>773</v>
      </c>
      <c r="B2076" s="22" t="s">
        <v>522</v>
      </c>
      <c r="C2076" s="22" t="s">
        <v>47</v>
      </c>
      <c r="D2076" s="22" t="s">
        <v>43</v>
      </c>
      <c r="E2076" s="158">
        <v>20140</v>
      </c>
      <c r="F2076" s="159">
        <v>65000</v>
      </c>
      <c r="G2076" s="159">
        <v>1309100000</v>
      </c>
      <c r="H2076" s="159">
        <v>117819000</v>
      </c>
      <c r="I2076" s="159">
        <v>1426919000</v>
      </c>
      <c r="J2076" s="159" t="e">
        <f>bargiri[[#This Row],[مقدار]]*INDEX(invoice[پیش دریافت به ازای هر کیلوگرم],MATCH(bargiri[[#This Row],[شماره سند مبنا]],invoice[شماره پیش فاکتور],0))</f>
        <v>#N/A</v>
      </c>
      <c r="K2076" s="159" t="e">
        <f>bargiri[[#This Row],[مبلغ خالص]]-bargiri[[#This Row],[میزان استهلاک پیش دریافتی]]</f>
        <v>#N/A</v>
      </c>
      <c r="L2076" s="160"/>
      <c r="M2076" s="159"/>
      <c r="N2076" s="159" t="e">
        <f>IF(bargiri[[#This Row],[مبلغ واریزی]]&lt;&gt;"",bargiri[[#This Row],[مانده مبلغ]]-bargiri[[#This Row],[مبلغ واریزی]],bargiri[[#This Row],[مانده مبلغ]])</f>
        <v>#N/A</v>
      </c>
      <c r="O2076" s="159"/>
      <c r="P2076" s="159" t="e">
        <f>VLOOKUP(bargiri[[#This Row],[شماره سند مبنا]],invoice[[شماره پیش فاکتور]:[پیش دریافت به ازای هر کیلوگرم]],14,0)</f>
        <v>#N/A</v>
      </c>
      <c r="Q2076" s="159" t="e">
        <f>IF(bargiri[[#This Row],[مبلغ ناخالص]]-(bargiri[[#This Row],[نرخ استهلاک]]*bargiri[[#This Row],[مقدار]])&lt;0,0,bargiri[[#This Row],[مبلغ ناخالص]]-(bargiri[[#This Row],[نرخ استهلاک]]*bargiri[[#This Row],[مقدار]]))</f>
        <v>#N/A</v>
      </c>
    </row>
    <row r="2077" spans="1:17" s="22" customFormat="1" ht="13.8" x14ac:dyDescent="0.25">
      <c r="A2077" s="22">
        <v>772</v>
      </c>
      <c r="B2077" s="22" t="s">
        <v>523</v>
      </c>
      <c r="C2077" s="22" t="s">
        <v>19</v>
      </c>
      <c r="D2077" s="22" t="s">
        <v>20</v>
      </c>
      <c r="E2077" s="158">
        <v>20635</v>
      </c>
      <c r="F2077" s="159">
        <v>65000</v>
      </c>
      <c r="G2077" s="159">
        <v>1341275000</v>
      </c>
      <c r="H2077" s="159">
        <v>120714750</v>
      </c>
      <c r="I2077" s="159">
        <v>1461989750</v>
      </c>
      <c r="J2077" s="159" t="e">
        <f>bargiri[[#This Row],[مقدار]]*INDEX(invoice[پیش دریافت به ازای هر کیلوگرم],MATCH(bargiri[[#This Row],[شماره سند مبنا]],invoice[شماره پیش فاکتور],0))</f>
        <v>#N/A</v>
      </c>
      <c r="K2077" s="159" t="e">
        <f>bargiri[[#This Row],[مبلغ خالص]]-bargiri[[#This Row],[میزان استهلاک پیش دریافتی]]</f>
        <v>#N/A</v>
      </c>
      <c r="L2077" s="160"/>
      <c r="M2077" s="159"/>
      <c r="N2077" s="159" t="e">
        <f>IF(bargiri[[#This Row],[مبلغ واریزی]]&lt;&gt;"",bargiri[[#This Row],[مانده مبلغ]]-bargiri[[#This Row],[مبلغ واریزی]],bargiri[[#This Row],[مانده مبلغ]])</f>
        <v>#N/A</v>
      </c>
      <c r="O2077" s="159"/>
      <c r="P2077" s="159" t="e">
        <f>VLOOKUP(bargiri[[#This Row],[شماره سند مبنا]],invoice[[شماره پیش فاکتور]:[پیش دریافت به ازای هر کیلوگرم]],14,0)</f>
        <v>#N/A</v>
      </c>
      <c r="Q2077" s="159" t="e">
        <f>IF(bargiri[[#This Row],[مبلغ ناخالص]]-(bargiri[[#This Row],[نرخ استهلاک]]*bargiri[[#This Row],[مقدار]])&lt;0,0,bargiri[[#This Row],[مبلغ ناخالص]]-(bargiri[[#This Row],[نرخ استهلاک]]*bargiri[[#This Row],[مقدار]]))</f>
        <v>#N/A</v>
      </c>
    </row>
    <row r="2078" spans="1:17" s="22" customFormat="1" ht="13.8" x14ac:dyDescent="0.25">
      <c r="A2078" s="22">
        <v>771</v>
      </c>
      <c r="B2078" s="22" t="s">
        <v>489</v>
      </c>
      <c r="C2078" s="22" t="s">
        <v>84</v>
      </c>
      <c r="D2078" s="22" t="s">
        <v>51</v>
      </c>
      <c r="E2078" s="158">
        <v>20160</v>
      </c>
      <c r="F2078" s="159">
        <v>70000</v>
      </c>
      <c r="G2078" s="159">
        <v>1411200000</v>
      </c>
      <c r="H2078" s="159">
        <v>141120000</v>
      </c>
      <c r="I2078" s="159">
        <v>1552320000</v>
      </c>
      <c r="J2078" s="159" t="e">
        <f>bargiri[[#This Row],[مقدار]]*INDEX(invoice[پیش دریافت به ازای هر کیلوگرم],MATCH(bargiri[[#This Row],[شماره سند مبنا]],invoice[شماره پیش فاکتور],0))</f>
        <v>#N/A</v>
      </c>
      <c r="K2078" s="159" t="e">
        <f>bargiri[[#This Row],[مبلغ خالص]]-bargiri[[#This Row],[میزان استهلاک پیش دریافتی]]</f>
        <v>#N/A</v>
      </c>
      <c r="L2078" s="160"/>
      <c r="M2078" s="159"/>
      <c r="N2078" s="159" t="e">
        <f>IF(bargiri[[#This Row],[مبلغ واریزی]]&lt;&gt;"",bargiri[[#This Row],[مانده مبلغ]]-bargiri[[#This Row],[مبلغ واریزی]],bargiri[[#This Row],[مانده مبلغ]])</f>
        <v>#N/A</v>
      </c>
      <c r="O2078" s="159"/>
      <c r="P2078" s="159" t="e">
        <f>VLOOKUP(bargiri[[#This Row],[شماره سند مبنا]],invoice[[شماره پیش فاکتور]:[پیش دریافت به ازای هر کیلوگرم]],14,0)</f>
        <v>#N/A</v>
      </c>
      <c r="Q2078" s="159" t="e">
        <f>IF(bargiri[[#This Row],[مبلغ ناخالص]]-(bargiri[[#This Row],[نرخ استهلاک]]*bargiri[[#This Row],[مقدار]])&lt;0,0,bargiri[[#This Row],[مبلغ ناخالص]]-(bargiri[[#This Row],[نرخ استهلاک]]*bargiri[[#This Row],[مقدار]]))</f>
        <v>#N/A</v>
      </c>
    </row>
    <row r="2079" spans="1:17" s="22" customFormat="1" ht="13.8" x14ac:dyDescent="0.25">
      <c r="A2079" s="22">
        <v>770</v>
      </c>
      <c r="B2079" s="22" t="s">
        <v>489</v>
      </c>
      <c r="C2079" s="22" t="s">
        <v>59</v>
      </c>
      <c r="D2079" s="22" t="s">
        <v>57</v>
      </c>
      <c r="E2079" s="158">
        <v>9440</v>
      </c>
      <c r="F2079" s="159">
        <v>80000</v>
      </c>
      <c r="G2079" s="159">
        <v>755200000</v>
      </c>
      <c r="H2079" s="159">
        <v>67968000</v>
      </c>
      <c r="I2079" s="159">
        <v>823168000</v>
      </c>
      <c r="J2079" s="159" t="e">
        <f>bargiri[[#This Row],[مقدار]]*INDEX(invoice[پیش دریافت به ازای هر کیلوگرم],MATCH(bargiri[[#This Row],[شماره سند مبنا]],invoice[شماره پیش فاکتور],0))</f>
        <v>#N/A</v>
      </c>
      <c r="K2079" s="159" t="e">
        <f>bargiri[[#This Row],[مبلغ خالص]]-bargiri[[#This Row],[میزان استهلاک پیش دریافتی]]</f>
        <v>#N/A</v>
      </c>
      <c r="L2079" s="160"/>
      <c r="M2079" s="159"/>
      <c r="N2079" s="159" t="e">
        <f>IF(bargiri[[#This Row],[مبلغ واریزی]]&lt;&gt;"",bargiri[[#This Row],[مانده مبلغ]]-bargiri[[#This Row],[مبلغ واریزی]],bargiri[[#This Row],[مانده مبلغ]])</f>
        <v>#N/A</v>
      </c>
      <c r="O2079" s="159"/>
      <c r="P2079" s="159" t="e">
        <f>VLOOKUP(bargiri[[#This Row],[شماره سند مبنا]],invoice[[شماره پیش فاکتور]:[پیش دریافت به ازای هر کیلوگرم]],14,0)</f>
        <v>#N/A</v>
      </c>
      <c r="Q2079" s="159" t="e">
        <f>IF(bargiri[[#This Row],[مبلغ ناخالص]]-(bargiri[[#This Row],[نرخ استهلاک]]*bargiri[[#This Row],[مقدار]])&lt;0,0,bargiri[[#This Row],[مبلغ ناخالص]]-(bargiri[[#This Row],[نرخ استهلاک]]*bargiri[[#This Row],[مقدار]]))</f>
        <v>#N/A</v>
      </c>
    </row>
    <row r="2080" spans="1:17" s="22" customFormat="1" ht="13.8" x14ac:dyDescent="0.25">
      <c r="A2080" s="22">
        <v>769</v>
      </c>
      <c r="B2080" s="22" t="s">
        <v>489</v>
      </c>
      <c r="C2080" s="22" t="s">
        <v>109</v>
      </c>
      <c r="D2080" s="22" t="s">
        <v>110</v>
      </c>
      <c r="E2080" s="158">
        <v>18940</v>
      </c>
      <c r="F2080" s="159">
        <v>70000</v>
      </c>
      <c r="G2080" s="159">
        <v>1325800000</v>
      </c>
      <c r="H2080" s="159">
        <v>132580000</v>
      </c>
      <c r="I2080" s="159">
        <v>1458380000</v>
      </c>
      <c r="J2080" s="159" t="e">
        <f>bargiri[[#This Row],[مقدار]]*INDEX(invoice[پیش دریافت به ازای هر کیلوگرم],MATCH(bargiri[[#This Row],[شماره سند مبنا]],invoice[شماره پیش فاکتور],0))</f>
        <v>#N/A</v>
      </c>
      <c r="K2080" s="159" t="e">
        <f>bargiri[[#This Row],[مبلغ خالص]]-bargiri[[#This Row],[میزان استهلاک پیش دریافتی]]</f>
        <v>#N/A</v>
      </c>
      <c r="L2080" s="160"/>
      <c r="M2080" s="159"/>
      <c r="N2080" s="159" t="e">
        <f>IF(bargiri[[#This Row],[مبلغ واریزی]]&lt;&gt;"",bargiri[[#This Row],[مانده مبلغ]]-bargiri[[#This Row],[مبلغ واریزی]],bargiri[[#This Row],[مانده مبلغ]])</f>
        <v>#N/A</v>
      </c>
      <c r="O2080" s="159"/>
      <c r="P2080" s="159" t="e">
        <f>VLOOKUP(bargiri[[#This Row],[شماره سند مبنا]],invoice[[شماره پیش فاکتور]:[پیش دریافت به ازای هر کیلوگرم]],14,0)</f>
        <v>#N/A</v>
      </c>
      <c r="Q2080" s="159" t="e">
        <f>IF(bargiri[[#This Row],[مبلغ ناخالص]]-(bargiri[[#This Row],[نرخ استهلاک]]*bargiri[[#This Row],[مقدار]])&lt;0,0,bargiri[[#This Row],[مبلغ ناخالص]]-(bargiri[[#This Row],[نرخ استهلاک]]*bargiri[[#This Row],[مقدار]]))</f>
        <v>#N/A</v>
      </c>
    </row>
    <row r="2081" spans="1:17" s="22" customFormat="1" ht="13.8" x14ac:dyDescent="0.25">
      <c r="A2081" s="22">
        <v>768</v>
      </c>
      <c r="B2081" s="22" t="s">
        <v>489</v>
      </c>
      <c r="C2081" s="22" t="s">
        <v>93</v>
      </c>
      <c r="D2081" s="22" t="s">
        <v>78</v>
      </c>
      <c r="E2081" s="158">
        <v>21085</v>
      </c>
      <c r="F2081" s="159">
        <v>70000</v>
      </c>
      <c r="G2081" s="159">
        <v>1475950000</v>
      </c>
      <c r="H2081" s="159">
        <v>147595000</v>
      </c>
      <c r="I2081" s="159">
        <v>1623545000</v>
      </c>
      <c r="J2081" s="159" t="e">
        <f>bargiri[[#This Row],[مقدار]]*INDEX(invoice[پیش دریافت به ازای هر کیلوگرم],MATCH(bargiri[[#This Row],[شماره سند مبنا]],invoice[شماره پیش فاکتور],0))</f>
        <v>#N/A</v>
      </c>
      <c r="K2081" s="159" t="e">
        <f>bargiri[[#This Row],[مبلغ خالص]]-bargiri[[#This Row],[میزان استهلاک پیش دریافتی]]</f>
        <v>#N/A</v>
      </c>
      <c r="L2081" s="160"/>
      <c r="M2081" s="159"/>
      <c r="N2081" s="159" t="e">
        <f>IF(bargiri[[#This Row],[مبلغ واریزی]]&lt;&gt;"",bargiri[[#This Row],[مانده مبلغ]]-bargiri[[#This Row],[مبلغ واریزی]],bargiri[[#This Row],[مانده مبلغ]])</f>
        <v>#N/A</v>
      </c>
      <c r="O2081" s="159"/>
      <c r="P2081" s="159" t="e">
        <f>VLOOKUP(bargiri[[#This Row],[شماره سند مبنا]],invoice[[شماره پیش فاکتور]:[پیش دریافت به ازای هر کیلوگرم]],14,0)</f>
        <v>#N/A</v>
      </c>
      <c r="Q2081" s="159" t="e">
        <f>IF(bargiri[[#This Row],[مبلغ ناخالص]]-(bargiri[[#This Row],[نرخ استهلاک]]*bargiri[[#This Row],[مقدار]])&lt;0,0,bargiri[[#This Row],[مبلغ ناخالص]]-(bargiri[[#This Row],[نرخ استهلاک]]*bargiri[[#This Row],[مقدار]]))</f>
        <v>#N/A</v>
      </c>
    </row>
    <row r="2082" spans="1:17" s="22" customFormat="1" ht="13.8" x14ac:dyDescent="0.25">
      <c r="A2082" s="22">
        <v>767</v>
      </c>
      <c r="B2082" s="22" t="s">
        <v>516</v>
      </c>
      <c r="C2082" s="22" t="s">
        <v>99</v>
      </c>
      <c r="D2082" s="22" t="s">
        <v>64</v>
      </c>
      <c r="E2082" s="158">
        <v>21935</v>
      </c>
      <c r="F2082" s="159">
        <v>75000</v>
      </c>
      <c r="G2082" s="159">
        <v>1645125000</v>
      </c>
      <c r="H2082" s="159">
        <v>164512500</v>
      </c>
      <c r="I2082" s="159">
        <v>1809637500</v>
      </c>
      <c r="J2082" s="159" t="e">
        <f>bargiri[[#This Row],[مقدار]]*INDEX(invoice[پیش دریافت به ازای هر کیلوگرم],MATCH(bargiri[[#This Row],[شماره سند مبنا]],invoice[شماره پیش فاکتور],0))</f>
        <v>#N/A</v>
      </c>
      <c r="K2082" s="159" t="e">
        <f>bargiri[[#This Row],[مبلغ خالص]]-bargiri[[#This Row],[میزان استهلاک پیش دریافتی]]</f>
        <v>#N/A</v>
      </c>
      <c r="L2082" s="160"/>
      <c r="M2082" s="159"/>
      <c r="N2082" s="159" t="e">
        <f>IF(bargiri[[#This Row],[مبلغ واریزی]]&lt;&gt;"",bargiri[[#This Row],[مانده مبلغ]]-bargiri[[#This Row],[مبلغ واریزی]],bargiri[[#This Row],[مانده مبلغ]])</f>
        <v>#N/A</v>
      </c>
      <c r="O2082" s="159"/>
      <c r="P2082" s="159" t="e">
        <f>VLOOKUP(bargiri[[#This Row],[شماره سند مبنا]],invoice[[شماره پیش فاکتور]:[پیش دریافت به ازای هر کیلوگرم]],14,0)</f>
        <v>#N/A</v>
      </c>
      <c r="Q2082" s="159" t="e">
        <f>IF(bargiri[[#This Row],[مبلغ ناخالص]]-(bargiri[[#This Row],[نرخ استهلاک]]*bargiri[[#This Row],[مقدار]])&lt;0,0,bargiri[[#This Row],[مبلغ ناخالص]]-(bargiri[[#This Row],[نرخ استهلاک]]*bargiri[[#This Row],[مقدار]]))</f>
        <v>#N/A</v>
      </c>
    </row>
    <row r="2083" spans="1:17" s="22" customFormat="1" ht="13.8" x14ac:dyDescent="0.25">
      <c r="A2083" s="22">
        <v>766</v>
      </c>
      <c r="B2083" s="22" t="s">
        <v>516</v>
      </c>
      <c r="C2083" s="22" t="s">
        <v>93</v>
      </c>
      <c r="D2083" s="22" t="s">
        <v>78</v>
      </c>
      <c r="E2083" s="158">
        <v>21325</v>
      </c>
      <c r="F2083" s="159">
        <v>70000</v>
      </c>
      <c r="G2083" s="159">
        <v>1492750000</v>
      </c>
      <c r="H2083" s="159">
        <v>149275000</v>
      </c>
      <c r="I2083" s="159">
        <v>1642025000</v>
      </c>
      <c r="J2083" s="159" t="e">
        <f>bargiri[[#This Row],[مقدار]]*INDEX(invoice[پیش دریافت به ازای هر کیلوگرم],MATCH(bargiri[[#This Row],[شماره سند مبنا]],invoice[شماره پیش فاکتور],0))</f>
        <v>#N/A</v>
      </c>
      <c r="K2083" s="159" t="e">
        <f>bargiri[[#This Row],[مبلغ خالص]]-bargiri[[#This Row],[میزان استهلاک پیش دریافتی]]</f>
        <v>#N/A</v>
      </c>
      <c r="L2083" s="160"/>
      <c r="M2083" s="159"/>
      <c r="N2083" s="159" t="e">
        <f>IF(bargiri[[#This Row],[مبلغ واریزی]]&lt;&gt;"",bargiri[[#This Row],[مانده مبلغ]]-bargiri[[#This Row],[مبلغ واریزی]],bargiri[[#This Row],[مانده مبلغ]])</f>
        <v>#N/A</v>
      </c>
      <c r="O2083" s="159"/>
      <c r="P2083" s="159" t="e">
        <f>VLOOKUP(bargiri[[#This Row],[شماره سند مبنا]],invoice[[شماره پیش فاکتور]:[پیش دریافت به ازای هر کیلوگرم]],14,0)</f>
        <v>#N/A</v>
      </c>
      <c r="Q2083" s="159" t="e">
        <f>IF(bargiri[[#This Row],[مبلغ ناخالص]]-(bargiri[[#This Row],[نرخ استهلاک]]*bargiri[[#This Row],[مقدار]])&lt;0,0,bargiri[[#This Row],[مبلغ ناخالص]]-(bargiri[[#This Row],[نرخ استهلاک]]*bargiri[[#This Row],[مقدار]]))</f>
        <v>#N/A</v>
      </c>
    </row>
    <row r="2084" spans="1:17" s="22" customFormat="1" ht="13.8" x14ac:dyDescent="0.25">
      <c r="A2084" s="22">
        <v>765</v>
      </c>
      <c r="B2084" s="22" t="s">
        <v>516</v>
      </c>
      <c r="C2084" s="22" t="s">
        <v>29</v>
      </c>
      <c r="D2084" s="22" t="s">
        <v>30</v>
      </c>
      <c r="E2084" s="158">
        <v>11075</v>
      </c>
      <c r="F2084" s="159">
        <v>70000</v>
      </c>
      <c r="G2084" s="159">
        <v>775250000</v>
      </c>
      <c r="H2084" s="159">
        <v>77525000</v>
      </c>
      <c r="I2084" s="159">
        <v>852775000</v>
      </c>
      <c r="J2084" s="159" t="e">
        <f>bargiri[[#This Row],[مقدار]]*INDEX(invoice[پیش دریافت به ازای هر کیلوگرم],MATCH(bargiri[[#This Row],[شماره سند مبنا]],invoice[شماره پیش فاکتور],0))</f>
        <v>#N/A</v>
      </c>
      <c r="K2084" s="159" t="e">
        <f>bargiri[[#This Row],[مبلغ خالص]]-bargiri[[#This Row],[میزان استهلاک پیش دریافتی]]</f>
        <v>#N/A</v>
      </c>
      <c r="L2084" s="160"/>
      <c r="M2084" s="159"/>
      <c r="N2084" s="159" t="e">
        <f>IF(bargiri[[#This Row],[مبلغ واریزی]]&lt;&gt;"",bargiri[[#This Row],[مانده مبلغ]]-bargiri[[#This Row],[مبلغ واریزی]],bargiri[[#This Row],[مانده مبلغ]])</f>
        <v>#N/A</v>
      </c>
      <c r="O2084" s="159"/>
      <c r="P2084" s="159" t="e">
        <f>VLOOKUP(bargiri[[#This Row],[شماره سند مبنا]],invoice[[شماره پیش فاکتور]:[پیش دریافت به ازای هر کیلوگرم]],14,0)</f>
        <v>#N/A</v>
      </c>
      <c r="Q2084" s="159" t="e">
        <f>IF(bargiri[[#This Row],[مبلغ ناخالص]]-(bargiri[[#This Row],[نرخ استهلاک]]*bargiri[[#This Row],[مقدار]])&lt;0,0,bargiri[[#This Row],[مبلغ ناخالص]]-(bargiri[[#This Row],[نرخ استهلاک]]*bargiri[[#This Row],[مقدار]]))</f>
        <v>#N/A</v>
      </c>
    </row>
    <row r="2085" spans="1:17" s="22" customFormat="1" ht="13.8" x14ac:dyDescent="0.25">
      <c r="A2085" s="22">
        <v>764</v>
      </c>
      <c r="B2085" s="22" t="s">
        <v>516</v>
      </c>
      <c r="C2085" s="22" t="s">
        <v>97</v>
      </c>
      <c r="D2085" s="22" t="s">
        <v>40</v>
      </c>
      <c r="E2085" s="158">
        <v>20510</v>
      </c>
      <c r="F2085" s="159">
        <v>85000</v>
      </c>
      <c r="G2085" s="159">
        <v>1743350000</v>
      </c>
      <c r="H2085" s="159">
        <v>174335000</v>
      </c>
      <c r="I2085" s="159">
        <v>1917685000</v>
      </c>
      <c r="J2085" s="159" t="e">
        <f>bargiri[[#This Row],[مقدار]]*INDEX(invoice[پیش دریافت به ازای هر کیلوگرم],MATCH(bargiri[[#This Row],[شماره سند مبنا]],invoice[شماره پیش فاکتور],0))</f>
        <v>#N/A</v>
      </c>
      <c r="K2085" s="159" t="e">
        <f>bargiri[[#This Row],[مبلغ خالص]]-bargiri[[#This Row],[میزان استهلاک پیش دریافتی]]</f>
        <v>#N/A</v>
      </c>
      <c r="L2085" s="160"/>
      <c r="M2085" s="159"/>
      <c r="N2085" s="159" t="e">
        <f>IF(bargiri[[#This Row],[مبلغ واریزی]]&lt;&gt;"",bargiri[[#This Row],[مانده مبلغ]]-bargiri[[#This Row],[مبلغ واریزی]],bargiri[[#This Row],[مانده مبلغ]])</f>
        <v>#N/A</v>
      </c>
      <c r="O2085" s="159"/>
      <c r="P2085" s="159" t="e">
        <f>VLOOKUP(bargiri[[#This Row],[شماره سند مبنا]],invoice[[شماره پیش فاکتور]:[پیش دریافت به ازای هر کیلوگرم]],14,0)</f>
        <v>#N/A</v>
      </c>
      <c r="Q2085" s="159" t="e">
        <f>IF(bargiri[[#This Row],[مبلغ ناخالص]]-(bargiri[[#This Row],[نرخ استهلاک]]*bargiri[[#This Row],[مقدار]])&lt;0,0,bargiri[[#This Row],[مبلغ ناخالص]]-(bargiri[[#This Row],[نرخ استهلاک]]*bargiri[[#This Row],[مقدار]]))</f>
        <v>#N/A</v>
      </c>
    </row>
    <row r="2086" spans="1:17" s="22" customFormat="1" ht="13.8" x14ac:dyDescent="0.25">
      <c r="A2086" s="22">
        <v>763</v>
      </c>
      <c r="B2086" s="22" t="s">
        <v>517</v>
      </c>
      <c r="C2086" s="22" t="s">
        <v>69</v>
      </c>
      <c r="D2086" s="22" t="s">
        <v>70</v>
      </c>
      <c r="E2086" s="158">
        <v>20170</v>
      </c>
      <c r="F2086" s="159">
        <v>70000</v>
      </c>
      <c r="G2086" s="159">
        <v>1411900000</v>
      </c>
      <c r="H2086" s="159">
        <v>127071000</v>
      </c>
      <c r="I2086" s="159">
        <v>1538971000</v>
      </c>
      <c r="J2086" s="159" t="e">
        <f>bargiri[[#This Row],[مقدار]]*INDEX(invoice[پیش دریافت به ازای هر کیلوگرم],MATCH(bargiri[[#This Row],[شماره سند مبنا]],invoice[شماره پیش فاکتور],0))</f>
        <v>#N/A</v>
      </c>
      <c r="K2086" s="159" t="e">
        <f>bargiri[[#This Row],[مبلغ خالص]]-bargiri[[#This Row],[میزان استهلاک پیش دریافتی]]</f>
        <v>#N/A</v>
      </c>
      <c r="L2086" s="160"/>
      <c r="M2086" s="159"/>
      <c r="N2086" s="159" t="e">
        <f>IF(bargiri[[#This Row],[مبلغ واریزی]]&lt;&gt;"",bargiri[[#This Row],[مانده مبلغ]]-bargiri[[#This Row],[مبلغ واریزی]],bargiri[[#This Row],[مانده مبلغ]])</f>
        <v>#N/A</v>
      </c>
      <c r="O2086" s="159"/>
      <c r="P2086" s="159" t="e">
        <f>VLOOKUP(bargiri[[#This Row],[شماره سند مبنا]],invoice[[شماره پیش فاکتور]:[پیش دریافت به ازای هر کیلوگرم]],14,0)</f>
        <v>#N/A</v>
      </c>
      <c r="Q2086" s="159" t="e">
        <f>IF(bargiri[[#This Row],[مبلغ ناخالص]]-(bargiri[[#This Row],[نرخ استهلاک]]*bargiri[[#This Row],[مقدار]])&lt;0,0,bargiri[[#This Row],[مبلغ ناخالص]]-(bargiri[[#This Row],[نرخ استهلاک]]*bargiri[[#This Row],[مقدار]]))</f>
        <v>#N/A</v>
      </c>
    </row>
    <row r="2087" spans="1:17" s="22" customFormat="1" ht="13.8" x14ac:dyDescent="0.25">
      <c r="A2087" s="22">
        <v>762</v>
      </c>
      <c r="B2087" s="22" t="s">
        <v>517</v>
      </c>
      <c r="C2087" s="22" t="s">
        <v>109</v>
      </c>
      <c r="D2087" s="22" t="s">
        <v>110</v>
      </c>
      <c r="E2087" s="158">
        <v>19115</v>
      </c>
      <c r="F2087" s="159">
        <v>70000</v>
      </c>
      <c r="G2087" s="159">
        <v>1338050000</v>
      </c>
      <c r="H2087" s="159">
        <v>133805000</v>
      </c>
      <c r="I2087" s="159">
        <v>1471855000</v>
      </c>
      <c r="J2087" s="159" t="e">
        <f>bargiri[[#This Row],[مقدار]]*INDEX(invoice[پیش دریافت به ازای هر کیلوگرم],MATCH(bargiri[[#This Row],[شماره سند مبنا]],invoice[شماره پیش فاکتور],0))</f>
        <v>#N/A</v>
      </c>
      <c r="K2087" s="159" t="e">
        <f>bargiri[[#This Row],[مبلغ خالص]]-bargiri[[#This Row],[میزان استهلاک پیش دریافتی]]</f>
        <v>#N/A</v>
      </c>
      <c r="L2087" s="160"/>
      <c r="M2087" s="159"/>
      <c r="N2087" s="159" t="e">
        <f>IF(bargiri[[#This Row],[مبلغ واریزی]]&lt;&gt;"",bargiri[[#This Row],[مانده مبلغ]]-bargiri[[#This Row],[مبلغ واریزی]],bargiri[[#This Row],[مانده مبلغ]])</f>
        <v>#N/A</v>
      </c>
      <c r="O2087" s="159"/>
      <c r="P2087" s="159" t="e">
        <f>VLOOKUP(bargiri[[#This Row],[شماره سند مبنا]],invoice[[شماره پیش فاکتور]:[پیش دریافت به ازای هر کیلوگرم]],14,0)</f>
        <v>#N/A</v>
      </c>
      <c r="Q2087" s="159" t="e">
        <f>IF(bargiri[[#This Row],[مبلغ ناخالص]]-(bargiri[[#This Row],[نرخ استهلاک]]*bargiri[[#This Row],[مقدار]])&lt;0,0,bargiri[[#This Row],[مبلغ ناخالص]]-(bargiri[[#This Row],[نرخ استهلاک]]*bargiri[[#This Row],[مقدار]]))</f>
        <v>#N/A</v>
      </c>
    </row>
    <row r="2088" spans="1:17" s="22" customFormat="1" ht="13.8" x14ac:dyDescent="0.25">
      <c r="A2088" s="22">
        <v>761</v>
      </c>
      <c r="B2088" s="22" t="s">
        <v>518</v>
      </c>
      <c r="C2088" s="22" t="s">
        <v>109</v>
      </c>
      <c r="D2088" s="22" t="s">
        <v>110</v>
      </c>
      <c r="E2088" s="158">
        <v>19105</v>
      </c>
      <c r="F2088" s="159">
        <v>70000</v>
      </c>
      <c r="G2088" s="159">
        <v>1337350000</v>
      </c>
      <c r="H2088" s="159">
        <v>133735000</v>
      </c>
      <c r="I2088" s="159">
        <v>1471085000</v>
      </c>
      <c r="J2088" s="159" t="e">
        <f>bargiri[[#This Row],[مقدار]]*INDEX(invoice[پیش دریافت به ازای هر کیلوگرم],MATCH(bargiri[[#This Row],[شماره سند مبنا]],invoice[شماره پیش فاکتور],0))</f>
        <v>#N/A</v>
      </c>
      <c r="K2088" s="159" t="e">
        <f>bargiri[[#This Row],[مبلغ خالص]]-bargiri[[#This Row],[میزان استهلاک پیش دریافتی]]</f>
        <v>#N/A</v>
      </c>
      <c r="L2088" s="160"/>
      <c r="M2088" s="159"/>
      <c r="N2088" s="159" t="e">
        <f>IF(bargiri[[#This Row],[مبلغ واریزی]]&lt;&gt;"",bargiri[[#This Row],[مانده مبلغ]]-bargiri[[#This Row],[مبلغ واریزی]],bargiri[[#This Row],[مانده مبلغ]])</f>
        <v>#N/A</v>
      </c>
      <c r="O2088" s="159"/>
      <c r="P2088" s="159" t="e">
        <f>VLOOKUP(bargiri[[#This Row],[شماره سند مبنا]],invoice[[شماره پیش فاکتور]:[پیش دریافت به ازای هر کیلوگرم]],14,0)</f>
        <v>#N/A</v>
      </c>
      <c r="Q2088" s="159" t="e">
        <f>IF(bargiri[[#This Row],[مبلغ ناخالص]]-(bargiri[[#This Row],[نرخ استهلاک]]*bargiri[[#This Row],[مقدار]])&lt;0,0,bargiri[[#This Row],[مبلغ ناخالص]]-(bargiri[[#This Row],[نرخ استهلاک]]*bargiri[[#This Row],[مقدار]]))</f>
        <v>#N/A</v>
      </c>
    </row>
    <row r="2089" spans="1:17" s="22" customFormat="1" ht="13.8" x14ac:dyDescent="0.25">
      <c r="A2089" s="22">
        <v>760</v>
      </c>
      <c r="B2089" s="22" t="s">
        <v>518</v>
      </c>
      <c r="C2089" s="22" t="s">
        <v>97</v>
      </c>
      <c r="D2089" s="22" t="s">
        <v>40</v>
      </c>
      <c r="E2089" s="158">
        <v>18250</v>
      </c>
      <c r="F2089" s="159">
        <v>85000</v>
      </c>
      <c r="G2089" s="159">
        <v>1551250000</v>
      </c>
      <c r="H2089" s="159">
        <v>155125000</v>
      </c>
      <c r="I2089" s="159">
        <v>1706375000</v>
      </c>
      <c r="J2089" s="159" t="e">
        <f>bargiri[[#This Row],[مقدار]]*INDEX(invoice[پیش دریافت به ازای هر کیلوگرم],MATCH(bargiri[[#This Row],[شماره سند مبنا]],invoice[شماره پیش فاکتور],0))</f>
        <v>#N/A</v>
      </c>
      <c r="K2089" s="159" t="e">
        <f>bargiri[[#This Row],[مبلغ خالص]]-bargiri[[#This Row],[میزان استهلاک پیش دریافتی]]</f>
        <v>#N/A</v>
      </c>
      <c r="L2089" s="160"/>
      <c r="M2089" s="159"/>
      <c r="N2089" s="159" t="e">
        <f>IF(bargiri[[#This Row],[مبلغ واریزی]]&lt;&gt;"",bargiri[[#This Row],[مانده مبلغ]]-bargiri[[#This Row],[مبلغ واریزی]],bargiri[[#This Row],[مانده مبلغ]])</f>
        <v>#N/A</v>
      </c>
      <c r="O2089" s="159"/>
      <c r="P2089" s="159" t="e">
        <f>VLOOKUP(bargiri[[#This Row],[شماره سند مبنا]],invoice[[شماره پیش فاکتور]:[پیش دریافت به ازای هر کیلوگرم]],14,0)</f>
        <v>#N/A</v>
      </c>
      <c r="Q2089" s="159" t="e">
        <f>IF(bargiri[[#This Row],[مبلغ ناخالص]]-(bargiri[[#This Row],[نرخ استهلاک]]*bargiri[[#This Row],[مقدار]])&lt;0,0,bargiri[[#This Row],[مبلغ ناخالص]]-(bargiri[[#This Row],[نرخ استهلاک]]*bargiri[[#This Row],[مقدار]]))</f>
        <v>#N/A</v>
      </c>
    </row>
    <row r="2090" spans="1:17" s="22" customFormat="1" ht="13.8" x14ac:dyDescent="0.25">
      <c r="A2090" s="22">
        <v>759</v>
      </c>
      <c r="B2090" s="22" t="s">
        <v>519</v>
      </c>
      <c r="C2090" s="22" t="s">
        <v>29</v>
      </c>
      <c r="D2090" s="22" t="s">
        <v>30</v>
      </c>
      <c r="E2090" s="158">
        <v>10115</v>
      </c>
      <c r="F2090" s="159">
        <v>70000</v>
      </c>
      <c r="G2090" s="159">
        <v>708050000</v>
      </c>
      <c r="H2090" s="159">
        <v>70805000</v>
      </c>
      <c r="I2090" s="159">
        <v>778855000</v>
      </c>
      <c r="J2090" s="159" t="e">
        <f>bargiri[[#This Row],[مقدار]]*INDEX(invoice[پیش دریافت به ازای هر کیلوگرم],MATCH(bargiri[[#This Row],[شماره سند مبنا]],invoice[شماره پیش فاکتور],0))</f>
        <v>#N/A</v>
      </c>
      <c r="K2090" s="159" t="e">
        <f>bargiri[[#This Row],[مبلغ خالص]]-bargiri[[#This Row],[میزان استهلاک پیش دریافتی]]</f>
        <v>#N/A</v>
      </c>
      <c r="L2090" s="160"/>
      <c r="M2090" s="159"/>
      <c r="N2090" s="159" t="e">
        <f>IF(bargiri[[#This Row],[مبلغ واریزی]]&lt;&gt;"",bargiri[[#This Row],[مانده مبلغ]]-bargiri[[#This Row],[مبلغ واریزی]],bargiri[[#This Row],[مانده مبلغ]])</f>
        <v>#N/A</v>
      </c>
      <c r="O2090" s="159"/>
      <c r="P2090" s="159" t="e">
        <f>VLOOKUP(bargiri[[#This Row],[شماره سند مبنا]],invoice[[شماره پیش فاکتور]:[پیش دریافت به ازای هر کیلوگرم]],14,0)</f>
        <v>#N/A</v>
      </c>
      <c r="Q2090" s="159" t="e">
        <f>IF(bargiri[[#This Row],[مبلغ ناخالص]]-(bargiri[[#This Row],[نرخ استهلاک]]*bargiri[[#This Row],[مقدار]])&lt;0,0,bargiri[[#This Row],[مبلغ ناخالص]]-(bargiri[[#This Row],[نرخ استهلاک]]*bargiri[[#This Row],[مقدار]]))</f>
        <v>#N/A</v>
      </c>
    </row>
    <row r="2091" spans="1:17" s="22" customFormat="1" ht="13.8" x14ac:dyDescent="0.25">
      <c r="A2091" s="22">
        <v>758</v>
      </c>
      <c r="B2091" s="22" t="s">
        <v>519</v>
      </c>
      <c r="C2091" s="22" t="s">
        <v>109</v>
      </c>
      <c r="D2091" s="22" t="s">
        <v>110</v>
      </c>
      <c r="E2091" s="158">
        <v>20135</v>
      </c>
      <c r="F2091" s="159">
        <v>70000</v>
      </c>
      <c r="G2091" s="159">
        <v>1409450000</v>
      </c>
      <c r="H2091" s="159">
        <v>140945000</v>
      </c>
      <c r="I2091" s="159">
        <v>1550395000</v>
      </c>
      <c r="J2091" s="159" t="e">
        <f>bargiri[[#This Row],[مقدار]]*INDEX(invoice[پیش دریافت به ازای هر کیلوگرم],MATCH(bargiri[[#This Row],[شماره سند مبنا]],invoice[شماره پیش فاکتور],0))</f>
        <v>#N/A</v>
      </c>
      <c r="K2091" s="159" t="e">
        <f>bargiri[[#This Row],[مبلغ خالص]]-bargiri[[#This Row],[میزان استهلاک پیش دریافتی]]</f>
        <v>#N/A</v>
      </c>
      <c r="L2091" s="160"/>
      <c r="M2091" s="159"/>
      <c r="N2091" s="159" t="e">
        <f>IF(bargiri[[#This Row],[مبلغ واریزی]]&lt;&gt;"",bargiri[[#This Row],[مانده مبلغ]]-bargiri[[#This Row],[مبلغ واریزی]],bargiri[[#This Row],[مانده مبلغ]])</f>
        <v>#N/A</v>
      </c>
      <c r="O2091" s="159"/>
      <c r="P2091" s="159" t="e">
        <f>VLOOKUP(bargiri[[#This Row],[شماره سند مبنا]],invoice[[شماره پیش فاکتور]:[پیش دریافت به ازای هر کیلوگرم]],14,0)</f>
        <v>#N/A</v>
      </c>
      <c r="Q2091" s="159" t="e">
        <f>IF(bargiri[[#This Row],[مبلغ ناخالص]]-(bargiri[[#This Row],[نرخ استهلاک]]*bargiri[[#This Row],[مقدار]])&lt;0,0,bargiri[[#This Row],[مبلغ ناخالص]]-(bargiri[[#This Row],[نرخ استهلاک]]*bargiri[[#This Row],[مقدار]]))</f>
        <v>#N/A</v>
      </c>
    </row>
    <row r="2092" spans="1:17" s="22" customFormat="1" ht="13.8" x14ac:dyDescent="0.25">
      <c r="A2092" s="22">
        <v>757</v>
      </c>
      <c r="B2092" s="22" t="s">
        <v>519</v>
      </c>
      <c r="C2092" s="22" t="s">
        <v>66</v>
      </c>
      <c r="D2092" s="22" t="s">
        <v>67</v>
      </c>
      <c r="E2092" s="158">
        <v>20270</v>
      </c>
      <c r="F2092" s="159">
        <v>68500</v>
      </c>
      <c r="G2092" s="159">
        <v>1388495000</v>
      </c>
      <c r="H2092" s="159">
        <v>124964550</v>
      </c>
      <c r="I2092" s="159">
        <v>1513459550</v>
      </c>
      <c r="J2092" s="159" t="e">
        <f>bargiri[[#This Row],[مقدار]]*INDEX(invoice[پیش دریافت به ازای هر کیلوگرم],MATCH(bargiri[[#This Row],[شماره سند مبنا]],invoice[شماره پیش فاکتور],0))</f>
        <v>#N/A</v>
      </c>
      <c r="K2092" s="159" t="e">
        <f>bargiri[[#This Row],[مبلغ خالص]]-bargiri[[#This Row],[میزان استهلاک پیش دریافتی]]</f>
        <v>#N/A</v>
      </c>
      <c r="L2092" s="160"/>
      <c r="M2092" s="159"/>
      <c r="N2092" s="159" t="e">
        <f>IF(bargiri[[#This Row],[مبلغ واریزی]]&lt;&gt;"",bargiri[[#This Row],[مانده مبلغ]]-bargiri[[#This Row],[مبلغ واریزی]],bargiri[[#This Row],[مانده مبلغ]])</f>
        <v>#N/A</v>
      </c>
      <c r="O2092" s="159"/>
      <c r="P2092" s="159" t="e">
        <f>VLOOKUP(bargiri[[#This Row],[شماره سند مبنا]],invoice[[شماره پیش فاکتور]:[پیش دریافت به ازای هر کیلوگرم]],14,0)</f>
        <v>#N/A</v>
      </c>
      <c r="Q2092" s="159" t="e">
        <f>IF(bargiri[[#This Row],[مبلغ ناخالص]]-(bargiri[[#This Row],[نرخ استهلاک]]*bargiri[[#This Row],[مقدار]])&lt;0,0,bargiri[[#This Row],[مبلغ ناخالص]]-(bargiri[[#This Row],[نرخ استهلاک]]*bargiri[[#This Row],[مقدار]]))</f>
        <v>#N/A</v>
      </c>
    </row>
    <row r="2093" spans="1:17" s="22" customFormat="1" ht="13.8" x14ac:dyDescent="0.25">
      <c r="A2093" s="22">
        <v>756</v>
      </c>
      <c r="B2093" s="22" t="s">
        <v>524</v>
      </c>
      <c r="C2093" s="22" t="s">
        <v>66</v>
      </c>
      <c r="D2093" s="22" t="s">
        <v>67</v>
      </c>
      <c r="E2093" s="158">
        <v>20130</v>
      </c>
      <c r="F2093" s="159">
        <v>68500</v>
      </c>
      <c r="G2093" s="159">
        <v>1378905000</v>
      </c>
      <c r="H2093" s="159">
        <v>124101450</v>
      </c>
      <c r="I2093" s="159">
        <v>1503006450</v>
      </c>
      <c r="J2093" s="159" t="e">
        <f>bargiri[[#This Row],[مقدار]]*INDEX(invoice[پیش دریافت به ازای هر کیلوگرم],MATCH(bargiri[[#This Row],[شماره سند مبنا]],invoice[شماره پیش فاکتور],0))</f>
        <v>#N/A</v>
      </c>
      <c r="K2093" s="159" t="e">
        <f>bargiri[[#This Row],[مبلغ خالص]]-bargiri[[#This Row],[میزان استهلاک پیش دریافتی]]</f>
        <v>#N/A</v>
      </c>
      <c r="L2093" s="160"/>
      <c r="M2093" s="159"/>
      <c r="N2093" s="159" t="e">
        <f>IF(bargiri[[#This Row],[مبلغ واریزی]]&lt;&gt;"",bargiri[[#This Row],[مانده مبلغ]]-bargiri[[#This Row],[مبلغ واریزی]],bargiri[[#This Row],[مانده مبلغ]])</f>
        <v>#N/A</v>
      </c>
      <c r="O2093" s="159"/>
      <c r="P2093" s="159" t="e">
        <f>VLOOKUP(bargiri[[#This Row],[شماره سند مبنا]],invoice[[شماره پیش فاکتور]:[پیش دریافت به ازای هر کیلوگرم]],14,0)</f>
        <v>#N/A</v>
      </c>
      <c r="Q2093" s="159" t="e">
        <f>IF(bargiri[[#This Row],[مبلغ ناخالص]]-(bargiri[[#This Row],[نرخ استهلاک]]*bargiri[[#This Row],[مقدار]])&lt;0,0,bargiri[[#This Row],[مبلغ ناخالص]]-(bargiri[[#This Row],[نرخ استهلاک]]*bargiri[[#This Row],[مقدار]]))</f>
        <v>#N/A</v>
      </c>
    </row>
    <row r="2094" spans="1:17" s="22" customFormat="1" ht="13.8" x14ac:dyDescent="0.25">
      <c r="A2094" s="22">
        <v>755</v>
      </c>
      <c r="B2094" s="22" t="s">
        <v>524</v>
      </c>
      <c r="C2094" s="22" t="s">
        <v>66</v>
      </c>
      <c r="D2094" s="22" t="s">
        <v>67</v>
      </c>
      <c r="E2094" s="158">
        <v>20120</v>
      </c>
      <c r="F2094" s="159">
        <v>68500</v>
      </c>
      <c r="G2094" s="159">
        <v>1378220000</v>
      </c>
      <c r="H2094" s="159">
        <v>124039800</v>
      </c>
      <c r="I2094" s="159">
        <v>1502259800</v>
      </c>
      <c r="J2094" s="159" t="e">
        <f>bargiri[[#This Row],[مقدار]]*INDEX(invoice[پیش دریافت به ازای هر کیلوگرم],MATCH(bargiri[[#This Row],[شماره سند مبنا]],invoice[شماره پیش فاکتور],0))</f>
        <v>#N/A</v>
      </c>
      <c r="K2094" s="159" t="e">
        <f>bargiri[[#This Row],[مبلغ خالص]]-bargiri[[#This Row],[میزان استهلاک پیش دریافتی]]</f>
        <v>#N/A</v>
      </c>
      <c r="L2094" s="160"/>
      <c r="M2094" s="159"/>
      <c r="N2094" s="159" t="e">
        <f>IF(bargiri[[#This Row],[مبلغ واریزی]]&lt;&gt;"",bargiri[[#This Row],[مانده مبلغ]]-bargiri[[#This Row],[مبلغ واریزی]],bargiri[[#This Row],[مانده مبلغ]])</f>
        <v>#N/A</v>
      </c>
      <c r="O2094" s="159"/>
      <c r="P2094" s="159" t="e">
        <f>VLOOKUP(bargiri[[#This Row],[شماره سند مبنا]],invoice[[شماره پیش فاکتور]:[پیش دریافت به ازای هر کیلوگرم]],14,0)</f>
        <v>#N/A</v>
      </c>
      <c r="Q2094" s="159" t="e">
        <f>IF(bargiri[[#This Row],[مبلغ ناخالص]]-(bargiri[[#This Row],[نرخ استهلاک]]*bargiri[[#This Row],[مقدار]])&lt;0,0,bargiri[[#This Row],[مبلغ ناخالص]]-(bargiri[[#This Row],[نرخ استهلاک]]*bargiri[[#This Row],[مقدار]]))</f>
        <v>#N/A</v>
      </c>
    </row>
    <row r="2095" spans="1:17" s="22" customFormat="1" ht="13.8" x14ac:dyDescent="0.25">
      <c r="A2095" s="22">
        <v>754</v>
      </c>
      <c r="B2095" s="22" t="s">
        <v>524</v>
      </c>
      <c r="C2095" s="22" t="s">
        <v>19</v>
      </c>
      <c r="D2095" s="22" t="s">
        <v>20</v>
      </c>
      <c r="E2095" s="158">
        <v>18415</v>
      </c>
      <c r="F2095" s="159">
        <v>65000</v>
      </c>
      <c r="G2095" s="159">
        <v>1196975000</v>
      </c>
      <c r="H2095" s="159">
        <v>107727750</v>
      </c>
      <c r="I2095" s="159">
        <v>1304702750</v>
      </c>
      <c r="J2095" s="159" t="e">
        <f>bargiri[[#This Row],[مقدار]]*INDEX(invoice[پیش دریافت به ازای هر کیلوگرم],MATCH(bargiri[[#This Row],[شماره سند مبنا]],invoice[شماره پیش فاکتور],0))</f>
        <v>#N/A</v>
      </c>
      <c r="K2095" s="159" t="e">
        <f>bargiri[[#This Row],[مبلغ خالص]]-bargiri[[#This Row],[میزان استهلاک پیش دریافتی]]</f>
        <v>#N/A</v>
      </c>
      <c r="L2095" s="160"/>
      <c r="M2095" s="159"/>
      <c r="N2095" s="159" t="e">
        <f>IF(bargiri[[#This Row],[مبلغ واریزی]]&lt;&gt;"",bargiri[[#This Row],[مانده مبلغ]]-bargiri[[#This Row],[مبلغ واریزی]],bargiri[[#This Row],[مانده مبلغ]])</f>
        <v>#N/A</v>
      </c>
      <c r="O2095" s="159"/>
      <c r="P2095" s="159" t="e">
        <f>VLOOKUP(bargiri[[#This Row],[شماره سند مبنا]],invoice[[شماره پیش فاکتور]:[پیش دریافت به ازای هر کیلوگرم]],14,0)</f>
        <v>#N/A</v>
      </c>
      <c r="Q2095" s="159" t="e">
        <f>IF(bargiri[[#This Row],[مبلغ ناخالص]]-(bargiri[[#This Row],[نرخ استهلاک]]*bargiri[[#This Row],[مقدار]])&lt;0,0,bargiri[[#This Row],[مبلغ ناخالص]]-(bargiri[[#This Row],[نرخ استهلاک]]*bargiri[[#This Row],[مقدار]]))</f>
        <v>#N/A</v>
      </c>
    </row>
    <row r="2096" spans="1:17" s="22" customFormat="1" ht="13.8" x14ac:dyDescent="0.25">
      <c r="A2096" s="22">
        <v>753</v>
      </c>
      <c r="B2096" s="22" t="s">
        <v>524</v>
      </c>
      <c r="C2096" s="22" t="s">
        <v>109</v>
      </c>
      <c r="D2096" s="22" t="s">
        <v>110</v>
      </c>
      <c r="E2096" s="158">
        <v>20120</v>
      </c>
      <c r="F2096" s="159">
        <v>70000</v>
      </c>
      <c r="G2096" s="159">
        <v>1408400000</v>
      </c>
      <c r="H2096" s="159">
        <v>140840000</v>
      </c>
      <c r="I2096" s="159">
        <v>1549240000</v>
      </c>
      <c r="J2096" s="159" t="e">
        <f>bargiri[[#This Row],[مقدار]]*INDEX(invoice[پیش دریافت به ازای هر کیلوگرم],MATCH(bargiri[[#This Row],[شماره سند مبنا]],invoice[شماره پیش فاکتور],0))</f>
        <v>#N/A</v>
      </c>
      <c r="K2096" s="159" t="e">
        <f>bargiri[[#This Row],[مبلغ خالص]]-bargiri[[#This Row],[میزان استهلاک پیش دریافتی]]</f>
        <v>#N/A</v>
      </c>
      <c r="L2096" s="160"/>
      <c r="M2096" s="159"/>
      <c r="N2096" s="159" t="e">
        <f>IF(bargiri[[#This Row],[مبلغ واریزی]]&lt;&gt;"",bargiri[[#This Row],[مانده مبلغ]]-bargiri[[#This Row],[مبلغ واریزی]],bargiri[[#This Row],[مانده مبلغ]])</f>
        <v>#N/A</v>
      </c>
      <c r="O2096" s="159"/>
      <c r="P2096" s="159" t="e">
        <f>VLOOKUP(bargiri[[#This Row],[شماره سند مبنا]],invoice[[شماره پیش فاکتور]:[پیش دریافت به ازای هر کیلوگرم]],14,0)</f>
        <v>#N/A</v>
      </c>
      <c r="Q2096" s="159" t="e">
        <f>IF(bargiri[[#This Row],[مبلغ ناخالص]]-(bargiri[[#This Row],[نرخ استهلاک]]*bargiri[[#This Row],[مقدار]])&lt;0,0,bargiri[[#This Row],[مبلغ ناخالص]]-(bargiri[[#This Row],[نرخ استهلاک]]*bargiri[[#This Row],[مقدار]]))</f>
        <v>#N/A</v>
      </c>
    </row>
    <row r="2097" spans="1:17" s="22" customFormat="1" ht="13.8" x14ac:dyDescent="0.25">
      <c r="A2097" s="22">
        <v>752</v>
      </c>
      <c r="B2097" s="22" t="s">
        <v>124</v>
      </c>
      <c r="C2097" s="22" t="s">
        <v>66</v>
      </c>
      <c r="D2097" s="22" t="s">
        <v>67</v>
      </c>
      <c r="E2097" s="158">
        <v>19955</v>
      </c>
      <c r="F2097" s="159">
        <v>0</v>
      </c>
      <c r="G2097" s="159">
        <v>0</v>
      </c>
      <c r="H2097" s="159">
        <v>0</v>
      </c>
      <c r="I2097" s="159">
        <v>0</v>
      </c>
      <c r="J2097" s="159" t="e">
        <f>bargiri[[#This Row],[مقدار]]*INDEX(invoice[پیش دریافت به ازای هر کیلوگرم],MATCH(bargiri[[#This Row],[شماره سند مبنا]],invoice[شماره پیش فاکتور],0))</f>
        <v>#N/A</v>
      </c>
      <c r="K2097" s="159" t="e">
        <f>bargiri[[#This Row],[مبلغ خالص]]-bargiri[[#This Row],[میزان استهلاک پیش دریافتی]]</f>
        <v>#N/A</v>
      </c>
      <c r="L2097" s="160"/>
      <c r="M2097" s="159"/>
      <c r="N2097" s="159" t="e">
        <f>IF(bargiri[[#This Row],[مبلغ واریزی]]&lt;&gt;"",bargiri[[#This Row],[مانده مبلغ]]-bargiri[[#This Row],[مبلغ واریزی]],bargiri[[#This Row],[مانده مبلغ]])</f>
        <v>#N/A</v>
      </c>
      <c r="O2097" s="159"/>
      <c r="P2097" s="159" t="e">
        <f>VLOOKUP(bargiri[[#This Row],[شماره سند مبنا]],invoice[[شماره پیش فاکتور]:[پیش دریافت به ازای هر کیلوگرم]],14,0)</f>
        <v>#N/A</v>
      </c>
      <c r="Q2097" s="159" t="e">
        <f>IF(bargiri[[#This Row],[مبلغ ناخالص]]-(bargiri[[#This Row],[نرخ استهلاک]]*bargiri[[#This Row],[مقدار]])&lt;0,0,bargiri[[#This Row],[مبلغ ناخالص]]-(bargiri[[#This Row],[نرخ استهلاک]]*bargiri[[#This Row],[مقدار]]))</f>
        <v>#N/A</v>
      </c>
    </row>
    <row r="2098" spans="1:17" s="22" customFormat="1" ht="13.8" x14ac:dyDescent="0.25">
      <c r="A2098" s="22">
        <v>751</v>
      </c>
      <c r="B2098" s="22" t="s">
        <v>127</v>
      </c>
      <c r="C2098" s="22" t="s">
        <v>66</v>
      </c>
      <c r="D2098" s="22" t="s">
        <v>67</v>
      </c>
      <c r="E2098" s="158">
        <v>19995</v>
      </c>
      <c r="F2098" s="159">
        <v>68500</v>
      </c>
      <c r="G2098" s="159">
        <v>1369657500</v>
      </c>
      <c r="H2098" s="159">
        <v>123269175</v>
      </c>
      <c r="I2098" s="159">
        <v>1492926675</v>
      </c>
      <c r="J2098" s="159" t="e">
        <f>bargiri[[#This Row],[مقدار]]*INDEX(invoice[پیش دریافت به ازای هر کیلوگرم],MATCH(bargiri[[#This Row],[شماره سند مبنا]],invoice[شماره پیش فاکتور],0))</f>
        <v>#N/A</v>
      </c>
      <c r="K2098" s="159" t="e">
        <f>bargiri[[#This Row],[مبلغ خالص]]-bargiri[[#This Row],[میزان استهلاک پیش دریافتی]]</f>
        <v>#N/A</v>
      </c>
      <c r="L2098" s="160"/>
      <c r="M2098" s="159"/>
      <c r="N2098" s="159" t="e">
        <f>IF(bargiri[[#This Row],[مبلغ واریزی]]&lt;&gt;"",bargiri[[#This Row],[مانده مبلغ]]-bargiri[[#This Row],[مبلغ واریزی]],bargiri[[#This Row],[مانده مبلغ]])</f>
        <v>#N/A</v>
      </c>
      <c r="O2098" s="159"/>
      <c r="P2098" s="159" t="e">
        <f>VLOOKUP(bargiri[[#This Row],[شماره سند مبنا]],invoice[[شماره پیش فاکتور]:[پیش دریافت به ازای هر کیلوگرم]],14,0)</f>
        <v>#N/A</v>
      </c>
      <c r="Q2098" s="159" t="e">
        <f>IF(bargiri[[#This Row],[مبلغ ناخالص]]-(bargiri[[#This Row],[نرخ استهلاک]]*bargiri[[#This Row],[مقدار]])&lt;0,0,bargiri[[#This Row],[مبلغ ناخالص]]-(bargiri[[#This Row],[نرخ استهلاک]]*bargiri[[#This Row],[مقدار]]))</f>
        <v>#N/A</v>
      </c>
    </row>
    <row r="2099" spans="1:17" s="22" customFormat="1" ht="13.8" x14ac:dyDescent="0.25">
      <c r="A2099" s="22">
        <v>750</v>
      </c>
      <c r="B2099" s="22" t="s">
        <v>127</v>
      </c>
      <c r="C2099" s="22" t="s">
        <v>97</v>
      </c>
      <c r="D2099" s="22" t="s">
        <v>40</v>
      </c>
      <c r="E2099" s="158">
        <v>17945</v>
      </c>
      <c r="F2099" s="159">
        <v>85000</v>
      </c>
      <c r="G2099" s="159">
        <v>1525325000</v>
      </c>
      <c r="H2099" s="159">
        <v>152532500</v>
      </c>
      <c r="I2099" s="159">
        <v>1677857500</v>
      </c>
      <c r="J2099" s="159" t="e">
        <f>bargiri[[#This Row],[مقدار]]*INDEX(invoice[پیش دریافت به ازای هر کیلوگرم],MATCH(bargiri[[#This Row],[شماره سند مبنا]],invoice[شماره پیش فاکتور],0))</f>
        <v>#N/A</v>
      </c>
      <c r="K2099" s="159" t="e">
        <f>bargiri[[#This Row],[مبلغ خالص]]-bargiri[[#This Row],[میزان استهلاک پیش دریافتی]]</f>
        <v>#N/A</v>
      </c>
      <c r="L2099" s="160"/>
      <c r="M2099" s="159"/>
      <c r="N2099" s="159" t="e">
        <f>IF(bargiri[[#This Row],[مبلغ واریزی]]&lt;&gt;"",bargiri[[#This Row],[مانده مبلغ]]-bargiri[[#This Row],[مبلغ واریزی]],bargiri[[#This Row],[مانده مبلغ]])</f>
        <v>#N/A</v>
      </c>
      <c r="O2099" s="159"/>
      <c r="P2099" s="159" t="e">
        <f>VLOOKUP(bargiri[[#This Row],[شماره سند مبنا]],invoice[[شماره پیش فاکتور]:[پیش دریافت به ازای هر کیلوگرم]],14,0)</f>
        <v>#N/A</v>
      </c>
      <c r="Q2099" s="159" t="e">
        <f>IF(bargiri[[#This Row],[مبلغ ناخالص]]-(bargiri[[#This Row],[نرخ استهلاک]]*bargiri[[#This Row],[مقدار]])&lt;0,0,bargiri[[#This Row],[مبلغ ناخالص]]-(bargiri[[#This Row],[نرخ استهلاک]]*bargiri[[#This Row],[مقدار]]))</f>
        <v>#N/A</v>
      </c>
    </row>
    <row r="2100" spans="1:17" s="22" customFormat="1" ht="13.8" x14ac:dyDescent="0.25">
      <c r="A2100" s="22">
        <v>749</v>
      </c>
      <c r="B2100" s="22" t="s">
        <v>127</v>
      </c>
      <c r="C2100" s="22" t="s">
        <v>125</v>
      </c>
      <c r="D2100" s="22" t="s">
        <v>126</v>
      </c>
      <c r="E2100" s="158">
        <v>20065</v>
      </c>
      <c r="F2100" s="159">
        <v>75000</v>
      </c>
      <c r="G2100" s="159">
        <v>1504875000</v>
      </c>
      <c r="H2100" s="159">
        <v>150487500</v>
      </c>
      <c r="I2100" s="159">
        <v>1655362500</v>
      </c>
      <c r="J2100" s="159" t="e">
        <f>bargiri[[#This Row],[مقدار]]*INDEX(invoice[پیش دریافت به ازای هر کیلوگرم],MATCH(bargiri[[#This Row],[شماره سند مبنا]],invoice[شماره پیش فاکتور],0))</f>
        <v>#N/A</v>
      </c>
      <c r="K2100" s="159" t="e">
        <f>bargiri[[#This Row],[مبلغ خالص]]-bargiri[[#This Row],[میزان استهلاک پیش دریافتی]]</f>
        <v>#N/A</v>
      </c>
      <c r="L2100" s="160"/>
      <c r="M2100" s="159"/>
      <c r="N2100" s="159" t="e">
        <f>IF(bargiri[[#This Row],[مبلغ واریزی]]&lt;&gt;"",bargiri[[#This Row],[مانده مبلغ]]-bargiri[[#This Row],[مبلغ واریزی]],bargiri[[#This Row],[مانده مبلغ]])</f>
        <v>#N/A</v>
      </c>
      <c r="O2100" s="159"/>
      <c r="P2100" s="159" t="e">
        <f>VLOOKUP(bargiri[[#This Row],[شماره سند مبنا]],invoice[[شماره پیش فاکتور]:[پیش دریافت به ازای هر کیلوگرم]],14,0)</f>
        <v>#N/A</v>
      </c>
      <c r="Q2100" s="159" t="e">
        <f>IF(bargiri[[#This Row],[مبلغ ناخالص]]-(bargiri[[#This Row],[نرخ استهلاک]]*bargiri[[#This Row],[مقدار]])&lt;0,0,bargiri[[#This Row],[مبلغ ناخالص]]-(bargiri[[#This Row],[نرخ استهلاک]]*bargiri[[#This Row],[مقدار]]))</f>
        <v>#N/A</v>
      </c>
    </row>
    <row r="2101" spans="1:17" s="22" customFormat="1" ht="13.8" x14ac:dyDescent="0.25">
      <c r="A2101" s="22">
        <v>748</v>
      </c>
      <c r="B2101" s="22" t="s">
        <v>127</v>
      </c>
      <c r="C2101" s="22" t="s">
        <v>99</v>
      </c>
      <c r="D2101" s="22" t="s">
        <v>64</v>
      </c>
      <c r="E2101" s="158">
        <v>22105</v>
      </c>
      <c r="F2101" s="159">
        <v>75000</v>
      </c>
      <c r="G2101" s="159">
        <v>1657875000</v>
      </c>
      <c r="H2101" s="159">
        <v>165787500</v>
      </c>
      <c r="I2101" s="159">
        <v>1823662500</v>
      </c>
      <c r="J2101" s="159" t="e">
        <f>bargiri[[#This Row],[مقدار]]*INDEX(invoice[پیش دریافت به ازای هر کیلوگرم],MATCH(bargiri[[#This Row],[شماره سند مبنا]],invoice[شماره پیش فاکتور],0))</f>
        <v>#N/A</v>
      </c>
      <c r="K2101" s="159" t="e">
        <f>bargiri[[#This Row],[مبلغ خالص]]-bargiri[[#This Row],[میزان استهلاک پیش دریافتی]]</f>
        <v>#N/A</v>
      </c>
      <c r="L2101" s="160"/>
      <c r="M2101" s="159"/>
      <c r="N2101" s="159" t="e">
        <f>IF(bargiri[[#This Row],[مبلغ واریزی]]&lt;&gt;"",bargiri[[#This Row],[مانده مبلغ]]-bargiri[[#This Row],[مبلغ واریزی]],bargiri[[#This Row],[مانده مبلغ]])</f>
        <v>#N/A</v>
      </c>
      <c r="O2101" s="159"/>
      <c r="P2101" s="159" t="e">
        <f>VLOOKUP(bargiri[[#This Row],[شماره سند مبنا]],invoice[[شماره پیش فاکتور]:[پیش دریافت به ازای هر کیلوگرم]],14,0)</f>
        <v>#N/A</v>
      </c>
      <c r="Q2101" s="159" t="e">
        <f>IF(bargiri[[#This Row],[مبلغ ناخالص]]-(bargiri[[#This Row],[نرخ استهلاک]]*bargiri[[#This Row],[مقدار]])&lt;0,0,bargiri[[#This Row],[مبلغ ناخالص]]-(bargiri[[#This Row],[نرخ استهلاک]]*bargiri[[#This Row],[مقدار]]))</f>
        <v>#N/A</v>
      </c>
    </row>
    <row r="2102" spans="1:17" s="22" customFormat="1" ht="13.8" x14ac:dyDescent="0.25">
      <c r="A2102" s="22">
        <v>747</v>
      </c>
      <c r="B2102" s="22" t="s">
        <v>127</v>
      </c>
      <c r="C2102" s="22" t="s">
        <v>109</v>
      </c>
      <c r="D2102" s="22" t="s">
        <v>110</v>
      </c>
      <c r="E2102" s="158">
        <v>20040</v>
      </c>
      <c r="F2102" s="159">
        <v>70000</v>
      </c>
      <c r="G2102" s="159">
        <v>1402800000</v>
      </c>
      <c r="H2102" s="159">
        <v>140280000</v>
      </c>
      <c r="I2102" s="159">
        <v>1543080000</v>
      </c>
      <c r="J2102" s="159" t="e">
        <f>bargiri[[#This Row],[مقدار]]*INDEX(invoice[پیش دریافت به ازای هر کیلوگرم],MATCH(bargiri[[#This Row],[شماره سند مبنا]],invoice[شماره پیش فاکتور],0))</f>
        <v>#N/A</v>
      </c>
      <c r="K2102" s="159" t="e">
        <f>bargiri[[#This Row],[مبلغ خالص]]-bargiri[[#This Row],[میزان استهلاک پیش دریافتی]]</f>
        <v>#N/A</v>
      </c>
      <c r="L2102" s="160"/>
      <c r="M2102" s="159"/>
      <c r="N2102" s="159" t="e">
        <f>IF(bargiri[[#This Row],[مبلغ واریزی]]&lt;&gt;"",bargiri[[#This Row],[مانده مبلغ]]-bargiri[[#This Row],[مبلغ واریزی]],bargiri[[#This Row],[مانده مبلغ]])</f>
        <v>#N/A</v>
      </c>
      <c r="O2102" s="159"/>
      <c r="P2102" s="159" t="e">
        <f>VLOOKUP(bargiri[[#This Row],[شماره سند مبنا]],invoice[[شماره پیش فاکتور]:[پیش دریافت به ازای هر کیلوگرم]],14,0)</f>
        <v>#N/A</v>
      </c>
      <c r="Q2102" s="159" t="e">
        <f>IF(bargiri[[#This Row],[مبلغ ناخالص]]-(bargiri[[#This Row],[نرخ استهلاک]]*bargiri[[#This Row],[مقدار]])&lt;0,0,bargiri[[#This Row],[مبلغ ناخالص]]-(bargiri[[#This Row],[نرخ استهلاک]]*bargiri[[#This Row],[مقدار]]))</f>
        <v>#N/A</v>
      </c>
    </row>
    <row r="2103" spans="1:17" s="22" customFormat="1" ht="13.8" x14ac:dyDescent="0.25">
      <c r="A2103" s="22">
        <v>746</v>
      </c>
      <c r="B2103" s="22" t="s">
        <v>127</v>
      </c>
      <c r="C2103" s="22" t="s">
        <v>69</v>
      </c>
      <c r="D2103" s="22" t="s">
        <v>70</v>
      </c>
      <c r="E2103" s="158">
        <v>19985</v>
      </c>
      <c r="F2103" s="159">
        <v>70000</v>
      </c>
      <c r="G2103" s="159">
        <v>1398950000</v>
      </c>
      <c r="H2103" s="159">
        <v>125905500</v>
      </c>
      <c r="I2103" s="159">
        <v>1524855500</v>
      </c>
      <c r="J2103" s="159" t="e">
        <f>bargiri[[#This Row],[مقدار]]*INDEX(invoice[پیش دریافت به ازای هر کیلوگرم],MATCH(bargiri[[#This Row],[شماره سند مبنا]],invoice[شماره پیش فاکتور],0))</f>
        <v>#N/A</v>
      </c>
      <c r="K2103" s="159" t="e">
        <f>bargiri[[#This Row],[مبلغ خالص]]-bargiri[[#This Row],[میزان استهلاک پیش دریافتی]]</f>
        <v>#N/A</v>
      </c>
      <c r="L2103" s="160"/>
      <c r="M2103" s="159"/>
      <c r="N2103" s="159" t="e">
        <f>IF(bargiri[[#This Row],[مبلغ واریزی]]&lt;&gt;"",bargiri[[#This Row],[مانده مبلغ]]-bargiri[[#This Row],[مبلغ واریزی]],bargiri[[#This Row],[مانده مبلغ]])</f>
        <v>#N/A</v>
      </c>
      <c r="O2103" s="159"/>
      <c r="P2103" s="159" t="e">
        <f>VLOOKUP(bargiri[[#This Row],[شماره سند مبنا]],invoice[[شماره پیش فاکتور]:[پیش دریافت به ازای هر کیلوگرم]],14,0)</f>
        <v>#N/A</v>
      </c>
      <c r="Q2103" s="159" t="e">
        <f>IF(bargiri[[#This Row],[مبلغ ناخالص]]-(bargiri[[#This Row],[نرخ استهلاک]]*bargiri[[#This Row],[مقدار]])&lt;0,0,bargiri[[#This Row],[مبلغ ناخالص]]-(bargiri[[#This Row],[نرخ استهلاک]]*bargiri[[#This Row],[مقدار]]))</f>
        <v>#N/A</v>
      </c>
    </row>
    <row r="2104" spans="1:17" s="22" customFormat="1" ht="13.8" x14ac:dyDescent="0.25">
      <c r="A2104" s="22">
        <v>745</v>
      </c>
      <c r="B2104" s="22" t="s">
        <v>44</v>
      </c>
      <c r="C2104" s="22" t="s">
        <v>46</v>
      </c>
      <c r="D2104" s="22" t="s">
        <v>43</v>
      </c>
      <c r="E2104" s="158">
        <v>21120</v>
      </c>
      <c r="F2104" s="159">
        <v>50000</v>
      </c>
      <c r="G2104" s="159">
        <v>1056000000</v>
      </c>
      <c r="H2104" s="159">
        <v>95040000</v>
      </c>
      <c r="I2104" s="159">
        <v>1151040000</v>
      </c>
      <c r="J2104" s="159" t="e">
        <f>bargiri[[#This Row],[مقدار]]*INDEX(invoice[پیش دریافت به ازای هر کیلوگرم],MATCH(bargiri[[#This Row],[شماره سند مبنا]],invoice[شماره پیش فاکتور],0))</f>
        <v>#N/A</v>
      </c>
      <c r="K2104" s="159" t="e">
        <f>bargiri[[#This Row],[مبلغ خالص]]-bargiri[[#This Row],[میزان استهلاک پیش دریافتی]]</f>
        <v>#N/A</v>
      </c>
      <c r="L2104" s="160"/>
      <c r="M2104" s="159"/>
      <c r="N2104" s="159" t="e">
        <f>IF(bargiri[[#This Row],[مبلغ واریزی]]&lt;&gt;"",bargiri[[#This Row],[مانده مبلغ]]-bargiri[[#This Row],[مبلغ واریزی]],bargiri[[#This Row],[مانده مبلغ]])</f>
        <v>#N/A</v>
      </c>
      <c r="O2104" s="159"/>
      <c r="P2104" s="159" t="e">
        <f>VLOOKUP(bargiri[[#This Row],[شماره سند مبنا]],invoice[[شماره پیش فاکتور]:[پیش دریافت به ازای هر کیلوگرم]],14,0)</f>
        <v>#N/A</v>
      </c>
      <c r="Q2104" s="159" t="e">
        <f>IF(bargiri[[#This Row],[مبلغ ناخالص]]-(bargiri[[#This Row],[نرخ استهلاک]]*bargiri[[#This Row],[مقدار]])&lt;0,0,bargiri[[#This Row],[مبلغ ناخالص]]-(bargiri[[#This Row],[نرخ استهلاک]]*bargiri[[#This Row],[مقدار]]))</f>
        <v>#N/A</v>
      </c>
    </row>
    <row r="2105" spans="1:17" s="22" customFormat="1" ht="13.8" x14ac:dyDescent="0.25">
      <c r="A2105" s="22">
        <v>744</v>
      </c>
      <c r="B2105" s="22" t="s">
        <v>525</v>
      </c>
      <c r="C2105" s="22" t="s">
        <v>66</v>
      </c>
      <c r="D2105" s="22" t="s">
        <v>67</v>
      </c>
      <c r="E2105" s="158">
        <v>12010</v>
      </c>
      <c r="F2105" s="159">
        <v>68500</v>
      </c>
      <c r="G2105" s="159">
        <v>822685000</v>
      </c>
      <c r="H2105" s="159">
        <v>74041650</v>
      </c>
      <c r="I2105" s="159">
        <v>896726650</v>
      </c>
      <c r="J2105" s="159" t="e">
        <f>bargiri[[#This Row],[مقدار]]*INDEX(invoice[پیش دریافت به ازای هر کیلوگرم],MATCH(bargiri[[#This Row],[شماره سند مبنا]],invoice[شماره پیش فاکتور],0))</f>
        <v>#N/A</v>
      </c>
      <c r="K2105" s="159" t="e">
        <f>bargiri[[#This Row],[مبلغ خالص]]-bargiri[[#This Row],[میزان استهلاک پیش دریافتی]]</f>
        <v>#N/A</v>
      </c>
      <c r="L2105" s="160"/>
      <c r="M2105" s="159"/>
      <c r="N2105" s="159" t="e">
        <f>IF(bargiri[[#This Row],[مبلغ واریزی]]&lt;&gt;"",bargiri[[#This Row],[مانده مبلغ]]-bargiri[[#This Row],[مبلغ واریزی]],bargiri[[#This Row],[مانده مبلغ]])</f>
        <v>#N/A</v>
      </c>
      <c r="O2105" s="159"/>
      <c r="P2105" s="159" t="e">
        <f>VLOOKUP(bargiri[[#This Row],[شماره سند مبنا]],invoice[[شماره پیش فاکتور]:[پیش دریافت به ازای هر کیلوگرم]],14,0)</f>
        <v>#N/A</v>
      </c>
      <c r="Q2105" s="159" t="e">
        <f>IF(bargiri[[#This Row],[مبلغ ناخالص]]-(bargiri[[#This Row],[نرخ استهلاک]]*bargiri[[#This Row],[مقدار]])&lt;0,0,bargiri[[#This Row],[مبلغ ناخالص]]-(bargiri[[#This Row],[نرخ استهلاک]]*bargiri[[#This Row],[مقدار]]))</f>
        <v>#N/A</v>
      </c>
    </row>
    <row r="2106" spans="1:17" s="22" customFormat="1" ht="13.8" x14ac:dyDescent="0.25">
      <c r="A2106" s="22">
        <v>743</v>
      </c>
      <c r="B2106" s="22" t="s">
        <v>525</v>
      </c>
      <c r="C2106" s="22" t="s">
        <v>66</v>
      </c>
      <c r="D2106" s="22" t="s">
        <v>67</v>
      </c>
      <c r="E2106" s="158">
        <v>19910</v>
      </c>
      <c r="F2106" s="159">
        <v>68500</v>
      </c>
      <c r="G2106" s="159">
        <v>1363835000</v>
      </c>
      <c r="H2106" s="159">
        <v>122745150</v>
      </c>
      <c r="I2106" s="159">
        <v>1486580150</v>
      </c>
      <c r="J2106" s="159" t="e">
        <f>bargiri[[#This Row],[مقدار]]*INDEX(invoice[پیش دریافت به ازای هر کیلوگرم],MATCH(bargiri[[#This Row],[شماره سند مبنا]],invoice[شماره پیش فاکتور],0))</f>
        <v>#N/A</v>
      </c>
      <c r="K2106" s="159" t="e">
        <f>bargiri[[#This Row],[مبلغ خالص]]-bargiri[[#This Row],[میزان استهلاک پیش دریافتی]]</f>
        <v>#N/A</v>
      </c>
      <c r="L2106" s="160"/>
      <c r="M2106" s="159"/>
      <c r="N2106" s="159" t="e">
        <f>IF(bargiri[[#This Row],[مبلغ واریزی]]&lt;&gt;"",bargiri[[#This Row],[مانده مبلغ]]-bargiri[[#This Row],[مبلغ واریزی]],bargiri[[#This Row],[مانده مبلغ]])</f>
        <v>#N/A</v>
      </c>
      <c r="O2106" s="159"/>
      <c r="P2106" s="159" t="e">
        <f>VLOOKUP(bargiri[[#This Row],[شماره سند مبنا]],invoice[[شماره پیش فاکتور]:[پیش دریافت به ازای هر کیلوگرم]],14,0)</f>
        <v>#N/A</v>
      </c>
      <c r="Q2106" s="159" t="e">
        <f>IF(bargiri[[#This Row],[مبلغ ناخالص]]-(bargiri[[#This Row],[نرخ استهلاک]]*bargiri[[#This Row],[مقدار]])&lt;0,0,bargiri[[#This Row],[مبلغ ناخالص]]-(bargiri[[#This Row],[نرخ استهلاک]]*bargiri[[#This Row],[مقدار]]))</f>
        <v>#N/A</v>
      </c>
    </row>
    <row r="2107" spans="1:17" s="22" customFormat="1" ht="13.8" x14ac:dyDescent="0.25">
      <c r="A2107" s="22">
        <v>742</v>
      </c>
      <c r="B2107" s="22" t="s">
        <v>525</v>
      </c>
      <c r="C2107" s="22" t="s">
        <v>59</v>
      </c>
      <c r="D2107" s="22" t="s">
        <v>57</v>
      </c>
      <c r="E2107" s="158">
        <v>10080</v>
      </c>
      <c r="F2107" s="159">
        <v>80000</v>
      </c>
      <c r="G2107" s="159">
        <v>806400000</v>
      </c>
      <c r="H2107" s="159">
        <v>72576000</v>
      </c>
      <c r="I2107" s="159">
        <v>878976000</v>
      </c>
      <c r="J2107" s="159" t="e">
        <f>bargiri[[#This Row],[مقدار]]*INDEX(invoice[پیش دریافت به ازای هر کیلوگرم],MATCH(bargiri[[#This Row],[شماره سند مبنا]],invoice[شماره پیش فاکتور],0))</f>
        <v>#N/A</v>
      </c>
      <c r="K2107" s="159" t="e">
        <f>bargiri[[#This Row],[مبلغ خالص]]-bargiri[[#This Row],[میزان استهلاک پیش دریافتی]]</f>
        <v>#N/A</v>
      </c>
      <c r="L2107" s="160"/>
      <c r="M2107" s="159"/>
      <c r="N2107" s="159" t="e">
        <f>IF(bargiri[[#This Row],[مبلغ واریزی]]&lt;&gt;"",bargiri[[#This Row],[مانده مبلغ]]-bargiri[[#This Row],[مبلغ واریزی]],bargiri[[#This Row],[مانده مبلغ]])</f>
        <v>#N/A</v>
      </c>
      <c r="O2107" s="159"/>
      <c r="P2107" s="159" t="e">
        <f>VLOOKUP(bargiri[[#This Row],[شماره سند مبنا]],invoice[[شماره پیش فاکتور]:[پیش دریافت به ازای هر کیلوگرم]],14,0)</f>
        <v>#N/A</v>
      </c>
      <c r="Q2107" s="159" t="e">
        <f>IF(bargiri[[#This Row],[مبلغ ناخالص]]-(bargiri[[#This Row],[نرخ استهلاک]]*bargiri[[#This Row],[مقدار]])&lt;0,0,bargiri[[#This Row],[مبلغ ناخالص]]-(bargiri[[#This Row],[نرخ استهلاک]]*bargiri[[#This Row],[مقدار]]))</f>
        <v>#N/A</v>
      </c>
    </row>
    <row r="2108" spans="1:17" s="22" customFormat="1" ht="13.8" x14ac:dyDescent="0.25">
      <c r="A2108" s="22">
        <v>741</v>
      </c>
      <c r="B2108" s="22" t="s">
        <v>525</v>
      </c>
      <c r="C2108" s="22" t="s">
        <v>109</v>
      </c>
      <c r="D2108" s="22" t="s">
        <v>110</v>
      </c>
      <c r="E2108" s="158">
        <v>20125</v>
      </c>
      <c r="F2108" s="159">
        <v>70000</v>
      </c>
      <c r="G2108" s="159">
        <v>1408750000</v>
      </c>
      <c r="H2108" s="159">
        <v>140875000</v>
      </c>
      <c r="I2108" s="159">
        <v>1549625000</v>
      </c>
      <c r="J2108" s="159" t="e">
        <f>bargiri[[#This Row],[مقدار]]*INDEX(invoice[پیش دریافت به ازای هر کیلوگرم],MATCH(bargiri[[#This Row],[شماره سند مبنا]],invoice[شماره پیش فاکتور],0))</f>
        <v>#N/A</v>
      </c>
      <c r="K2108" s="159" t="e">
        <f>bargiri[[#This Row],[مبلغ خالص]]-bargiri[[#This Row],[میزان استهلاک پیش دریافتی]]</f>
        <v>#N/A</v>
      </c>
      <c r="L2108" s="160"/>
      <c r="M2108" s="159"/>
      <c r="N2108" s="159" t="e">
        <f>IF(bargiri[[#This Row],[مبلغ واریزی]]&lt;&gt;"",bargiri[[#This Row],[مانده مبلغ]]-bargiri[[#This Row],[مبلغ واریزی]],bargiri[[#This Row],[مانده مبلغ]])</f>
        <v>#N/A</v>
      </c>
      <c r="O2108" s="159"/>
      <c r="P2108" s="159" t="e">
        <f>VLOOKUP(bargiri[[#This Row],[شماره سند مبنا]],invoice[[شماره پیش فاکتور]:[پیش دریافت به ازای هر کیلوگرم]],14,0)</f>
        <v>#N/A</v>
      </c>
      <c r="Q2108" s="159" t="e">
        <f>IF(bargiri[[#This Row],[مبلغ ناخالص]]-(bargiri[[#This Row],[نرخ استهلاک]]*bargiri[[#This Row],[مقدار]])&lt;0,0,bargiri[[#This Row],[مبلغ ناخالص]]-(bargiri[[#This Row],[نرخ استهلاک]]*bargiri[[#This Row],[مقدار]]))</f>
        <v>#N/A</v>
      </c>
    </row>
    <row r="2109" spans="1:17" s="22" customFormat="1" ht="13.8" x14ac:dyDescent="0.25">
      <c r="A2109" s="22">
        <v>740</v>
      </c>
      <c r="B2109" s="22" t="s">
        <v>525</v>
      </c>
      <c r="C2109" s="22" t="s">
        <v>19</v>
      </c>
      <c r="D2109" s="22" t="s">
        <v>20</v>
      </c>
      <c r="E2109" s="158">
        <v>18580</v>
      </c>
      <c r="F2109" s="159">
        <v>65000</v>
      </c>
      <c r="G2109" s="159">
        <v>1207700000</v>
      </c>
      <c r="H2109" s="159">
        <v>108693000</v>
      </c>
      <c r="I2109" s="159">
        <v>1316393000</v>
      </c>
      <c r="J2109" s="159" t="e">
        <f>bargiri[[#This Row],[مقدار]]*INDEX(invoice[پیش دریافت به ازای هر کیلوگرم],MATCH(bargiri[[#This Row],[شماره سند مبنا]],invoice[شماره پیش فاکتور],0))</f>
        <v>#N/A</v>
      </c>
      <c r="K2109" s="159" t="e">
        <f>bargiri[[#This Row],[مبلغ خالص]]-bargiri[[#This Row],[میزان استهلاک پیش دریافتی]]</f>
        <v>#N/A</v>
      </c>
      <c r="L2109" s="160"/>
      <c r="M2109" s="159"/>
      <c r="N2109" s="159" t="e">
        <f>IF(bargiri[[#This Row],[مبلغ واریزی]]&lt;&gt;"",bargiri[[#This Row],[مانده مبلغ]]-bargiri[[#This Row],[مبلغ واریزی]],bargiri[[#This Row],[مانده مبلغ]])</f>
        <v>#N/A</v>
      </c>
      <c r="O2109" s="159"/>
      <c r="P2109" s="159" t="e">
        <f>VLOOKUP(bargiri[[#This Row],[شماره سند مبنا]],invoice[[شماره پیش فاکتور]:[پیش دریافت به ازای هر کیلوگرم]],14,0)</f>
        <v>#N/A</v>
      </c>
      <c r="Q2109" s="159" t="e">
        <f>IF(bargiri[[#This Row],[مبلغ ناخالص]]-(bargiri[[#This Row],[نرخ استهلاک]]*bargiri[[#This Row],[مقدار]])&lt;0,0,bargiri[[#This Row],[مبلغ ناخالص]]-(bargiri[[#This Row],[نرخ استهلاک]]*bargiri[[#This Row],[مقدار]]))</f>
        <v>#N/A</v>
      </c>
    </row>
    <row r="2110" spans="1:17" s="22" customFormat="1" ht="13.8" x14ac:dyDescent="0.25">
      <c r="A2110" s="22">
        <v>739</v>
      </c>
      <c r="B2110" s="22" t="s">
        <v>123</v>
      </c>
      <c r="C2110" s="22" t="s">
        <v>99</v>
      </c>
      <c r="D2110" s="22" t="s">
        <v>64</v>
      </c>
      <c r="E2110" s="158">
        <v>22050</v>
      </c>
      <c r="F2110" s="159">
        <v>75000</v>
      </c>
      <c r="G2110" s="159">
        <v>1653750000</v>
      </c>
      <c r="H2110" s="159">
        <v>165375000</v>
      </c>
      <c r="I2110" s="159">
        <v>1819125000</v>
      </c>
      <c r="J2110" s="159" t="e">
        <f>bargiri[[#This Row],[مقدار]]*INDEX(invoice[پیش دریافت به ازای هر کیلوگرم],MATCH(bargiri[[#This Row],[شماره سند مبنا]],invoice[شماره پیش فاکتور],0))</f>
        <v>#N/A</v>
      </c>
      <c r="K2110" s="159" t="e">
        <f>bargiri[[#This Row],[مبلغ خالص]]-bargiri[[#This Row],[میزان استهلاک پیش دریافتی]]</f>
        <v>#N/A</v>
      </c>
      <c r="L2110" s="160"/>
      <c r="M2110" s="159"/>
      <c r="N2110" s="159" t="e">
        <f>IF(bargiri[[#This Row],[مبلغ واریزی]]&lt;&gt;"",bargiri[[#This Row],[مانده مبلغ]]-bargiri[[#This Row],[مبلغ واریزی]],bargiri[[#This Row],[مانده مبلغ]])</f>
        <v>#N/A</v>
      </c>
      <c r="O2110" s="159"/>
      <c r="P2110" s="159" t="e">
        <f>VLOOKUP(bargiri[[#This Row],[شماره سند مبنا]],invoice[[شماره پیش فاکتور]:[پیش دریافت به ازای هر کیلوگرم]],14,0)</f>
        <v>#N/A</v>
      </c>
      <c r="Q2110" s="159" t="e">
        <f>IF(bargiri[[#This Row],[مبلغ ناخالص]]-(bargiri[[#This Row],[نرخ استهلاک]]*bargiri[[#This Row],[مقدار]])&lt;0,0,bargiri[[#This Row],[مبلغ ناخالص]]-(bargiri[[#This Row],[نرخ استهلاک]]*bargiri[[#This Row],[مقدار]]))</f>
        <v>#N/A</v>
      </c>
    </row>
    <row r="2111" spans="1:17" s="22" customFormat="1" ht="13.8" x14ac:dyDescent="0.25">
      <c r="A2111" s="22">
        <v>738</v>
      </c>
      <c r="B2111" s="22" t="s">
        <v>123</v>
      </c>
      <c r="C2111" s="22" t="s">
        <v>19</v>
      </c>
      <c r="D2111" s="22" t="s">
        <v>20</v>
      </c>
      <c r="E2111" s="158">
        <v>18070</v>
      </c>
      <c r="F2111" s="159">
        <v>65000</v>
      </c>
      <c r="G2111" s="159">
        <v>1174550000</v>
      </c>
      <c r="H2111" s="159">
        <v>105709500</v>
      </c>
      <c r="I2111" s="159">
        <v>1280259500</v>
      </c>
      <c r="J2111" s="159" t="e">
        <f>bargiri[[#This Row],[مقدار]]*INDEX(invoice[پیش دریافت به ازای هر کیلوگرم],MATCH(bargiri[[#This Row],[شماره سند مبنا]],invoice[شماره پیش فاکتور],0))</f>
        <v>#N/A</v>
      </c>
      <c r="K2111" s="159" t="e">
        <f>bargiri[[#This Row],[مبلغ خالص]]-bargiri[[#This Row],[میزان استهلاک پیش دریافتی]]</f>
        <v>#N/A</v>
      </c>
      <c r="L2111" s="160"/>
      <c r="M2111" s="159"/>
      <c r="N2111" s="159" t="e">
        <f>IF(bargiri[[#This Row],[مبلغ واریزی]]&lt;&gt;"",bargiri[[#This Row],[مانده مبلغ]]-bargiri[[#This Row],[مبلغ واریزی]],bargiri[[#This Row],[مانده مبلغ]])</f>
        <v>#N/A</v>
      </c>
      <c r="O2111" s="159"/>
      <c r="P2111" s="159" t="e">
        <f>VLOOKUP(bargiri[[#This Row],[شماره سند مبنا]],invoice[[شماره پیش فاکتور]:[پیش دریافت به ازای هر کیلوگرم]],14,0)</f>
        <v>#N/A</v>
      </c>
      <c r="Q2111" s="159" t="e">
        <f>IF(bargiri[[#This Row],[مبلغ ناخالص]]-(bargiri[[#This Row],[نرخ استهلاک]]*bargiri[[#This Row],[مقدار]])&lt;0,0,bargiri[[#This Row],[مبلغ ناخالص]]-(bargiri[[#This Row],[نرخ استهلاک]]*bargiri[[#This Row],[مقدار]]))</f>
        <v>#N/A</v>
      </c>
    </row>
    <row r="2112" spans="1:17" s="22" customFormat="1" ht="13.8" x14ac:dyDescent="0.25">
      <c r="A2112" s="22">
        <v>737</v>
      </c>
      <c r="B2112" s="22" t="s">
        <v>520</v>
      </c>
      <c r="C2112" s="22" t="s">
        <v>109</v>
      </c>
      <c r="D2112" s="22" t="s">
        <v>110</v>
      </c>
      <c r="E2112" s="158">
        <v>20085</v>
      </c>
      <c r="F2112" s="159">
        <v>70000</v>
      </c>
      <c r="G2112" s="159">
        <v>1405950000</v>
      </c>
      <c r="H2112" s="159">
        <v>140595000</v>
      </c>
      <c r="I2112" s="159">
        <v>1546545000</v>
      </c>
      <c r="J2112" s="159" t="e">
        <f>bargiri[[#This Row],[مقدار]]*INDEX(invoice[پیش دریافت به ازای هر کیلوگرم],MATCH(bargiri[[#This Row],[شماره سند مبنا]],invoice[شماره پیش فاکتور],0))</f>
        <v>#N/A</v>
      </c>
      <c r="K2112" s="159" t="e">
        <f>bargiri[[#This Row],[مبلغ خالص]]-bargiri[[#This Row],[میزان استهلاک پیش دریافتی]]</f>
        <v>#N/A</v>
      </c>
      <c r="L2112" s="160"/>
      <c r="M2112" s="159"/>
      <c r="N2112" s="159" t="e">
        <f>IF(bargiri[[#This Row],[مبلغ واریزی]]&lt;&gt;"",bargiri[[#This Row],[مانده مبلغ]]-bargiri[[#This Row],[مبلغ واریزی]],bargiri[[#This Row],[مانده مبلغ]])</f>
        <v>#N/A</v>
      </c>
      <c r="O2112" s="159"/>
      <c r="P2112" s="159" t="e">
        <f>VLOOKUP(bargiri[[#This Row],[شماره سند مبنا]],invoice[[شماره پیش فاکتور]:[پیش دریافت به ازای هر کیلوگرم]],14,0)</f>
        <v>#N/A</v>
      </c>
      <c r="Q2112" s="159" t="e">
        <f>IF(bargiri[[#This Row],[مبلغ ناخالص]]-(bargiri[[#This Row],[نرخ استهلاک]]*bargiri[[#This Row],[مقدار]])&lt;0,0,bargiri[[#This Row],[مبلغ ناخالص]]-(bargiri[[#This Row],[نرخ استهلاک]]*bargiri[[#This Row],[مقدار]]))</f>
        <v>#N/A</v>
      </c>
    </row>
    <row r="2113" spans="1:17" s="22" customFormat="1" ht="13.8" x14ac:dyDescent="0.25">
      <c r="A2113" s="22">
        <v>736</v>
      </c>
      <c r="B2113" s="22" t="s">
        <v>520</v>
      </c>
      <c r="C2113" s="22" t="s">
        <v>19</v>
      </c>
      <c r="D2113" s="22" t="s">
        <v>20</v>
      </c>
      <c r="E2113" s="158">
        <v>19005</v>
      </c>
      <c r="F2113" s="159">
        <v>65000</v>
      </c>
      <c r="G2113" s="159">
        <v>1235325000</v>
      </c>
      <c r="H2113" s="159">
        <v>111179250</v>
      </c>
      <c r="I2113" s="159">
        <v>1346504250</v>
      </c>
      <c r="J2113" s="159" t="e">
        <f>bargiri[[#This Row],[مقدار]]*INDEX(invoice[پیش دریافت به ازای هر کیلوگرم],MATCH(bargiri[[#This Row],[شماره سند مبنا]],invoice[شماره پیش فاکتور],0))</f>
        <v>#N/A</v>
      </c>
      <c r="K2113" s="159" t="e">
        <f>bargiri[[#This Row],[مبلغ خالص]]-bargiri[[#This Row],[میزان استهلاک پیش دریافتی]]</f>
        <v>#N/A</v>
      </c>
      <c r="L2113" s="160"/>
      <c r="M2113" s="159"/>
      <c r="N2113" s="159" t="e">
        <f>IF(bargiri[[#This Row],[مبلغ واریزی]]&lt;&gt;"",bargiri[[#This Row],[مانده مبلغ]]-bargiri[[#This Row],[مبلغ واریزی]],bargiri[[#This Row],[مانده مبلغ]])</f>
        <v>#N/A</v>
      </c>
      <c r="O2113" s="159"/>
      <c r="P2113" s="159" t="e">
        <f>VLOOKUP(bargiri[[#This Row],[شماره سند مبنا]],invoice[[شماره پیش فاکتور]:[پیش دریافت به ازای هر کیلوگرم]],14,0)</f>
        <v>#N/A</v>
      </c>
      <c r="Q2113" s="159" t="e">
        <f>IF(bargiri[[#This Row],[مبلغ ناخالص]]-(bargiri[[#This Row],[نرخ استهلاک]]*bargiri[[#This Row],[مقدار]])&lt;0,0,bargiri[[#This Row],[مبلغ ناخالص]]-(bargiri[[#This Row],[نرخ استهلاک]]*bargiri[[#This Row],[مقدار]]))</f>
        <v>#N/A</v>
      </c>
    </row>
    <row r="2114" spans="1:17" s="22" customFormat="1" ht="13.8" x14ac:dyDescent="0.25">
      <c r="A2114" s="22">
        <v>735</v>
      </c>
      <c r="B2114" s="22" t="s">
        <v>520</v>
      </c>
      <c r="C2114" s="22" t="s">
        <v>66</v>
      </c>
      <c r="D2114" s="22" t="s">
        <v>67</v>
      </c>
      <c r="E2114" s="158">
        <v>20150</v>
      </c>
      <c r="F2114" s="159">
        <v>68500</v>
      </c>
      <c r="G2114" s="159">
        <v>1380275000</v>
      </c>
      <c r="H2114" s="159">
        <v>124224750</v>
      </c>
      <c r="I2114" s="159">
        <v>1504499750</v>
      </c>
      <c r="J2114" s="159" t="e">
        <f>bargiri[[#This Row],[مقدار]]*INDEX(invoice[پیش دریافت به ازای هر کیلوگرم],MATCH(bargiri[[#This Row],[شماره سند مبنا]],invoice[شماره پیش فاکتور],0))</f>
        <v>#N/A</v>
      </c>
      <c r="K2114" s="159" t="e">
        <f>bargiri[[#This Row],[مبلغ خالص]]-bargiri[[#This Row],[میزان استهلاک پیش دریافتی]]</f>
        <v>#N/A</v>
      </c>
      <c r="L2114" s="160"/>
      <c r="M2114" s="159"/>
      <c r="N2114" s="159" t="e">
        <f>IF(bargiri[[#This Row],[مبلغ واریزی]]&lt;&gt;"",bargiri[[#This Row],[مانده مبلغ]]-bargiri[[#This Row],[مبلغ واریزی]],bargiri[[#This Row],[مانده مبلغ]])</f>
        <v>#N/A</v>
      </c>
      <c r="O2114" s="159"/>
      <c r="P2114" s="159" t="e">
        <f>VLOOKUP(bargiri[[#This Row],[شماره سند مبنا]],invoice[[شماره پیش فاکتور]:[پیش دریافت به ازای هر کیلوگرم]],14,0)</f>
        <v>#N/A</v>
      </c>
      <c r="Q2114" s="159" t="e">
        <f>IF(bargiri[[#This Row],[مبلغ ناخالص]]-(bargiri[[#This Row],[نرخ استهلاک]]*bargiri[[#This Row],[مقدار]])&lt;0,0,bargiri[[#This Row],[مبلغ ناخالص]]-(bargiri[[#This Row],[نرخ استهلاک]]*bargiri[[#This Row],[مقدار]]))</f>
        <v>#N/A</v>
      </c>
    </row>
    <row r="2115" spans="1:17" s="22" customFormat="1" ht="13.8" x14ac:dyDescent="0.25">
      <c r="A2115" s="22">
        <v>734</v>
      </c>
      <c r="B2115" s="22" t="s">
        <v>520</v>
      </c>
      <c r="C2115" s="22" t="s">
        <v>97</v>
      </c>
      <c r="D2115" s="22" t="s">
        <v>40</v>
      </c>
      <c r="E2115" s="158">
        <v>18140</v>
      </c>
      <c r="F2115" s="159">
        <v>85000</v>
      </c>
      <c r="G2115" s="159">
        <v>1541900000</v>
      </c>
      <c r="H2115" s="159">
        <v>154190000</v>
      </c>
      <c r="I2115" s="159">
        <v>1696090000</v>
      </c>
      <c r="J2115" s="159" t="e">
        <f>bargiri[[#This Row],[مقدار]]*INDEX(invoice[پیش دریافت به ازای هر کیلوگرم],MATCH(bargiri[[#This Row],[شماره سند مبنا]],invoice[شماره پیش فاکتور],0))</f>
        <v>#N/A</v>
      </c>
      <c r="K2115" s="159" t="e">
        <f>bargiri[[#This Row],[مبلغ خالص]]-bargiri[[#This Row],[میزان استهلاک پیش دریافتی]]</f>
        <v>#N/A</v>
      </c>
      <c r="L2115" s="160"/>
      <c r="M2115" s="159"/>
      <c r="N2115" s="159" t="e">
        <f>IF(bargiri[[#This Row],[مبلغ واریزی]]&lt;&gt;"",bargiri[[#This Row],[مانده مبلغ]]-bargiri[[#This Row],[مبلغ واریزی]],bargiri[[#This Row],[مانده مبلغ]])</f>
        <v>#N/A</v>
      </c>
      <c r="O2115" s="159"/>
      <c r="P2115" s="159" t="e">
        <f>VLOOKUP(bargiri[[#This Row],[شماره سند مبنا]],invoice[[شماره پیش فاکتور]:[پیش دریافت به ازای هر کیلوگرم]],14,0)</f>
        <v>#N/A</v>
      </c>
      <c r="Q2115" s="159" t="e">
        <f>IF(bargiri[[#This Row],[مبلغ ناخالص]]-(bargiri[[#This Row],[نرخ استهلاک]]*bargiri[[#This Row],[مقدار]])&lt;0,0,bargiri[[#This Row],[مبلغ ناخالص]]-(bargiri[[#This Row],[نرخ استهلاک]]*bargiri[[#This Row],[مقدار]]))</f>
        <v>#N/A</v>
      </c>
    </row>
    <row r="2116" spans="1:17" s="22" customFormat="1" ht="13.8" x14ac:dyDescent="0.25">
      <c r="A2116" s="22">
        <v>732</v>
      </c>
      <c r="B2116" s="22" t="s">
        <v>130</v>
      </c>
      <c r="C2116" s="22" t="s">
        <v>66</v>
      </c>
      <c r="D2116" s="22" t="s">
        <v>67</v>
      </c>
      <c r="E2116" s="158">
        <v>20005</v>
      </c>
      <c r="F2116" s="159">
        <v>68500</v>
      </c>
      <c r="G2116" s="159">
        <v>1370342500</v>
      </c>
      <c r="H2116" s="159">
        <v>123330825</v>
      </c>
      <c r="I2116" s="159">
        <v>1493673325</v>
      </c>
      <c r="J2116" s="159" t="e">
        <f>bargiri[[#This Row],[مقدار]]*INDEX(invoice[پیش دریافت به ازای هر کیلوگرم],MATCH(bargiri[[#This Row],[شماره سند مبنا]],invoice[شماره پیش فاکتور],0))</f>
        <v>#N/A</v>
      </c>
      <c r="K2116" s="159" t="e">
        <f>bargiri[[#This Row],[مبلغ خالص]]-bargiri[[#This Row],[میزان استهلاک پیش دریافتی]]</f>
        <v>#N/A</v>
      </c>
      <c r="L2116" s="160"/>
      <c r="M2116" s="159"/>
      <c r="N2116" s="159" t="e">
        <f>IF(bargiri[[#This Row],[مبلغ واریزی]]&lt;&gt;"",bargiri[[#This Row],[مانده مبلغ]]-bargiri[[#This Row],[مبلغ واریزی]],bargiri[[#This Row],[مانده مبلغ]])</f>
        <v>#N/A</v>
      </c>
      <c r="O2116" s="159"/>
      <c r="P2116" s="159" t="e">
        <f>VLOOKUP(bargiri[[#This Row],[شماره سند مبنا]],invoice[[شماره پیش فاکتور]:[پیش دریافت به ازای هر کیلوگرم]],14,0)</f>
        <v>#N/A</v>
      </c>
      <c r="Q2116" s="159" t="e">
        <f>IF(bargiri[[#This Row],[مبلغ ناخالص]]-(bargiri[[#This Row],[نرخ استهلاک]]*bargiri[[#This Row],[مقدار]])&lt;0,0,bargiri[[#This Row],[مبلغ ناخالص]]-(bargiri[[#This Row],[نرخ استهلاک]]*bargiri[[#This Row],[مقدار]]))</f>
        <v>#N/A</v>
      </c>
    </row>
    <row r="2117" spans="1:17" s="22" customFormat="1" ht="13.8" x14ac:dyDescent="0.25">
      <c r="A2117" s="22">
        <v>733</v>
      </c>
      <c r="B2117" s="22" t="s">
        <v>130</v>
      </c>
      <c r="C2117" s="22" t="s">
        <v>66</v>
      </c>
      <c r="D2117" s="22" t="s">
        <v>67</v>
      </c>
      <c r="E2117" s="158">
        <v>20050</v>
      </c>
      <c r="F2117" s="159">
        <v>68500</v>
      </c>
      <c r="G2117" s="159">
        <v>1373425000</v>
      </c>
      <c r="H2117" s="159">
        <v>123608250</v>
      </c>
      <c r="I2117" s="159">
        <v>1497033250</v>
      </c>
      <c r="J2117" s="159" t="e">
        <f>bargiri[[#This Row],[مقدار]]*INDEX(invoice[پیش دریافت به ازای هر کیلوگرم],MATCH(bargiri[[#This Row],[شماره سند مبنا]],invoice[شماره پیش فاکتور],0))</f>
        <v>#N/A</v>
      </c>
      <c r="K2117" s="159" t="e">
        <f>bargiri[[#This Row],[مبلغ خالص]]-bargiri[[#This Row],[میزان استهلاک پیش دریافتی]]</f>
        <v>#N/A</v>
      </c>
      <c r="L2117" s="160"/>
      <c r="M2117" s="159"/>
      <c r="N2117" s="159" t="e">
        <f>IF(bargiri[[#This Row],[مبلغ واریزی]]&lt;&gt;"",bargiri[[#This Row],[مانده مبلغ]]-bargiri[[#This Row],[مبلغ واریزی]],bargiri[[#This Row],[مانده مبلغ]])</f>
        <v>#N/A</v>
      </c>
      <c r="O2117" s="159"/>
      <c r="P2117" s="159" t="e">
        <f>VLOOKUP(bargiri[[#This Row],[شماره سند مبنا]],invoice[[شماره پیش فاکتور]:[پیش دریافت به ازای هر کیلوگرم]],14,0)</f>
        <v>#N/A</v>
      </c>
      <c r="Q2117" s="159" t="e">
        <f>IF(bargiri[[#This Row],[مبلغ ناخالص]]-(bargiri[[#This Row],[نرخ استهلاک]]*bargiri[[#This Row],[مقدار]])&lt;0,0,bargiri[[#This Row],[مبلغ ناخالص]]-(bargiri[[#This Row],[نرخ استهلاک]]*bargiri[[#This Row],[مقدار]]))</f>
        <v>#N/A</v>
      </c>
    </row>
    <row r="2118" spans="1:17" s="22" customFormat="1" ht="13.8" x14ac:dyDescent="0.25">
      <c r="A2118" s="22">
        <v>731</v>
      </c>
      <c r="B2118" s="22" t="s">
        <v>130</v>
      </c>
      <c r="C2118" s="22" t="s">
        <v>29</v>
      </c>
      <c r="D2118" s="22" t="s">
        <v>30</v>
      </c>
      <c r="E2118" s="158">
        <v>10140</v>
      </c>
      <c r="F2118" s="159">
        <v>70000</v>
      </c>
      <c r="G2118" s="159">
        <v>709800000</v>
      </c>
      <c r="H2118" s="159">
        <v>70980000</v>
      </c>
      <c r="I2118" s="159">
        <v>780780000</v>
      </c>
      <c r="J2118" s="159" t="e">
        <f>bargiri[[#This Row],[مقدار]]*INDEX(invoice[پیش دریافت به ازای هر کیلوگرم],MATCH(bargiri[[#This Row],[شماره سند مبنا]],invoice[شماره پیش فاکتور],0))</f>
        <v>#N/A</v>
      </c>
      <c r="K2118" s="159" t="e">
        <f>bargiri[[#This Row],[مبلغ خالص]]-bargiri[[#This Row],[میزان استهلاک پیش دریافتی]]</f>
        <v>#N/A</v>
      </c>
      <c r="L2118" s="160"/>
      <c r="M2118" s="159"/>
      <c r="N2118" s="159" t="e">
        <f>IF(bargiri[[#This Row],[مبلغ واریزی]]&lt;&gt;"",bargiri[[#This Row],[مانده مبلغ]]-bargiri[[#This Row],[مبلغ واریزی]],bargiri[[#This Row],[مانده مبلغ]])</f>
        <v>#N/A</v>
      </c>
      <c r="O2118" s="159"/>
      <c r="P2118" s="159" t="e">
        <f>VLOOKUP(bargiri[[#This Row],[شماره سند مبنا]],invoice[[شماره پیش فاکتور]:[پیش دریافت به ازای هر کیلوگرم]],14,0)</f>
        <v>#N/A</v>
      </c>
      <c r="Q2118" s="159" t="e">
        <f>IF(bargiri[[#This Row],[مبلغ ناخالص]]-(bargiri[[#This Row],[نرخ استهلاک]]*bargiri[[#This Row],[مقدار]])&lt;0,0,bargiri[[#This Row],[مبلغ ناخالص]]-(bargiri[[#This Row],[نرخ استهلاک]]*bargiri[[#This Row],[مقدار]]))</f>
        <v>#N/A</v>
      </c>
    </row>
    <row r="2119" spans="1:17" s="22" customFormat="1" ht="13.8" x14ac:dyDescent="0.25">
      <c r="A2119" s="22">
        <v>730</v>
      </c>
      <c r="B2119" s="22" t="s">
        <v>130</v>
      </c>
      <c r="C2119" s="22" t="s">
        <v>109</v>
      </c>
      <c r="D2119" s="22" t="s">
        <v>110</v>
      </c>
      <c r="E2119" s="158">
        <v>20065</v>
      </c>
      <c r="F2119" s="159">
        <v>70000</v>
      </c>
      <c r="G2119" s="159">
        <v>1404550000</v>
      </c>
      <c r="H2119" s="159">
        <v>140455000</v>
      </c>
      <c r="I2119" s="159">
        <v>1545005000</v>
      </c>
      <c r="J2119" s="159" t="e">
        <f>bargiri[[#This Row],[مقدار]]*INDEX(invoice[پیش دریافت به ازای هر کیلوگرم],MATCH(bargiri[[#This Row],[شماره سند مبنا]],invoice[شماره پیش فاکتور],0))</f>
        <v>#N/A</v>
      </c>
      <c r="K2119" s="159" t="e">
        <f>bargiri[[#This Row],[مبلغ خالص]]-bargiri[[#This Row],[میزان استهلاک پیش دریافتی]]</f>
        <v>#N/A</v>
      </c>
      <c r="L2119" s="160"/>
      <c r="M2119" s="159"/>
      <c r="N2119" s="159" t="e">
        <f>IF(bargiri[[#This Row],[مبلغ واریزی]]&lt;&gt;"",bargiri[[#This Row],[مانده مبلغ]]-bargiri[[#This Row],[مبلغ واریزی]],bargiri[[#This Row],[مانده مبلغ]])</f>
        <v>#N/A</v>
      </c>
      <c r="O2119" s="159"/>
      <c r="P2119" s="159" t="e">
        <f>VLOOKUP(bargiri[[#This Row],[شماره سند مبنا]],invoice[[شماره پیش فاکتور]:[پیش دریافت به ازای هر کیلوگرم]],14,0)</f>
        <v>#N/A</v>
      </c>
      <c r="Q2119" s="159" t="e">
        <f>IF(bargiri[[#This Row],[مبلغ ناخالص]]-(bargiri[[#This Row],[نرخ استهلاک]]*bargiri[[#This Row],[مقدار]])&lt;0,0,bargiri[[#This Row],[مبلغ ناخالص]]-(bargiri[[#This Row],[نرخ استهلاک]]*bargiri[[#This Row],[مقدار]]))</f>
        <v>#N/A</v>
      </c>
    </row>
    <row r="2120" spans="1:17" s="22" customFormat="1" ht="13.8" x14ac:dyDescent="0.25">
      <c r="A2120" s="22">
        <v>729</v>
      </c>
      <c r="B2120" s="22" t="s">
        <v>130</v>
      </c>
      <c r="C2120" s="22" t="s">
        <v>59</v>
      </c>
      <c r="D2120" s="22" t="s">
        <v>57</v>
      </c>
      <c r="E2120" s="158">
        <v>9925</v>
      </c>
      <c r="F2120" s="159">
        <v>80000</v>
      </c>
      <c r="G2120" s="159">
        <v>794000000</v>
      </c>
      <c r="H2120" s="159">
        <v>71460000</v>
      </c>
      <c r="I2120" s="159">
        <v>865460000</v>
      </c>
      <c r="J2120" s="159" t="e">
        <f>bargiri[[#This Row],[مقدار]]*INDEX(invoice[پیش دریافت به ازای هر کیلوگرم],MATCH(bargiri[[#This Row],[شماره سند مبنا]],invoice[شماره پیش فاکتور],0))</f>
        <v>#N/A</v>
      </c>
      <c r="K2120" s="159" t="e">
        <f>bargiri[[#This Row],[مبلغ خالص]]-bargiri[[#This Row],[میزان استهلاک پیش دریافتی]]</f>
        <v>#N/A</v>
      </c>
      <c r="L2120" s="160"/>
      <c r="M2120" s="159"/>
      <c r="N2120" s="159" t="e">
        <f>IF(bargiri[[#This Row],[مبلغ واریزی]]&lt;&gt;"",bargiri[[#This Row],[مانده مبلغ]]-bargiri[[#This Row],[مبلغ واریزی]],bargiri[[#This Row],[مانده مبلغ]])</f>
        <v>#N/A</v>
      </c>
      <c r="O2120" s="159"/>
      <c r="P2120" s="159" t="e">
        <f>VLOOKUP(bargiri[[#This Row],[شماره سند مبنا]],invoice[[شماره پیش فاکتور]:[پیش دریافت به ازای هر کیلوگرم]],14,0)</f>
        <v>#N/A</v>
      </c>
      <c r="Q2120" s="159" t="e">
        <f>IF(bargiri[[#This Row],[مبلغ ناخالص]]-(bargiri[[#This Row],[نرخ استهلاک]]*bargiri[[#This Row],[مقدار]])&lt;0,0,bargiri[[#This Row],[مبلغ ناخالص]]-(bargiri[[#This Row],[نرخ استهلاک]]*bargiri[[#This Row],[مقدار]]))</f>
        <v>#N/A</v>
      </c>
    </row>
    <row r="2121" spans="1:17" s="22" customFormat="1" ht="13.8" x14ac:dyDescent="0.25">
      <c r="A2121" s="22">
        <v>728</v>
      </c>
      <c r="B2121" s="22" t="s">
        <v>526</v>
      </c>
      <c r="C2121" s="22" t="s">
        <v>66</v>
      </c>
      <c r="D2121" s="22" t="s">
        <v>67</v>
      </c>
      <c r="E2121" s="158">
        <v>18780</v>
      </c>
      <c r="F2121" s="159">
        <v>68500</v>
      </c>
      <c r="G2121" s="159">
        <v>1286430000</v>
      </c>
      <c r="H2121" s="159">
        <v>115778700</v>
      </c>
      <c r="I2121" s="159">
        <v>1402208700</v>
      </c>
      <c r="J2121" s="159" t="e">
        <f>bargiri[[#This Row],[مقدار]]*INDEX(invoice[پیش دریافت به ازای هر کیلوگرم],MATCH(bargiri[[#This Row],[شماره سند مبنا]],invoice[شماره پیش فاکتور],0))</f>
        <v>#N/A</v>
      </c>
      <c r="K2121" s="159" t="e">
        <f>bargiri[[#This Row],[مبلغ خالص]]-bargiri[[#This Row],[میزان استهلاک پیش دریافتی]]</f>
        <v>#N/A</v>
      </c>
      <c r="L2121" s="160"/>
      <c r="M2121" s="159"/>
      <c r="N2121" s="159" t="e">
        <f>IF(bargiri[[#This Row],[مبلغ واریزی]]&lt;&gt;"",bargiri[[#This Row],[مانده مبلغ]]-bargiri[[#This Row],[مبلغ واریزی]],bargiri[[#This Row],[مانده مبلغ]])</f>
        <v>#N/A</v>
      </c>
      <c r="O2121" s="159"/>
      <c r="P2121" s="159" t="e">
        <f>VLOOKUP(bargiri[[#This Row],[شماره سند مبنا]],invoice[[شماره پیش فاکتور]:[پیش دریافت به ازای هر کیلوگرم]],14,0)</f>
        <v>#N/A</v>
      </c>
      <c r="Q2121" s="159" t="e">
        <f>IF(bargiri[[#This Row],[مبلغ ناخالص]]-(bargiri[[#This Row],[نرخ استهلاک]]*bargiri[[#This Row],[مقدار]])&lt;0,0,bargiri[[#This Row],[مبلغ ناخالص]]-(bargiri[[#This Row],[نرخ استهلاک]]*bargiri[[#This Row],[مقدار]]))</f>
        <v>#N/A</v>
      </c>
    </row>
    <row r="2122" spans="1:17" s="22" customFormat="1" ht="13.8" x14ac:dyDescent="0.25">
      <c r="A2122" s="22">
        <v>727</v>
      </c>
      <c r="B2122" s="22" t="s">
        <v>526</v>
      </c>
      <c r="C2122" s="22" t="s">
        <v>88</v>
      </c>
      <c r="D2122" s="22" t="s">
        <v>89</v>
      </c>
      <c r="E2122" s="158">
        <v>19970</v>
      </c>
      <c r="F2122" s="159">
        <v>78000</v>
      </c>
      <c r="G2122" s="159">
        <v>1557660000</v>
      </c>
      <c r="H2122" s="159">
        <v>155766000</v>
      </c>
      <c r="I2122" s="159">
        <v>1713426000</v>
      </c>
      <c r="J2122" s="159" t="e">
        <f>bargiri[[#This Row],[مقدار]]*INDEX(invoice[پیش دریافت به ازای هر کیلوگرم],MATCH(bargiri[[#This Row],[شماره سند مبنا]],invoice[شماره پیش فاکتور],0))</f>
        <v>#N/A</v>
      </c>
      <c r="K2122" s="159" t="e">
        <f>bargiri[[#This Row],[مبلغ خالص]]-bargiri[[#This Row],[میزان استهلاک پیش دریافتی]]</f>
        <v>#N/A</v>
      </c>
      <c r="L2122" s="160"/>
      <c r="M2122" s="159"/>
      <c r="N2122" s="159" t="e">
        <f>IF(bargiri[[#This Row],[مبلغ واریزی]]&lt;&gt;"",bargiri[[#This Row],[مانده مبلغ]]-bargiri[[#This Row],[مبلغ واریزی]],bargiri[[#This Row],[مانده مبلغ]])</f>
        <v>#N/A</v>
      </c>
      <c r="O2122" s="159"/>
      <c r="P2122" s="159" t="e">
        <f>VLOOKUP(bargiri[[#This Row],[شماره سند مبنا]],invoice[[شماره پیش فاکتور]:[پیش دریافت به ازای هر کیلوگرم]],14,0)</f>
        <v>#N/A</v>
      </c>
      <c r="Q2122" s="159" t="e">
        <f>IF(bargiri[[#This Row],[مبلغ ناخالص]]-(bargiri[[#This Row],[نرخ استهلاک]]*bargiri[[#This Row],[مقدار]])&lt;0,0,bargiri[[#This Row],[مبلغ ناخالص]]-(bargiri[[#This Row],[نرخ استهلاک]]*bargiri[[#This Row],[مقدار]]))</f>
        <v>#N/A</v>
      </c>
    </row>
    <row r="2123" spans="1:17" s="22" customFormat="1" ht="13.8" x14ac:dyDescent="0.25">
      <c r="A2123" s="22">
        <v>726</v>
      </c>
      <c r="B2123" s="22" t="s">
        <v>527</v>
      </c>
      <c r="C2123" s="22" t="s">
        <v>97</v>
      </c>
      <c r="D2123" s="22" t="s">
        <v>40</v>
      </c>
      <c r="E2123" s="158">
        <v>18030</v>
      </c>
      <c r="F2123" s="159">
        <v>85000</v>
      </c>
      <c r="G2123" s="159">
        <v>1532550000</v>
      </c>
      <c r="H2123" s="159">
        <v>153255000</v>
      </c>
      <c r="I2123" s="159">
        <v>1685805000</v>
      </c>
      <c r="J2123" s="159" t="e">
        <f>bargiri[[#This Row],[مقدار]]*INDEX(invoice[پیش دریافت به ازای هر کیلوگرم],MATCH(bargiri[[#This Row],[شماره سند مبنا]],invoice[شماره پیش فاکتور],0))</f>
        <v>#N/A</v>
      </c>
      <c r="K2123" s="159" t="e">
        <f>bargiri[[#This Row],[مبلغ خالص]]-bargiri[[#This Row],[میزان استهلاک پیش دریافتی]]</f>
        <v>#N/A</v>
      </c>
      <c r="L2123" s="160"/>
      <c r="M2123" s="159"/>
      <c r="N2123" s="159" t="e">
        <f>IF(bargiri[[#This Row],[مبلغ واریزی]]&lt;&gt;"",bargiri[[#This Row],[مانده مبلغ]]-bargiri[[#This Row],[مبلغ واریزی]],bargiri[[#This Row],[مانده مبلغ]])</f>
        <v>#N/A</v>
      </c>
      <c r="O2123" s="159"/>
      <c r="P2123" s="159" t="e">
        <f>VLOOKUP(bargiri[[#This Row],[شماره سند مبنا]],invoice[[شماره پیش فاکتور]:[پیش دریافت به ازای هر کیلوگرم]],14,0)</f>
        <v>#N/A</v>
      </c>
      <c r="Q2123" s="159" t="e">
        <f>IF(bargiri[[#This Row],[مبلغ ناخالص]]-(bargiri[[#This Row],[نرخ استهلاک]]*bargiri[[#This Row],[مقدار]])&lt;0,0,bargiri[[#This Row],[مبلغ ناخالص]]-(bargiri[[#This Row],[نرخ استهلاک]]*bargiri[[#This Row],[مقدار]]))</f>
        <v>#N/A</v>
      </c>
    </row>
    <row r="2124" spans="1:17" s="22" customFormat="1" ht="13.8" x14ac:dyDescent="0.25">
      <c r="A2124" s="22">
        <v>725</v>
      </c>
      <c r="B2124" s="22" t="s">
        <v>527</v>
      </c>
      <c r="C2124" s="22" t="s">
        <v>24</v>
      </c>
      <c r="D2124" s="22" t="s">
        <v>25</v>
      </c>
      <c r="E2124" s="158">
        <v>20170</v>
      </c>
      <c r="F2124" s="159">
        <v>68000</v>
      </c>
      <c r="G2124" s="159">
        <v>1371560000</v>
      </c>
      <c r="H2124" s="159">
        <v>123440400</v>
      </c>
      <c r="I2124" s="159">
        <v>1495000400</v>
      </c>
      <c r="J2124" s="159" t="e">
        <f>bargiri[[#This Row],[مقدار]]*INDEX(invoice[پیش دریافت به ازای هر کیلوگرم],MATCH(bargiri[[#This Row],[شماره سند مبنا]],invoice[شماره پیش فاکتور],0))</f>
        <v>#N/A</v>
      </c>
      <c r="K2124" s="159" t="e">
        <f>bargiri[[#This Row],[مبلغ خالص]]-bargiri[[#This Row],[میزان استهلاک پیش دریافتی]]</f>
        <v>#N/A</v>
      </c>
      <c r="L2124" s="160"/>
      <c r="M2124" s="159"/>
      <c r="N2124" s="159" t="e">
        <f>IF(bargiri[[#This Row],[مبلغ واریزی]]&lt;&gt;"",bargiri[[#This Row],[مانده مبلغ]]-bargiri[[#This Row],[مبلغ واریزی]],bargiri[[#This Row],[مانده مبلغ]])</f>
        <v>#N/A</v>
      </c>
      <c r="O2124" s="159"/>
      <c r="P2124" s="159" t="e">
        <f>VLOOKUP(bargiri[[#This Row],[شماره سند مبنا]],invoice[[شماره پیش فاکتور]:[پیش دریافت به ازای هر کیلوگرم]],14,0)</f>
        <v>#N/A</v>
      </c>
      <c r="Q2124" s="159" t="e">
        <f>IF(bargiri[[#This Row],[مبلغ ناخالص]]-(bargiri[[#This Row],[نرخ استهلاک]]*bargiri[[#This Row],[مقدار]])&lt;0,0,bargiri[[#This Row],[مبلغ ناخالص]]-(bargiri[[#This Row],[نرخ استهلاک]]*bargiri[[#This Row],[مقدار]]))</f>
        <v>#N/A</v>
      </c>
    </row>
    <row r="2125" spans="1:17" s="22" customFormat="1" ht="13.8" x14ac:dyDescent="0.25">
      <c r="A2125" s="22">
        <v>724</v>
      </c>
      <c r="B2125" s="22" t="s">
        <v>527</v>
      </c>
      <c r="C2125" s="22" t="s">
        <v>29</v>
      </c>
      <c r="D2125" s="22" t="s">
        <v>30</v>
      </c>
      <c r="E2125" s="158">
        <v>11015</v>
      </c>
      <c r="F2125" s="159">
        <v>70000</v>
      </c>
      <c r="G2125" s="159">
        <v>771050000</v>
      </c>
      <c r="H2125" s="159">
        <v>77105000</v>
      </c>
      <c r="I2125" s="159">
        <v>848155000</v>
      </c>
      <c r="J2125" s="159" t="e">
        <f>bargiri[[#This Row],[مقدار]]*INDEX(invoice[پیش دریافت به ازای هر کیلوگرم],MATCH(bargiri[[#This Row],[شماره سند مبنا]],invoice[شماره پیش فاکتور],0))</f>
        <v>#N/A</v>
      </c>
      <c r="K2125" s="159" t="e">
        <f>bargiri[[#This Row],[مبلغ خالص]]-bargiri[[#This Row],[میزان استهلاک پیش دریافتی]]</f>
        <v>#N/A</v>
      </c>
      <c r="L2125" s="160"/>
      <c r="M2125" s="159"/>
      <c r="N2125" s="159" t="e">
        <f>IF(bargiri[[#This Row],[مبلغ واریزی]]&lt;&gt;"",bargiri[[#This Row],[مانده مبلغ]]-bargiri[[#This Row],[مبلغ واریزی]],bargiri[[#This Row],[مانده مبلغ]])</f>
        <v>#N/A</v>
      </c>
      <c r="O2125" s="159"/>
      <c r="P2125" s="159" t="e">
        <f>VLOOKUP(bargiri[[#This Row],[شماره سند مبنا]],invoice[[شماره پیش فاکتور]:[پیش دریافت به ازای هر کیلوگرم]],14,0)</f>
        <v>#N/A</v>
      </c>
      <c r="Q2125" s="159" t="e">
        <f>IF(bargiri[[#This Row],[مبلغ ناخالص]]-(bargiri[[#This Row],[نرخ استهلاک]]*bargiri[[#This Row],[مقدار]])&lt;0,0,bargiri[[#This Row],[مبلغ ناخالص]]-(bargiri[[#This Row],[نرخ استهلاک]]*bargiri[[#This Row],[مقدار]]))</f>
        <v>#N/A</v>
      </c>
    </row>
    <row r="2126" spans="1:17" s="22" customFormat="1" ht="13.8" x14ac:dyDescent="0.25">
      <c r="A2126" s="22">
        <v>723</v>
      </c>
      <c r="B2126" s="22" t="s">
        <v>527</v>
      </c>
      <c r="C2126" s="22" t="s">
        <v>84</v>
      </c>
      <c r="D2126" s="22" t="s">
        <v>51</v>
      </c>
      <c r="E2126" s="158">
        <v>19870</v>
      </c>
      <c r="F2126" s="159">
        <v>70000</v>
      </c>
      <c r="G2126" s="159">
        <v>1390900000</v>
      </c>
      <c r="H2126" s="159">
        <v>139090000</v>
      </c>
      <c r="I2126" s="159">
        <v>1529990000</v>
      </c>
      <c r="J2126" s="159" t="e">
        <f>bargiri[[#This Row],[مقدار]]*INDEX(invoice[پیش دریافت به ازای هر کیلوگرم],MATCH(bargiri[[#This Row],[شماره سند مبنا]],invoice[شماره پیش فاکتور],0))</f>
        <v>#N/A</v>
      </c>
      <c r="K2126" s="159" t="e">
        <f>bargiri[[#This Row],[مبلغ خالص]]-bargiri[[#This Row],[میزان استهلاک پیش دریافتی]]</f>
        <v>#N/A</v>
      </c>
      <c r="L2126" s="160"/>
      <c r="M2126" s="159"/>
      <c r="N2126" s="159" t="e">
        <f>IF(bargiri[[#This Row],[مبلغ واریزی]]&lt;&gt;"",bargiri[[#This Row],[مانده مبلغ]]-bargiri[[#This Row],[مبلغ واریزی]],bargiri[[#This Row],[مانده مبلغ]])</f>
        <v>#N/A</v>
      </c>
      <c r="O2126" s="159"/>
      <c r="P2126" s="159" t="e">
        <f>VLOOKUP(bargiri[[#This Row],[شماره سند مبنا]],invoice[[شماره پیش فاکتور]:[پیش دریافت به ازای هر کیلوگرم]],14,0)</f>
        <v>#N/A</v>
      </c>
      <c r="Q2126" s="159" t="e">
        <f>IF(bargiri[[#This Row],[مبلغ ناخالص]]-(bargiri[[#This Row],[نرخ استهلاک]]*bargiri[[#This Row],[مقدار]])&lt;0,0,bargiri[[#This Row],[مبلغ ناخالص]]-(bargiri[[#This Row],[نرخ استهلاک]]*bargiri[[#This Row],[مقدار]]))</f>
        <v>#N/A</v>
      </c>
    </row>
    <row r="2127" spans="1:17" s="22" customFormat="1" ht="13.8" x14ac:dyDescent="0.25">
      <c r="A2127" s="22">
        <v>722</v>
      </c>
      <c r="B2127" s="22" t="s">
        <v>527</v>
      </c>
      <c r="C2127" s="22" t="s">
        <v>69</v>
      </c>
      <c r="D2127" s="22" t="s">
        <v>70</v>
      </c>
      <c r="E2127" s="158">
        <v>20110</v>
      </c>
      <c r="F2127" s="159">
        <v>70000</v>
      </c>
      <c r="G2127" s="159">
        <v>1407700000</v>
      </c>
      <c r="H2127" s="159">
        <v>126693000</v>
      </c>
      <c r="I2127" s="159">
        <v>1534393000</v>
      </c>
      <c r="J2127" s="159" t="e">
        <f>bargiri[[#This Row],[مقدار]]*INDEX(invoice[پیش دریافت به ازای هر کیلوگرم],MATCH(bargiri[[#This Row],[شماره سند مبنا]],invoice[شماره پیش فاکتور],0))</f>
        <v>#N/A</v>
      </c>
      <c r="K2127" s="159" t="e">
        <f>bargiri[[#This Row],[مبلغ خالص]]-bargiri[[#This Row],[میزان استهلاک پیش دریافتی]]</f>
        <v>#N/A</v>
      </c>
      <c r="L2127" s="160"/>
      <c r="M2127" s="159"/>
      <c r="N2127" s="159" t="e">
        <f>IF(bargiri[[#This Row],[مبلغ واریزی]]&lt;&gt;"",bargiri[[#This Row],[مانده مبلغ]]-bargiri[[#This Row],[مبلغ واریزی]],bargiri[[#This Row],[مانده مبلغ]])</f>
        <v>#N/A</v>
      </c>
      <c r="O2127" s="159"/>
      <c r="P2127" s="159" t="e">
        <f>VLOOKUP(bargiri[[#This Row],[شماره سند مبنا]],invoice[[شماره پیش فاکتور]:[پیش دریافت به ازای هر کیلوگرم]],14,0)</f>
        <v>#N/A</v>
      </c>
      <c r="Q2127" s="159" t="e">
        <f>IF(bargiri[[#This Row],[مبلغ ناخالص]]-(bargiri[[#This Row],[نرخ استهلاک]]*bargiri[[#This Row],[مقدار]])&lt;0,0,bargiri[[#This Row],[مبلغ ناخالص]]-(bargiri[[#This Row],[نرخ استهلاک]]*bargiri[[#This Row],[مقدار]]))</f>
        <v>#N/A</v>
      </c>
    </row>
    <row r="2128" spans="1:17" s="22" customFormat="1" ht="13.8" x14ac:dyDescent="0.25">
      <c r="A2128" s="22">
        <v>719</v>
      </c>
      <c r="B2128" s="22" t="s">
        <v>74</v>
      </c>
      <c r="C2128" s="22" t="s">
        <v>97</v>
      </c>
      <c r="D2128" s="22" t="s">
        <v>40</v>
      </c>
      <c r="E2128" s="158">
        <v>18040</v>
      </c>
      <c r="F2128" s="159">
        <v>85000</v>
      </c>
      <c r="G2128" s="159">
        <v>1533400000</v>
      </c>
      <c r="H2128" s="159">
        <v>153340000</v>
      </c>
      <c r="I2128" s="159">
        <v>1686740000</v>
      </c>
      <c r="J2128" s="159" t="e">
        <f>bargiri[[#This Row],[مقدار]]*INDEX(invoice[پیش دریافت به ازای هر کیلوگرم],MATCH(bargiri[[#This Row],[شماره سند مبنا]],invoice[شماره پیش فاکتور],0))</f>
        <v>#N/A</v>
      </c>
      <c r="K2128" s="159" t="e">
        <f>bargiri[[#This Row],[مبلغ خالص]]-bargiri[[#This Row],[میزان استهلاک پیش دریافتی]]</f>
        <v>#N/A</v>
      </c>
      <c r="L2128" s="160"/>
      <c r="M2128" s="159"/>
      <c r="N2128" s="159" t="e">
        <f>IF(bargiri[[#This Row],[مبلغ واریزی]]&lt;&gt;"",bargiri[[#This Row],[مانده مبلغ]]-bargiri[[#This Row],[مبلغ واریزی]],bargiri[[#This Row],[مانده مبلغ]])</f>
        <v>#N/A</v>
      </c>
      <c r="O2128" s="159"/>
      <c r="P2128" s="159" t="e">
        <f>VLOOKUP(bargiri[[#This Row],[شماره سند مبنا]],invoice[[شماره پیش فاکتور]:[پیش دریافت به ازای هر کیلوگرم]],14,0)</f>
        <v>#N/A</v>
      </c>
      <c r="Q2128" s="159" t="e">
        <f>IF(bargiri[[#This Row],[مبلغ ناخالص]]-(bargiri[[#This Row],[نرخ استهلاک]]*bargiri[[#This Row],[مقدار]])&lt;0,0,bargiri[[#This Row],[مبلغ ناخالص]]-(bargiri[[#This Row],[نرخ استهلاک]]*bargiri[[#This Row],[مقدار]]))</f>
        <v>#N/A</v>
      </c>
    </row>
    <row r="2129" spans="1:17" s="22" customFormat="1" ht="13.8" x14ac:dyDescent="0.25">
      <c r="A2129" s="22">
        <v>718</v>
      </c>
      <c r="B2129" s="22" t="s">
        <v>74</v>
      </c>
      <c r="C2129" s="22" t="s">
        <v>109</v>
      </c>
      <c r="D2129" s="22" t="s">
        <v>110</v>
      </c>
      <c r="E2129" s="158">
        <v>19060</v>
      </c>
      <c r="F2129" s="159">
        <v>70000</v>
      </c>
      <c r="G2129" s="159">
        <v>1334200000</v>
      </c>
      <c r="H2129" s="159">
        <v>133420000</v>
      </c>
      <c r="I2129" s="159">
        <v>1467620000</v>
      </c>
      <c r="J2129" s="159" t="e">
        <f>bargiri[[#This Row],[مقدار]]*INDEX(invoice[پیش دریافت به ازای هر کیلوگرم],MATCH(bargiri[[#This Row],[شماره سند مبنا]],invoice[شماره پیش فاکتور],0))</f>
        <v>#N/A</v>
      </c>
      <c r="K2129" s="159" t="e">
        <f>bargiri[[#This Row],[مبلغ خالص]]-bargiri[[#This Row],[میزان استهلاک پیش دریافتی]]</f>
        <v>#N/A</v>
      </c>
      <c r="L2129" s="160"/>
      <c r="M2129" s="159"/>
      <c r="N2129" s="159" t="e">
        <f>IF(bargiri[[#This Row],[مبلغ واریزی]]&lt;&gt;"",bargiri[[#This Row],[مانده مبلغ]]-bargiri[[#This Row],[مبلغ واریزی]],bargiri[[#This Row],[مانده مبلغ]])</f>
        <v>#N/A</v>
      </c>
      <c r="O2129" s="159"/>
      <c r="P2129" s="159" t="e">
        <f>VLOOKUP(bargiri[[#This Row],[شماره سند مبنا]],invoice[[شماره پیش فاکتور]:[پیش دریافت به ازای هر کیلوگرم]],14,0)</f>
        <v>#N/A</v>
      </c>
      <c r="Q2129" s="159" t="e">
        <f>IF(bargiri[[#This Row],[مبلغ ناخالص]]-(bargiri[[#This Row],[نرخ استهلاک]]*bargiri[[#This Row],[مقدار]])&lt;0,0,bargiri[[#This Row],[مبلغ ناخالص]]-(bargiri[[#This Row],[نرخ استهلاک]]*bargiri[[#This Row],[مقدار]]))</f>
        <v>#N/A</v>
      </c>
    </row>
    <row r="2130" spans="1:17" s="22" customFormat="1" ht="13.8" x14ac:dyDescent="0.25">
      <c r="A2130" s="22">
        <v>717</v>
      </c>
      <c r="B2130" s="22" t="s">
        <v>74</v>
      </c>
      <c r="C2130" s="22" t="s">
        <v>66</v>
      </c>
      <c r="D2130" s="22" t="s">
        <v>67</v>
      </c>
      <c r="E2130" s="158">
        <v>20135</v>
      </c>
      <c r="F2130" s="159">
        <v>68500</v>
      </c>
      <c r="G2130" s="159">
        <v>1379247500</v>
      </c>
      <c r="H2130" s="159">
        <v>124132275</v>
      </c>
      <c r="I2130" s="159">
        <v>1503379775</v>
      </c>
      <c r="J2130" s="159" t="e">
        <f>bargiri[[#This Row],[مقدار]]*INDEX(invoice[پیش دریافت به ازای هر کیلوگرم],MATCH(bargiri[[#This Row],[شماره سند مبنا]],invoice[شماره پیش فاکتور],0))</f>
        <v>#N/A</v>
      </c>
      <c r="K2130" s="159" t="e">
        <f>bargiri[[#This Row],[مبلغ خالص]]-bargiri[[#This Row],[میزان استهلاک پیش دریافتی]]</f>
        <v>#N/A</v>
      </c>
      <c r="L2130" s="160"/>
      <c r="M2130" s="159"/>
      <c r="N2130" s="159" t="e">
        <f>IF(bargiri[[#This Row],[مبلغ واریزی]]&lt;&gt;"",bargiri[[#This Row],[مانده مبلغ]]-bargiri[[#This Row],[مبلغ واریزی]],bargiri[[#This Row],[مانده مبلغ]])</f>
        <v>#N/A</v>
      </c>
      <c r="O2130" s="159"/>
      <c r="P2130" s="159" t="e">
        <f>VLOOKUP(bargiri[[#This Row],[شماره سند مبنا]],invoice[[شماره پیش فاکتور]:[پیش دریافت به ازای هر کیلوگرم]],14,0)</f>
        <v>#N/A</v>
      </c>
      <c r="Q2130" s="159" t="e">
        <f>IF(bargiri[[#This Row],[مبلغ ناخالص]]-(bargiri[[#This Row],[نرخ استهلاک]]*bargiri[[#This Row],[مقدار]])&lt;0,0,bargiri[[#This Row],[مبلغ ناخالص]]-(bargiri[[#This Row],[نرخ استهلاک]]*bargiri[[#This Row],[مقدار]]))</f>
        <v>#N/A</v>
      </c>
    </row>
    <row r="2131" spans="1:17" s="22" customFormat="1" ht="13.8" x14ac:dyDescent="0.25">
      <c r="A2131" s="22">
        <v>716</v>
      </c>
      <c r="B2131" s="22" t="s">
        <v>521</v>
      </c>
      <c r="C2131" s="22" t="s">
        <v>16</v>
      </c>
      <c r="D2131" s="22" t="s">
        <v>17</v>
      </c>
      <c r="E2131" s="158">
        <v>22285</v>
      </c>
      <c r="F2131" s="159">
        <v>77000</v>
      </c>
      <c r="G2131" s="159">
        <v>1715945000</v>
      </c>
      <c r="H2131" s="159">
        <v>154435050</v>
      </c>
      <c r="I2131" s="159">
        <v>1870380050</v>
      </c>
      <c r="J2131" s="159" t="e">
        <f>bargiri[[#This Row],[مقدار]]*INDEX(invoice[پیش دریافت به ازای هر کیلوگرم],MATCH(bargiri[[#This Row],[شماره سند مبنا]],invoice[شماره پیش فاکتور],0))</f>
        <v>#N/A</v>
      </c>
      <c r="K2131" s="159" t="e">
        <f>bargiri[[#This Row],[مبلغ خالص]]-bargiri[[#This Row],[میزان استهلاک پیش دریافتی]]</f>
        <v>#N/A</v>
      </c>
      <c r="L2131" s="160"/>
      <c r="M2131" s="159"/>
      <c r="N2131" s="159" t="e">
        <f>IF(bargiri[[#This Row],[مبلغ واریزی]]&lt;&gt;"",bargiri[[#This Row],[مانده مبلغ]]-bargiri[[#This Row],[مبلغ واریزی]],bargiri[[#This Row],[مانده مبلغ]])</f>
        <v>#N/A</v>
      </c>
      <c r="O2131" s="159"/>
      <c r="P2131" s="159" t="e">
        <f>VLOOKUP(bargiri[[#This Row],[شماره سند مبنا]],invoice[[شماره پیش فاکتور]:[پیش دریافت به ازای هر کیلوگرم]],14,0)</f>
        <v>#N/A</v>
      </c>
      <c r="Q2131" s="159" t="e">
        <f>IF(bargiri[[#This Row],[مبلغ ناخالص]]-(bargiri[[#This Row],[نرخ استهلاک]]*bargiri[[#This Row],[مقدار]])&lt;0,0,bargiri[[#This Row],[مبلغ ناخالص]]-(bargiri[[#This Row],[نرخ استهلاک]]*bargiri[[#This Row],[مقدار]]))</f>
        <v>#N/A</v>
      </c>
    </row>
    <row r="2132" spans="1:17" s="22" customFormat="1" ht="13.8" x14ac:dyDescent="0.25">
      <c r="A2132" s="22">
        <v>715</v>
      </c>
      <c r="B2132" s="22" t="s">
        <v>521</v>
      </c>
      <c r="C2132" s="22" t="s">
        <v>66</v>
      </c>
      <c r="D2132" s="22" t="s">
        <v>67</v>
      </c>
      <c r="E2132" s="158">
        <v>19935</v>
      </c>
      <c r="F2132" s="159">
        <v>68500</v>
      </c>
      <c r="G2132" s="159">
        <v>1365547500</v>
      </c>
      <c r="H2132" s="159">
        <v>122899275</v>
      </c>
      <c r="I2132" s="159">
        <v>1488446775</v>
      </c>
      <c r="J2132" s="159" t="e">
        <f>bargiri[[#This Row],[مقدار]]*INDEX(invoice[پیش دریافت به ازای هر کیلوگرم],MATCH(bargiri[[#This Row],[شماره سند مبنا]],invoice[شماره پیش فاکتور],0))</f>
        <v>#N/A</v>
      </c>
      <c r="K2132" s="159" t="e">
        <f>bargiri[[#This Row],[مبلغ خالص]]-bargiri[[#This Row],[میزان استهلاک پیش دریافتی]]</f>
        <v>#N/A</v>
      </c>
      <c r="L2132" s="160"/>
      <c r="M2132" s="159"/>
      <c r="N2132" s="159" t="e">
        <f>IF(bargiri[[#This Row],[مبلغ واریزی]]&lt;&gt;"",bargiri[[#This Row],[مانده مبلغ]]-bargiri[[#This Row],[مبلغ واریزی]],bargiri[[#This Row],[مانده مبلغ]])</f>
        <v>#N/A</v>
      </c>
      <c r="O2132" s="159"/>
      <c r="P2132" s="159" t="e">
        <f>VLOOKUP(bargiri[[#This Row],[شماره سند مبنا]],invoice[[شماره پیش فاکتور]:[پیش دریافت به ازای هر کیلوگرم]],14,0)</f>
        <v>#N/A</v>
      </c>
      <c r="Q2132" s="159" t="e">
        <f>IF(bargiri[[#This Row],[مبلغ ناخالص]]-(bargiri[[#This Row],[نرخ استهلاک]]*bargiri[[#This Row],[مقدار]])&lt;0,0,bargiri[[#This Row],[مبلغ ناخالص]]-(bargiri[[#This Row],[نرخ استهلاک]]*bargiri[[#This Row],[مقدار]]))</f>
        <v>#N/A</v>
      </c>
    </row>
    <row r="2133" spans="1:17" s="22" customFormat="1" ht="13.8" x14ac:dyDescent="0.25">
      <c r="A2133" s="22">
        <v>714</v>
      </c>
      <c r="B2133" s="22" t="s">
        <v>521</v>
      </c>
      <c r="C2133" s="22" t="s">
        <v>19</v>
      </c>
      <c r="D2133" s="22" t="s">
        <v>20</v>
      </c>
      <c r="E2133" s="158">
        <v>18905</v>
      </c>
      <c r="F2133" s="159">
        <v>65000</v>
      </c>
      <c r="G2133" s="159">
        <v>1228825000</v>
      </c>
      <c r="H2133" s="159">
        <v>110594250</v>
      </c>
      <c r="I2133" s="159">
        <v>1339419250</v>
      </c>
      <c r="J2133" s="159" t="e">
        <f>bargiri[[#This Row],[مقدار]]*INDEX(invoice[پیش دریافت به ازای هر کیلوگرم],MATCH(bargiri[[#This Row],[شماره سند مبنا]],invoice[شماره پیش فاکتور],0))</f>
        <v>#N/A</v>
      </c>
      <c r="K2133" s="159" t="e">
        <f>bargiri[[#This Row],[مبلغ خالص]]-bargiri[[#This Row],[میزان استهلاک پیش دریافتی]]</f>
        <v>#N/A</v>
      </c>
      <c r="L2133" s="160"/>
      <c r="M2133" s="159"/>
      <c r="N2133" s="159" t="e">
        <f>IF(bargiri[[#This Row],[مبلغ واریزی]]&lt;&gt;"",bargiri[[#This Row],[مانده مبلغ]]-bargiri[[#This Row],[مبلغ واریزی]],bargiri[[#This Row],[مانده مبلغ]])</f>
        <v>#N/A</v>
      </c>
      <c r="O2133" s="159"/>
      <c r="P2133" s="159" t="e">
        <f>VLOOKUP(bargiri[[#This Row],[شماره سند مبنا]],invoice[[شماره پیش فاکتور]:[پیش دریافت به ازای هر کیلوگرم]],14,0)</f>
        <v>#N/A</v>
      </c>
      <c r="Q2133" s="159" t="e">
        <f>IF(bargiri[[#This Row],[مبلغ ناخالص]]-(bargiri[[#This Row],[نرخ استهلاک]]*bargiri[[#This Row],[مقدار]])&lt;0,0,bargiri[[#This Row],[مبلغ ناخالص]]-(bargiri[[#This Row],[نرخ استهلاک]]*bargiri[[#This Row],[مقدار]]))</f>
        <v>#N/A</v>
      </c>
    </row>
    <row r="2134" spans="1:17" s="22" customFormat="1" ht="13.8" x14ac:dyDescent="0.25">
      <c r="A2134" s="22">
        <v>713</v>
      </c>
      <c r="B2134" s="22" t="s">
        <v>521</v>
      </c>
      <c r="C2134" s="22" t="s">
        <v>109</v>
      </c>
      <c r="D2134" s="22" t="s">
        <v>110</v>
      </c>
      <c r="E2134" s="158">
        <v>18885</v>
      </c>
      <c r="F2134" s="159">
        <v>70000</v>
      </c>
      <c r="G2134" s="159">
        <v>1321950000</v>
      </c>
      <c r="H2134" s="159">
        <v>132195000</v>
      </c>
      <c r="I2134" s="159">
        <v>1454145000</v>
      </c>
      <c r="J2134" s="159" t="e">
        <f>bargiri[[#This Row],[مقدار]]*INDEX(invoice[پیش دریافت به ازای هر کیلوگرم],MATCH(bargiri[[#This Row],[شماره سند مبنا]],invoice[شماره پیش فاکتور],0))</f>
        <v>#N/A</v>
      </c>
      <c r="K2134" s="159" t="e">
        <f>bargiri[[#This Row],[مبلغ خالص]]-bargiri[[#This Row],[میزان استهلاک پیش دریافتی]]</f>
        <v>#N/A</v>
      </c>
      <c r="L2134" s="160"/>
      <c r="M2134" s="159"/>
      <c r="N2134" s="159" t="e">
        <f>IF(bargiri[[#This Row],[مبلغ واریزی]]&lt;&gt;"",bargiri[[#This Row],[مانده مبلغ]]-bargiri[[#This Row],[مبلغ واریزی]],bargiri[[#This Row],[مانده مبلغ]])</f>
        <v>#N/A</v>
      </c>
      <c r="O2134" s="159"/>
      <c r="P2134" s="159" t="e">
        <f>VLOOKUP(bargiri[[#This Row],[شماره سند مبنا]],invoice[[شماره پیش فاکتور]:[پیش دریافت به ازای هر کیلوگرم]],14,0)</f>
        <v>#N/A</v>
      </c>
      <c r="Q2134" s="159" t="e">
        <f>IF(bargiri[[#This Row],[مبلغ ناخالص]]-(bargiri[[#This Row],[نرخ استهلاک]]*bargiri[[#This Row],[مقدار]])&lt;0,0,bargiri[[#This Row],[مبلغ ناخالص]]-(bargiri[[#This Row],[نرخ استهلاک]]*bargiri[[#This Row],[مقدار]]))</f>
        <v>#N/A</v>
      </c>
    </row>
    <row r="2135" spans="1:17" s="22" customFormat="1" ht="13.8" x14ac:dyDescent="0.25">
      <c r="A2135" s="22">
        <v>712</v>
      </c>
      <c r="B2135" s="22" t="s">
        <v>521</v>
      </c>
      <c r="C2135" s="22" t="s">
        <v>75</v>
      </c>
      <c r="D2135" s="22" t="s">
        <v>73</v>
      </c>
      <c r="E2135" s="158">
        <v>21100</v>
      </c>
      <c r="F2135" s="159">
        <v>56881</v>
      </c>
      <c r="G2135" s="159">
        <v>1200189100</v>
      </c>
      <c r="H2135" s="159">
        <v>108017019</v>
      </c>
      <c r="I2135" s="159">
        <v>1308206119</v>
      </c>
      <c r="J2135" s="159" t="e">
        <f>bargiri[[#This Row],[مقدار]]*INDEX(invoice[پیش دریافت به ازای هر کیلوگرم],MATCH(bargiri[[#This Row],[شماره سند مبنا]],invoice[شماره پیش فاکتور],0))</f>
        <v>#N/A</v>
      </c>
      <c r="K2135" s="159" t="e">
        <f>bargiri[[#This Row],[مبلغ خالص]]-bargiri[[#This Row],[میزان استهلاک پیش دریافتی]]</f>
        <v>#N/A</v>
      </c>
      <c r="L2135" s="160"/>
      <c r="M2135" s="159"/>
      <c r="N2135" s="159" t="e">
        <f>IF(bargiri[[#This Row],[مبلغ واریزی]]&lt;&gt;"",bargiri[[#This Row],[مانده مبلغ]]-bargiri[[#This Row],[مبلغ واریزی]],bargiri[[#This Row],[مانده مبلغ]])</f>
        <v>#N/A</v>
      </c>
      <c r="O2135" s="159"/>
      <c r="P2135" s="159" t="e">
        <f>VLOOKUP(bargiri[[#This Row],[شماره سند مبنا]],invoice[[شماره پیش فاکتور]:[پیش دریافت به ازای هر کیلوگرم]],14,0)</f>
        <v>#N/A</v>
      </c>
      <c r="Q2135" s="159" t="e">
        <f>IF(bargiri[[#This Row],[مبلغ ناخالص]]-(bargiri[[#This Row],[نرخ استهلاک]]*bargiri[[#This Row],[مقدار]])&lt;0,0,bargiri[[#This Row],[مبلغ ناخالص]]-(bargiri[[#This Row],[نرخ استهلاک]]*bargiri[[#This Row],[مقدار]]))</f>
        <v>#N/A</v>
      </c>
    </row>
    <row r="2136" spans="1:17" s="22" customFormat="1" ht="13.8" x14ac:dyDescent="0.25">
      <c r="A2136" s="22">
        <v>711</v>
      </c>
      <c r="B2136" s="22" t="s">
        <v>521</v>
      </c>
      <c r="C2136" s="22" t="s">
        <v>75</v>
      </c>
      <c r="D2136" s="22" t="s">
        <v>73</v>
      </c>
      <c r="E2136" s="158">
        <v>21030</v>
      </c>
      <c r="F2136" s="159">
        <v>56881</v>
      </c>
      <c r="G2136" s="159">
        <v>1196207430</v>
      </c>
      <c r="H2136" s="159">
        <v>107658669</v>
      </c>
      <c r="I2136" s="159">
        <v>1303866099</v>
      </c>
      <c r="J2136" s="159" t="e">
        <f>bargiri[[#This Row],[مقدار]]*INDEX(invoice[پیش دریافت به ازای هر کیلوگرم],MATCH(bargiri[[#This Row],[شماره سند مبنا]],invoice[شماره پیش فاکتور],0))</f>
        <v>#N/A</v>
      </c>
      <c r="K2136" s="159" t="e">
        <f>bargiri[[#This Row],[مبلغ خالص]]-bargiri[[#This Row],[میزان استهلاک پیش دریافتی]]</f>
        <v>#N/A</v>
      </c>
      <c r="L2136" s="160"/>
      <c r="M2136" s="159"/>
      <c r="N2136" s="159" t="e">
        <f>IF(bargiri[[#This Row],[مبلغ واریزی]]&lt;&gt;"",bargiri[[#This Row],[مانده مبلغ]]-bargiri[[#This Row],[مبلغ واریزی]],bargiri[[#This Row],[مانده مبلغ]])</f>
        <v>#N/A</v>
      </c>
      <c r="O2136" s="159"/>
      <c r="P2136" s="159" t="e">
        <f>VLOOKUP(bargiri[[#This Row],[شماره سند مبنا]],invoice[[شماره پیش فاکتور]:[پیش دریافت به ازای هر کیلوگرم]],14,0)</f>
        <v>#N/A</v>
      </c>
      <c r="Q2136" s="159" t="e">
        <f>IF(bargiri[[#This Row],[مبلغ ناخالص]]-(bargiri[[#This Row],[نرخ استهلاک]]*bargiri[[#This Row],[مقدار]])&lt;0,0,bargiri[[#This Row],[مبلغ ناخالص]]-(bargiri[[#This Row],[نرخ استهلاک]]*bargiri[[#This Row],[مقدار]]))</f>
        <v>#N/A</v>
      </c>
    </row>
    <row r="2137" spans="1:17" s="22" customFormat="1" ht="13.8" x14ac:dyDescent="0.25">
      <c r="A2137" s="22">
        <v>710</v>
      </c>
      <c r="B2137" s="22" t="s">
        <v>521</v>
      </c>
      <c r="C2137" s="22" t="s">
        <v>75</v>
      </c>
      <c r="D2137" s="22" t="s">
        <v>73</v>
      </c>
      <c r="E2137" s="158">
        <v>20535</v>
      </c>
      <c r="F2137" s="159">
        <v>56881</v>
      </c>
      <c r="G2137" s="159">
        <v>1168051335</v>
      </c>
      <c r="H2137" s="159">
        <v>105124620</v>
      </c>
      <c r="I2137" s="159">
        <v>1273175955</v>
      </c>
      <c r="J2137" s="159" t="e">
        <f>bargiri[[#This Row],[مقدار]]*INDEX(invoice[پیش دریافت به ازای هر کیلوگرم],MATCH(bargiri[[#This Row],[شماره سند مبنا]],invoice[شماره پیش فاکتور],0))</f>
        <v>#N/A</v>
      </c>
      <c r="K2137" s="159" t="e">
        <f>bargiri[[#This Row],[مبلغ خالص]]-bargiri[[#This Row],[میزان استهلاک پیش دریافتی]]</f>
        <v>#N/A</v>
      </c>
      <c r="L2137" s="160"/>
      <c r="M2137" s="159"/>
      <c r="N2137" s="159" t="e">
        <f>IF(bargiri[[#This Row],[مبلغ واریزی]]&lt;&gt;"",bargiri[[#This Row],[مانده مبلغ]]-bargiri[[#This Row],[مبلغ واریزی]],bargiri[[#This Row],[مانده مبلغ]])</f>
        <v>#N/A</v>
      </c>
      <c r="O2137" s="159"/>
      <c r="P2137" s="159" t="e">
        <f>VLOOKUP(bargiri[[#This Row],[شماره سند مبنا]],invoice[[شماره پیش فاکتور]:[پیش دریافت به ازای هر کیلوگرم]],14,0)</f>
        <v>#N/A</v>
      </c>
      <c r="Q2137" s="159" t="e">
        <f>IF(bargiri[[#This Row],[مبلغ ناخالص]]-(bargiri[[#This Row],[نرخ استهلاک]]*bargiri[[#This Row],[مقدار]])&lt;0,0,bargiri[[#This Row],[مبلغ ناخالص]]-(bargiri[[#This Row],[نرخ استهلاک]]*bargiri[[#This Row],[مقدار]]))</f>
        <v>#N/A</v>
      </c>
    </row>
    <row r="2138" spans="1:17" s="22" customFormat="1" ht="13.8" x14ac:dyDescent="0.25">
      <c r="A2138" s="22">
        <v>709</v>
      </c>
      <c r="B2138" s="22" t="s">
        <v>522</v>
      </c>
      <c r="C2138" s="22" t="s">
        <v>19</v>
      </c>
      <c r="D2138" s="22" t="s">
        <v>20</v>
      </c>
      <c r="E2138" s="158">
        <v>19020</v>
      </c>
      <c r="F2138" s="159">
        <v>65000</v>
      </c>
      <c r="G2138" s="159">
        <v>1236300000</v>
      </c>
      <c r="H2138" s="159">
        <v>111267000</v>
      </c>
      <c r="I2138" s="159">
        <v>1347567000</v>
      </c>
      <c r="J2138" s="159" t="e">
        <f>bargiri[[#This Row],[مقدار]]*INDEX(invoice[پیش دریافت به ازای هر کیلوگرم],MATCH(bargiri[[#This Row],[شماره سند مبنا]],invoice[شماره پیش فاکتور],0))</f>
        <v>#N/A</v>
      </c>
      <c r="K2138" s="159" t="e">
        <f>bargiri[[#This Row],[مبلغ خالص]]-bargiri[[#This Row],[میزان استهلاک پیش دریافتی]]</f>
        <v>#N/A</v>
      </c>
      <c r="L2138" s="160"/>
      <c r="M2138" s="159"/>
      <c r="N2138" s="159" t="e">
        <f>IF(bargiri[[#This Row],[مبلغ واریزی]]&lt;&gt;"",bargiri[[#This Row],[مانده مبلغ]]-bargiri[[#This Row],[مبلغ واریزی]],bargiri[[#This Row],[مانده مبلغ]])</f>
        <v>#N/A</v>
      </c>
      <c r="O2138" s="159"/>
      <c r="P2138" s="159" t="e">
        <f>VLOOKUP(bargiri[[#This Row],[شماره سند مبنا]],invoice[[شماره پیش فاکتور]:[پیش دریافت به ازای هر کیلوگرم]],14,0)</f>
        <v>#N/A</v>
      </c>
      <c r="Q2138" s="159" t="e">
        <f>IF(bargiri[[#This Row],[مبلغ ناخالص]]-(bargiri[[#This Row],[نرخ استهلاک]]*bargiri[[#This Row],[مقدار]])&lt;0,0,bargiri[[#This Row],[مبلغ ناخالص]]-(bargiri[[#This Row],[نرخ استهلاک]]*bargiri[[#This Row],[مقدار]]))</f>
        <v>#N/A</v>
      </c>
    </row>
    <row r="2139" spans="1:17" s="22" customFormat="1" ht="13.8" x14ac:dyDescent="0.25">
      <c r="A2139" s="22">
        <v>708</v>
      </c>
      <c r="B2139" s="22" t="s">
        <v>522</v>
      </c>
      <c r="C2139" s="22" t="s">
        <v>66</v>
      </c>
      <c r="D2139" s="22" t="s">
        <v>67</v>
      </c>
      <c r="E2139" s="158">
        <v>19765</v>
      </c>
      <c r="F2139" s="159">
        <v>68500</v>
      </c>
      <c r="G2139" s="159">
        <v>1353902500</v>
      </c>
      <c r="H2139" s="159">
        <v>121851225</v>
      </c>
      <c r="I2139" s="159">
        <v>1475753725</v>
      </c>
      <c r="J2139" s="159" t="e">
        <f>bargiri[[#This Row],[مقدار]]*INDEX(invoice[پیش دریافت به ازای هر کیلوگرم],MATCH(bargiri[[#This Row],[شماره سند مبنا]],invoice[شماره پیش فاکتور],0))</f>
        <v>#N/A</v>
      </c>
      <c r="K2139" s="159" t="e">
        <f>bargiri[[#This Row],[مبلغ خالص]]-bargiri[[#This Row],[میزان استهلاک پیش دریافتی]]</f>
        <v>#N/A</v>
      </c>
      <c r="L2139" s="160"/>
      <c r="M2139" s="159"/>
      <c r="N2139" s="159" t="e">
        <f>IF(bargiri[[#This Row],[مبلغ واریزی]]&lt;&gt;"",bargiri[[#This Row],[مانده مبلغ]]-bargiri[[#This Row],[مبلغ واریزی]],bargiri[[#This Row],[مانده مبلغ]])</f>
        <v>#N/A</v>
      </c>
      <c r="O2139" s="159"/>
      <c r="P2139" s="159" t="e">
        <f>VLOOKUP(bargiri[[#This Row],[شماره سند مبنا]],invoice[[شماره پیش فاکتور]:[پیش دریافت به ازای هر کیلوگرم]],14,0)</f>
        <v>#N/A</v>
      </c>
      <c r="Q2139" s="159" t="e">
        <f>IF(bargiri[[#This Row],[مبلغ ناخالص]]-(bargiri[[#This Row],[نرخ استهلاک]]*bargiri[[#This Row],[مقدار]])&lt;0,0,bargiri[[#This Row],[مبلغ ناخالص]]-(bargiri[[#This Row],[نرخ استهلاک]]*bargiri[[#This Row],[مقدار]]))</f>
        <v>#N/A</v>
      </c>
    </row>
    <row r="2140" spans="1:17" s="22" customFormat="1" ht="13.8" x14ac:dyDescent="0.25">
      <c r="A2140" s="22">
        <v>707</v>
      </c>
      <c r="B2140" s="22" t="s">
        <v>522</v>
      </c>
      <c r="C2140" s="22" t="s">
        <v>29</v>
      </c>
      <c r="D2140" s="22" t="s">
        <v>30</v>
      </c>
      <c r="E2140" s="158">
        <v>10115</v>
      </c>
      <c r="F2140" s="159">
        <v>70000</v>
      </c>
      <c r="G2140" s="159">
        <v>708050000</v>
      </c>
      <c r="H2140" s="159">
        <v>70805000</v>
      </c>
      <c r="I2140" s="159">
        <v>778855000</v>
      </c>
      <c r="J2140" s="159" t="e">
        <f>bargiri[[#This Row],[مقدار]]*INDEX(invoice[پیش دریافت به ازای هر کیلوگرم],MATCH(bargiri[[#This Row],[شماره سند مبنا]],invoice[شماره پیش فاکتور],0))</f>
        <v>#N/A</v>
      </c>
      <c r="K2140" s="159" t="e">
        <f>bargiri[[#This Row],[مبلغ خالص]]-bargiri[[#This Row],[میزان استهلاک پیش دریافتی]]</f>
        <v>#N/A</v>
      </c>
      <c r="L2140" s="160"/>
      <c r="M2140" s="159"/>
      <c r="N2140" s="159" t="e">
        <f>IF(bargiri[[#This Row],[مبلغ واریزی]]&lt;&gt;"",bargiri[[#This Row],[مانده مبلغ]]-bargiri[[#This Row],[مبلغ واریزی]],bargiri[[#This Row],[مانده مبلغ]])</f>
        <v>#N/A</v>
      </c>
      <c r="O2140" s="159"/>
      <c r="P2140" s="159" t="e">
        <f>VLOOKUP(bargiri[[#This Row],[شماره سند مبنا]],invoice[[شماره پیش فاکتور]:[پیش دریافت به ازای هر کیلوگرم]],14,0)</f>
        <v>#N/A</v>
      </c>
      <c r="Q2140" s="159" t="e">
        <f>IF(bargiri[[#This Row],[مبلغ ناخالص]]-(bargiri[[#This Row],[نرخ استهلاک]]*bargiri[[#This Row],[مقدار]])&lt;0,0,bargiri[[#This Row],[مبلغ ناخالص]]-(bargiri[[#This Row],[نرخ استهلاک]]*bargiri[[#This Row],[مقدار]]))</f>
        <v>#N/A</v>
      </c>
    </row>
    <row r="2141" spans="1:17" s="22" customFormat="1" ht="13.8" x14ac:dyDescent="0.25">
      <c r="A2141" s="22">
        <v>706</v>
      </c>
      <c r="B2141" s="22" t="s">
        <v>522</v>
      </c>
      <c r="C2141" s="22" t="s">
        <v>109</v>
      </c>
      <c r="D2141" s="22" t="s">
        <v>110</v>
      </c>
      <c r="E2141" s="158">
        <v>20085</v>
      </c>
      <c r="F2141" s="159">
        <v>70000</v>
      </c>
      <c r="G2141" s="159">
        <v>1405950000</v>
      </c>
      <c r="H2141" s="159">
        <v>140595000</v>
      </c>
      <c r="I2141" s="159">
        <v>1546545000</v>
      </c>
      <c r="J2141" s="159" t="e">
        <f>bargiri[[#This Row],[مقدار]]*INDEX(invoice[پیش دریافت به ازای هر کیلوگرم],MATCH(bargiri[[#This Row],[شماره سند مبنا]],invoice[شماره پیش فاکتور],0))</f>
        <v>#N/A</v>
      </c>
      <c r="K2141" s="159" t="e">
        <f>bargiri[[#This Row],[مبلغ خالص]]-bargiri[[#This Row],[میزان استهلاک پیش دریافتی]]</f>
        <v>#N/A</v>
      </c>
      <c r="L2141" s="160"/>
      <c r="M2141" s="159"/>
      <c r="N2141" s="159" t="e">
        <f>IF(bargiri[[#This Row],[مبلغ واریزی]]&lt;&gt;"",bargiri[[#This Row],[مانده مبلغ]]-bargiri[[#This Row],[مبلغ واریزی]],bargiri[[#This Row],[مانده مبلغ]])</f>
        <v>#N/A</v>
      </c>
      <c r="O2141" s="159"/>
      <c r="P2141" s="159" t="e">
        <f>VLOOKUP(bargiri[[#This Row],[شماره سند مبنا]],invoice[[شماره پیش فاکتور]:[پیش دریافت به ازای هر کیلوگرم]],14,0)</f>
        <v>#N/A</v>
      </c>
      <c r="Q2141" s="159" t="e">
        <f>IF(bargiri[[#This Row],[مبلغ ناخالص]]-(bargiri[[#This Row],[نرخ استهلاک]]*bargiri[[#This Row],[مقدار]])&lt;0,0,bargiri[[#This Row],[مبلغ ناخالص]]-(bargiri[[#This Row],[نرخ استهلاک]]*bargiri[[#This Row],[مقدار]]))</f>
        <v>#N/A</v>
      </c>
    </row>
    <row r="2142" spans="1:17" s="22" customFormat="1" ht="13.8" x14ac:dyDescent="0.25">
      <c r="A2142" s="22">
        <v>705</v>
      </c>
      <c r="B2142" s="22" t="s">
        <v>528</v>
      </c>
      <c r="C2142" s="22" t="s">
        <v>109</v>
      </c>
      <c r="D2142" s="22" t="s">
        <v>110</v>
      </c>
      <c r="E2142" s="158">
        <v>19995</v>
      </c>
      <c r="F2142" s="159">
        <v>70000</v>
      </c>
      <c r="G2142" s="159">
        <v>1399650000</v>
      </c>
      <c r="H2142" s="159">
        <v>139965000</v>
      </c>
      <c r="I2142" s="159">
        <v>1539615000</v>
      </c>
      <c r="J2142" s="159" t="e">
        <f>bargiri[[#This Row],[مقدار]]*INDEX(invoice[پیش دریافت به ازای هر کیلوگرم],MATCH(bargiri[[#This Row],[شماره سند مبنا]],invoice[شماره پیش فاکتور],0))</f>
        <v>#N/A</v>
      </c>
      <c r="K2142" s="159" t="e">
        <f>bargiri[[#This Row],[مبلغ خالص]]-bargiri[[#This Row],[میزان استهلاک پیش دریافتی]]</f>
        <v>#N/A</v>
      </c>
      <c r="L2142" s="160"/>
      <c r="M2142" s="159"/>
      <c r="N2142" s="159" t="e">
        <f>IF(bargiri[[#This Row],[مبلغ واریزی]]&lt;&gt;"",bargiri[[#This Row],[مانده مبلغ]]-bargiri[[#This Row],[مبلغ واریزی]],bargiri[[#This Row],[مانده مبلغ]])</f>
        <v>#N/A</v>
      </c>
      <c r="O2142" s="159"/>
      <c r="P2142" s="159" t="e">
        <f>VLOOKUP(bargiri[[#This Row],[شماره سند مبنا]],invoice[[شماره پیش فاکتور]:[پیش دریافت به ازای هر کیلوگرم]],14,0)</f>
        <v>#N/A</v>
      </c>
      <c r="Q2142" s="159" t="e">
        <f>IF(bargiri[[#This Row],[مبلغ ناخالص]]-(bargiri[[#This Row],[نرخ استهلاک]]*bargiri[[#This Row],[مقدار]])&lt;0,0,bargiri[[#This Row],[مبلغ ناخالص]]-(bargiri[[#This Row],[نرخ استهلاک]]*bargiri[[#This Row],[مقدار]]))</f>
        <v>#N/A</v>
      </c>
    </row>
    <row r="2143" spans="1:17" s="22" customFormat="1" ht="13.8" x14ac:dyDescent="0.25">
      <c r="A2143" s="22">
        <v>704</v>
      </c>
      <c r="B2143" s="22" t="s">
        <v>529</v>
      </c>
      <c r="C2143" s="22" t="s">
        <v>109</v>
      </c>
      <c r="D2143" s="22" t="s">
        <v>110</v>
      </c>
      <c r="E2143" s="158">
        <v>19035</v>
      </c>
      <c r="F2143" s="159">
        <v>70000</v>
      </c>
      <c r="G2143" s="159">
        <v>1332450000</v>
      </c>
      <c r="H2143" s="159">
        <v>133245000</v>
      </c>
      <c r="I2143" s="159">
        <v>1465695000</v>
      </c>
      <c r="J2143" s="159" t="e">
        <f>bargiri[[#This Row],[مقدار]]*INDEX(invoice[پیش دریافت به ازای هر کیلوگرم],MATCH(bargiri[[#This Row],[شماره سند مبنا]],invoice[شماره پیش فاکتور],0))</f>
        <v>#N/A</v>
      </c>
      <c r="K2143" s="159" t="e">
        <f>bargiri[[#This Row],[مبلغ خالص]]-bargiri[[#This Row],[میزان استهلاک پیش دریافتی]]</f>
        <v>#N/A</v>
      </c>
      <c r="L2143" s="160"/>
      <c r="M2143" s="159"/>
      <c r="N2143" s="159" t="e">
        <f>IF(bargiri[[#This Row],[مبلغ واریزی]]&lt;&gt;"",bargiri[[#This Row],[مانده مبلغ]]-bargiri[[#This Row],[مبلغ واریزی]],bargiri[[#This Row],[مانده مبلغ]])</f>
        <v>#N/A</v>
      </c>
      <c r="O2143" s="159"/>
      <c r="P2143" s="159" t="e">
        <f>VLOOKUP(bargiri[[#This Row],[شماره سند مبنا]],invoice[[شماره پیش فاکتور]:[پیش دریافت به ازای هر کیلوگرم]],14,0)</f>
        <v>#N/A</v>
      </c>
      <c r="Q2143" s="159" t="e">
        <f>IF(bargiri[[#This Row],[مبلغ ناخالص]]-(bargiri[[#This Row],[نرخ استهلاک]]*bargiri[[#This Row],[مقدار]])&lt;0,0,bargiri[[#This Row],[مبلغ ناخالص]]-(bargiri[[#This Row],[نرخ استهلاک]]*bargiri[[#This Row],[مقدار]]))</f>
        <v>#N/A</v>
      </c>
    </row>
    <row r="2144" spans="1:17" s="22" customFormat="1" ht="13.8" x14ac:dyDescent="0.25">
      <c r="A2144" s="22">
        <v>703</v>
      </c>
      <c r="B2144" s="22" t="s">
        <v>241</v>
      </c>
      <c r="C2144" s="22" t="s">
        <v>109</v>
      </c>
      <c r="D2144" s="22" t="s">
        <v>110</v>
      </c>
      <c r="E2144" s="158">
        <v>19890</v>
      </c>
      <c r="F2144" s="159">
        <v>70000</v>
      </c>
      <c r="G2144" s="159">
        <v>1392300000</v>
      </c>
      <c r="H2144" s="159">
        <v>139230000</v>
      </c>
      <c r="I2144" s="159">
        <v>1531530000</v>
      </c>
      <c r="J2144" s="159" t="e">
        <f>bargiri[[#This Row],[مقدار]]*INDEX(invoice[پیش دریافت به ازای هر کیلوگرم],MATCH(bargiri[[#This Row],[شماره سند مبنا]],invoice[شماره پیش فاکتور],0))</f>
        <v>#N/A</v>
      </c>
      <c r="K2144" s="159" t="e">
        <f>bargiri[[#This Row],[مبلغ خالص]]-bargiri[[#This Row],[میزان استهلاک پیش دریافتی]]</f>
        <v>#N/A</v>
      </c>
      <c r="L2144" s="160"/>
      <c r="M2144" s="159"/>
      <c r="N2144" s="159" t="e">
        <f>IF(bargiri[[#This Row],[مبلغ واریزی]]&lt;&gt;"",bargiri[[#This Row],[مانده مبلغ]]-bargiri[[#This Row],[مبلغ واریزی]],bargiri[[#This Row],[مانده مبلغ]])</f>
        <v>#N/A</v>
      </c>
      <c r="O2144" s="159"/>
      <c r="P2144" s="159" t="e">
        <f>VLOOKUP(bargiri[[#This Row],[شماره سند مبنا]],invoice[[شماره پیش فاکتور]:[پیش دریافت به ازای هر کیلوگرم]],14,0)</f>
        <v>#N/A</v>
      </c>
      <c r="Q2144" s="159" t="e">
        <f>IF(bargiri[[#This Row],[مبلغ ناخالص]]-(bargiri[[#This Row],[نرخ استهلاک]]*bargiri[[#This Row],[مقدار]])&lt;0,0,bargiri[[#This Row],[مبلغ ناخالص]]-(bargiri[[#This Row],[نرخ استهلاک]]*bargiri[[#This Row],[مقدار]]))</f>
        <v>#N/A</v>
      </c>
    </row>
    <row r="2145" spans="1:17" s="22" customFormat="1" ht="13.8" x14ac:dyDescent="0.25">
      <c r="A2145" s="22">
        <v>702</v>
      </c>
      <c r="B2145" s="22" t="s">
        <v>530</v>
      </c>
      <c r="C2145" s="22" t="s">
        <v>109</v>
      </c>
      <c r="D2145" s="22" t="s">
        <v>110</v>
      </c>
      <c r="E2145" s="158">
        <v>19870</v>
      </c>
      <c r="F2145" s="159">
        <v>70000</v>
      </c>
      <c r="G2145" s="159">
        <v>1390900000</v>
      </c>
      <c r="H2145" s="159">
        <v>139090000</v>
      </c>
      <c r="I2145" s="159">
        <v>1529990000</v>
      </c>
      <c r="J2145" s="159" t="e">
        <f>bargiri[[#This Row],[مقدار]]*INDEX(invoice[پیش دریافت به ازای هر کیلوگرم],MATCH(bargiri[[#This Row],[شماره سند مبنا]],invoice[شماره پیش فاکتور],0))</f>
        <v>#N/A</v>
      </c>
      <c r="K2145" s="159" t="e">
        <f>bargiri[[#This Row],[مبلغ خالص]]-bargiri[[#This Row],[میزان استهلاک پیش دریافتی]]</f>
        <v>#N/A</v>
      </c>
      <c r="L2145" s="160"/>
      <c r="M2145" s="159"/>
      <c r="N2145" s="159" t="e">
        <f>IF(bargiri[[#This Row],[مبلغ واریزی]]&lt;&gt;"",bargiri[[#This Row],[مانده مبلغ]]-bargiri[[#This Row],[مبلغ واریزی]],bargiri[[#This Row],[مانده مبلغ]])</f>
        <v>#N/A</v>
      </c>
      <c r="O2145" s="159"/>
      <c r="P2145" s="159" t="e">
        <f>VLOOKUP(bargiri[[#This Row],[شماره سند مبنا]],invoice[[شماره پیش فاکتور]:[پیش دریافت به ازای هر کیلوگرم]],14,0)</f>
        <v>#N/A</v>
      </c>
      <c r="Q2145" s="159" t="e">
        <f>IF(bargiri[[#This Row],[مبلغ ناخالص]]-(bargiri[[#This Row],[نرخ استهلاک]]*bargiri[[#This Row],[مقدار]])&lt;0,0,bargiri[[#This Row],[مبلغ ناخالص]]-(bargiri[[#This Row],[نرخ استهلاک]]*bargiri[[#This Row],[مقدار]]))</f>
        <v>#N/A</v>
      </c>
    </row>
    <row r="2146" spans="1:17" s="22" customFormat="1" ht="13.8" x14ac:dyDescent="0.25">
      <c r="A2146" s="22">
        <v>701</v>
      </c>
      <c r="B2146" s="22" t="s">
        <v>531</v>
      </c>
      <c r="C2146" s="22" t="s">
        <v>109</v>
      </c>
      <c r="D2146" s="22" t="s">
        <v>110</v>
      </c>
      <c r="E2146" s="158">
        <v>21815</v>
      </c>
      <c r="F2146" s="159">
        <v>70000</v>
      </c>
      <c r="G2146" s="159">
        <v>1527050000</v>
      </c>
      <c r="H2146" s="159">
        <v>152705000</v>
      </c>
      <c r="I2146" s="159">
        <v>1679755000</v>
      </c>
      <c r="J2146" s="159" t="e">
        <f>bargiri[[#This Row],[مقدار]]*INDEX(invoice[پیش دریافت به ازای هر کیلوگرم],MATCH(bargiri[[#This Row],[شماره سند مبنا]],invoice[شماره پیش فاکتور],0))</f>
        <v>#N/A</v>
      </c>
      <c r="K2146" s="159" t="e">
        <f>bargiri[[#This Row],[مبلغ خالص]]-bargiri[[#This Row],[میزان استهلاک پیش دریافتی]]</f>
        <v>#N/A</v>
      </c>
      <c r="L2146" s="160"/>
      <c r="M2146" s="159"/>
      <c r="N2146" s="159" t="e">
        <f>IF(bargiri[[#This Row],[مبلغ واریزی]]&lt;&gt;"",bargiri[[#This Row],[مانده مبلغ]]-bargiri[[#This Row],[مبلغ واریزی]],bargiri[[#This Row],[مانده مبلغ]])</f>
        <v>#N/A</v>
      </c>
      <c r="O2146" s="159"/>
      <c r="P2146" s="159" t="e">
        <f>VLOOKUP(bargiri[[#This Row],[شماره سند مبنا]],invoice[[شماره پیش فاکتور]:[پیش دریافت به ازای هر کیلوگرم]],14,0)</f>
        <v>#N/A</v>
      </c>
      <c r="Q2146" s="159" t="e">
        <f>IF(bargiri[[#This Row],[مبلغ ناخالص]]-(bargiri[[#This Row],[نرخ استهلاک]]*bargiri[[#This Row],[مقدار]])&lt;0,0,bargiri[[#This Row],[مبلغ ناخالص]]-(bargiri[[#This Row],[نرخ استهلاک]]*bargiri[[#This Row],[مقدار]]))</f>
        <v>#N/A</v>
      </c>
    </row>
    <row r="2147" spans="1:17" s="22" customFormat="1" ht="13.8" x14ac:dyDescent="0.25">
      <c r="A2147" s="22">
        <v>700</v>
      </c>
      <c r="B2147" s="22" t="s">
        <v>532</v>
      </c>
      <c r="C2147" s="22" t="s">
        <v>109</v>
      </c>
      <c r="D2147" s="22" t="s">
        <v>110</v>
      </c>
      <c r="E2147" s="158">
        <v>21725</v>
      </c>
      <c r="F2147" s="159">
        <v>70000</v>
      </c>
      <c r="G2147" s="159">
        <v>1520750000</v>
      </c>
      <c r="H2147" s="159">
        <v>152075000</v>
      </c>
      <c r="I2147" s="159">
        <v>1672825000</v>
      </c>
      <c r="J2147" s="159" t="e">
        <f>bargiri[[#This Row],[مقدار]]*INDEX(invoice[پیش دریافت به ازای هر کیلوگرم],MATCH(bargiri[[#This Row],[شماره سند مبنا]],invoice[شماره پیش فاکتور],0))</f>
        <v>#N/A</v>
      </c>
      <c r="K2147" s="159" t="e">
        <f>bargiri[[#This Row],[مبلغ خالص]]-bargiri[[#This Row],[میزان استهلاک پیش دریافتی]]</f>
        <v>#N/A</v>
      </c>
      <c r="L2147" s="160"/>
      <c r="M2147" s="159"/>
      <c r="N2147" s="159" t="e">
        <f>IF(bargiri[[#This Row],[مبلغ واریزی]]&lt;&gt;"",bargiri[[#This Row],[مانده مبلغ]]-bargiri[[#This Row],[مبلغ واریزی]],bargiri[[#This Row],[مانده مبلغ]])</f>
        <v>#N/A</v>
      </c>
      <c r="O2147" s="159"/>
      <c r="P2147" s="159" t="e">
        <f>VLOOKUP(bargiri[[#This Row],[شماره سند مبنا]],invoice[[شماره پیش فاکتور]:[پیش دریافت به ازای هر کیلوگرم]],14,0)</f>
        <v>#N/A</v>
      </c>
      <c r="Q2147" s="159" t="e">
        <f>IF(bargiri[[#This Row],[مبلغ ناخالص]]-(bargiri[[#This Row],[نرخ استهلاک]]*bargiri[[#This Row],[مقدار]])&lt;0,0,bargiri[[#This Row],[مبلغ ناخالص]]-(bargiri[[#This Row],[نرخ استهلاک]]*bargiri[[#This Row],[مقدار]]))</f>
        <v>#N/A</v>
      </c>
    </row>
    <row r="2148" spans="1:17" s="22" customFormat="1" ht="13.8" x14ac:dyDescent="0.25">
      <c r="A2148" s="22">
        <v>699</v>
      </c>
      <c r="B2148" s="22" t="s">
        <v>111</v>
      </c>
      <c r="C2148" s="22" t="s">
        <v>109</v>
      </c>
      <c r="D2148" s="22" t="s">
        <v>110</v>
      </c>
      <c r="E2148" s="158">
        <v>21015</v>
      </c>
      <c r="F2148" s="159">
        <v>70000</v>
      </c>
      <c r="G2148" s="159">
        <v>1471050000</v>
      </c>
      <c r="H2148" s="159">
        <v>147105000</v>
      </c>
      <c r="I2148" s="159">
        <v>1618155000</v>
      </c>
      <c r="J2148" s="159" t="e">
        <f>bargiri[[#This Row],[مقدار]]*INDEX(invoice[پیش دریافت به ازای هر کیلوگرم],MATCH(bargiri[[#This Row],[شماره سند مبنا]],invoice[شماره پیش فاکتور],0))</f>
        <v>#N/A</v>
      </c>
      <c r="K2148" s="159" t="e">
        <f>bargiri[[#This Row],[مبلغ خالص]]-bargiri[[#This Row],[میزان استهلاک پیش دریافتی]]</f>
        <v>#N/A</v>
      </c>
      <c r="L2148" s="160"/>
      <c r="M2148" s="159"/>
      <c r="N2148" s="159" t="e">
        <f>IF(bargiri[[#This Row],[مبلغ واریزی]]&lt;&gt;"",bargiri[[#This Row],[مانده مبلغ]]-bargiri[[#This Row],[مبلغ واریزی]],bargiri[[#This Row],[مانده مبلغ]])</f>
        <v>#N/A</v>
      </c>
      <c r="O2148" s="159"/>
      <c r="P2148" s="159" t="e">
        <f>VLOOKUP(bargiri[[#This Row],[شماره سند مبنا]],invoice[[شماره پیش فاکتور]:[پیش دریافت به ازای هر کیلوگرم]],14,0)</f>
        <v>#N/A</v>
      </c>
      <c r="Q2148" s="159" t="e">
        <f>IF(bargiri[[#This Row],[مبلغ ناخالص]]-(bargiri[[#This Row],[نرخ استهلاک]]*bargiri[[#This Row],[مقدار]])&lt;0,0,bargiri[[#This Row],[مبلغ ناخالص]]-(bargiri[[#This Row],[نرخ استهلاک]]*bargiri[[#This Row],[مقدار]]))</f>
        <v>#N/A</v>
      </c>
    </row>
    <row r="2149" spans="1:17" s="22" customFormat="1" ht="13.8" x14ac:dyDescent="0.25">
      <c r="A2149" s="22">
        <v>698</v>
      </c>
      <c r="B2149" s="22" t="s">
        <v>120</v>
      </c>
      <c r="C2149" s="22" t="s">
        <v>99</v>
      </c>
      <c r="D2149" s="22" t="s">
        <v>64</v>
      </c>
      <c r="E2149" s="158">
        <v>22005</v>
      </c>
      <c r="F2149" s="159">
        <v>75000</v>
      </c>
      <c r="G2149" s="159">
        <v>1650375000</v>
      </c>
      <c r="H2149" s="159">
        <v>165037500</v>
      </c>
      <c r="I2149" s="159">
        <v>1815412500</v>
      </c>
      <c r="J2149" s="159" t="e">
        <f>bargiri[[#This Row],[مقدار]]*INDEX(invoice[پیش دریافت به ازای هر کیلوگرم],MATCH(bargiri[[#This Row],[شماره سند مبنا]],invoice[شماره پیش فاکتور],0))</f>
        <v>#N/A</v>
      </c>
      <c r="K2149" s="159" t="e">
        <f>bargiri[[#This Row],[مبلغ خالص]]-bargiri[[#This Row],[میزان استهلاک پیش دریافتی]]</f>
        <v>#N/A</v>
      </c>
      <c r="L2149" s="160"/>
      <c r="M2149" s="159"/>
      <c r="N2149" s="159" t="e">
        <f>IF(bargiri[[#This Row],[مبلغ واریزی]]&lt;&gt;"",bargiri[[#This Row],[مانده مبلغ]]-bargiri[[#This Row],[مبلغ واریزی]],bargiri[[#This Row],[مانده مبلغ]])</f>
        <v>#N/A</v>
      </c>
      <c r="O2149" s="159"/>
      <c r="P2149" s="159" t="e">
        <f>VLOOKUP(bargiri[[#This Row],[شماره سند مبنا]],invoice[[شماره پیش فاکتور]:[پیش دریافت به ازای هر کیلوگرم]],14,0)</f>
        <v>#N/A</v>
      </c>
      <c r="Q2149" s="159" t="e">
        <f>IF(bargiri[[#This Row],[مبلغ ناخالص]]-(bargiri[[#This Row],[نرخ استهلاک]]*bargiri[[#This Row],[مقدار]])&lt;0,0,bargiri[[#This Row],[مبلغ ناخالص]]-(bargiri[[#This Row],[نرخ استهلاک]]*bargiri[[#This Row],[مقدار]]))</f>
        <v>#N/A</v>
      </c>
    </row>
    <row r="2150" spans="1:17" s="22" customFormat="1" ht="13.8" x14ac:dyDescent="0.25">
      <c r="A2150" s="22">
        <v>697</v>
      </c>
      <c r="B2150" s="22" t="s">
        <v>120</v>
      </c>
      <c r="C2150" s="22" t="s">
        <v>24</v>
      </c>
      <c r="D2150" s="22" t="s">
        <v>25</v>
      </c>
      <c r="E2150" s="158">
        <v>20130</v>
      </c>
      <c r="F2150" s="159">
        <v>68000</v>
      </c>
      <c r="G2150" s="159">
        <v>1368840000</v>
      </c>
      <c r="H2150" s="159">
        <v>123195600</v>
      </c>
      <c r="I2150" s="159">
        <v>1492035600</v>
      </c>
      <c r="J2150" s="159" t="e">
        <f>bargiri[[#This Row],[مقدار]]*INDEX(invoice[پیش دریافت به ازای هر کیلوگرم],MATCH(bargiri[[#This Row],[شماره سند مبنا]],invoice[شماره پیش فاکتور],0))</f>
        <v>#N/A</v>
      </c>
      <c r="K2150" s="159" t="e">
        <f>bargiri[[#This Row],[مبلغ خالص]]-bargiri[[#This Row],[میزان استهلاک پیش دریافتی]]</f>
        <v>#N/A</v>
      </c>
      <c r="L2150" s="160"/>
      <c r="M2150" s="159"/>
      <c r="N2150" s="159" t="e">
        <f>IF(bargiri[[#This Row],[مبلغ واریزی]]&lt;&gt;"",bargiri[[#This Row],[مانده مبلغ]]-bargiri[[#This Row],[مبلغ واریزی]],bargiri[[#This Row],[مانده مبلغ]])</f>
        <v>#N/A</v>
      </c>
      <c r="O2150" s="159"/>
      <c r="P2150" s="159" t="e">
        <f>VLOOKUP(bargiri[[#This Row],[شماره سند مبنا]],invoice[[شماره پیش فاکتور]:[پیش دریافت به ازای هر کیلوگرم]],14,0)</f>
        <v>#N/A</v>
      </c>
      <c r="Q2150" s="159" t="e">
        <f>IF(bargiri[[#This Row],[مبلغ ناخالص]]-(bargiri[[#This Row],[نرخ استهلاک]]*bargiri[[#This Row],[مقدار]])&lt;0,0,bargiri[[#This Row],[مبلغ ناخالص]]-(bargiri[[#This Row],[نرخ استهلاک]]*bargiri[[#This Row],[مقدار]]))</f>
        <v>#N/A</v>
      </c>
    </row>
    <row r="2151" spans="1:17" s="22" customFormat="1" ht="13.8" x14ac:dyDescent="0.25">
      <c r="A2151" s="22">
        <v>696</v>
      </c>
      <c r="B2151" s="22" t="s">
        <v>120</v>
      </c>
      <c r="C2151" s="22" t="s">
        <v>66</v>
      </c>
      <c r="D2151" s="22" t="s">
        <v>67</v>
      </c>
      <c r="E2151" s="158">
        <v>20095</v>
      </c>
      <c r="F2151" s="159">
        <v>68500</v>
      </c>
      <c r="G2151" s="159">
        <v>1376507500</v>
      </c>
      <c r="H2151" s="159">
        <v>123885675</v>
      </c>
      <c r="I2151" s="159">
        <v>1500393175</v>
      </c>
      <c r="J2151" s="159" t="e">
        <f>bargiri[[#This Row],[مقدار]]*INDEX(invoice[پیش دریافت به ازای هر کیلوگرم],MATCH(bargiri[[#This Row],[شماره سند مبنا]],invoice[شماره پیش فاکتور],0))</f>
        <v>#N/A</v>
      </c>
      <c r="K2151" s="159" t="e">
        <f>bargiri[[#This Row],[مبلغ خالص]]-bargiri[[#This Row],[میزان استهلاک پیش دریافتی]]</f>
        <v>#N/A</v>
      </c>
      <c r="L2151" s="160"/>
      <c r="M2151" s="159"/>
      <c r="N2151" s="159" t="e">
        <f>IF(bargiri[[#This Row],[مبلغ واریزی]]&lt;&gt;"",bargiri[[#This Row],[مانده مبلغ]]-bargiri[[#This Row],[مبلغ واریزی]],bargiri[[#This Row],[مانده مبلغ]])</f>
        <v>#N/A</v>
      </c>
      <c r="O2151" s="159"/>
      <c r="P2151" s="159" t="e">
        <f>VLOOKUP(bargiri[[#This Row],[شماره سند مبنا]],invoice[[شماره پیش فاکتور]:[پیش دریافت به ازای هر کیلوگرم]],14,0)</f>
        <v>#N/A</v>
      </c>
      <c r="Q2151" s="159" t="e">
        <f>IF(bargiri[[#This Row],[مبلغ ناخالص]]-(bargiri[[#This Row],[نرخ استهلاک]]*bargiri[[#This Row],[مقدار]])&lt;0,0,bargiri[[#This Row],[مبلغ ناخالص]]-(bargiri[[#This Row],[نرخ استهلاک]]*bargiri[[#This Row],[مقدار]]))</f>
        <v>#N/A</v>
      </c>
    </row>
    <row r="2152" spans="1:17" s="22" customFormat="1" ht="13.8" x14ac:dyDescent="0.25">
      <c r="A2152" s="22">
        <v>695</v>
      </c>
      <c r="B2152" s="22" t="s">
        <v>120</v>
      </c>
      <c r="C2152" s="22" t="s">
        <v>29</v>
      </c>
      <c r="D2152" s="22" t="s">
        <v>30</v>
      </c>
      <c r="E2152" s="158">
        <v>11070</v>
      </c>
      <c r="F2152" s="159">
        <v>70000</v>
      </c>
      <c r="G2152" s="159">
        <v>774900000</v>
      </c>
      <c r="H2152" s="159">
        <v>77490000</v>
      </c>
      <c r="I2152" s="159">
        <v>852390000</v>
      </c>
      <c r="J2152" s="159" t="e">
        <f>bargiri[[#This Row],[مقدار]]*INDEX(invoice[پیش دریافت به ازای هر کیلوگرم],MATCH(bargiri[[#This Row],[شماره سند مبنا]],invoice[شماره پیش فاکتور],0))</f>
        <v>#N/A</v>
      </c>
      <c r="K2152" s="159" t="e">
        <f>bargiri[[#This Row],[مبلغ خالص]]-bargiri[[#This Row],[میزان استهلاک پیش دریافتی]]</f>
        <v>#N/A</v>
      </c>
      <c r="L2152" s="160"/>
      <c r="M2152" s="159"/>
      <c r="N2152" s="159" t="e">
        <f>IF(bargiri[[#This Row],[مبلغ واریزی]]&lt;&gt;"",bargiri[[#This Row],[مانده مبلغ]]-bargiri[[#This Row],[مبلغ واریزی]],bargiri[[#This Row],[مانده مبلغ]])</f>
        <v>#N/A</v>
      </c>
      <c r="O2152" s="159"/>
      <c r="P2152" s="159" t="e">
        <f>VLOOKUP(bargiri[[#This Row],[شماره سند مبنا]],invoice[[شماره پیش فاکتور]:[پیش دریافت به ازای هر کیلوگرم]],14,0)</f>
        <v>#N/A</v>
      </c>
      <c r="Q2152" s="159" t="e">
        <f>IF(bargiri[[#This Row],[مبلغ ناخالص]]-(bargiri[[#This Row],[نرخ استهلاک]]*bargiri[[#This Row],[مقدار]])&lt;0,0,bargiri[[#This Row],[مبلغ ناخالص]]-(bargiri[[#This Row],[نرخ استهلاک]]*bargiri[[#This Row],[مقدار]]))</f>
        <v>#N/A</v>
      </c>
    </row>
    <row r="2153" spans="1:17" s="22" customFormat="1" ht="13.8" x14ac:dyDescent="0.25">
      <c r="A2153" s="22">
        <v>694</v>
      </c>
      <c r="B2153" s="22" t="s">
        <v>120</v>
      </c>
      <c r="C2153" s="22" t="s">
        <v>97</v>
      </c>
      <c r="D2153" s="22" t="s">
        <v>40</v>
      </c>
      <c r="E2153" s="158">
        <v>17965</v>
      </c>
      <c r="F2153" s="159">
        <v>85000</v>
      </c>
      <c r="G2153" s="159">
        <v>1527025000</v>
      </c>
      <c r="H2153" s="159">
        <v>152702500</v>
      </c>
      <c r="I2153" s="159">
        <v>1679727500</v>
      </c>
      <c r="J2153" s="159" t="e">
        <f>bargiri[[#This Row],[مقدار]]*INDEX(invoice[پیش دریافت به ازای هر کیلوگرم],MATCH(bargiri[[#This Row],[شماره سند مبنا]],invoice[شماره پیش فاکتور],0))</f>
        <v>#N/A</v>
      </c>
      <c r="K2153" s="159" t="e">
        <f>bargiri[[#This Row],[مبلغ خالص]]-bargiri[[#This Row],[میزان استهلاک پیش دریافتی]]</f>
        <v>#N/A</v>
      </c>
      <c r="L2153" s="160"/>
      <c r="M2153" s="159"/>
      <c r="N2153" s="159" t="e">
        <f>IF(bargiri[[#This Row],[مبلغ واریزی]]&lt;&gt;"",bargiri[[#This Row],[مانده مبلغ]]-bargiri[[#This Row],[مبلغ واریزی]],bargiri[[#This Row],[مانده مبلغ]])</f>
        <v>#N/A</v>
      </c>
      <c r="O2153" s="159"/>
      <c r="P2153" s="159" t="e">
        <f>VLOOKUP(bargiri[[#This Row],[شماره سند مبنا]],invoice[[شماره پیش فاکتور]:[پیش دریافت به ازای هر کیلوگرم]],14,0)</f>
        <v>#N/A</v>
      </c>
      <c r="Q2153" s="159" t="e">
        <f>IF(bargiri[[#This Row],[مبلغ ناخالص]]-(bargiri[[#This Row],[نرخ استهلاک]]*bargiri[[#This Row],[مقدار]])&lt;0,0,bargiri[[#This Row],[مبلغ ناخالص]]-(bargiri[[#This Row],[نرخ استهلاک]]*bargiri[[#This Row],[مقدار]]))</f>
        <v>#N/A</v>
      </c>
    </row>
    <row r="2154" spans="1:17" s="22" customFormat="1" ht="13.8" x14ac:dyDescent="0.25">
      <c r="A2154" s="22">
        <v>693</v>
      </c>
      <c r="B2154" s="22" t="s">
        <v>120</v>
      </c>
      <c r="C2154" s="22" t="s">
        <v>88</v>
      </c>
      <c r="D2154" s="22" t="s">
        <v>89</v>
      </c>
      <c r="E2154" s="158">
        <v>19645</v>
      </c>
      <c r="F2154" s="159">
        <v>78000</v>
      </c>
      <c r="G2154" s="159">
        <v>1532310000</v>
      </c>
      <c r="H2154" s="159">
        <v>153231000</v>
      </c>
      <c r="I2154" s="159">
        <v>1685541000</v>
      </c>
      <c r="J2154" s="159" t="e">
        <f>bargiri[[#This Row],[مقدار]]*INDEX(invoice[پیش دریافت به ازای هر کیلوگرم],MATCH(bargiri[[#This Row],[شماره سند مبنا]],invoice[شماره پیش فاکتور],0))</f>
        <v>#N/A</v>
      </c>
      <c r="K2154" s="159" t="e">
        <f>bargiri[[#This Row],[مبلغ خالص]]-bargiri[[#This Row],[میزان استهلاک پیش دریافتی]]</f>
        <v>#N/A</v>
      </c>
      <c r="L2154" s="160"/>
      <c r="M2154" s="159"/>
      <c r="N2154" s="159" t="e">
        <f>IF(bargiri[[#This Row],[مبلغ واریزی]]&lt;&gt;"",bargiri[[#This Row],[مانده مبلغ]]-bargiri[[#This Row],[مبلغ واریزی]],bargiri[[#This Row],[مانده مبلغ]])</f>
        <v>#N/A</v>
      </c>
      <c r="O2154" s="159"/>
      <c r="P2154" s="159" t="e">
        <f>VLOOKUP(bargiri[[#This Row],[شماره سند مبنا]],invoice[[شماره پیش فاکتور]:[پیش دریافت به ازای هر کیلوگرم]],14,0)</f>
        <v>#N/A</v>
      </c>
      <c r="Q2154" s="159" t="e">
        <f>IF(bargiri[[#This Row],[مبلغ ناخالص]]-(bargiri[[#This Row],[نرخ استهلاک]]*bargiri[[#This Row],[مقدار]])&lt;0,0,bargiri[[#This Row],[مبلغ ناخالص]]-(bargiri[[#This Row],[نرخ استهلاک]]*bargiri[[#This Row],[مقدار]]))</f>
        <v>#N/A</v>
      </c>
    </row>
    <row r="2155" spans="1:17" s="22" customFormat="1" ht="13.8" x14ac:dyDescent="0.25">
      <c r="A2155" s="22">
        <v>692</v>
      </c>
      <c r="B2155" s="22" t="s">
        <v>120</v>
      </c>
      <c r="C2155" s="22" t="s">
        <v>69</v>
      </c>
      <c r="D2155" s="22" t="s">
        <v>70</v>
      </c>
      <c r="E2155" s="158">
        <v>20395</v>
      </c>
      <c r="F2155" s="159">
        <v>70000</v>
      </c>
      <c r="G2155" s="159">
        <v>1427650000</v>
      </c>
      <c r="H2155" s="159">
        <v>128488500</v>
      </c>
      <c r="I2155" s="159">
        <v>1556138500</v>
      </c>
      <c r="J2155" s="159" t="e">
        <f>bargiri[[#This Row],[مقدار]]*INDEX(invoice[پیش دریافت به ازای هر کیلوگرم],MATCH(bargiri[[#This Row],[شماره سند مبنا]],invoice[شماره پیش فاکتور],0))</f>
        <v>#N/A</v>
      </c>
      <c r="K2155" s="159" t="e">
        <f>bargiri[[#This Row],[مبلغ خالص]]-bargiri[[#This Row],[میزان استهلاک پیش دریافتی]]</f>
        <v>#N/A</v>
      </c>
      <c r="L2155" s="160"/>
      <c r="M2155" s="159"/>
      <c r="N2155" s="159" t="e">
        <f>IF(bargiri[[#This Row],[مبلغ واریزی]]&lt;&gt;"",bargiri[[#This Row],[مانده مبلغ]]-bargiri[[#This Row],[مبلغ واریزی]],bargiri[[#This Row],[مانده مبلغ]])</f>
        <v>#N/A</v>
      </c>
      <c r="O2155" s="159"/>
      <c r="P2155" s="159" t="e">
        <f>VLOOKUP(bargiri[[#This Row],[شماره سند مبنا]],invoice[[شماره پیش فاکتور]:[پیش دریافت به ازای هر کیلوگرم]],14,0)</f>
        <v>#N/A</v>
      </c>
      <c r="Q2155" s="159" t="e">
        <f>IF(bargiri[[#This Row],[مبلغ ناخالص]]-(bargiri[[#This Row],[نرخ استهلاک]]*bargiri[[#This Row],[مقدار]])&lt;0,0,bargiri[[#This Row],[مبلغ ناخالص]]-(bargiri[[#This Row],[نرخ استهلاک]]*bargiri[[#This Row],[مقدار]]))</f>
        <v>#N/A</v>
      </c>
    </row>
    <row r="2156" spans="1:17" s="22" customFormat="1" ht="13.8" x14ac:dyDescent="0.25">
      <c r="A2156" s="22">
        <v>691</v>
      </c>
      <c r="B2156" s="22" t="s">
        <v>528</v>
      </c>
      <c r="C2156" s="22" t="s">
        <v>97</v>
      </c>
      <c r="D2156" s="22" t="s">
        <v>40</v>
      </c>
      <c r="E2156" s="158">
        <v>17815</v>
      </c>
      <c r="F2156" s="159">
        <v>85000</v>
      </c>
      <c r="G2156" s="159">
        <v>1514275000</v>
      </c>
      <c r="H2156" s="159">
        <v>151427500</v>
      </c>
      <c r="I2156" s="159">
        <v>1665702500</v>
      </c>
      <c r="J2156" s="159" t="e">
        <f>bargiri[[#This Row],[مقدار]]*INDEX(invoice[پیش دریافت به ازای هر کیلوگرم],MATCH(bargiri[[#This Row],[شماره سند مبنا]],invoice[شماره پیش فاکتور],0))</f>
        <v>#N/A</v>
      </c>
      <c r="K2156" s="159" t="e">
        <f>bargiri[[#This Row],[مبلغ خالص]]-bargiri[[#This Row],[میزان استهلاک پیش دریافتی]]</f>
        <v>#N/A</v>
      </c>
      <c r="L2156" s="160"/>
      <c r="M2156" s="159"/>
      <c r="N2156" s="159" t="e">
        <f>IF(bargiri[[#This Row],[مبلغ واریزی]]&lt;&gt;"",bargiri[[#This Row],[مانده مبلغ]]-bargiri[[#This Row],[مبلغ واریزی]],bargiri[[#This Row],[مانده مبلغ]])</f>
        <v>#N/A</v>
      </c>
      <c r="O2156" s="159"/>
      <c r="P2156" s="159" t="e">
        <f>VLOOKUP(bargiri[[#This Row],[شماره سند مبنا]],invoice[[شماره پیش فاکتور]:[پیش دریافت به ازای هر کیلوگرم]],14,0)</f>
        <v>#N/A</v>
      </c>
      <c r="Q2156" s="159" t="e">
        <f>IF(bargiri[[#This Row],[مبلغ ناخالص]]-(bargiri[[#This Row],[نرخ استهلاک]]*bargiri[[#This Row],[مقدار]])&lt;0,0,bargiri[[#This Row],[مبلغ ناخالص]]-(bargiri[[#This Row],[نرخ استهلاک]]*bargiri[[#This Row],[مقدار]]))</f>
        <v>#N/A</v>
      </c>
    </row>
    <row r="2157" spans="1:17" s="22" customFormat="1" ht="13.8" x14ac:dyDescent="0.25">
      <c r="A2157" s="22">
        <v>690</v>
      </c>
      <c r="B2157" s="22" t="s">
        <v>528</v>
      </c>
      <c r="C2157" s="22" t="s">
        <v>75</v>
      </c>
      <c r="D2157" s="22" t="s">
        <v>73</v>
      </c>
      <c r="E2157" s="158">
        <v>20940</v>
      </c>
      <c r="F2157" s="159">
        <v>56881</v>
      </c>
      <c r="G2157" s="159">
        <v>1191088140</v>
      </c>
      <c r="H2157" s="159">
        <v>107197933</v>
      </c>
      <c r="I2157" s="159">
        <v>1298286073</v>
      </c>
      <c r="J2157" s="159" t="e">
        <f>bargiri[[#This Row],[مقدار]]*INDEX(invoice[پیش دریافت به ازای هر کیلوگرم],MATCH(bargiri[[#This Row],[شماره سند مبنا]],invoice[شماره پیش فاکتور],0))</f>
        <v>#N/A</v>
      </c>
      <c r="K2157" s="159" t="e">
        <f>bargiri[[#This Row],[مبلغ خالص]]-bargiri[[#This Row],[میزان استهلاک پیش دریافتی]]</f>
        <v>#N/A</v>
      </c>
      <c r="L2157" s="160"/>
      <c r="M2157" s="159"/>
      <c r="N2157" s="159" t="e">
        <f>IF(bargiri[[#This Row],[مبلغ واریزی]]&lt;&gt;"",bargiri[[#This Row],[مانده مبلغ]]-bargiri[[#This Row],[مبلغ واریزی]],bargiri[[#This Row],[مانده مبلغ]])</f>
        <v>#N/A</v>
      </c>
      <c r="O2157" s="159"/>
      <c r="P2157" s="159" t="e">
        <f>VLOOKUP(bargiri[[#This Row],[شماره سند مبنا]],invoice[[شماره پیش فاکتور]:[پیش دریافت به ازای هر کیلوگرم]],14,0)</f>
        <v>#N/A</v>
      </c>
      <c r="Q2157" s="159" t="e">
        <f>IF(bargiri[[#This Row],[مبلغ ناخالص]]-(bargiri[[#This Row],[نرخ استهلاک]]*bargiri[[#This Row],[مقدار]])&lt;0,0,bargiri[[#This Row],[مبلغ ناخالص]]-(bargiri[[#This Row],[نرخ استهلاک]]*bargiri[[#This Row],[مقدار]]))</f>
        <v>#N/A</v>
      </c>
    </row>
    <row r="2158" spans="1:17" s="22" customFormat="1" ht="13.8" x14ac:dyDescent="0.25">
      <c r="A2158" s="22">
        <v>689</v>
      </c>
      <c r="B2158" s="22" t="s">
        <v>528</v>
      </c>
      <c r="C2158" s="22" t="s">
        <v>75</v>
      </c>
      <c r="D2158" s="22" t="s">
        <v>73</v>
      </c>
      <c r="E2158" s="158">
        <v>20930</v>
      </c>
      <c r="F2158" s="159">
        <v>56881</v>
      </c>
      <c r="G2158" s="159">
        <v>1190519330</v>
      </c>
      <c r="H2158" s="159">
        <v>107146740</v>
      </c>
      <c r="I2158" s="159">
        <v>1297666070</v>
      </c>
      <c r="J2158" s="159" t="e">
        <f>bargiri[[#This Row],[مقدار]]*INDEX(invoice[پیش دریافت به ازای هر کیلوگرم],MATCH(bargiri[[#This Row],[شماره سند مبنا]],invoice[شماره پیش فاکتور],0))</f>
        <v>#N/A</v>
      </c>
      <c r="K2158" s="159" t="e">
        <f>bargiri[[#This Row],[مبلغ خالص]]-bargiri[[#This Row],[میزان استهلاک پیش دریافتی]]</f>
        <v>#N/A</v>
      </c>
      <c r="L2158" s="160"/>
      <c r="M2158" s="159"/>
      <c r="N2158" s="159" t="e">
        <f>IF(bargiri[[#This Row],[مبلغ واریزی]]&lt;&gt;"",bargiri[[#This Row],[مانده مبلغ]]-bargiri[[#This Row],[مبلغ واریزی]],bargiri[[#This Row],[مانده مبلغ]])</f>
        <v>#N/A</v>
      </c>
      <c r="O2158" s="159"/>
      <c r="P2158" s="159" t="e">
        <f>VLOOKUP(bargiri[[#This Row],[شماره سند مبنا]],invoice[[شماره پیش فاکتور]:[پیش دریافت به ازای هر کیلوگرم]],14,0)</f>
        <v>#N/A</v>
      </c>
      <c r="Q2158" s="159" t="e">
        <f>IF(bargiri[[#This Row],[مبلغ ناخالص]]-(bargiri[[#This Row],[نرخ استهلاک]]*bargiri[[#This Row],[مقدار]])&lt;0,0,bargiri[[#This Row],[مبلغ ناخالص]]-(bargiri[[#This Row],[نرخ استهلاک]]*bargiri[[#This Row],[مقدار]]))</f>
        <v>#N/A</v>
      </c>
    </row>
    <row r="2159" spans="1:17" s="22" customFormat="1" ht="13.8" x14ac:dyDescent="0.25">
      <c r="A2159" s="22">
        <v>688</v>
      </c>
      <c r="B2159" s="22" t="s">
        <v>528</v>
      </c>
      <c r="C2159" s="22" t="s">
        <v>75</v>
      </c>
      <c r="D2159" s="22" t="s">
        <v>73</v>
      </c>
      <c r="E2159" s="158">
        <v>20860</v>
      </c>
      <c r="F2159" s="159">
        <v>56881</v>
      </c>
      <c r="G2159" s="159">
        <v>1186537660</v>
      </c>
      <c r="H2159" s="159">
        <v>106788389</v>
      </c>
      <c r="I2159" s="159">
        <v>1293326049</v>
      </c>
      <c r="J2159" s="159" t="e">
        <f>bargiri[[#This Row],[مقدار]]*INDEX(invoice[پیش دریافت به ازای هر کیلوگرم],MATCH(bargiri[[#This Row],[شماره سند مبنا]],invoice[شماره پیش فاکتور],0))</f>
        <v>#N/A</v>
      </c>
      <c r="K2159" s="159" t="e">
        <f>bargiri[[#This Row],[مبلغ خالص]]-bargiri[[#This Row],[میزان استهلاک پیش دریافتی]]</f>
        <v>#N/A</v>
      </c>
      <c r="L2159" s="160"/>
      <c r="M2159" s="159"/>
      <c r="N2159" s="159" t="e">
        <f>IF(bargiri[[#This Row],[مبلغ واریزی]]&lt;&gt;"",bargiri[[#This Row],[مانده مبلغ]]-bargiri[[#This Row],[مبلغ واریزی]],bargiri[[#This Row],[مانده مبلغ]])</f>
        <v>#N/A</v>
      </c>
      <c r="O2159" s="159"/>
      <c r="P2159" s="159" t="e">
        <f>VLOOKUP(bargiri[[#This Row],[شماره سند مبنا]],invoice[[شماره پیش فاکتور]:[پیش دریافت به ازای هر کیلوگرم]],14,0)</f>
        <v>#N/A</v>
      </c>
      <c r="Q2159" s="159" t="e">
        <f>IF(bargiri[[#This Row],[مبلغ ناخالص]]-(bargiri[[#This Row],[نرخ استهلاک]]*bargiri[[#This Row],[مقدار]])&lt;0,0,bargiri[[#This Row],[مبلغ ناخالص]]-(bargiri[[#This Row],[نرخ استهلاک]]*bargiri[[#This Row],[مقدار]]))</f>
        <v>#N/A</v>
      </c>
    </row>
    <row r="2160" spans="1:17" s="22" customFormat="1" ht="13.8" x14ac:dyDescent="0.25">
      <c r="A2160" s="22">
        <v>687</v>
      </c>
      <c r="B2160" s="22" t="s">
        <v>528</v>
      </c>
      <c r="C2160" s="22" t="s">
        <v>75</v>
      </c>
      <c r="D2160" s="22" t="s">
        <v>73</v>
      </c>
      <c r="E2160" s="158">
        <v>20920</v>
      </c>
      <c r="F2160" s="159">
        <v>56881</v>
      </c>
      <c r="G2160" s="159">
        <v>1189950520</v>
      </c>
      <c r="H2160" s="159">
        <v>107095547</v>
      </c>
      <c r="I2160" s="159">
        <v>1297046067</v>
      </c>
      <c r="J2160" s="159" t="e">
        <f>bargiri[[#This Row],[مقدار]]*INDEX(invoice[پیش دریافت به ازای هر کیلوگرم],MATCH(bargiri[[#This Row],[شماره سند مبنا]],invoice[شماره پیش فاکتور],0))</f>
        <v>#N/A</v>
      </c>
      <c r="K2160" s="159" t="e">
        <f>bargiri[[#This Row],[مبلغ خالص]]-bargiri[[#This Row],[میزان استهلاک پیش دریافتی]]</f>
        <v>#N/A</v>
      </c>
      <c r="L2160" s="160"/>
      <c r="M2160" s="159"/>
      <c r="N2160" s="159" t="e">
        <f>IF(bargiri[[#This Row],[مبلغ واریزی]]&lt;&gt;"",bargiri[[#This Row],[مانده مبلغ]]-bargiri[[#This Row],[مبلغ واریزی]],bargiri[[#This Row],[مانده مبلغ]])</f>
        <v>#N/A</v>
      </c>
      <c r="O2160" s="159"/>
      <c r="P2160" s="159" t="e">
        <f>VLOOKUP(bargiri[[#This Row],[شماره سند مبنا]],invoice[[شماره پیش فاکتور]:[پیش دریافت به ازای هر کیلوگرم]],14,0)</f>
        <v>#N/A</v>
      </c>
      <c r="Q2160" s="159" t="e">
        <f>IF(bargiri[[#This Row],[مبلغ ناخالص]]-(bargiri[[#This Row],[نرخ استهلاک]]*bargiri[[#This Row],[مقدار]])&lt;0,0,bargiri[[#This Row],[مبلغ ناخالص]]-(bargiri[[#This Row],[نرخ استهلاک]]*bargiri[[#This Row],[مقدار]]))</f>
        <v>#N/A</v>
      </c>
    </row>
    <row r="2161" spans="1:17" s="22" customFormat="1" ht="13.8" x14ac:dyDescent="0.25">
      <c r="A2161" s="22">
        <v>686</v>
      </c>
      <c r="B2161" s="22" t="s">
        <v>528</v>
      </c>
      <c r="C2161" s="22" t="s">
        <v>66</v>
      </c>
      <c r="D2161" s="22" t="s">
        <v>67</v>
      </c>
      <c r="E2161" s="158">
        <v>20135</v>
      </c>
      <c r="F2161" s="159">
        <v>68500</v>
      </c>
      <c r="G2161" s="159">
        <v>1379247500</v>
      </c>
      <c r="H2161" s="159">
        <v>124132275</v>
      </c>
      <c r="I2161" s="159">
        <v>1503379775</v>
      </c>
      <c r="J2161" s="159" t="e">
        <f>bargiri[[#This Row],[مقدار]]*INDEX(invoice[پیش دریافت به ازای هر کیلوگرم],MATCH(bargiri[[#This Row],[شماره سند مبنا]],invoice[شماره پیش فاکتور],0))</f>
        <v>#N/A</v>
      </c>
      <c r="K2161" s="159" t="e">
        <f>bargiri[[#This Row],[مبلغ خالص]]-bargiri[[#This Row],[میزان استهلاک پیش دریافتی]]</f>
        <v>#N/A</v>
      </c>
      <c r="L2161" s="160"/>
      <c r="M2161" s="159"/>
      <c r="N2161" s="159" t="e">
        <f>IF(bargiri[[#This Row],[مبلغ واریزی]]&lt;&gt;"",bargiri[[#This Row],[مانده مبلغ]]-bargiri[[#This Row],[مبلغ واریزی]],bargiri[[#This Row],[مانده مبلغ]])</f>
        <v>#N/A</v>
      </c>
      <c r="O2161" s="159"/>
      <c r="P2161" s="159" t="e">
        <f>VLOOKUP(bargiri[[#This Row],[شماره سند مبنا]],invoice[[شماره پیش فاکتور]:[پیش دریافت به ازای هر کیلوگرم]],14,0)</f>
        <v>#N/A</v>
      </c>
      <c r="Q2161" s="159" t="e">
        <f>IF(bargiri[[#This Row],[مبلغ ناخالص]]-(bargiri[[#This Row],[نرخ استهلاک]]*bargiri[[#This Row],[مقدار]])&lt;0,0,bargiri[[#This Row],[مبلغ ناخالص]]-(bargiri[[#This Row],[نرخ استهلاک]]*bargiri[[#This Row],[مقدار]]))</f>
        <v>#N/A</v>
      </c>
    </row>
    <row r="2162" spans="1:17" s="22" customFormat="1" ht="13.8" x14ac:dyDescent="0.25">
      <c r="A2162" s="22">
        <v>684</v>
      </c>
      <c r="B2162" s="22" t="s">
        <v>533</v>
      </c>
      <c r="C2162" s="22" t="s">
        <v>75</v>
      </c>
      <c r="D2162" s="22" t="s">
        <v>73</v>
      </c>
      <c r="E2162" s="158">
        <v>20085</v>
      </c>
      <c r="F2162" s="159">
        <v>56881</v>
      </c>
      <c r="G2162" s="159">
        <v>1142454885</v>
      </c>
      <c r="H2162" s="159">
        <v>102820940</v>
      </c>
      <c r="I2162" s="159">
        <v>1245275825</v>
      </c>
      <c r="J2162" s="159" t="e">
        <f>bargiri[[#This Row],[مقدار]]*INDEX(invoice[پیش دریافت به ازای هر کیلوگرم],MATCH(bargiri[[#This Row],[شماره سند مبنا]],invoice[شماره پیش فاکتور],0))</f>
        <v>#N/A</v>
      </c>
      <c r="K2162" s="159" t="e">
        <f>bargiri[[#This Row],[مبلغ خالص]]-bargiri[[#This Row],[میزان استهلاک پیش دریافتی]]</f>
        <v>#N/A</v>
      </c>
      <c r="L2162" s="160"/>
      <c r="M2162" s="159"/>
      <c r="N2162" s="159" t="e">
        <f>IF(bargiri[[#This Row],[مبلغ واریزی]]&lt;&gt;"",bargiri[[#This Row],[مانده مبلغ]]-bargiri[[#This Row],[مبلغ واریزی]],bargiri[[#This Row],[مانده مبلغ]])</f>
        <v>#N/A</v>
      </c>
      <c r="O2162" s="159"/>
      <c r="P2162" s="159" t="e">
        <f>VLOOKUP(bargiri[[#This Row],[شماره سند مبنا]],invoice[[شماره پیش فاکتور]:[پیش دریافت به ازای هر کیلوگرم]],14,0)</f>
        <v>#N/A</v>
      </c>
      <c r="Q2162" s="159" t="e">
        <f>IF(bargiri[[#This Row],[مبلغ ناخالص]]-(bargiri[[#This Row],[نرخ استهلاک]]*bargiri[[#This Row],[مقدار]])&lt;0,0,bargiri[[#This Row],[مبلغ ناخالص]]-(bargiri[[#This Row],[نرخ استهلاک]]*bargiri[[#This Row],[مقدار]]))</f>
        <v>#N/A</v>
      </c>
    </row>
    <row r="2163" spans="1:17" s="22" customFormat="1" ht="13.8" x14ac:dyDescent="0.25">
      <c r="A2163" s="22">
        <v>683</v>
      </c>
      <c r="B2163" s="22" t="s">
        <v>533</v>
      </c>
      <c r="C2163" s="22" t="s">
        <v>75</v>
      </c>
      <c r="D2163" s="22" t="s">
        <v>73</v>
      </c>
      <c r="E2163" s="158">
        <v>20905</v>
      </c>
      <c r="F2163" s="159">
        <v>56881</v>
      </c>
      <c r="G2163" s="159">
        <v>1189097305</v>
      </c>
      <c r="H2163" s="159">
        <v>107018757</v>
      </c>
      <c r="I2163" s="159">
        <v>1296116062</v>
      </c>
      <c r="J2163" s="159" t="e">
        <f>bargiri[[#This Row],[مقدار]]*INDEX(invoice[پیش دریافت به ازای هر کیلوگرم],MATCH(bargiri[[#This Row],[شماره سند مبنا]],invoice[شماره پیش فاکتور],0))</f>
        <v>#N/A</v>
      </c>
      <c r="K2163" s="159" t="e">
        <f>bargiri[[#This Row],[مبلغ خالص]]-bargiri[[#This Row],[میزان استهلاک پیش دریافتی]]</f>
        <v>#N/A</v>
      </c>
      <c r="L2163" s="160"/>
      <c r="M2163" s="159"/>
      <c r="N2163" s="159" t="e">
        <f>IF(bargiri[[#This Row],[مبلغ واریزی]]&lt;&gt;"",bargiri[[#This Row],[مانده مبلغ]]-bargiri[[#This Row],[مبلغ واریزی]],bargiri[[#This Row],[مانده مبلغ]])</f>
        <v>#N/A</v>
      </c>
      <c r="O2163" s="159"/>
      <c r="P2163" s="159" t="e">
        <f>VLOOKUP(bargiri[[#This Row],[شماره سند مبنا]],invoice[[شماره پیش فاکتور]:[پیش دریافت به ازای هر کیلوگرم]],14,0)</f>
        <v>#N/A</v>
      </c>
      <c r="Q2163" s="159" t="e">
        <f>IF(bargiri[[#This Row],[مبلغ ناخالص]]-(bargiri[[#This Row],[نرخ استهلاک]]*bargiri[[#This Row],[مقدار]])&lt;0,0,bargiri[[#This Row],[مبلغ ناخالص]]-(bargiri[[#This Row],[نرخ استهلاک]]*bargiri[[#This Row],[مقدار]]))</f>
        <v>#N/A</v>
      </c>
    </row>
    <row r="2164" spans="1:17" s="22" customFormat="1" ht="13.8" x14ac:dyDescent="0.25">
      <c r="A2164" s="22">
        <v>682</v>
      </c>
      <c r="B2164" s="22" t="s">
        <v>533</v>
      </c>
      <c r="C2164" s="22" t="s">
        <v>75</v>
      </c>
      <c r="D2164" s="22" t="s">
        <v>73</v>
      </c>
      <c r="E2164" s="158">
        <v>21160</v>
      </c>
      <c r="F2164" s="159">
        <v>56881</v>
      </c>
      <c r="G2164" s="159">
        <v>1203601960</v>
      </c>
      <c r="H2164" s="159">
        <v>108324176</v>
      </c>
      <c r="I2164" s="159">
        <v>1311926136</v>
      </c>
      <c r="J2164" s="159" t="e">
        <f>bargiri[[#This Row],[مقدار]]*INDEX(invoice[پیش دریافت به ازای هر کیلوگرم],MATCH(bargiri[[#This Row],[شماره سند مبنا]],invoice[شماره پیش فاکتور],0))</f>
        <v>#N/A</v>
      </c>
      <c r="K2164" s="159" t="e">
        <f>bargiri[[#This Row],[مبلغ خالص]]-bargiri[[#This Row],[میزان استهلاک پیش دریافتی]]</f>
        <v>#N/A</v>
      </c>
      <c r="L2164" s="160"/>
      <c r="M2164" s="159"/>
      <c r="N2164" s="159" t="e">
        <f>IF(bargiri[[#This Row],[مبلغ واریزی]]&lt;&gt;"",bargiri[[#This Row],[مانده مبلغ]]-bargiri[[#This Row],[مبلغ واریزی]],bargiri[[#This Row],[مانده مبلغ]])</f>
        <v>#N/A</v>
      </c>
      <c r="O2164" s="159"/>
      <c r="P2164" s="159" t="e">
        <f>VLOOKUP(bargiri[[#This Row],[شماره سند مبنا]],invoice[[شماره پیش فاکتور]:[پیش دریافت به ازای هر کیلوگرم]],14,0)</f>
        <v>#N/A</v>
      </c>
      <c r="Q2164" s="159" t="e">
        <f>IF(bargiri[[#This Row],[مبلغ ناخالص]]-(bargiri[[#This Row],[نرخ استهلاک]]*bargiri[[#This Row],[مقدار]])&lt;0,0,bargiri[[#This Row],[مبلغ ناخالص]]-(bargiri[[#This Row],[نرخ استهلاک]]*bargiri[[#This Row],[مقدار]]))</f>
        <v>#N/A</v>
      </c>
    </row>
    <row r="2165" spans="1:17" s="22" customFormat="1" ht="13.8" x14ac:dyDescent="0.25">
      <c r="A2165" s="22">
        <v>681</v>
      </c>
      <c r="B2165" s="22" t="s">
        <v>533</v>
      </c>
      <c r="C2165" s="22" t="s">
        <v>66</v>
      </c>
      <c r="D2165" s="22" t="s">
        <v>67</v>
      </c>
      <c r="E2165" s="158">
        <v>20080</v>
      </c>
      <c r="F2165" s="159">
        <v>68500</v>
      </c>
      <c r="G2165" s="159">
        <v>1375480000</v>
      </c>
      <c r="H2165" s="159">
        <v>123793200</v>
      </c>
      <c r="I2165" s="159">
        <v>1499273200</v>
      </c>
      <c r="J2165" s="159" t="e">
        <f>bargiri[[#This Row],[مقدار]]*INDEX(invoice[پیش دریافت به ازای هر کیلوگرم],MATCH(bargiri[[#This Row],[شماره سند مبنا]],invoice[شماره پیش فاکتور],0))</f>
        <v>#N/A</v>
      </c>
      <c r="K2165" s="159" t="e">
        <f>bargiri[[#This Row],[مبلغ خالص]]-bargiri[[#This Row],[میزان استهلاک پیش دریافتی]]</f>
        <v>#N/A</v>
      </c>
      <c r="L2165" s="160"/>
      <c r="M2165" s="159"/>
      <c r="N2165" s="159" t="e">
        <f>IF(bargiri[[#This Row],[مبلغ واریزی]]&lt;&gt;"",bargiri[[#This Row],[مانده مبلغ]]-bargiri[[#This Row],[مبلغ واریزی]],bargiri[[#This Row],[مانده مبلغ]])</f>
        <v>#N/A</v>
      </c>
      <c r="O2165" s="159"/>
      <c r="P2165" s="159" t="e">
        <f>VLOOKUP(bargiri[[#This Row],[شماره سند مبنا]],invoice[[شماره پیش فاکتور]:[پیش دریافت به ازای هر کیلوگرم]],14,0)</f>
        <v>#N/A</v>
      </c>
      <c r="Q2165" s="159" t="e">
        <f>IF(bargiri[[#This Row],[مبلغ ناخالص]]-(bargiri[[#This Row],[نرخ استهلاک]]*bargiri[[#This Row],[مقدار]])&lt;0,0,bargiri[[#This Row],[مبلغ ناخالص]]-(bargiri[[#This Row],[نرخ استهلاک]]*bargiri[[#This Row],[مقدار]]))</f>
        <v>#N/A</v>
      </c>
    </row>
    <row r="2166" spans="1:17" s="22" customFormat="1" ht="13.8" x14ac:dyDescent="0.25">
      <c r="A2166" s="22">
        <v>680</v>
      </c>
      <c r="B2166" s="22" t="s">
        <v>533</v>
      </c>
      <c r="C2166" s="22" t="s">
        <v>19</v>
      </c>
      <c r="D2166" s="22" t="s">
        <v>20</v>
      </c>
      <c r="E2166" s="158">
        <v>18995</v>
      </c>
      <c r="F2166" s="159">
        <v>65000</v>
      </c>
      <c r="G2166" s="159">
        <v>1234675000</v>
      </c>
      <c r="H2166" s="159">
        <v>111120750</v>
      </c>
      <c r="I2166" s="159">
        <v>1345795750</v>
      </c>
      <c r="J2166" s="159" t="e">
        <f>bargiri[[#This Row],[مقدار]]*INDEX(invoice[پیش دریافت به ازای هر کیلوگرم],MATCH(bargiri[[#This Row],[شماره سند مبنا]],invoice[شماره پیش فاکتور],0))</f>
        <v>#N/A</v>
      </c>
      <c r="K2166" s="159" t="e">
        <f>bargiri[[#This Row],[مبلغ خالص]]-bargiri[[#This Row],[میزان استهلاک پیش دریافتی]]</f>
        <v>#N/A</v>
      </c>
      <c r="L2166" s="160"/>
      <c r="M2166" s="159"/>
      <c r="N2166" s="159" t="e">
        <f>IF(bargiri[[#This Row],[مبلغ واریزی]]&lt;&gt;"",bargiri[[#This Row],[مانده مبلغ]]-bargiri[[#This Row],[مبلغ واریزی]],bargiri[[#This Row],[مانده مبلغ]])</f>
        <v>#N/A</v>
      </c>
      <c r="O2166" s="159"/>
      <c r="P2166" s="159" t="e">
        <f>VLOOKUP(bargiri[[#This Row],[شماره سند مبنا]],invoice[[شماره پیش فاکتور]:[پیش دریافت به ازای هر کیلوگرم]],14,0)</f>
        <v>#N/A</v>
      </c>
      <c r="Q2166" s="159" t="e">
        <f>IF(bargiri[[#This Row],[مبلغ ناخالص]]-(bargiri[[#This Row],[نرخ استهلاک]]*bargiri[[#This Row],[مقدار]])&lt;0,0,bargiri[[#This Row],[مبلغ ناخالص]]-(bargiri[[#This Row],[نرخ استهلاک]]*bargiri[[#This Row],[مقدار]]))</f>
        <v>#N/A</v>
      </c>
    </row>
    <row r="2167" spans="1:17" s="22" customFormat="1" ht="13.8" x14ac:dyDescent="0.25">
      <c r="A2167" s="22">
        <v>679</v>
      </c>
      <c r="B2167" s="22" t="s">
        <v>533</v>
      </c>
      <c r="C2167" s="22" t="s">
        <v>29</v>
      </c>
      <c r="D2167" s="22" t="s">
        <v>30</v>
      </c>
      <c r="E2167" s="158">
        <v>11185</v>
      </c>
      <c r="F2167" s="159">
        <v>70000</v>
      </c>
      <c r="G2167" s="159">
        <v>782950000</v>
      </c>
      <c r="H2167" s="159">
        <v>78295000</v>
      </c>
      <c r="I2167" s="159">
        <v>861245000</v>
      </c>
      <c r="J2167" s="159" t="e">
        <f>bargiri[[#This Row],[مقدار]]*INDEX(invoice[پیش دریافت به ازای هر کیلوگرم],MATCH(bargiri[[#This Row],[شماره سند مبنا]],invoice[شماره پیش فاکتور],0))</f>
        <v>#N/A</v>
      </c>
      <c r="K2167" s="159" t="e">
        <f>bargiri[[#This Row],[مبلغ خالص]]-bargiri[[#This Row],[میزان استهلاک پیش دریافتی]]</f>
        <v>#N/A</v>
      </c>
      <c r="L2167" s="160"/>
      <c r="M2167" s="159"/>
      <c r="N2167" s="159" t="e">
        <f>IF(bargiri[[#This Row],[مبلغ واریزی]]&lt;&gt;"",bargiri[[#This Row],[مانده مبلغ]]-bargiri[[#This Row],[مبلغ واریزی]],bargiri[[#This Row],[مانده مبلغ]])</f>
        <v>#N/A</v>
      </c>
      <c r="O2167" s="159"/>
      <c r="P2167" s="159" t="e">
        <f>VLOOKUP(bargiri[[#This Row],[شماره سند مبنا]],invoice[[شماره پیش فاکتور]:[پیش دریافت به ازای هر کیلوگرم]],14,0)</f>
        <v>#N/A</v>
      </c>
      <c r="Q2167" s="159" t="e">
        <f>IF(bargiri[[#This Row],[مبلغ ناخالص]]-(bargiri[[#This Row],[نرخ استهلاک]]*bargiri[[#This Row],[مقدار]])&lt;0,0,bargiri[[#This Row],[مبلغ ناخالص]]-(bargiri[[#This Row],[نرخ استهلاک]]*bargiri[[#This Row],[مقدار]]))</f>
        <v>#N/A</v>
      </c>
    </row>
    <row r="2168" spans="1:17" s="22" customFormat="1" ht="13.8" x14ac:dyDescent="0.25">
      <c r="A2168" s="22">
        <v>678</v>
      </c>
      <c r="B2168" s="22" t="s">
        <v>533</v>
      </c>
      <c r="C2168" s="22" t="s">
        <v>66</v>
      </c>
      <c r="D2168" s="22" t="s">
        <v>67</v>
      </c>
      <c r="E2168" s="158">
        <v>8060</v>
      </c>
      <c r="F2168" s="159">
        <v>68500</v>
      </c>
      <c r="G2168" s="159">
        <v>552110000</v>
      </c>
      <c r="H2168" s="159">
        <v>49689900</v>
      </c>
      <c r="I2168" s="159">
        <v>601799900</v>
      </c>
      <c r="J2168" s="159" t="e">
        <f>bargiri[[#This Row],[مقدار]]*INDEX(invoice[پیش دریافت به ازای هر کیلوگرم],MATCH(bargiri[[#This Row],[شماره سند مبنا]],invoice[شماره پیش فاکتور],0))</f>
        <v>#N/A</v>
      </c>
      <c r="K2168" s="159" t="e">
        <f>bargiri[[#This Row],[مبلغ خالص]]-bargiri[[#This Row],[میزان استهلاک پیش دریافتی]]</f>
        <v>#N/A</v>
      </c>
      <c r="L2168" s="160"/>
      <c r="M2168" s="159"/>
      <c r="N2168" s="159" t="e">
        <f>IF(bargiri[[#This Row],[مبلغ واریزی]]&lt;&gt;"",bargiri[[#This Row],[مانده مبلغ]]-bargiri[[#This Row],[مبلغ واریزی]],bargiri[[#This Row],[مانده مبلغ]])</f>
        <v>#N/A</v>
      </c>
      <c r="O2168" s="159"/>
      <c r="P2168" s="159" t="e">
        <f>VLOOKUP(bargiri[[#This Row],[شماره سند مبنا]],invoice[[شماره پیش فاکتور]:[پیش دریافت به ازای هر کیلوگرم]],14,0)</f>
        <v>#N/A</v>
      </c>
      <c r="Q2168" s="159" t="e">
        <f>IF(bargiri[[#This Row],[مبلغ ناخالص]]-(bargiri[[#This Row],[نرخ استهلاک]]*bargiri[[#This Row],[مقدار]])&lt;0,0,bargiri[[#This Row],[مبلغ ناخالص]]-(bargiri[[#This Row],[نرخ استهلاک]]*bargiri[[#This Row],[مقدار]]))</f>
        <v>#N/A</v>
      </c>
    </row>
    <row r="2169" spans="1:17" s="22" customFormat="1" ht="13.8" x14ac:dyDescent="0.25">
      <c r="A2169" s="22">
        <v>677</v>
      </c>
      <c r="B2169" s="22" t="s">
        <v>533</v>
      </c>
      <c r="C2169" s="22" t="s">
        <v>47</v>
      </c>
      <c r="D2169" s="22" t="s">
        <v>43</v>
      </c>
      <c r="E2169" s="158">
        <v>20310</v>
      </c>
      <c r="F2169" s="159">
        <v>65000</v>
      </c>
      <c r="G2169" s="159">
        <v>1320150000</v>
      </c>
      <c r="H2169" s="159">
        <v>118813500</v>
      </c>
      <c r="I2169" s="159">
        <v>1438963500</v>
      </c>
      <c r="J2169" s="159" t="e">
        <f>bargiri[[#This Row],[مقدار]]*INDEX(invoice[پیش دریافت به ازای هر کیلوگرم],MATCH(bargiri[[#This Row],[شماره سند مبنا]],invoice[شماره پیش فاکتور],0))</f>
        <v>#N/A</v>
      </c>
      <c r="K2169" s="159" t="e">
        <f>bargiri[[#This Row],[مبلغ خالص]]-bargiri[[#This Row],[میزان استهلاک پیش دریافتی]]</f>
        <v>#N/A</v>
      </c>
      <c r="L2169" s="160"/>
      <c r="M2169" s="159"/>
      <c r="N2169" s="159" t="e">
        <f>IF(bargiri[[#This Row],[مبلغ واریزی]]&lt;&gt;"",bargiri[[#This Row],[مانده مبلغ]]-bargiri[[#This Row],[مبلغ واریزی]],bargiri[[#This Row],[مانده مبلغ]])</f>
        <v>#N/A</v>
      </c>
      <c r="O2169" s="159"/>
      <c r="P2169" s="159" t="e">
        <f>VLOOKUP(bargiri[[#This Row],[شماره سند مبنا]],invoice[[شماره پیش فاکتور]:[پیش دریافت به ازای هر کیلوگرم]],14,0)</f>
        <v>#N/A</v>
      </c>
      <c r="Q2169" s="159" t="e">
        <f>IF(bargiri[[#This Row],[مبلغ ناخالص]]-(bargiri[[#This Row],[نرخ استهلاک]]*bargiri[[#This Row],[مقدار]])&lt;0,0,bargiri[[#This Row],[مبلغ ناخالص]]-(bargiri[[#This Row],[نرخ استهلاک]]*bargiri[[#This Row],[مقدار]]))</f>
        <v>#N/A</v>
      </c>
    </row>
    <row r="2170" spans="1:17" s="22" customFormat="1" ht="13.8" x14ac:dyDescent="0.25">
      <c r="A2170" s="22">
        <v>676</v>
      </c>
      <c r="B2170" s="22" t="s">
        <v>533</v>
      </c>
      <c r="C2170" s="22" t="s">
        <v>19</v>
      </c>
      <c r="D2170" s="22" t="s">
        <v>20</v>
      </c>
      <c r="E2170" s="158">
        <v>19095</v>
      </c>
      <c r="F2170" s="159">
        <v>65000</v>
      </c>
      <c r="G2170" s="159">
        <v>1241175000</v>
      </c>
      <c r="H2170" s="159">
        <v>111705750</v>
      </c>
      <c r="I2170" s="159">
        <v>1352880750</v>
      </c>
      <c r="J2170" s="159" t="e">
        <f>bargiri[[#This Row],[مقدار]]*INDEX(invoice[پیش دریافت به ازای هر کیلوگرم],MATCH(bargiri[[#This Row],[شماره سند مبنا]],invoice[شماره پیش فاکتور],0))</f>
        <v>#N/A</v>
      </c>
      <c r="K2170" s="159" t="e">
        <f>bargiri[[#This Row],[مبلغ خالص]]-bargiri[[#This Row],[میزان استهلاک پیش دریافتی]]</f>
        <v>#N/A</v>
      </c>
      <c r="L2170" s="160"/>
      <c r="M2170" s="159"/>
      <c r="N2170" s="159" t="e">
        <f>IF(bargiri[[#This Row],[مبلغ واریزی]]&lt;&gt;"",bargiri[[#This Row],[مانده مبلغ]]-bargiri[[#This Row],[مبلغ واریزی]],bargiri[[#This Row],[مانده مبلغ]])</f>
        <v>#N/A</v>
      </c>
      <c r="O2170" s="159"/>
      <c r="P2170" s="159" t="e">
        <f>VLOOKUP(bargiri[[#This Row],[شماره سند مبنا]],invoice[[شماره پیش فاکتور]:[پیش دریافت به ازای هر کیلوگرم]],14,0)</f>
        <v>#N/A</v>
      </c>
      <c r="Q2170" s="159" t="e">
        <f>IF(bargiri[[#This Row],[مبلغ ناخالص]]-(bargiri[[#This Row],[نرخ استهلاک]]*bargiri[[#This Row],[مقدار]])&lt;0,0,bargiri[[#This Row],[مبلغ ناخالص]]-(bargiri[[#This Row],[نرخ استهلاک]]*bargiri[[#This Row],[مقدار]]))</f>
        <v>#N/A</v>
      </c>
    </row>
    <row r="2171" spans="1:17" s="22" customFormat="1" ht="13.8" x14ac:dyDescent="0.25">
      <c r="A2171" s="22">
        <v>675</v>
      </c>
      <c r="B2171" s="22" t="s">
        <v>534</v>
      </c>
      <c r="C2171" s="22" t="s">
        <v>47</v>
      </c>
      <c r="D2171" s="22" t="s">
        <v>43</v>
      </c>
      <c r="E2171" s="158">
        <v>20120</v>
      </c>
      <c r="F2171" s="159">
        <v>65000</v>
      </c>
      <c r="G2171" s="159">
        <v>1307800000</v>
      </c>
      <c r="H2171" s="159">
        <v>117702000</v>
      </c>
      <c r="I2171" s="159">
        <v>1425502000</v>
      </c>
      <c r="J2171" s="159" t="e">
        <f>bargiri[[#This Row],[مقدار]]*INDEX(invoice[پیش دریافت به ازای هر کیلوگرم],MATCH(bargiri[[#This Row],[شماره سند مبنا]],invoice[شماره پیش فاکتور],0))</f>
        <v>#N/A</v>
      </c>
      <c r="K2171" s="159" t="e">
        <f>bargiri[[#This Row],[مبلغ خالص]]-bargiri[[#This Row],[میزان استهلاک پیش دریافتی]]</f>
        <v>#N/A</v>
      </c>
      <c r="L2171" s="160"/>
      <c r="M2171" s="159"/>
      <c r="N2171" s="159" t="e">
        <f>IF(bargiri[[#This Row],[مبلغ واریزی]]&lt;&gt;"",bargiri[[#This Row],[مانده مبلغ]]-bargiri[[#This Row],[مبلغ واریزی]],bargiri[[#This Row],[مانده مبلغ]])</f>
        <v>#N/A</v>
      </c>
      <c r="O2171" s="159"/>
      <c r="P2171" s="159" t="e">
        <f>VLOOKUP(bargiri[[#This Row],[شماره سند مبنا]],invoice[[شماره پیش فاکتور]:[پیش دریافت به ازای هر کیلوگرم]],14,0)</f>
        <v>#N/A</v>
      </c>
      <c r="Q2171" s="159" t="e">
        <f>IF(bargiri[[#This Row],[مبلغ ناخالص]]-(bargiri[[#This Row],[نرخ استهلاک]]*bargiri[[#This Row],[مقدار]])&lt;0,0,bargiri[[#This Row],[مبلغ ناخالص]]-(bargiri[[#This Row],[نرخ استهلاک]]*bargiri[[#This Row],[مقدار]]))</f>
        <v>#N/A</v>
      </c>
    </row>
    <row r="2172" spans="1:17" s="22" customFormat="1" ht="13.8" x14ac:dyDescent="0.25">
      <c r="A2172" s="22">
        <v>674</v>
      </c>
      <c r="B2172" s="22" t="s">
        <v>534</v>
      </c>
      <c r="C2172" s="22" t="s">
        <v>16</v>
      </c>
      <c r="D2172" s="22" t="s">
        <v>17</v>
      </c>
      <c r="E2172" s="158">
        <v>20205</v>
      </c>
      <c r="F2172" s="159">
        <v>77000</v>
      </c>
      <c r="G2172" s="159">
        <v>1555785000</v>
      </c>
      <c r="H2172" s="159">
        <v>140020650</v>
      </c>
      <c r="I2172" s="159">
        <v>1695805650</v>
      </c>
      <c r="J2172" s="159" t="e">
        <f>bargiri[[#This Row],[مقدار]]*INDEX(invoice[پیش دریافت به ازای هر کیلوگرم],MATCH(bargiri[[#This Row],[شماره سند مبنا]],invoice[شماره پیش فاکتور],0))</f>
        <v>#N/A</v>
      </c>
      <c r="K2172" s="159" t="e">
        <f>bargiri[[#This Row],[مبلغ خالص]]-bargiri[[#This Row],[میزان استهلاک پیش دریافتی]]</f>
        <v>#N/A</v>
      </c>
      <c r="L2172" s="160"/>
      <c r="M2172" s="159"/>
      <c r="N2172" s="159" t="e">
        <f>IF(bargiri[[#This Row],[مبلغ واریزی]]&lt;&gt;"",bargiri[[#This Row],[مانده مبلغ]]-bargiri[[#This Row],[مبلغ واریزی]],bargiri[[#This Row],[مانده مبلغ]])</f>
        <v>#N/A</v>
      </c>
      <c r="O2172" s="159"/>
      <c r="P2172" s="159" t="e">
        <f>VLOOKUP(bargiri[[#This Row],[شماره سند مبنا]],invoice[[شماره پیش فاکتور]:[پیش دریافت به ازای هر کیلوگرم]],14,0)</f>
        <v>#N/A</v>
      </c>
      <c r="Q2172" s="159" t="e">
        <f>IF(bargiri[[#This Row],[مبلغ ناخالص]]-(bargiri[[#This Row],[نرخ استهلاک]]*bargiri[[#This Row],[مقدار]])&lt;0,0,bargiri[[#This Row],[مبلغ ناخالص]]-(bargiri[[#This Row],[نرخ استهلاک]]*bargiri[[#This Row],[مقدار]]))</f>
        <v>#N/A</v>
      </c>
    </row>
    <row r="2173" spans="1:17" s="22" customFormat="1" ht="13.8" x14ac:dyDescent="0.25">
      <c r="A2173" s="22">
        <v>673</v>
      </c>
      <c r="B2173" s="22" t="s">
        <v>534</v>
      </c>
      <c r="C2173" s="22" t="s">
        <v>24</v>
      </c>
      <c r="D2173" s="22" t="s">
        <v>25</v>
      </c>
      <c r="E2173" s="158">
        <v>20300</v>
      </c>
      <c r="F2173" s="159">
        <v>68000</v>
      </c>
      <c r="G2173" s="159">
        <v>1380400000</v>
      </c>
      <c r="H2173" s="159">
        <v>124236000</v>
      </c>
      <c r="I2173" s="159">
        <v>1504636000</v>
      </c>
      <c r="J2173" s="159" t="e">
        <f>bargiri[[#This Row],[مقدار]]*INDEX(invoice[پیش دریافت به ازای هر کیلوگرم],MATCH(bargiri[[#This Row],[شماره سند مبنا]],invoice[شماره پیش فاکتور],0))</f>
        <v>#N/A</v>
      </c>
      <c r="K2173" s="159" t="e">
        <f>bargiri[[#This Row],[مبلغ خالص]]-bargiri[[#This Row],[میزان استهلاک پیش دریافتی]]</f>
        <v>#N/A</v>
      </c>
      <c r="L2173" s="160"/>
      <c r="M2173" s="159"/>
      <c r="N2173" s="159" t="e">
        <f>IF(bargiri[[#This Row],[مبلغ واریزی]]&lt;&gt;"",bargiri[[#This Row],[مانده مبلغ]]-bargiri[[#This Row],[مبلغ واریزی]],bargiri[[#This Row],[مانده مبلغ]])</f>
        <v>#N/A</v>
      </c>
      <c r="O2173" s="159"/>
      <c r="P2173" s="159" t="e">
        <f>VLOOKUP(bargiri[[#This Row],[شماره سند مبنا]],invoice[[شماره پیش فاکتور]:[پیش دریافت به ازای هر کیلوگرم]],14,0)</f>
        <v>#N/A</v>
      </c>
      <c r="Q2173" s="159" t="e">
        <f>IF(bargiri[[#This Row],[مبلغ ناخالص]]-(bargiri[[#This Row],[نرخ استهلاک]]*bargiri[[#This Row],[مقدار]])&lt;0,0,bargiri[[#This Row],[مبلغ ناخالص]]-(bargiri[[#This Row],[نرخ استهلاک]]*bargiri[[#This Row],[مقدار]]))</f>
        <v>#N/A</v>
      </c>
    </row>
    <row r="2174" spans="1:17" s="22" customFormat="1" ht="13.8" x14ac:dyDescent="0.25">
      <c r="A2174" s="22">
        <v>672</v>
      </c>
      <c r="B2174" s="22" t="s">
        <v>534</v>
      </c>
      <c r="C2174" s="22" t="s">
        <v>97</v>
      </c>
      <c r="D2174" s="22" t="s">
        <v>40</v>
      </c>
      <c r="E2174" s="158">
        <v>18140</v>
      </c>
      <c r="F2174" s="159">
        <v>85000</v>
      </c>
      <c r="G2174" s="159">
        <v>1541900000</v>
      </c>
      <c r="H2174" s="159">
        <v>154190000</v>
      </c>
      <c r="I2174" s="159">
        <v>1696090000</v>
      </c>
      <c r="J2174" s="159" t="e">
        <f>bargiri[[#This Row],[مقدار]]*INDEX(invoice[پیش دریافت به ازای هر کیلوگرم],MATCH(bargiri[[#This Row],[شماره سند مبنا]],invoice[شماره پیش فاکتور],0))</f>
        <v>#N/A</v>
      </c>
      <c r="K2174" s="159" t="e">
        <f>bargiri[[#This Row],[مبلغ خالص]]-bargiri[[#This Row],[میزان استهلاک پیش دریافتی]]</f>
        <v>#N/A</v>
      </c>
      <c r="L2174" s="160"/>
      <c r="M2174" s="159"/>
      <c r="N2174" s="159" t="e">
        <f>IF(bargiri[[#This Row],[مبلغ واریزی]]&lt;&gt;"",bargiri[[#This Row],[مانده مبلغ]]-bargiri[[#This Row],[مبلغ واریزی]],bargiri[[#This Row],[مانده مبلغ]])</f>
        <v>#N/A</v>
      </c>
      <c r="O2174" s="159"/>
      <c r="P2174" s="159" t="e">
        <f>VLOOKUP(bargiri[[#This Row],[شماره سند مبنا]],invoice[[شماره پیش فاکتور]:[پیش دریافت به ازای هر کیلوگرم]],14,0)</f>
        <v>#N/A</v>
      </c>
      <c r="Q2174" s="159" t="e">
        <f>IF(bargiri[[#This Row],[مبلغ ناخالص]]-(bargiri[[#This Row],[نرخ استهلاک]]*bargiri[[#This Row],[مقدار]])&lt;0,0,bargiri[[#This Row],[مبلغ ناخالص]]-(bargiri[[#This Row],[نرخ استهلاک]]*bargiri[[#This Row],[مقدار]]))</f>
        <v>#N/A</v>
      </c>
    </row>
    <row r="2175" spans="1:17" s="22" customFormat="1" ht="13.8" x14ac:dyDescent="0.25">
      <c r="A2175" s="22">
        <v>671</v>
      </c>
      <c r="B2175" s="22" t="s">
        <v>534</v>
      </c>
      <c r="C2175" s="22" t="s">
        <v>66</v>
      </c>
      <c r="D2175" s="22" t="s">
        <v>67</v>
      </c>
      <c r="E2175" s="158">
        <v>20200</v>
      </c>
      <c r="F2175" s="159">
        <v>68500</v>
      </c>
      <c r="G2175" s="159">
        <v>1383700000</v>
      </c>
      <c r="H2175" s="159">
        <v>124533000</v>
      </c>
      <c r="I2175" s="159">
        <v>1508233000</v>
      </c>
      <c r="J2175" s="159" t="e">
        <f>bargiri[[#This Row],[مقدار]]*INDEX(invoice[پیش دریافت به ازای هر کیلوگرم],MATCH(bargiri[[#This Row],[شماره سند مبنا]],invoice[شماره پیش فاکتور],0))</f>
        <v>#N/A</v>
      </c>
      <c r="K2175" s="159" t="e">
        <f>bargiri[[#This Row],[مبلغ خالص]]-bargiri[[#This Row],[میزان استهلاک پیش دریافتی]]</f>
        <v>#N/A</v>
      </c>
      <c r="L2175" s="160"/>
      <c r="M2175" s="159"/>
      <c r="N2175" s="159" t="e">
        <f>IF(bargiri[[#This Row],[مبلغ واریزی]]&lt;&gt;"",bargiri[[#This Row],[مانده مبلغ]]-bargiri[[#This Row],[مبلغ واریزی]],bargiri[[#This Row],[مانده مبلغ]])</f>
        <v>#N/A</v>
      </c>
      <c r="O2175" s="159"/>
      <c r="P2175" s="159" t="e">
        <f>VLOOKUP(bargiri[[#This Row],[شماره سند مبنا]],invoice[[شماره پیش فاکتور]:[پیش دریافت به ازای هر کیلوگرم]],14,0)</f>
        <v>#N/A</v>
      </c>
      <c r="Q2175" s="159" t="e">
        <f>IF(bargiri[[#This Row],[مبلغ ناخالص]]-(bargiri[[#This Row],[نرخ استهلاک]]*bargiri[[#This Row],[مقدار]])&lt;0,0,bargiri[[#This Row],[مبلغ ناخالص]]-(bargiri[[#This Row],[نرخ استهلاک]]*bargiri[[#This Row],[مقدار]]))</f>
        <v>#N/A</v>
      </c>
    </row>
    <row r="2176" spans="1:17" s="22" customFormat="1" ht="13.8" x14ac:dyDescent="0.25">
      <c r="A2176" s="22">
        <v>670</v>
      </c>
      <c r="B2176" s="22" t="s">
        <v>535</v>
      </c>
      <c r="C2176" s="22" t="s">
        <v>66</v>
      </c>
      <c r="D2176" s="22" t="s">
        <v>67</v>
      </c>
      <c r="E2176" s="158">
        <v>19995</v>
      </c>
      <c r="F2176" s="159">
        <v>68500</v>
      </c>
      <c r="G2176" s="159">
        <v>1369657500</v>
      </c>
      <c r="H2176" s="159">
        <v>123269175</v>
      </c>
      <c r="I2176" s="159">
        <v>1492926675</v>
      </c>
      <c r="J2176" s="159" t="e">
        <f>bargiri[[#This Row],[مقدار]]*INDEX(invoice[پیش دریافت به ازای هر کیلوگرم],MATCH(bargiri[[#This Row],[شماره سند مبنا]],invoice[شماره پیش فاکتور],0))</f>
        <v>#N/A</v>
      </c>
      <c r="K2176" s="159" t="e">
        <f>bargiri[[#This Row],[مبلغ خالص]]-bargiri[[#This Row],[میزان استهلاک پیش دریافتی]]</f>
        <v>#N/A</v>
      </c>
      <c r="L2176" s="160"/>
      <c r="M2176" s="159"/>
      <c r="N2176" s="159" t="e">
        <f>IF(bargiri[[#This Row],[مبلغ واریزی]]&lt;&gt;"",bargiri[[#This Row],[مانده مبلغ]]-bargiri[[#This Row],[مبلغ واریزی]],bargiri[[#This Row],[مانده مبلغ]])</f>
        <v>#N/A</v>
      </c>
      <c r="O2176" s="159"/>
      <c r="P2176" s="159" t="e">
        <f>VLOOKUP(bargiri[[#This Row],[شماره سند مبنا]],invoice[[شماره پیش فاکتور]:[پیش دریافت به ازای هر کیلوگرم]],14,0)</f>
        <v>#N/A</v>
      </c>
      <c r="Q2176" s="159" t="e">
        <f>IF(bargiri[[#This Row],[مبلغ ناخالص]]-(bargiri[[#This Row],[نرخ استهلاک]]*bargiri[[#This Row],[مقدار]])&lt;0,0,bargiri[[#This Row],[مبلغ ناخالص]]-(bargiri[[#This Row],[نرخ استهلاک]]*bargiri[[#This Row],[مقدار]]))</f>
        <v>#N/A</v>
      </c>
    </row>
    <row r="2177" spans="1:17" s="22" customFormat="1" ht="13.8" x14ac:dyDescent="0.25">
      <c r="A2177" s="22">
        <v>669</v>
      </c>
      <c r="B2177" s="22" t="s">
        <v>535</v>
      </c>
      <c r="C2177" s="22" t="s">
        <v>66</v>
      </c>
      <c r="D2177" s="22" t="s">
        <v>67</v>
      </c>
      <c r="E2177" s="158">
        <v>8120</v>
      </c>
      <c r="F2177" s="159">
        <v>68500</v>
      </c>
      <c r="G2177" s="159">
        <v>556220000</v>
      </c>
      <c r="H2177" s="159">
        <v>50059800</v>
      </c>
      <c r="I2177" s="159">
        <v>606279800</v>
      </c>
      <c r="J2177" s="159" t="e">
        <f>bargiri[[#This Row],[مقدار]]*INDEX(invoice[پیش دریافت به ازای هر کیلوگرم],MATCH(bargiri[[#This Row],[شماره سند مبنا]],invoice[شماره پیش فاکتور],0))</f>
        <v>#N/A</v>
      </c>
      <c r="K2177" s="159" t="e">
        <f>bargiri[[#This Row],[مبلغ خالص]]-bargiri[[#This Row],[میزان استهلاک پیش دریافتی]]</f>
        <v>#N/A</v>
      </c>
      <c r="L2177" s="160"/>
      <c r="M2177" s="159"/>
      <c r="N2177" s="159" t="e">
        <f>IF(bargiri[[#This Row],[مبلغ واریزی]]&lt;&gt;"",bargiri[[#This Row],[مانده مبلغ]]-bargiri[[#This Row],[مبلغ واریزی]],bargiri[[#This Row],[مانده مبلغ]])</f>
        <v>#N/A</v>
      </c>
      <c r="O2177" s="159"/>
      <c r="P2177" s="159" t="e">
        <f>VLOOKUP(bargiri[[#This Row],[شماره سند مبنا]],invoice[[شماره پیش فاکتور]:[پیش دریافت به ازای هر کیلوگرم]],14,0)</f>
        <v>#N/A</v>
      </c>
      <c r="Q2177" s="159" t="e">
        <f>IF(bargiri[[#This Row],[مبلغ ناخالص]]-(bargiri[[#This Row],[نرخ استهلاک]]*bargiri[[#This Row],[مقدار]])&lt;0,0,bargiri[[#This Row],[مبلغ ناخالص]]-(bargiri[[#This Row],[نرخ استهلاک]]*bargiri[[#This Row],[مقدار]]))</f>
        <v>#N/A</v>
      </c>
    </row>
    <row r="2178" spans="1:17" s="22" customFormat="1" ht="13.8" x14ac:dyDescent="0.25">
      <c r="A2178" s="22">
        <v>668</v>
      </c>
      <c r="B2178" s="22" t="s">
        <v>535</v>
      </c>
      <c r="C2178" s="22" t="s">
        <v>69</v>
      </c>
      <c r="D2178" s="22" t="s">
        <v>70</v>
      </c>
      <c r="E2178" s="158">
        <v>20285</v>
      </c>
      <c r="F2178" s="159">
        <v>70000</v>
      </c>
      <c r="G2178" s="159">
        <v>1419950000</v>
      </c>
      <c r="H2178" s="159">
        <v>127795500</v>
      </c>
      <c r="I2178" s="159">
        <v>1547745500</v>
      </c>
      <c r="J2178" s="159" t="e">
        <f>bargiri[[#This Row],[مقدار]]*INDEX(invoice[پیش دریافت به ازای هر کیلوگرم],MATCH(bargiri[[#This Row],[شماره سند مبنا]],invoice[شماره پیش فاکتور],0))</f>
        <v>#N/A</v>
      </c>
      <c r="K2178" s="159" t="e">
        <f>bargiri[[#This Row],[مبلغ خالص]]-bargiri[[#This Row],[میزان استهلاک پیش دریافتی]]</f>
        <v>#N/A</v>
      </c>
      <c r="L2178" s="160"/>
      <c r="M2178" s="159"/>
      <c r="N2178" s="159" t="e">
        <f>IF(bargiri[[#This Row],[مبلغ واریزی]]&lt;&gt;"",bargiri[[#This Row],[مانده مبلغ]]-bargiri[[#This Row],[مبلغ واریزی]],bargiri[[#This Row],[مانده مبلغ]])</f>
        <v>#N/A</v>
      </c>
      <c r="O2178" s="159"/>
      <c r="P2178" s="159" t="e">
        <f>VLOOKUP(bargiri[[#This Row],[شماره سند مبنا]],invoice[[شماره پیش فاکتور]:[پیش دریافت به ازای هر کیلوگرم]],14,0)</f>
        <v>#N/A</v>
      </c>
      <c r="Q2178" s="159" t="e">
        <f>IF(bargiri[[#This Row],[مبلغ ناخالص]]-(bargiri[[#This Row],[نرخ استهلاک]]*bargiri[[#This Row],[مقدار]])&lt;0,0,bargiri[[#This Row],[مبلغ ناخالص]]-(bargiri[[#This Row],[نرخ استهلاک]]*bargiri[[#This Row],[مقدار]]))</f>
        <v>#N/A</v>
      </c>
    </row>
    <row r="2179" spans="1:17" s="22" customFormat="1" ht="13.8" x14ac:dyDescent="0.25">
      <c r="A2179" s="22">
        <v>667</v>
      </c>
      <c r="B2179" s="22" t="s">
        <v>529</v>
      </c>
      <c r="C2179" s="22" t="s">
        <v>19</v>
      </c>
      <c r="D2179" s="22" t="s">
        <v>20</v>
      </c>
      <c r="E2179" s="158">
        <v>19035</v>
      </c>
      <c r="F2179" s="159">
        <v>65000</v>
      </c>
      <c r="G2179" s="159">
        <v>1237275000</v>
      </c>
      <c r="H2179" s="159">
        <v>111354750</v>
      </c>
      <c r="I2179" s="159">
        <v>1348629750</v>
      </c>
      <c r="J2179" s="159" t="e">
        <f>bargiri[[#This Row],[مقدار]]*INDEX(invoice[پیش دریافت به ازای هر کیلوگرم],MATCH(bargiri[[#This Row],[شماره سند مبنا]],invoice[شماره پیش فاکتور],0))</f>
        <v>#N/A</v>
      </c>
      <c r="K2179" s="159" t="e">
        <f>bargiri[[#This Row],[مبلغ خالص]]-bargiri[[#This Row],[میزان استهلاک پیش دریافتی]]</f>
        <v>#N/A</v>
      </c>
      <c r="L2179" s="160"/>
      <c r="M2179" s="159"/>
      <c r="N2179" s="159" t="e">
        <f>IF(bargiri[[#This Row],[مبلغ واریزی]]&lt;&gt;"",bargiri[[#This Row],[مانده مبلغ]]-bargiri[[#This Row],[مبلغ واریزی]],bargiri[[#This Row],[مانده مبلغ]])</f>
        <v>#N/A</v>
      </c>
      <c r="O2179" s="159"/>
      <c r="P2179" s="159" t="e">
        <f>VLOOKUP(bargiri[[#This Row],[شماره سند مبنا]],invoice[[شماره پیش فاکتور]:[پیش دریافت به ازای هر کیلوگرم]],14,0)</f>
        <v>#N/A</v>
      </c>
      <c r="Q2179" s="159" t="e">
        <f>IF(bargiri[[#This Row],[مبلغ ناخالص]]-(bargiri[[#This Row],[نرخ استهلاک]]*bargiri[[#This Row],[مقدار]])&lt;0,0,bargiri[[#This Row],[مبلغ ناخالص]]-(bargiri[[#This Row],[نرخ استهلاک]]*bargiri[[#This Row],[مقدار]]))</f>
        <v>#N/A</v>
      </c>
    </row>
    <row r="2180" spans="1:17" s="22" customFormat="1" ht="13.8" x14ac:dyDescent="0.25">
      <c r="A2180" s="22">
        <v>666</v>
      </c>
      <c r="B2180" s="22" t="s">
        <v>529</v>
      </c>
      <c r="C2180" s="22" t="s">
        <v>29</v>
      </c>
      <c r="D2180" s="22" t="s">
        <v>30</v>
      </c>
      <c r="E2180" s="158">
        <v>11410</v>
      </c>
      <c r="F2180" s="159">
        <v>70000</v>
      </c>
      <c r="G2180" s="159">
        <v>798700000</v>
      </c>
      <c r="H2180" s="159">
        <v>79870000</v>
      </c>
      <c r="I2180" s="159">
        <v>878570000</v>
      </c>
      <c r="J2180" s="159" t="e">
        <f>bargiri[[#This Row],[مقدار]]*INDEX(invoice[پیش دریافت به ازای هر کیلوگرم],MATCH(bargiri[[#This Row],[شماره سند مبنا]],invoice[شماره پیش فاکتور],0))</f>
        <v>#N/A</v>
      </c>
      <c r="K2180" s="159" t="e">
        <f>bargiri[[#This Row],[مبلغ خالص]]-bargiri[[#This Row],[میزان استهلاک پیش دریافتی]]</f>
        <v>#N/A</v>
      </c>
      <c r="L2180" s="160"/>
      <c r="M2180" s="159"/>
      <c r="N2180" s="159" t="e">
        <f>IF(bargiri[[#This Row],[مبلغ واریزی]]&lt;&gt;"",bargiri[[#This Row],[مانده مبلغ]]-bargiri[[#This Row],[مبلغ واریزی]],bargiri[[#This Row],[مانده مبلغ]])</f>
        <v>#N/A</v>
      </c>
      <c r="O2180" s="159"/>
      <c r="P2180" s="159" t="e">
        <f>VLOOKUP(bargiri[[#This Row],[شماره سند مبنا]],invoice[[شماره پیش فاکتور]:[پیش دریافت به ازای هر کیلوگرم]],14,0)</f>
        <v>#N/A</v>
      </c>
      <c r="Q2180" s="159" t="e">
        <f>IF(bargiri[[#This Row],[مبلغ ناخالص]]-(bargiri[[#This Row],[نرخ استهلاک]]*bargiri[[#This Row],[مقدار]])&lt;0,0,bargiri[[#This Row],[مبلغ ناخالص]]-(bargiri[[#This Row],[نرخ استهلاک]]*bargiri[[#This Row],[مقدار]]))</f>
        <v>#N/A</v>
      </c>
    </row>
    <row r="2181" spans="1:17" s="22" customFormat="1" ht="13.8" x14ac:dyDescent="0.25">
      <c r="A2181" s="22">
        <v>665</v>
      </c>
      <c r="B2181" s="22" t="s">
        <v>529</v>
      </c>
      <c r="C2181" s="22" t="s">
        <v>99</v>
      </c>
      <c r="D2181" s="22" t="s">
        <v>64</v>
      </c>
      <c r="E2181" s="158">
        <v>22180</v>
      </c>
      <c r="F2181" s="159">
        <v>75000</v>
      </c>
      <c r="G2181" s="159">
        <v>1663500000</v>
      </c>
      <c r="H2181" s="159">
        <v>166350000</v>
      </c>
      <c r="I2181" s="159">
        <v>1829850000</v>
      </c>
      <c r="J2181" s="159" t="e">
        <f>bargiri[[#This Row],[مقدار]]*INDEX(invoice[پیش دریافت به ازای هر کیلوگرم],MATCH(bargiri[[#This Row],[شماره سند مبنا]],invoice[شماره پیش فاکتور],0))</f>
        <v>#N/A</v>
      </c>
      <c r="K2181" s="159" t="e">
        <f>bargiri[[#This Row],[مبلغ خالص]]-bargiri[[#This Row],[میزان استهلاک پیش دریافتی]]</f>
        <v>#N/A</v>
      </c>
      <c r="L2181" s="160"/>
      <c r="M2181" s="159"/>
      <c r="N2181" s="159" t="e">
        <f>IF(bargiri[[#This Row],[مبلغ واریزی]]&lt;&gt;"",bargiri[[#This Row],[مانده مبلغ]]-bargiri[[#This Row],[مبلغ واریزی]],bargiri[[#This Row],[مانده مبلغ]])</f>
        <v>#N/A</v>
      </c>
      <c r="O2181" s="159"/>
      <c r="P2181" s="159" t="e">
        <f>VLOOKUP(bargiri[[#This Row],[شماره سند مبنا]],invoice[[شماره پیش فاکتور]:[پیش دریافت به ازای هر کیلوگرم]],14,0)</f>
        <v>#N/A</v>
      </c>
      <c r="Q2181" s="159" t="e">
        <f>IF(bargiri[[#This Row],[مبلغ ناخالص]]-(bargiri[[#This Row],[نرخ استهلاک]]*bargiri[[#This Row],[مقدار]])&lt;0,0,bargiri[[#This Row],[مبلغ ناخالص]]-(bargiri[[#This Row],[نرخ استهلاک]]*bargiri[[#This Row],[مقدار]]))</f>
        <v>#N/A</v>
      </c>
    </row>
    <row r="2182" spans="1:17" s="22" customFormat="1" ht="13.8" x14ac:dyDescent="0.25">
      <c r="A2182" s="22">
        <v>664</v>
      </c>
      <c r="B2182" s="22" t="s">
        <v>529</v>
      </c>
      <c r="C2182" s="22" t="s">
        <v>66</v>
      </c>
      <c r="D2182" s="22" t="s">
        <v>67</v>
      </c>
      <c r="E2182" s="158">
        <v>20165</v>
      </c>
      <c r="F2182" s="159">
        <v>68500</v>
      </c>
      <c r="G2182" s="159">
        <v>1381302500</v>
      </c>
      <c r="H2182" s="159">
        <v>124317225</v>
      </c>
      <c r="I2182" s="159">
        <v>1505619725</v>
      </c>
      <c r="J2182" s="159" t="e">
        <f>bargiri[[#This Row],[مقدار]]*INDEX(invoice[پیش دریافت به ازای هر کیلوگرم],MATCH(bargiri[[#This Row],[شماره سند مبنا]],invoice[شماره پیش فاکتور],0))</f>
        <v>#N/A</v>
      </c>
      <c r="K2182" s="159" t="e">
        <f>bargiri[[#This Row],[مبلغ خالص]]-bargiri[[#This Row],[میزان استهلاک پیش دریافتی]]</f>
        <v>#N/A</v>
      </c>
      <c r="L2182" s="160"/>
      <c r="M2182" s="159"/>
      <c r="N2182" s="159" t="e">
        <f>IF(bargiri[[#This Row],[مبلغ واریزی]]&lt;&gt;"",bargiri[[#This Row],[مانده مبلغ]]-bargiri[[#This Row],[مبلغ واریزی]],bargiri[[#This Row],[مانده مبلغ]])</f>
        <v>#N/A</v>
      </c>
      <c r="O2182" s="159"/>
      <c r="P2182" s="159" t="e">
        <f>VLOOKUP(bargiri[[#This Row],[شماره سند مبنا]],invoice[[شماره پیش فاکتور]:[پیش دریافت به ازای هر کیلوگرم]],14,0)</f>
        <v>#N/A</v>
      </c>
      <c r="Q2182" s="159" t="e">
        <f>IF(bargiri[[#This Row],[مبلغ ناخالص]]-(bargiri[[#This Row],[نرخ استهلاک]]*bargiri[[#This Row],[مقدار]])&lt;0,0,bargiri[[#This Row],[مبلغ ناخالص]]-(bargiri[[#This Row],[نرخ استهلاک]]*bargiri[[#This Row],[مقدار]]))</f>
        <v>#N/A</v>
      </c>
    </row>
    <row r="2183" spans="1:17" s="22" customFormat="1" ht="13.8" x14ac:dyDescent="0.25">
      <c r="A2183" s="22">
        <v>663</v>
      </c>
      <c r="B2183" s="22" t="s">
        <v>529</v>
      </c>
      <c r="C2183" s="22" t="s">
        <v>97</v>
      </c>
      <c r="D2183" s="22" t="s">
        <v>40</v>
      </c>
      <c r="E2183" s="158">
        <v>18055</v>
      </c>
      <c r="F2183" s="159">
        <v>85000</v>
      </c>
      <c r="G2183" s="159">
        <v>1534675000</v>
      </c>
      <c r="H2183" s="159">
        <v>153467500</v>
      </c>
      <c r="I2183" s="159">
        <v>1688142500</v>
      </c>
      <c r="J2183" s="159" t="e">
        <f>bargiri[[#This Row],[مقدار]]*INDEX(invoice[پیش دریافت به ازای هر کیلوگرم],MATCH(bargiri[[#This Row],[شماره سند مبنا]],invoice[شماره پیش فاکتور],0))</f>
        <v>#N/A</v>
      </c>
      <c r="K2183" s="159" t="e">
        <f>bargiri[[#This Row],[مبلغ خالص]]-bargiri[[#This Row],[میزان استهلاک پیش دریافتی]]</f>
        <v>#N/A</v>
      </c>
      <c r="L2183" s="160"/>
      <c r="M2183" s="159"/>
      <c r="N2183" s="159" t="e">
        <f>IF(bargiri[[#This Row],[مبلغ واریزی]]&lt;&gt;"",bargiri[[#This Row],[مانده مبلغ]]-bargiri[[#This Row],[مبلغ واریزی]],bargiri[[#This Row],[مانده مبلغ]])</f>
        <v>#N/A</v>
      </c>
      <c r="O2183" s="159"/>
      <c r="P2183" s="159" t="e">
        <f>VLOOKUP(bargiri[[#This Row],[شماره سند مبنا]],invoice[[شماره پیش فاکتور]:[پیش دریافت به ازای هر کیلوگرم]],14,0)</f>
        <v>#N/A</v>
      </c>
      <c r="Q2183" s="159" t="e">
        <f>IF(bargiri[[#This Row],[مبلغ ناخالص]]-(bargiri[[#This Row],[نرخ استهلاک]]*bargiri[[#This Row],[مقدار]])&lt;0,0,bargiri[[#This Row],[مبلغ ناخالص]]-(bargiri[[#This Row],[نرخ استهلاک]]*bargiri[[#This Row],[مقدار]]))</f>
        <v>#N/A</v>
      </c>
    </row>
    <row r="2184" spans="1:17" s="22" customFormat="1" ht="13.8" x14ac:dyDescent="0.25">
      <c r="A2184" s="22">
        <v>659</v>
      </c>
      <c r="B2184" s="22" t="s">
        <v>241</v>
      </c>
      <c r="C2184" s="22" t="s">
        <v>66</v>
      </c>
      <c r="D2184" s="22" t="s">
        <v>67</v>
      </c>
      <c r="E2184" s="158">
        <v>20205</v>
      </c>
      <c r="F2184" s="159">
        <v>68500</v>
      </c>
      <c r="G2184" s="159">
        <v>1384042500</v>
      </c>
      <c r="H2184" s="159">
        <v>124563825</v>
      </c>
      <c r="I2184" s="159">
        <v>1508606325</v>
      </c>
      <c r="J2184" s="159" t="e">
        <f>bargiri[[#This Row],[مقدار]]*INDEX(invoice[پیش دریافت به ازای هر کیلوگرم],MATCH(bargiri[[#This Row],[شماره سند مبنا]],invoice[شماره پیش فاکتور],0))</f>
        <v>#N/A</v>
      </c>
      <c r="K2184" s="159" t="e">
        <f>bargiri[[#This Row],[مبلغ خالص]]-bargiri[[#This Row],[میزان استهلاک پیش دریافتی]]</f>
        <v>#N/A</v>
      </c>
      <c r="L2184" s="160"/>
      <c r="M2184" s="159"/>
      <c r="N2184" s="159" t="e">
        <f>IF(bargiri[[#This Row],[مبلغ واریزی]]&lt;&gt;"",bargiri[[#This Row],[مانده مبلغ]]-bargiri[[#This Row],[مبلغ واریزی]],bargiri[[#This Row],[مانده مبلغ]])</f>
        <v>#N/A</v>
      </c>
      <c r="O2184" s="159"/>
      <c r="P2184" s="159" t="e">
        <f>VLOOKUP(bargiri[[#This Row],[شماره سند مبنا]],invoice[[شماره پیش فاکتور]:[پیش دریافت به ازای هر کیلوگرم]],14,0)</f>
        <v>#N/A</v>
      </c>
      <c r="Q2184" s="159" t="e">
        <f>IF(bargiri[[#This Row],[مبلغ ناخالص]]-(bargiri[[#This Row],[نرخ استهلاک]]*bargiri[[#This Row],[مقدار]])&lt;0,0,bargiri[[#This Row],[مبلغ ناخالص]]-(bargiri[[#This Row],[نرخ استهلاک]]*bargiri[[#This Row],[مقدار]]))</f>
        <v>#N/A</v>
      </c>
    </row>
    <row r="2185" spans="1:17" s="22" customFormat="1" ht="13.8" x14ac:dyDescent="0.25">
      <c r="A2185" s="22">
        <v>658</v>
      </c>
      <c r="B2185" s="22" t="s">
        <v>241</v>
      </c>
      <c r="C2185" s="22" t="s">
        <v>99</v>
      </c>
      <c r="D2185" s="22" t="s">
        <v>64</v>
      </c>
      <c r="E2185" s="158">
        <v>21965</v>
      </c>
      <c r="F2185" s="159">
        <v>75000</v>
      </c>
      <c r="G2185" s="159">
        <v>1647375000</v>
      </c>
      <c r="H2185" s="159">
        <v>164737500</v>
      </c>
      <c r="I2185" s="159">
        <v>1812112500</v>
      </c>
      <c r="J2185" s="159" t="e">
        <f>bargiri[[#This Row],[مقدار]]*INDEX(invoice[پیش دریافت به ازای هر کیلوگرم],MATCH(bargiri[[#This Row],[شماره سند مبنا]],invoice[شماره پیش فاکتور],0))</f>
        <v>#N/A</v>
      </c>
      <c r="K2185" s="159" t="e">
        <f>bargiri[[#This Row],[مبلغ خالص]]-bargiri[[#This Row],[میزان استهلاک پیش دریافتی]]</f>
        <v>#N/A</v>
      </c>
      <c r="L2185" s="160"/>
      <c r="M2185" s="159"/>
      <c r="N2185" s="159" t="e">
        <f>IF(bargiri[[#This Row],[مبلغ واریزی]]&lt;&gt;"",bargiri[[#This Row],[مانده مبلغ]]-bargiri[[#This Row],[مبلغ واریزی]],bargiri[[#This Row],[مانده مبلغ]])</f>
        <v>#N/A</v>
      </c>
      <c r="O2185" s="159"/>
      <c r="P2185" s="159" t="e">
        <f>VLOOKUP(bargiri[[#This Row],[شماره سند مبنا]],invoice[[شماره پیش فاکتور]:[پیش دریافت به ازای هر کیلوگرم]],14,0)</f>
        <v>#N/A</v>
      </c>
      <c r="Q2185" s="159" t="e">
        <f>IF(bargiri[[#This Row],[مبلغ ناخالص]]-(bargiri[[#This Row],[نرخ استهلاک]]*bargiri[[#This Row],[مقدار]])&lt;0,0,bargiri[[#This Row],[مبلغ ناخالص]]-(bargiri[[#This Row],[نرخ استهلاک]]*bargiri[[#This Row],[مقدار]]))</f>
        <v>#N/A</v>
      </c>
    </row>
    <row r="2186" spans="1:17" s="22" customFormat="1" ht="13.8" x14ac:dyDescent="0.25">
      <c r="A2186" s="22">
        <v>656</v>
      </c>
      <c r="B2186" s="22" t="s">
        <v>241</v>
      </c>
      <c r="C2186" s="22" t="s">
        <v>75</v>
      </c>
      <c r="D2186" s="22" t="s">
        <v>73</v>
      </c>
      <c r="E2186" s="158">
        <v>20520</v>
      </c>
      <c r="F2186" s="159">
        <v>56881</v>
      </c>
      <c r="G2186" s="159">
        <v>1167198120</v>
      </c>
      <c r="H2186" s="159">
        <v>105047831</v>
      </c>
      <c r="I2186" s="159">
        <v>1272245951</v>
      </c>
      <c r="J2186" s="159" t="e">
        <f>bargiri[[#This Row],[مقدار]]*INDEX(invoice[پیش دریافت به ازای هر کیلوگرم],MATCH(bargiri[[#This Row],[شماره سند مبنا]],invoice[شماره پیش فاکتور],0))</f>
        <v>#N/A</v>
      </c>
      <c r="K2186" s="159" t="e">
        <f>bargiri[[#This Row],[مبلغ خالص]]-bargiri[[#This Row],[میزان استهلاک پیش دریافتی]]</f>
        <v>#N/A</v>
      </c>
      <c r="L2186" s="160"/>
      <c r="M2186" s="159"/>
      <c r="N2186" s="159" t="e">
        <f>IF(bargiri[[#This Row],[مبلغ واریزی]]&lt;&gt;"",bargiri[[#This Row],[مانده مبلغ]]-bargiri[[#This Row],[مبلغ واریزی]],bargiri[[#This Row],[مانده مبلغ]])</f>
        <v>#N/A</v>
      </c>
      <c r="O2186" s="159"/>
      <c r="P2186" s="159" t="e">
        <f>VLOOKUP(bargiri[[#This Row],[شماره سند مبنا]],invoice[[شماره پیش فاکتور]:[پیش دریافت به ازای هر کیلوگرم]],14,0)</f>
        <v>#N/A</v>
      </c>
      <c r="Q2186" s="159" t="e">
        <f>IF(bargiri[[#This Row],[مبلغ ناخالص]]-(bargiri[[#This Row],[نرخ استهلاک]]*bargiri[[#This Row],[مقدار]])&lt;0,0,bargiri[[#This Row],[مبلغ ناخالص]]-(bargiri[[#This Row],[نرخ استهلاک]]*bargiri[[#This Row],[مقدار]]))</f>
        <v>#N/A</v>
      </c>
    </row>
    <row r="2187" spans="1:17" s="22" customFormat="1" ht="13.8" x14ac:dyDescent="0.25">
      <c r="A2187" s="22">
        <v>655</v>
      </c>
      <c r="B2187" s="22" t="s">
        <v>241</v>
      </c>
      <c r="C2187" s="22" t="s">
        <v>75</v>
      </c>
      <c r="D2187" s="22" t="s">
        <v>73</v>
      </c>
      <c r="E2187" s="158">
        <v>20470</v>
      </c>
      <c r="F2187" s="159">
        <v>56881</v>
      </c>
      <c r="G2187" s="159">
        <v>1164354070</v>
      </c>
      <c r="H2187" s="159">
        <v>104791866</v>
      </c>
      <c r="I2187" s="159">
        <v>1269145936</v>
      </c>
      <c r="J2187" s="159" t="e">
        <f>bargiri[[#This Row],[مقدار]]*INDEX(invoice[پیش دریافت به ازای هر کیلوگرم],MATCH(bargiri[[#This Row],[شماره سند مبنا]],invoice[شماره پیش فاکتور],0))</f>
        <v>#N/A</v>
      </c>
      <c r="K2187" s="159" t="e">
        <f>bargiri[[#This Row],[مبلغ خالص]]-bargiri[[#This Row],[میزان استهلاک پیش دریافتی]]</f>
        <v>#N/A</v>
      </c>
      <c r="L2187" s="160"/>
      <c r="M2187" s="159"/>
      <c r="N2187" s="159" t="e">
        <f>IF(bargiri[[#This Row],[مبلغ واریزی]]&lt;&gt;"",bargiri[[#This Row],[مانده مبلغ]]-bargiri[[#This Row],[مبلغ واریزی]],bargiri[[#This Row],[مانده مبلغ]])</f>
        <v>#N/A</v>
      </c>
      <c r="O2187" s="159"/>
      <c r="P2187" s="159" t="e">
        <f>VLOOKUP(bargiri[[#This Row],[شماره سند مبنا]],invoice[[شماره پیش فاکتور]:[پیش دریافت به ازای هر کیلوگرم]],14,0)</f>
        <v>#N/A</v>
      </c>
      <c r="Q2187" s="159" t="e">
        <f>IF(bargiri[[#This Row],[مبلغ ناخالص]]-(bargiri[[#This Row],[نرخ استهلاک]]*bargiri[[#This Row],[مقدار]])&lt;0,0,bargiri[[#This Row],[مبلغ ناخالص]]-(bargiri[[#This Row],[نرخ استهلاک]]*bargiri[[#This Row],[مقدار]]))</f>
        <v>#N/A</v>
      </c>
    </row>
    <row r="2188" spans="1:17" s="22" customFormat="1" ht="13.8" x14ac:dyDescent="0.25">
      <c r="A2188" s="22">
        <v>654</v>
      </c>
      <c r="B2188" s="22" t="s">
        <v>241</v>
      </c>
      <c r="C2188" s="22" t="s">
        <v>75</v>
      </c>
      <c r="D2188" s="22" t="s">
        <v>73</v>
      </c>
      <c r="E2188" s="158">
        <v>21180</v>
      </c>
      <c r="F2188" s="159">
        <v>56881</v>
      </c>
      <c r="G2188" s="159">
        <v>1204739580</v>
      </c>
      <c r="H2188" s="159">
        <v>108426562</v>
      </c>
      <c r="I2188" s="159">
        <v>1313166142</v>
      </c>
      <c r="J2188" s="159" t="e">
        <f>bargiri[[#This Row],[مقدار]]*INDEX(invoice[پیش دریافت به ازای هر کیلوگرم],MATCH(bargiri[[#This Row],[شماره سند مبنا]],invoice[شماره پیش فاکتور],0))</f>
        <v>#N/A</v>
      </c>
      <c r="K2188" s="159" t="e">
        <f>bargiri[[#This Row],[مبلغ خالص]]-bargiri[[#This Row],[میزان استهلاک پیش دریافتی]]</f>
        <v>#N/A</v>
      </c>
      <c r="L2188" s="160"/>
      <c r="M2188" s="159"/>
      <c r="N2188" s="159" t="e">
        <f>IF(bargiri[[#This Row],[مبلغ واریزی]]&lt;&gt;"",bargiri[[#This Row],[مانده مبلغ]]-bargiri[[#This Row],[مبلغ واریزی]],bargiri[[#This Row],[مانده مبلغ]])</f>
        <v>#N/A</v>
      </c>
      <c r="O2188" s="159"/>
      <c r="P2188" s="159" t="e">
        <f>VLOOKUP(bargiri[[#This Row],[شماره سند مبنا]],invoice[[شماره پیش فاکتور]:[پیش دریافت به ازای هر کیلوگرم]],14,0)</f>
        <v>#N/A</v>
      </c>
      <c r="Q2188" s="159" t="e">
        <f>IF(bargiri[[#This Row],[مبلغ ناخالص]]-(bargiri[[#This Row],[نرخ استهلاک]]*bargiri[[#This Row],[مقدار]])&lt;0,0,bargiri[[#This Row],[مبلغ ناخالص]]-(bargiri[[#This Row],[نرخ استهلاک]]*bargiri[[#This Row],[مقدار]]))</f>
        <v>#N/A</v>
      </c>
    </row>
    <row r="2189" spans="1:17" s="22" customFormat="1" ht="13.8" x14ac:dyDescent="0.25">
      <c r="A2189" s="22">
        <v>653</v>
      </c>
      <c r="B2189" s="22" t="s">
        <v>241</v>
      </c>
      <c r="C2189" s="22" t="s">
        <v>19</v>
      </c>
      <c r="D2189" s="22" t="s">
        <v>20</v>
      </c>
      <c r="E2189" s="158">
        <v>19050</v>
      </c>
      <c r="F2189" s="159">
        <v>65000</v>
      </c>
      <c r="G2189" s="159">
        <v>1238250000</v>
      </c>
      <c r="H2189" s="159">
        <v>111442500</v>
      </c>
      <c r="I2189" s="159">
        <v>1349692500</v>
      </c>
      <c r="J2189" s="159" t="e">
        <f>bargiri[[#This Row],[مقدار]]*INDEX(invoice[پیش دریافت به ازای هر کیلوگرم],MATCH(bargiri[[#This Row],[شماره سند مبنا]],invoice[شماره پیش فاکتور],0))</f>
        <v>#N/A</v>
      </c>
      <c r="K2189" s="159" t="e">
        <f>bargiri[[#This Row],[مبلغ خالص]]-bargiri[[#This Row],[میزان استهلاک پیش دریافتی]]</f>
        <v>#N/A</v>
      </c>
      <c r="L2189" s="160"/>
      <c r="M2189" s="159"/>
      <c r="N2189" s="159" t="e">
        <f>IF(bargiri[[#This Row],[مبلغ واریزی]]&lt;&gt;"",bargiri[[#This Row],[مانده مبلغ]]-bargiri[[#This Row],[مبلغ واریزی]],bargiri[[#This Row],[مانده مبلغ]])</f>
        <v>#N/A</v>
      </c>
      <c r="O2189" s="159"/>
      <c r="P2189" s="159" t="e">
        <f>VLOOKUP(bargiri[[#This Row],[شماره سند مبنا]],invoice[[شماره پیش فاکتور]:[پیش دریافت به ازای هر کیلوگرم]],14,0)</f>
        <v>#N/A</v>
      </c>
      <c r="Q2189" s="159" t="e">
        <f>IF(bargiri[[#This Row],[مبلغ ناخالص]]-(bargiri[[#This Row],[نرخ استهلاک]]*bargiri[[#This Row],[مقدار]])&lt;0,0,bargiri[[#This Row],[مبلغ ناخالص]]-(bargiri[[#This Row],[نرخ استهلاک]]*bargiri[[#This Row],[مقدار]]))</f>
        <v>#N/A</v>
      </c>
    </row>
    <row r="2190" spans="1:17" s="22" customFormat="1" ht="13.8" x14ac:dyDescent="0.25">
      <c r="A2190" s="22">
        <v>652</v>
      </c>
      <c r="B2190" s="22" t="s">
        <v>530</v>
      </c>
      <c r="C2190" s="22" t="s">
        <v>29</v>
      </c>
      <c r="D2190" s="22" t="s">
        <v>30</v>
      </c>
      <c r="E2190" s="158">
        <v>11740</v>
      </c>
      <c r="F2190" s="159">
        <v>70000</v>
      </c>
      <c r="G2190" s="159">
        <v>821800000</v>
      </c>
      <c r="H2190" s="159">
        <v>82180000</v>
      </c>
      <c r="I2190" s="159">
        <v>903980000</v>
      </c>
      <c r="J2190" s="159" t="e">
        <f>bargiri[[#This Row],[مقدار]]*INDEX(invoice[پیش دریافت به ازای هر کیلوگرم],MATCH(bargiri[[#This Row],[شماره سند مبنا]],invoice[شماره پیش فاکتور],0))</f>
        <v>#N/A</v>
      </c>
      <c r="K2190" s="159" t="e">
        <f>bargiri[[#This Row],[مبلغ خالص]]-bargiri[[#This Row],[میزان استهلاک پیش دریافتی]]</f>
        <v>#N/A</v>
      </c>
      <c r="L2190" s="160"/>
      <c r="M2190" s="159"/>
      <c r="N2190" s="159" t="e">
        <f>IF(bargiri[[#This Row],[مبلغ واریزی]]&lt;&gt;"",bargiri[[#This Row],[مانده مبلغ]]-bargiri[[#This Row],[مبلغ واریزی]],bargiri[[#This Row],[مانده مبلغ]])</f>
        <v>#N/A</v>
      </c>
      <c r="O2190" s="159"/>
      <c r="P2190" s="159" t="e">
        <f>VLOOKUP(bargiri[[#This Row],[شماره سند مبنا]],invoice[[شماره پیش فاکتور]:[پیش دریافت به ازای هر کیلوگرم]],14,0)</f>
        <v>#N/A</v>
      </c>
      <c r="Q2190" s="159" t="e">
        <f>IF(bargiri[[#This Row],[مبلغ ناخالص]]-(bargiri[[#This Row],[نرخ استهلاک]]*bargiri[[#This Row],[مقدار]])&lt;0,0,bargiri[[#This Row],[مبلغ ناخالص]]-(bargiri[[#This Row],[نرخ استهلاک]]*bargiri[[#This Row],[مقدار]]))</f>
        <v>#N/A</v>
      </c>
    </row>
    <row r="2191" spans="1:17" s="22" customFormat="1" ht="13.8" x14ac:dyDescent="0.25">
      <c r="A2191" s="22">
        <v>650</v>
      </c>
      <c r="B2191" s="22" t="s">
        <v>530</v>
      </c>
      <c r="C2191" s="22" t="s">
        <v>75</v>
      </c>
      <c r="D2191" s="22" t="s">
        <v>73</v>
      </c>
      <c r="E2191" s="158">
        <v>20460</v>
      </c>
      <c r="F2191" s="159">
        <v>56881</v>
      </c>
      <c r="G2191" s="159">
        <v>1163785260</v>
      </c>
      <c r="H2191" s="159">
        <v>104740673</v>
      </c>
      <c r="I2191" s="159">
        <v>1268525933</v>
      </c>
      <c r="J2191" s="159" t="e">
        <f>bargiri[[#This Row],[مقدار]]*INDEX(invoice[پیش دریافت به ازای هر کیلوگرم],MATCH(bargiri[[#This Row],[شماره سند مبنا]],invoice[شماره پیش فاکتور],0))</f>
        <v>#N/A</v>
      </c>
      <c r="K2191" s="159" t="e">
        <f>bargiri[[#This Row],[مبلغ خالص]]-bargiri[[#This Row],[میزان استهلاک پیش دریافتی]]</f>
        <v>#N/A</v>
      </c>
      <c r="L2191" s="160"/>
      <c r="M2191" s="159"/>
      <c r="N2191" s="159" t="e">
        <f>IF(bargiri[[#This Row],[مبلغ واریزی]]&lt;&gt;"",bargiri[[#This Row],[مانده مبلغ]]-bargiri[[#This Row],[مبلغ واریزی]],bargiri[[#This Row],[مانده مبلغ]])</f>
        <v>#N/A</v>
      </c>
      <c r="O2191" s="159"/>
      <c r="P2191" s="159" t="e">
        <f>VLOOKUP(bargiri[[#This Row],[شماره سند مبنا]],invoice[[شماره پیش فاکتور]:[پیش دریافت به ازای هر کیلوگرم]],14,0)</f>
        <v>#N/A</v>
      </c>
      <c r="Q2191" s="159" t="e">
        <f>IF(bargiri[[#This Row],[مبلغ ناخالص]]-(bargiri[[#This Row],[نرخ استهلاک]]*bargiri[[#This Row],[مقدار]])&lt;0,0,bargiri[[#This Row],[مبلغ ناخالص]]-(bargiri[[#This Row],[نرخ استهلاک]]*bargiri[[#This Row],[مقدار]]))</f>
        <v>#N/A</v>
      </c>
    </row>
    <row r="2192" spans="1:17" s="22" customFormat="1" ht="13.8" x14ac:dyDescent="0.25">
      <c r="A2192" s="22">
        <v>649</v>
      </c>
      <c r="B2192" s="22" t="s">
        <v>530</v>
      </c>
      <c r="C2192" s="22" t="s">
        <v>75</v>
      </c>
      <c r="D2192" s="22" t="s">
        <v>73</v>
      </c>
      <c r="E2192" s="158">
        <v>20925</v>
      </c>
      <c r="F2192" s="159">
        <v>56881</v>
      </c>
      <c r="G2192" s="159">
        <v>1190234925</v>
      </c>
      <c r="H2192" s="159">
        <v>107121143</v>
      </c>
      <c r="I2192" s="159">
        <v>1297356068</v>
      </c>
      <c r="J2192" s="159" t="e">
        <f>bargiri[[#This Row],[مقدار]]*INDEX(invoice[پیش دریافت به ازای هر کیلوگرم],MATCH(bargiri[[#This Row],[شماره سند مبنا]],invoice[شماره پیش فاکتور],0))</f>
        <v>#N/A</v>
      </c>
      <c r="K2192" s="159" t="e">
        <f>bargiri[[#This Row],[مبلغ خالص]]-bargiri[[#This Row],[میزان استهلاک پیش دریافتی]]</f>
        <v>#N/A</v>
      </c>
      <c r="L2192" s="160"/>
      <c r="M2192" s="159"/>
      <c r="N2192" s="159" t="e">
        <f>IF(bargiri[[#This Row],[مبلغ واریزی]]&lt;&gt;"",bargiri[[#This Row],[مانده مبلغ]]-bargiri[[#This Row],[مبلغ واریزی]],bargiri[[#This Row],[مانده مبلغ]])</f>
        <v>#N/A</v>
      </c>
      <c r="O2192" s="159"/>
      <c r="P2192" s="159" t="e">
        <f>VLOOKUP(bargiri[[#This Row],[شماره سند مبنا]],invoice[[شماره پیش فاکتور]:[پیش دریافت به ازای هر کیلوگرم]],14,0)</f>
        <v>#N/A</v>
      </c>
      <c r="Q2192" s="159" t="e">
        <f>IF(bargiri[[#This Row],[مبلغ ناخالص]]-(bargiri[[#This Row],[نرخ استهلاک]]*bargiri[[#This Row],[مقدار]])&lt;0,0,bargiri[[#This Row],[مبلغ ناخالص]]-(bargiri[[#This Row],[نرخ استهلاک]]*bargiri[[#This Row],[مقدار]]))</f>
        <v>#N/A</v>
      </c>
    </row>
    <row r="2193" spans="1:17" s="22" customFormat="1" ht="13.8" x14ac:dyDescent="0.25">
      <c r="A2193" s="22">
        <v>648</v>
      </c>
      <c r="B2193" s="22" t="s">
        <v>530</v>
      </c>
      <c r="C2193" s="22" t="s">
        <v>75</v>
      </c>
      <c r="D2193" s="22" t="s">
        <v>73</v>
      </c>
      <c r="E2193" s="158">
        <v>21000</v>
      </c>
      <c r="F2193" s="159">
        <v>56881</v>
      </c>
      <c r="G2193" s="159">
        <v>1194501000</v>
      </c>
      <c r="H2193" s="159">
        <v>107505090</v>
      </c>
      <c r="I2193" s="159">
        <v>1302006090</v>
      </c>
      <c r="J2193" s="159" t="e">
        <f>bargiri[[#This Row],[مقدار]]*INDEX(invoice[پیش دریافت به ازای هر کیلوگرم],MATCH(bargiri[[#This Row],[شماره سند مبنا]],invoice[شماره پیش فاکتور],0))</f>
        <v>#N/A</v>
      </c>
      <c r="K2193" s="159" t="e">
        <f>bargiri[[#This Row],[مبلغ خالص]]-bargiri[[#This Row],[میزان استهلاک پیش دریافتی]]</f>
        <v>#N/A</v>
      </c>
      <c r="L2193" s="160"/>
      <c r="M2193" s="159"/>
      <c r="N2193" s="159" t="e">
        <f>IF(bargiri[[#This Row],[مبلغ واریزی]]&lt;&gt;"",bargiri[[#This Row],[مانده مبلغ]]-bargiri[[#This Row],[مبلغ واریزی]],bargiri[[#This Row],[مانده مبلغ]])</f>
        <v>#N/A</v>
      </c>
      <c r="O2193" s="159"/>
      <c r="P2193" s="159" t="e">
        <f>VLOOKUP(bargiri[[#This Row],[شماره سند مبنا]],invoice[[شماره پیش فاکتور]:[پیش دریافت به ازای هر کیلوگرم]],14,0)</f>
        <v>#N/A</v>
      </c>
      <c r="Q2193" s="159" t="e">
        <f>IF(bargiri[[#This Row],[مبلغ ناخالص]]-(bargiri[[#This Row],[نرخ استهلاک]]*bargiri[[#This Row],[مقدار]])&lt;0,0,bargiri[[#This Row],[مبلغ ناخالص]]-(bargiri[[#This Row],[نرخ استهلاک]]*bargiri[[#This Row],[مقدار]]))</f>
        <v>#N/A</v>
      </c>
    </row>
    <row r="2194" spans="1:17" s="22" customFormat="1" ht="13.8" x14ac:dyDescent="0.25">
      <c r="A2194" s="22">
        <v>647</v>
      </c>
      <c r="B2194" s="22" t="s">
        <v>530</v>
      </c>
      <c r="C2194" s="22" t="s">
        <v>47</v>
      </c>
      <c r="D2194" s="22" t="s">
        <v>43</v>
      </c>
      <c r="E2194" s="158">
        <v>20225</v>
      </c>
      <c r="F2194" s="159">
        <v>65000</v>
      </c>
      <c r="G2194" s="159">
        <v>1314625000</v>
      </c>
      <c r="H2194" s="159">
        <v>118316250</v>
      </c>
      <c r="I2194" s="159">
        <v>1432941250</v>
      </c>
      <c r="J2194" s="159" t="e">
        <f>bargiri[[#This Row],[مقدار]]*INDEX(invoice[پیش دریافت به ازای هر کیلوگرم],MATCH(bargiri[[#This Row],[شماره سند مبنا]],invoice[شماره پیش فاکتور],0))</f>
        <v>#N/A</v>
      </c>
      <c r="K2194" s="159" t="e">
        <f>bargiri[[#This Row],[مبلغ خالص]]-bargiri[[#This Row],[میزان استهلاک پیش دریافتی]]</f>
        <v>#N/A</v>
      </c>
      <c r="L2194" s="160"/>
      <c r="M2194" s="159"/>
      <c r="N2194" s="159" t="e">
        <f>IF(bargiri[[#This Row],[مبلغ واریزی]]&lt;&gt;"",bargiri[[#This Row],[مانده مبلغ]]-bargiri[[#This Row],[مبلغ واریزی]],bargiri[[#This Row],[مانده مبلغ]])</f>
        <v>#N/A</v>
      </c>
      <c r="O2194" s="159"/>
      <c r="P2194" s="159" t="e">
        <f>VLOOKUP(bargiri[[#This Row],[شماره سند مبنا]],invoice[[شماره پیش فاکتور]:[پیش دریافت به ازای هر کیلوگرم]],14,0)</f>
        <v>#N/A</v>
      </c>
      <c r="Q2194" s="159" t="e">
        <f>IF(bargiri[[#This Row],[مبلغ ناخالص]]-(bargiri[[#This Row],[نرخ استهلاک]]*bargiri[[#This Row],[مقدار]])&lt;0,0,bargiri[[#This Row],[مبلغ ناخالص]]-(bargiri[[#This Row],[نرخ استهلاک]]*bargiri[[#This Row],[مقدار]]))</f>
        <v>#N/A</v>
      </c>
    </row>
    <row r="2195" spans="1:17" s="22" customFormat="1" ht="13.8" x14ac:dyDescent="0.25">
      <c r="A2195" s="22">
        <v>646</v>
      </c>
      <c r="B2195" s="22" t="s">
        <v>530</v>
      </c>
      <c r="C2195" s="22" t="s">
        <v>97</v>
      </c>
      <c r="D2195" s="22" t="s">
        <v>40</v>
      </c>
      <c r="E2195" s="158">
        <v>18270</v>
      </c>
      <c r="F2195" s="159">
        <v>85000</v>
      </c>
      <c r="G2195" s="159">
        <v>1552950000</v>
      </c>
      <c r="H2195" s="159">
        <v>155295000</v>
      </c>
      <c r="I2195" s="159">
        <v>1708245000</v>
      </c>
      <c r="J2195" s="159" t="e">
        <f>bargiri[[#This Row],[مقدار]]*INDEX(invoice[پیش دریافت به ازای هر کیلوگرم],MATCH(bargiri[[#This Row],[شماره سند مبنا]],invoice[شماره پیش فاکتور],0))</f>
        <v>#N/A</v>
      </c>
      <c r="K2195" s="159" t="e">
        <f>bargiri[[#This Row],[مبلغ خالص]]-bargiri[[#This Row],[میزان استهلاک پیش دریافتی]]</f>
        <v>#N/A</v>
      </c>
      <c r="L2195" s="160"/>
      <c r="M2195" s="159"/>
      <c r="N2195" s="159" t="e">
        <f>IF(bargiri[[#This Row],[مبلغ واریزی]]&lt;&gt;"",bargiri[[#This Row],[مانده مبلغ]]-bargiri[[#This Row],[مبلغ واریزی]],bargiri[[#This Row],[مانده مبلغ]])</f>
        <v>#N/A</v>
      </c>
      <c r="O2195" s="159"/>
      <c r="P2195" s="159" t="e">
        <f>VLOOKUP(bargiri[[#This Row],[شماره سند مبنا]],invoice[[شماره پیش فاکتور]:[پیش دریافت به ازای هر کیلوگرم]],14,0)</f>
        <v>#N/A</v>
      </c>
      <c r="Q2195" s="159" t="e">
        <f>IF(bargiri[[#This Row],[مبلغ ناخالص]]-(bargiri[[#This Row],[نرخ استهلاک]]*bargiri[[#This Row],[مقدار]])&lt;0,0,bargiri[[#This Row],[مبلغ ناخالص]]-(bargiri[[#This Row],[نرخ استهلاک]]*bargiri[[#This Row],[مقدار]]))</f>
        <v>#N/A</v>
      </c>
    </row>
    <row r="2196" spans="1:17" s="22" customFormat="1" ht="13.8" x14ac:dyDescent="0.25">
      <c r="A2196" s="22">
        <v>645</v>
      </c>
      <c r="B2196" s="22" t="s">
        <v>530</v>
      </c>
      <c r="C2196" s="22" t="s">
        <v>66</v>
      </c>
      <c r="D2196" s="22" t="s">
        <v>67</v>
      </c>
      <c r="E2196" s="158">
        <v>19880</v>
      </c>
      <c r="F2196" s="159">
        <v>68500</v>
      </c>
      <c r="G2196" s="159">
        <v>1361780000</v>
      </c>
      <c r="H2196" s="159">
        <v>122560200</v>
      </c>
      <c r="I2196" s="159">
        <v>1484340200</v>
      </c>
      <c r="J2196" s="159" t="e">
        <f>bargiri[[#This Row],[مقدار]]*INDEX(invoice[پیش دریافت به ازای هر کیلوگرم],MATCH(bargiri[[#This Row],[شماره سند مبنا]],invoice[شماره پیش فاکتور],0))</f>
        <v>#N/A</v>
      </c>
      <c r="K2196" s="159" t="e">
        <f>bargiri[[#This Row],[مبلغ خالص]]-bargiri[[#This Row],[میزان استهلاک پیش دریافتی]]</f>
        <v>#N/A</v>
      </c>
      <c r="L2196" s="160"/>
      <c r="M2196" s="159"/>
      <c r="N2196" s="159" t="e">
        <f>IF(bargiri[[#This Row],[مبلغ واریزی]]&lt;&gt;"",bargiri[[#This Row],[مانده مبلغ]]-bargiri[[#This Row],[مبلغ واریزی]],bargiri[[#This Row],[مانده مبلغ]])</f>
        <v>#N/A</v>
      </c>
      <c r="O2196" s="159"/>
      <c r="P2196" s="159" t="e">
        <f>VLOOKUP(bargiri[[#This Row],[شماره سند مبنا]],invoice[[شماره پیش فاکتور]:[پیش دریافت به ازای هر کیلوگرم]],14,0)</f>
        <v>#N/A</v>
      </c>
      <c r="Q2196" s="159" t="e">
        <f>IF(bargiri[[#This Row],[مبلغ ناخالص]]-(bargiri[[#This Row],[نرخ استهلاک]]*bargiri[[#This Row],[مقدار]])&lt;0,0,bargiri[[#This Row],[مبلغ ناخالص]]-(bargiri[[#This Row],[نرخ استهلاک]]*bargiri[[#This Row],[مقدار]]))</f>
        <v>#N/A</v>
      </c>
    </row>
    <row r="2197" spans="1:17" s="22" customFormat="1" ht="13.8" x14ac:dyDescent="0.25">
      <c r="A2197" s="22">
        <v>644</v>
      </c>
      <c r="B2197" s="22" t="s">
        <v>530</v>
      </c>
      <c r="C2197" s="22" t="s">
        <v>16</v>
      </c>
      <c r="D2197" s="22" t="s">
        <v>17</v>
      </c>
      <c r="E2197" s="158">
        <v>22540</v>
      </c>
      <c r="F2197" s="159">
        <v>77000</v>
      </c>
      <c r="G2197" s="159">
        <v>1735580000</v>
      </c>
      <c r="H2197" s="159">
        <v>156202200</v>
      </c>
      <c r="I2197" s="159">
        <v>1891782200</v>
      </c>
      <c r="J2197" s="159" t="e">
        <f>bargiri[[#This Row],[مقدار]]*INDEX(invoice[پیش دریافت به ازای هر کیلوگرم],MATCH(bargiri[[#This Row],[شماره سند مبنا]],invoice[شماره پیش فاکتور],0))</f>
        <v>#N/A</v>
      </c>
      <c r="K2197" s="159" t="e">
        <f>bargiri[[#This Row],[مبلغ خالص]]-bargiri[[#This Row],[میزان استهلاک پیش دریافتی]]</f>
        <v>#N/A</v>
      </c>
      <c r="L2197" s="160"/>
      <c r="M2197" s="159"/>
      <c r="N2197" s="159" t="e">
        <f>IF(bargiri[[#This Row],[مبلغ واریزی]]&lt;&gt;"",bargiri[[#This Row],[مانده مبلغ]]-bargiri[[#This Row],[مبلغ واریزی]],bargiri[[#This Row],[مانده مبلغ]])</f>
        <v>#N/A</v>
      </c>
      <c r="O2197" s="159"/>
      <c r="P2197" s="159" t="e">
        <f>VLOOKUP(bargiri[[#This Row],[شماره سند مبنا]],invoice[[شماره پیش فاکتور]:[پیش دریافت به ازای هر کیلوگرم]],14,0)</f>
        <v>#N/A</v>
      </c>
      <c r="Q2197" s="159" t="e">
        <f>IF(bargiri[[#This Row],[مبلغ ناخالص]]-(bargiri[[#This Row],[نرخ استهلاک]]*bargiri[[#This Row],[مقدار]])&lt;0,0,bargiri[[#This Row],[مبلغ ناخالص]]-(bargiri[[#This Row],[نرخ استهلاک]]*bargiri[[#This Row],[مقدار]]))</f>
        <v>#N/A</v>
      </c>
    </row>
    <row r="2198" spans="1:17" s="22" customFormat="1" ht="13.8" x14ac:dyDescent="0.25">
      <c r="A2198" s="22">
        <v>643</v>
      </c>
      <c r="B2198" s="22" t="s">
        <v>536</v>
      </c>
      <c r="C2198" s="22" t="s">
        <v>47</v>
      </c>
      <c r="D2198" s="22" t="s">
        <v>43</v>
      </c>
      <c r="E2198" s="158">
        <v>20070</v>
      </c>
      <c r="F2198" s="159">
        <v>65000</v>
      </c>
      <c r="G2198" s="159">
        <v>1304550000</v>
      </c>
      <c r="H2198" s="159">
        <v>117409500</v>
      </c>
      <c r="I2198" s="159">
        <v>1421959500</v>
      </c>
      <c r="J2198" s="159" t="e">
        <f>bargiri[[#This Row],[مقدار]]*INDEX(invoice[پیش دریافت به ازای هر کیلوگرم],MATCH(bargiri[[#This Row],[شماره سند مبنا]],invoice[شماره پیش فاکتور],0))</f>
        <v>#N/A</v>
      </c>
      <c r="K2198" s="159" t="e">
        <f>bargiri[[#This Row],[مبلغ خالص]]-bargiri[[#This Row],[میزان استهلاک پیش دریافتی]]</f>
        <v>#N/A</v>
      </c>
      <c r="L2198" s="160"/>
      <c r="M2198" s="159"/>
      <c r="N2198" s="159" t="e">
        <f>IF(bargiri[[#This Row],[مبلغ واریزی]]&lt;&gt;"",bargiri[[#This Row],[مانده مبلغ]]-bargiri[[#This Row],[مبلغ واریزی]],bargiri[[#This Row],[مانده مبلغ]])</f>
        <v>#N/A</v>
      </c>
      <c r="O2198" s="159"/>
      <c r="P2198" s="159" t="e">
        <f>VLOOKUP(bargiri[[#This Row],[شماره سند مبنا]],invoice[[شماره پیش فاکتور]:[پیش دریافت به ازای هر کیلوگرم]],14,0)</f>
        <v>#N/A</v>
      </c>
      <c r="Q2198" s="159" t="e">
        <f>IF(bargiri[[#This Row],[مبلغ ناخالص]]-(bargiri[[#This Row],[نرخ استهلاک]]*bargiri[[#This Row],[مقدار]])&lt;0,0,bargiri[[#This Row],[مبلغ ناخالص]]-(bargiri[[#This Row],[نرخ استهلاک]]*bargiri[[#This Row],[مقدار]]))</f>
        <v>#N/A</v>
      </c>
    </row>
    <row r="2199" spans="1:17" s="22" customFormat="1" ht="13.8" x14ac:dyDescent="0.25">
      <c r="A2199" s="22">
        <v>642</v>
      </c>
      <c r="B2199" s="22" t="s">
        <v>536</v>
      </c>
      <c r="C2199" s="22" t="s">
        <v>69</v>
      </c>
      <c r="D2199" s="22" t="s">
        <v>70</v>
      </c>
      <c r="E2199" s="158">
        <v>19955</v>
      </c>
      <c r="F2199" s="159">
        <v>70000</v>
      </c>
      <c r="G2199" s="159">
        <v>1396850000</v>
      </c>
      <c r="H2199" s="159">
        <v>125716500</v>
      </c>
      <c r="I2199" s="159">
        <v>1522566500</v>
      </c>
      <c r="J2199" s="159" t="e">
        <f>bargiri[[#This Row],[مقدار]]*INDEX(invoice[پیش دریافت به ازای هر کیلوگرم],MATCH(bargiri[[#This Row],[شماره سند مبنا]],invoice[شماره پیش فاکتور],0))</f>
        <v>#N/A</v>
      </c>
      <c r="K2199" s="159" t="e">
        <f>bargiri[[#This Row],[مبلغ خالص]]-bargiri[[#This Row],[میزان استهلاک پیش دریافتی]]</f>
        <v>#N/A</v>
      </c>
      <c r="L2199" s="160"/>
      <c r="M2199" s="159"/>
      <c r="N2199" s="159" t="e">
        <f>IF(bargiri[[#This Row],[مبلغ واریزی]]&lt;&gt;"",bargiri[[#This Row],[مانده مبلغ]]-bargiri[[#This Row],[مبلغ واریزی]],bargiri[[#This Row],[مانده مبلغ]])</f>
        <v>#N/A</v>
      </c>
      <c r="O2199" s="159"/>
      <c r="P2199" s="159" t="e">
        <f>VLOOKUP(bargiri[[#This Row],[شماره سند مبنا]],invoice[[شماره پیش فاکتور]:[پیش دریافت به ازای هر کیلوگرم]],14,0)</f>
        <v>#N/A</v>
      </c>
      <c r="Q2199" s="159" t="e">
        <f>IF(bargiri[[#This Row],[مبلغ ناخالص]]-(bargiri[[#This Row],[نرخ استهلاک]]*bargiri[[#This Row],[مقدار]])&lt;0,0,bargiri[[#This Row],[مبلغ ناخالص]]-(bargiri[[#This Row],[نرخ استهلاک]]*bargiri[[#This Row],[مقدار]]))</f>
        <v>#N/A</v>
      </c>
    </row>
    <row r="2200" spans="1:17" s="22" customFormat="1" ht="13.8" x14ac:dyDescent="0.25">
      <c r="A2200" s="22">
        <v>641</v>
      </c>
      <c r="B2200" s="22" t="s">
        <v>536</v>
      </c>
      <c r="C2200" s="22" t="s">
        <v>99</v>
      </c>
      <c r="D2200" s="22" t="s">
        <v>64</v>
      </c>
      <c r="E2200" s="158">
        <v>22045</v>
      </c>
      <c r="F2200" s="159">
        <v>75000</v>
      </c>
      <c r="G2200" s="159">
        <v>1653375000</v>
      </c>
      <c r="H2200" s="159">
        <v>165337500</v>
      </c>
      <c r="I2200" s="159">
        <v>1818712500</v>
      </c>
      <c r="J2200" s="159" t="e">
        <f>bargiri[[#This Row],[مقدار]]*INDEX(invoice[پیش دریافت به ازای هر کیلوگرم],MATCH(bargiri[[#This Row],[شماره سند مبنا]],invoice[شماره پیش فاکتور],0))</f>
        <v>#N/A</v>
      </c>
      <c r="K2200" s="159" t="e">
        <f>bargiri[[#This Row],[مبلغ خالص]]-bargiri[[#This Row],[میزان استهلاک پیش دریافتی]]</f>
        <v>#N/A</v>
      </c>
      <c r="L2200" s="160"/>
      <c r="M2200" s="159"/>
      <c r="N2200" s="159" t="e">
        <f>IF(bargiri[[#This Row],[مبلغ واریزی]]&lt;&gt;"",bargiri[[#This Row],[مانده مبلغ]]-bargiri[[#This Row],[مبلغ واریزی]],bargiri[[#This Row],[مانده مبلغ]])</f>
        <v>#N/A</v>
      </c>
      <c r="O2200" s="159"/>
      <c r="P2200" s="159" t="e">
        <f>VLOOKUP(bargiri[[#This Row],[شماره سند مبنا]],invoice[[شماره پیش فاکتور]:[پیش دریافت به ازای هر کیلوگرم]],14,0)</f>
        <v>#N/A</v>
      </c>
      <c r="Q2200" s="159" t="e">
        <f>IF(bargiri[[#This Row],[مبلغ ناخالص]]-(bargiri[[#This Row],[نرخ استهلاک]]*bargiri[[#This Row],[مقدار]])&lt;0,0,bargiri[[#This Row],[مبلغ ناخالص]]-(bargiri[[#This Row],[نرخ استهلاک]]*bargiri[[#This Row],[مقدار]]))</f>
        <v>#N/A</v>
      </c>
    </row>
    <row r="2201" spans="1:17" s="22" customFormat="1" ht="13.8" x14ac:dyDescent="0.25">
      <c r="A2201" s="22">
        <v>640</v>
      </c>
      <c r="B2201" s="22" t="s">
        <v>536</v>
      </c>
      <c r="C2201" s="22" t="s">
        <v>19</v>
      </c>
      <c r="D2201" s="22" t="s">
        <v>20</v>
      </c>
      <c r="E2201" s="158">
        <v>18990</v>
      </c>
      <c r="F2201" s="159">
        <v>65000</v>
      </c>
      <c r="G2201" s="159">
        <v>1234350000</v>
      </c>
      <c r="H2201" s="159">
        <v>111091500</v>
      </c>
      <c r="I2201" s="159">
        <v>1345441500</v>
      </c>
      <c r="J2201" s="159" t="e">
        <f>bargiri[[#This Row],[مقدار]]*INDEX(invoice[پیش دریافت به ازای هر کیلوگرم],MATCH(bargiri[[#This Row],[شماره سند مبنا]],invoice[شماره پیش فاکتور],0))</f>
        <v>#N/A</v>
      </c>
      <c r="K2201" s="159" t="e">
        <f>bargiri[[#This Row],[مبلغ خالص]]-bargiri[[#This Row],[میزان استهلاک پیش دریافتی]]</f>
        <v>#N/A</v>
      </c>
      <c r="L2201" s="160"/>
      <c r="M2201" s="159"/>
      <c r="N2201" s="159" t="e">
        <f>IF(bargiri[[#This Row],[مبلغ واریزی]]&lt;&gt;"",bargiri[[#This Row],[مانده مبلغ]]-bargiri[[#This Row],[مبلغ واریزی]],bargiri[[#This Row],[مانده مبلغ]])</f>
        <v>#N/A</v>
      </c>
      <c r="O2201" s="159"/>
      <c r="P2201" s="159" t="e">
        <f>VLOOKUP(bargiri[[#This Row],[شماره سند مبنا]],invoice[[شماره پیش فاکتور]:[پیش دریافت به ازای هر کیلوگرم]],14,0)</f>
        <v>#N/A</v>
      </c>
      <c r="Q2201" s="159" t="e">
        <f>IF(bargiri[[#This Row],[مبلغ ناخالص]]-(bargiri[[#This Row],[نرخ استهلاک]]*bargiri[[#This Row],[مقدار]])&lt;0,0,bargiri[[#This Row],[مبلغ ناخالص]]-(bargiri[[#This Row],[نرخ استهلاک]]*bargiri[[#This Row],[مقدار]]))</f>
        <v>#N/A</v>
      </c>
    </row>
    <row r="2202" spans="1:17" s="22" customFormat="1" ht="13.8" x14ac:dyDescent="0.25">
      <c r="A2202" s="22">
        <v>639</v>
      </c>
      <c r="B2202" s="22" t="s">
        <v>536</v>
      </c>
      <c r="C2202" s="22" t="s">
        <v>93</v>
      </c>
      <c r="D2202" s="22" t="s">
        <v>78</v>
      </c>
      <c r="E2202" s="158">
        <v>20010</v>
      </c>
      <c r="F2202" s="159">
        <v>70000</v>
      </c>
      <c r="G2202" s="159">
        <v>1400700000</v>
      </c>
      <c r="H2202" s="159">
        <v>140070000</v>
      </c>
      <c r="I2202" s="159">
        <v>1540770000</v>
      </c>
      <c r="J2202" s="159" t="e">
        <f>bargiri[[#This Row],[مقدار]]*INDEX(invoice[پیش دریافت به ازای هر کیلوگرم],MATCH(bargiri[[#This Row],[شماره سند مبنا]],invoice[شماره پیش فاکتور],0))</f>
        <v>#N/A</v>
      </c>
      <c r="K2202" s="159" t="e">
        <f>bargiri[[#This Row],[مبلغ خالص]]-bargiri[[#This Row],[میزان استهلاک پیش دریافتی]]</f>
        <v>#N/A</v>
      </c>
      <c r="L2202" s="160"/>
      <c r="M2202" s="159"/>
      <c r="N2202" s="159" t="e">
        <f>IF(bargiri[[#This Row],[مبلغ واریزی]]&lt;&gt;"",bargiri[[#This Row],[مانده مبلغ]]-bargiri[[#This Row],[مبلغ واریزی]],bargiri[[#This Row],[مانده مبلغ]])</f>
        <v>#N/A</v>
      </c>
      <c r="O2202" s="159"/>
      <c r="P2202" s="159" t="e">
        <f>VLOOKUP(bargiri[[#This Row],[شماره سند مبنا]],invoice[[شماره پیش فاکتور]:[پیش دریافت به ازای هر کیلوگرم]],14,0)</f>
        <v>#N/A</v>
      </c>
      <c r="Q2202" s="159" t="e">
        <f>IF(bargiri[[#This Row],[مبلغ ناخالص]]-(bargiri[[#This Row],[نرخ استهلاک]]*bargiri[[#This Row],[مقدار]])&lt;0,0,bargiri[[#This Row],[مبلغ ناخالص]]-(bargiri[[#This Row],[نرخ استهلاک]]*bargiri[[#This Row],[مقدار]]))</f>
        <v>#N/A</v>
      </c>
    </row>
    <row r="2203" spans="1:17" s="22" customFormat="1" ht="13.8" x14ac:dyDescent="0.25">
      <c r="A2203" s="22">
        <v>638</v>
      </c>
      <c r="B2203" s="22" t="s">
        <v>537</v>
      </c>
      <c r="C2203" s="22" t="s">
        <v>66</v>
      </c>
      <c r="D2203" s="22" t="s">
        <v>67</v>
      </c>
      <c r="E2203" s="158">
        <v>8060</v>
      </c>
      <c r="F2203" s="159">
        <v>68500</v>
      </c>
      <c r="G2203" s="159">
        <v>552110000</v>
      </c>
      <c r="H2203" s="159">
        <v>49689900</v>
      </c>
      <c r="I2203" s="159">
        <v>601799900</v>
      </c>
      <c r="J2203" s="159" t="e">
        <f>bargiri[[#This Row],[مقدار]]*INDEX(invoice[پیش دریافت به ازای هر کیلوگرم],MATCH(bargiri[[#This Row],[شماره سند مبنا]],invoice[شماره پیش فاکتور],0))</f>
        <v>#N/A</v>
      </c>
      <c r="K2203" s="159" t="e">
        <f>bargiri[[#This Row],[مبلغ خالص]]-bargiri[[#This Row],[میزان استهلاک پیش دریافتی]]</f>
        <v>#N/A</v>
      </c>
      <c r="L2203" s="160"/>
      <c r="M2203" s="159"/>
      <c r="N2203" s="159" t="e">
        <f>IF(bargiri[[#This Row],[مبلغ واریزی]]&lt;&gt;"",bargiri[[#This Row],[مانده مبلغ]]-bargiri[[#This Row],[مبلغ واریزی]],bargiri[[#This Row],[مانده مبلغ]])</f>
        <v>#N/A</v>
      </c>
      <c r="O2203" s="159"/>
      <c r="P2203" s="159" t="e">
        <f>VLOOKUP(bargiri[[#This Row],[شماره سند مبنا]],invoice[[شماره پیش فاکتور]:[پیش دریافت به ازای هر کیلوگرم]],14,0)</f>
        <v>#N/A</v>
      </c>
      <c r="Q2203" s="159" t="e">
        <f>IF(bargiri[[#This Row],[مبلغ ناخالص]]-(bargiri[[#This Row],[نرخ استهلاک]]*bargiri[[#This Row],[مقدار]])&lt;0,0,bargiri[[#This Row],[مبلغ ناخالص]]-(bargiri[[#This Row],[نرخ استهلاک]]*bargiri[[#This Row],[مقدار]]))</f>
        <v>#N/A</v>
      </c>
    </row>
    <row r="2204" spans="1:17" s="22" customFormat="1" ht="13.8" x14ac:dyDescent="0.25">
      <c r="A2204" s="22">
        <v>637</v>
      </c>
      <c r="B2204" s="22" t="s">
        <v>537</v>
      </c>
      <c r="C2204" s="22" t="s">
        <v>66</v>
      </c>
      <c r="D2204" s="22" t="s">
        <v>67</v>
      </c>
      <c r="E2204" s="158">
        <v>20180</v>
      </c>
      <c r="F2204" s="159">
        <v>68500</v>
      </c>
      <c r="G2204" s="159">
        <v>1382330000</v>
      </c>
      <c r="H2204" s="159">
        <v>124409700</v>
      </c>
      <c r="I2204" s="159">
        <v>1506739700</v>
      </c>
      <c r="J2204" s="159" t="e">
        <f>bargiri[[#This Row],[مقدار]]*INDEX(invoice[پیش دریافت به ازای هر کیلوگرم],MATCH(bargiri[[#This Row],[شماره سند مبنا]],invoice[شماره پیش فاکتور],0))</f>
        <v>#N/A</v>
      </c>
      <c r="K2204" s="159" t="e">
        <f>bargiri[[#This Row],[مبلغ خالص]]-bargiri[[#This Row],[میزان استهلاک پیش دریافتی]]</f>
        <v>#N/A</v>
      </c>
      <c r="L2204" s="160"/>
      <c r="M2204" s="159"/>
      <c r="N2204" s="159" t="e">
        <f>IF(bargiri[[#This Row],[مبلغ واریزی]]&lt;&gt;"",bargiri[[#This Row],[مانده مبلغ]]-bargiri[[#This Row],[مبلغ واریزی]],bargiri[[#This Row],[مانده مبلغ]])</f>
        <v>#N/A</v>
      </c>
      <c r="O2204" s="159"/>
      <c r="P2204" s="159" t="e">
        <f>VLOOKUP(bargiri[[#This Row],[شماره سند مبنا]],invoice[[شماره پیش فاکتور]:[پیش دریافت به ازای هر کیلوگرم]],14,0)</f>
        <v>#N/A</v>
      </c>
      <c r="Q2204" s="159" t="e">
        <f>IF(bargiri[[#This Row],[مبلغ ناخالص]]-(bargiri[[#This Row],[نرخ استهلاک]]*bargiri[[#This Row],[مقدار]])&lt;0,0,bargiri[[#This Row],[مبلغ ناخالص]]-(bargiri[[#This Row],[نرخ استهلاک]]*bargiri[[#This Row],[مقدار]]))</f>
        <v>#N/A</v>
      </c>
    </row>
    <row r="2205" spans="1:17" s="22" customFormat="1" ht="13.8" x14ac:dyDescent="0.25">
      <c r="A2205" s="22">
        <v>636</v>
      </c>
      <c r="B2205" s="22" t="s">
        <v>538</v>
      </c>
      <c r="C2205" s="22" t="s">
        <v>75</v>
      </c>
      <c r="D2205" s="22" t="s">
        <v>73</v>
      </c>
      <c r="E2205" s="158">
        <v>20950</v>
      </c>
      <c r="F2205" s="159">
        <v>56881</v>
      </c>
      <c r="G2205" s="159">
        <v>1191656950</v>
      </c>
      <c r="H2205" s="159">
        <v>107249126</v>
      </c>
      <c r="I2205" s="159">
        <v>1298906076</v>
      </c>
      <c r="J2205" s="159" t="e">
        <f>bargiri[[#This Row],[مقدار]]*INDEX(invoice[پیش دریافت به ازای هر کیلوگرم],MATCH(bargiri[[#This Row],[شماره سند مبنا]],invoice[شماره پیش فاکتور],0))</f>
        <v>#N/A</v>
      </c>
      <c r="K2205" s="159" t="e">
        <f>bargiri[[#This Row],[مبلغ خالص]]-bargiri[[#This Row],[میزان استهلاک پیش دریافتی]]</f>
        <v>#N/A</v>
      </c>
      <c r="L2205" s="160"/>
      <c r="M2205" s="159"/>
      <c r="N2205" s="159" t="e">
        <f>IF(bargiri[[#This Row],[مبلغ واریزی]]&lt;&gt;"",bargiri[[#This Row],[مانده مبلغ]]-bargiri[[#This Row],[مبلغ واریزی]],bargiri[[#This Row],[مانده مبلغ]])</f>
        <v>#N/A</v>
      </c>
      <c r="O2205" s="159"/>
      <c r="P2205" s="159" t="e">
        <f>VLOOKUP(bargiri[[#This Row],[شماره سند مبنا]],invoice[[شماره پیش فاکتور]:[پیش دریافت به ازای هر کیلوگرم]],14,0)</f>
        <v>#N/A</v>
      </c>
      <c r="Q2205" s="159" t="e">
        <f>IF(bargiri[[#This Row],[مبلغ ناخالص]]-(bargiri[[#This Row],[نرخ استهلاک]]*bargiri[[#This Row],[مقدار]])&lt;0,0,bargiri[[#This Row],[مبلغ ناخالص]]-(bargiri[[#This Row],[نرخ استهلاک]]*bargiri[[#This Row],[مقدار]]))</f>
        <v>#N/A</v>
      </c>
    </row>
    <row r="2206" spans="1:17" s="22" customFormat="1" ht="13.8" x14ac:dyDescent="0.25">
      <c r="A2206" s="22">
        <v>635</v>
      </c>
      <c r="B2206" s="22" t="s">
        <v>538</v>
      </c>
      <c r="C2206" s="22" t="s">
        <v>75</v>
      </c>
      <c r="D2206" s="22" t="s">
        <v>73</v>
      </c>
      <c r="E2206" s="158">
        <v>20885</v>
      </c>
      <c r="F2206" s="159">
        <v>56881</v>
      </c>
      <c r="G2206" s="159">
        <v>1187959685</v>
      </c>
      <c r="H2206" s="159">
        <v>106916372</v>
      </c>
      <c r="I2206" s="159">
        <v>1294876057</v>
      </c>
      <c r="J2206" s="159" t="e">
        <f>bargiri[[#This Row],[مقدار]]*INDEX(invoice[پیش دریافت به ازای هر کیلوگرم],MATCH(bargiri[[#This Row],[شماره سند مبنا]],invoice[شماره پیش فاکتور],0))</f>
        <v>#N/A</v>
      </c>
      <c r="K2206" s="159" t="e">
        <f>bargiri[[#This Row],[مبلغ خالص]]-bargiri[[#This Row],[میزان استهلاک پیش دریافتی]]</f>
        <v>#N/A</v>
      </c>
      <c r="L2206" s="160"/>
      <c r="M2206" s="159"/>
      <c r="N2206" s="159" t="e">
        <f>IF(bargiri[[#This Row],[مبلغ واریزی]]&lt;&gt;"",bargiri[[#This Row],[مانده مبلغ]]-bargiri[[#This Row],[مبلغ واریزی]],bargiri[[#This Row],[مانده مبلغ]])</f>
        <v>#N/A</v>
      </c>
      <c r="O2206" s="159"/>
      <c r="P2206" s="159" t="e">
        <f>VLOOKUP(bargiri[[#This Row],[شماره سند مبنا]],invoice[[شماره پیش فاکتور]:[پیش دریافت به ازای هر کیلوگرم]],14,0)</f>
        <v>#N/A</v>
      </c>
      <c r="Q2206" s="159" t="e">
        <f>IF(bargiri[[#This Row],[مبلغ ناخالص]]-(bargiri[[#This Row],[نرخ استهلاک]]*bargiri[[#This Row],[مقدار]])&lt;0,0,bargiri[[#This Row],[مبلغ ناخالص]]-(bargiri[[#This Row],[نرخ استهلاک]]*bargiri[[#This Row],[مقدار]]))</f>
        <v>#N/A</v>
      </c>
    </row>
    <row r="2207" spans="1:17" s="22" customFormat="1" ht="13.8" x14ac:dyDescent="0.25">
      <c r="A2207" s="22">
        <v>634</v>
      </c>
      <c r="B2207" s="22" t="s">
        <v>538</v>
      </c>
      <c r="C2207" s="22" t="s">
        <v>75</v>
      </c>
      <c r="D2207" s="22" t="s">
        <v>73</v>
      </c>
      <c r="E2207" s="158">
        <v>20925</v>
      </c>
      <c r="F2207" s="159">
        <v>56881</v>
      </c>
      <c r="G2207" s="159">
        <v>1190234925</v>
      </c>
      <c r="H2207" s="159">
        <v>107121143</v>
      </c>
      <c r="I2207" s="159">
        <v>1297356068</v>
      </c>
      <c r="J2207" s="159" t="e">
        <f>bargiri[[#This Row],[مقدار]]*INDEX(invoice[پیش دریافت به ازای هر کیلوگرم],MATCH(bargiri[[#This Row],[شماره سند مبنا]],invoice[شماره پیش فاکتور],0))</f>
        <v>#N/A</v>
      </c>
      <c r="K2207" s="159" t="e">
        <f>bargiri[[#This Row],[مبلغ خالص]]-bargiri[[#This Row],[میزان استهلاک پیش دریافتی]]</f>
        <v>#N/A</v>
      </c>
      <c r="L2207" s="160"/>
      <c r="M2207" s="159"/>
      <c r="N2207" s="159" t="e">
        <f>IF(bargiri[[#This Row],[مبلغ واریزی]]&lt;&gt;"",bargiri[[#This Row],[مانده مبلغ]]-bargiri[[#This Row],[مبلغ واریزی]],bargiri[[#This Row],[مانده مبلغ]])</f>
        <v>#N/A</v>
      </c>
      <c r="O2207" s="159"/>
      <c r="P2207" s="159" t="e">
        <f>VLOOKUP(bargiri[[#This Row],[شماره سند مبنا]],invoice[[شماره پیش فاکتور]:[پیش دریافت به ازای هر کیلوگرم]],14,0)</f>
        <v>#N/A</v>
      </c>
      <c r="Q2207" s="159" t="e">
        <f>IF(bargiri[[#This Row],[مبلغ ناخالص]]-(bargiri[[#This Row],[نرخ استهلاک]]*bargiri[[#This Row],[مقدار]])&lt;0,0,bargiri[[#This Row],[مبلغ ناخالص]]-(bargiri[[#This Row],[نرخ استهلاک]]*bargiri[[#This Row],[مقدار]]))</f>
        <v>#N/A</v>
      </c>
    </row>
    <row r="2208" spans="1:17" s="22" customFormat="1" ht="13.8" x14ac:dyDescent="0.25">
      <c r="A2208" s="22">
        <v>633</v>
      </c>
      <c r="B2208" s="22" t="s">
        <v>538</v>
      </c>
      <c r="C2208" s="22" t="s">
        <v>66</v>
      </c>
      <c r="D2208" s="22" t="s">
        <v>67</v>
      </c>
      <c r="E2208" s="158">
        <v>19945</v>
      </c>
      <c r="F2208" s="159">
        <v>68500</v>
      </c>
      <c r="G2208" s="159">
        <v>1366232500</v>
      </c>
      <c r="H2208" s="159">
        <v>122960925</v>
      </c>
      <c r="I2208" s="159">
        <v>1489193425</v>
      </c>
      <c r="J2208" s="159" t="e">
        <f>bargiri[[#This Row],[مقدار]]*INDEX(invoice[پیش دریافت به ازای هر کیلوگرم],MATCH(bargiri[[#This Row],[شماره سند مبنا]],invoice[شماره پیش فاکتور],0))</f>
        <v>#N/A</v>
      </c>
      <c r="K2208" s="159" t="e">
        <f>bargiri[[#This Row],[مبلغ خالص]]-bargiri[[#This Row],[میزان استهلاک پیش دریافتی]]</f>
        <v>#N/A</v>
      </c>
      <c r="L2208" s="160"/>
      <c r="M2208" s="159"/>
      <c r="N2208" s="159" t="e">
        <f>IF(bargiri[[#This Row],[مبلغ واریزی]]&lt;&gt;"",bargiri[[#This Row],[مانده مبلغ]]-bargiri[[#This Row],[مبلغ واریزی]],bargiri[[#This Row],[مانده مبلغ]])</f>
        <v>#N/A</v>
      </c>
      <c r="O2208" s="159"/>
      <c r="P2208" s="159" t="e">
        <f>VLOOKUP(bargiri[[#This Row],[شماره سند مبنا]],invoice[[شماره پیش فاکتور]:[پیش دریافت به ازای هر کیلوگرم]],14,0)</f>
        <v>#N/A</v>
      </c>
      <c r="Q2208" s="159" t="e">
        <f>IF(bargiri[[#This Row],[مبلغ ناخالص]]-(bargiri[[#This Row],[نرخ استهلاک]]*bargiri[[#This Row],[مقدار]])&lt;0,0,bargiri[[#This Row],[مبلغ ناخالص]]-(bargiri[[#This Row],[نرخ استهلاک]]*bargiri[[#This Row],[مقدار]]))</f>
        <v>#N/A</v>
      </c>
    </row>
    <row r="2209" spans="1:17" s="22" customFormat="1" ht="13.8" x14ac:dyDescent="0.25">
      <c r="A2209" s="22">
        <v>632</v>
      </c>
      <c r="B2209" s="22" t="s">
        <v>538</v>
      </c>
      <c r="C2209" s="22" t="s">
        <v>88</v>
      </c>
      <c r="D2209" s="22" t="s">
        <v>89</v>
      </c>
      <c r="E2209" s="158">
        <v>19930</v>
      </c>
      <c r="F2209" s="159">
        <v>78000</v>
      </c>
      <c r="G2209" s="159">
        <v>1554540000</v>
      </c>
      <c r="H2209" s="159">
        <v>155454000</v>
      </c>
      <c r="I2209" s="159">
        <v>1709994000</v>
      </c>
      <c r="J2209" s="159" t="e">
        <f>bargiri[[#This Row],[مقدار]]*INDEX(invoice[پیش دریافت به ازای هر کیلوگرم],MATCH(bargiri[[#This Row],[شماره سند مبنا]],invoice[شماره پیش فاکتور],0))</f>
        <v>#N/A</v>
      </c>
      <c r="K2209" s="159" t="e">
        <f>bargiri[[#This Row],[مبلغ خالص]]-bargiri[[#This Row],[میزان استهلاک پیش دریافتی]]</f>
        <v>#N/A</v>
      </c>
      <c r="L2209" s="160"/>
      <c r="M2209" s="159"/>
      <c r="N2209" s="159" t="e">
        <f>IF(bargiri[[#This Row],[مبلغ واریزی]]&lt;&gt;"",bargiri[[#This Row],[مانده مبلغ]]-bargiri[[#This Row],[مبلغ واریزی]],bargiri[[#This Row],[مانده مبلغ]])</f>
        <v>#N/A</v>
      </c>
      <c r="O2209" s="159"/>
      <c r="P2209" s="159" t="e">
        <f>VLOOKUP(bargiri[[#This Row],[شماره سند مبنا]],invoice[[شماره پیش فاکتور]:[پیش دریافت به ازای هر کیلوگرم]],14,0)</f>
        <v>#N/A</v>
      </c>
      <c r="Q2209" s="159" t="e">
        <f>IF(bargiri[[#This Row],[مبلغ ناخالص]]-(bargiri[[#This Row],[نرخ استهلاک]]*bargiri[[#This Row],[مقدار]])&lt;0,0,bargiri[[#This Row],[مبلغ ناخالص]]-(bargiri[[#This Row],[نرخ استهلاک]]*bargiri[[#This Row],[مقدار]]))</f>
        <v>#N/A</v>
      </c>
    </row>
    <row r="2210" spans="1:17" s="22" customFormat="1" ht="13.8" x14ac:dyDescent="0.25">
      <c r="A2210" s="22">
        <v>631</v>
      </c>
      <c r="B2210" s="22" t="s">
        <v>538</v>
      </c>
      <c r="C2210" s="22" t="s">
        <v>29</v>
      </c>
      <c r="D2210" s="22" t="s">
        <v>30</v>
      </c>
      <c r="E2210" s="158">
        <v>11630</v>
      </c>
      <c r="F2210" s="159">
        <v>70000</v>
      </c>
      <c r="G2210" s="159">
        <v>814100000</v>
      </c>
      <c r="H2210" s="159">
        <v>81410000</v>
      </c>
      <c r="I2210" s="159">
        <v>895510000</v>
      </c>
      <c r="J2210" s="159" t="e">
        <f>bargiri[[#This Row],[مقدار]]*INDEX(invoice[پیش دریافت به ازای هر کیلوگرم],MATCH(bargiri[[#This Row],[شماره سند مبنا]],invoice[شماره پیش فاکتور],0))</f>
        <v>#N/A</v>
      </c>
      <c r="K2210" s="159" t="e">
        <f>bargiri[[#This Row],[مبلغ خالص]]-bargiri[[#This Row],[میزان استهلاک پیش دریافتی]]</f>
        <v>#N/A</v>
      </c>
      <c r="L2210" s="160"/>
      <c r="M2210" s="159"/>
      <c r="N2210" s="159" t="e">
        <f>IF(bargiri[[#This Row],[مبلغ واریزی]]&lt;&gt;"",bargiri[[#This Row],[مانده مبلغ]]-bargiri[[#This Row],[مبلغ واریزی]],bargiri[[#This Row],[مانده مبلغ]])</f>
        <v>#N/A</v>
      </c>
      <c r="O2210" s="159"/>
      <c r="P2210" s="159" t="e">
        <f>VLOOKUP(bargiri[[#This Row],[شماره سند مبنا]],invoice[[شماره پیش فاکتور]:[پیش دریافت به ازای هر کیلوگرم]],14,0)</f>
        <v>#N/A</v>
      </c>
      <c r="Q2210" s="159" t="e">
        <f>IF(bargiri[[#This Row],[مبلغ ناخالص]]-(bargiri[[#This Row],[نرخ استهلاک]]*bargiri[[#This Row],[مقدار]])&lt;0,0,bargiri[[#This Row],[مبلغ ناخالص]]-(bargiri[[#This Row],[نرخ استهلاک]]*bargiri[[#This Row],[مقدار]]))</f>
        <v>#N/A</v>
      </c>
    </row>
    <row r="2211" spans="1:17" s="22" customFormat="1" ht="13.8" x14ac:dyDescent="0.25">
      <c r="A2211" s="22">
        <v>630</v>
      </c>
      <c r="B2211" s="22" t="s">
        <v>538</v>
      </c>
      <c r="C2211" s="22" t="s">
        <v>47</v>
      </c>
      <c r="D2211" s="22" t="s">
        <v>43</v>
      </c>
      <c r="E2211" s="158">
        <v>20225</v>
      </c>
      <c r="F2211" s="159">
        <v>65000</v>
      </c>
      <c r="G2211" s="159">
        <v>1314625000</v>
      </c>
      <c r="H2211" s="159">
        <v>118316250</v>
      </c>
      <c r="I2211" s="159">
        <v>1432941250</v>
      </c>
      <c r="J2211" s="159" t="e">
        <f>bargiri[[#This Row],[مقدار]]*INDEX(invoice[پیش دریافت به ازای هر کیلوگرم],MATCH(bargiri[[#This Row],[شماره سند مبنا]],invoice[شماره پیش فاکتور],0))</f>
        <v>#N/A</v>
      </c>
      <c r="K2211" s="159" t="e">
        <f>bargiri[[#This Row],[مبلغ خالص]]-bargiri[[#This Row],[میزان استهلاک پیش دریافتی]]</f>
        <v>#N/A</v>
      </c>
      <c r="L2211" s="160"/>
      <c r="M2211" s="159"/>
      <c r="N2211" s="159" t="e">
        <f>IF(bargiri[[#This Row],[مبلغ واریزی]]&lt;&gt;"",bargiri[[#This Row],[مانده مبلغ]]-bargiri[[#This Row],[مبلغ واریزی]],bargiri[[#This Row],[مانده مبلغ]])</f>
        <v>#N/A</v>
      </c>
      <c r="O2211" s="159"/>
      <c r="P2211" s="159" t="e">
        <f>VLOOKUP(bargiri[[#This Row],[شماره سند مبنا]],invoice[[شماره پیش فاکتور]:[پیش دریافت به ازای هر کیلوگرم]],14,0)</f>
        <v>#N/A</v>
      </c>
      <c r="Q2211" s="159" t="e">
        <f>IF(bargiri[[#This Row],[مبلغ ناخالص]]-(bargiri[[#This Row],[نرخ استهلاک]]*bargiri[[#This Row],[مقدار]])&lt;0,0,bargiri[[#This Row],[مبلغ ناخالص]]-(bargiri[[#This Row],[نرخ استهلاک]]*bargiri[[#This Row],[مقدار]]))</f>
        <v>#N/A</v>
      </c>
    </row>
    <row r="2212" spans="1:17" s="22" customFormat="1" ht="13.8" x14ac:dyDescent="0.25">
      <c r="A2212" s="22">
        <v>629</v>
      </c>
      <c r="B2212" s="22" t="s">
        <v>538</v>
      </c>
      <c r="C2212" s="22" t="s">
        <v>19</v>
      </c>
      <c r="D2212" s="22" t="s">
        <v>20</v>
      </c>
      <c r="E2212" s="158">
        <v>19075</v>
      </c>
      <c r="F2212" s="159">
        <v>65000</v>
      </c>
      <c r="G2212" s="159">
        <v>1239875000</v>
      </c>
      <c r="H2212" s="159">
        <v>111588750</v>
      </c>
      <c r="I2212" s="159">
        <v>1351463750</v>
      </c>
      <c r="J2212" s="159" t="e">
        <f>bargiri[[#This Row],[مقدار]]*INDEX(invoice[پیش دریافت به ازای هر کیلوگرم],MATCH(bargiri[[#This Row],[شماره سند مبنا]],invoice[شماره پیش فاکتور],0))</f>
        <v>#N/A</v>
      </c>
      <c r="K2212" s="159" t="e">
        <f>bargiri[[#This Row],[مبلغ خالص]]-bargiri[[#This Row],[میزان استهلاک پیش دریافتی]]</f>
        <v>#N/A</v>
      </c>
      <c r="L2212" s="160"/>
      <c r="M2212" s="159"/>
      <c r="N2212" s="159" t="e">
        <f>IF(bargiri[[#This Row],[مبلغ واریزی]]&lt;&gt;"",bargiri[[#This Row],[مانده مبلغ]]-bargiri[[#This Row],[مبلغ واریزی]],bargiri[[#This Row],[مانده مبلغ]])</f>
        <v>#N/A</v>
      </c>
      <c r="O2212" s="159"/>
      <c r="P2212" s="159" t="e">
        <f>VLOOKUP(bargiri[[#This Row],[شماره سند مبنا]],invoice[[شماره پیش فاکتور]:[پیش دریافت به ازای هر کیلوگرم]],14,0)</f>
        <v>#N/A</v>
      </c>
      <c r="Q2212" s="159" t="e">
        <f>IF(bargiri[[#This Row],[مبلغ ناخالص]]-(bargiri[[#This Row],[نرخ استهلاک]]*bargiri[[#This Row],[مقدار]])&lt;0,0,bargiri[[#This Row],[مبلغ ناخالص]]-(bargiri[[#This Row],[نرخ استهلاک]]*bargiri[[#This Row],[مقدار]]))</f>
        <v>#N/A</v>
      </c>
    </row>
    <row r="2213" spans="1:17" s="22" customFormat="1" ht="13.8" x14ac:dyDescent="0.25">
      <c r="A2213" s="22">
        <v>628</v>
      </c>
      <c r="B2213" s="22" t="s">
        <v>539</v>
      </c>
      <c r="C2213" s="22" t="s">
        <v>47</v>
      </c>
      <c r="D2213" s="22" t="s">
        <v>43</v>
      </c>
      <c r="E2213" s="158">
        <v>20060</v>
      </c>
      <c r="F2213" s="159">
        <v>65000</v>
      </c>
      <c r="G2213" s="159">
        <v>1303900000</v>
      </c>
      <c r="H2213" s="159">
        <v>117351000</v>
      </c>
      <c r="I2213" s="159">
        <v>1421251000</v>
      </c>
      <c r="J2213" s="159" t="e">
        <f>bargiri[[#This Row],[مقدار]]*INDEX(invoice[پیش دریافت به ازای هر کیلوگرم],MATCH(bargiri[[#This Row],[شماره سند مبنا]],invoice[شماره پیش فاکتور],0))</f>
        <v>#N/A</v>
      </c>
      <c r="K2213" s="159" t="e">
        <f>bargiri[[#This Row],[مبلغ خالص]]-bargiri[[#This Row],[میزان استهلاک پیش دریافتی]]</f>
        <v>#N/A</v>
      </c>
      <c r="L2213" s="160"/>
      <c r="M2213" s="159"/>
      <c r="N2213" s="159" t="e">
        <f>IF(bargiri[[#This Row],[مبلغ واریزی]]&lt;&gt;"",bargiri[[#This Row],[مانده مبلغ]]-bargiri[[#This Row],[مبلغ واریزی]],bargiri[[#This Row],[مانده مبلغ]])</f>
        <v>#N/A</v>
      </c>
      <c r="O2213" s="159"/>
      <c r="P2213" s="159" t="e">
        <f>VLOOKUP(bargiri[[#This Row],[شماره سند مبنا]],invoice[[شماره پیش فاکتور]:[پیش دریافت به ازای هر کیلوگرم]],14,0)</f>
        <v>#N/A</v>
      </c>
      <c r="Q2213" s="159" t="e">
        <f>IF(bargiri[[#This Row],[مبلغ ناخالص]]-(bargiri[[#This Row],[نرخ استهلاک]]*bargiri[[#This Row],[مقدار]])&lt;0,0,bargiri[[#This Row],[مبلغ ناخالص]]-(bargiri[[#This Row],[نرخ استهلاک]]*bargiri[[#This Row],[مقدار]]))</f>
        <v>#N/A</v>
      </c>
    </row>
    <row r="2214" spans="1:17" s="22" customFormat="1" ht="13.8" x14ac:dyDescent="0.25">
      <c r="A2214" s="22">
        <v>627</v>
      </c>
      <c r="B2214" s="22" t="s">
        <v>539</v>
      </c>
      <c r="C2214" s="22" t="s">
        <v>66</v>
      </c>
      <c r="D2214" s="22" t="s">
        <v>67</v>
      </c>
      <c r="E2214" s="158">
        <v>20015</v>
      </c>
      <c r="F2214" s="159">
        <v>68500</v>
      </c>
      <c r="G2214" s="159">
        <v>1371027500</v>
      </c>
      <c r="H2214" s="159">
        <v>123392475</v>
      </c>
      <c r="I2214" s="159">
        <v>1494419975</v>
      </c>
      <c r="J2214" s="159" t="e">
        <f>bargiri[[#This Row],[مقدار]]*INDEX(invoice[پیش دریافت به ازای هر کیلوگرم],MATCH(bargiri[[#This Row],[شماره سند مبنا]],invoice[شماره پیش فاکتور],0))</f>
        <v>#N/A</v>
      </c>
      <c r="K2214" s="159" t="e">
        <f>bargiri[[#This Row],[مبلغ خالص]]-bargiri[[#This Row],[میزان استهلاک پیش دریافتی]]</f>
        <v>#N/A</v>
      </c>
      <c r="L2214" s="160"/>
      <c r="M2214" s="159"/>
      <c r="N2214" s="159" t="e">
        <f>IF(bargiri[[#This Row],[مبلغ واریزی]]&lt;&gt;"",bargiri[[#This Row],[مانده مبلغ]]-bargiri[[#This Row],[مبلغ واریزی]],bargiri[[#This Row],[مانده مبلغ]])</f>
        <v>#N/A</v>
      </c>
      <c r="O2214" s="159"/>
      <c r="P2214" s="159" t="e">
        <f>VLOOKUP(bargiri[[#This Row],[شماره سند مبنا]],invoice[[شماره پیش فاکتور]:[پیش دریافت به ازای هر کیلوگرم]],14,0)</f>
        <v>#N/A</v>
      </c>
      <c r="Q2214" s="159" t="e">
        <f>IF(bargiri[[#This Row],[مبلغ ناخالص]]-(bargiri[[#This Row],[نرخ استهلاک]]*bargiri[[#This Row],[مقدار]])&lt;0,0,bargiri[[#This Row],[مبلغ ناخالص]]-(bargiri[[#This Row],[نرخ استهلاک]]*bargiri[[#This Row],[مقدار]]))</f>
        <v>#N/A</v>
      </c>
    </row>
    <row r="2215" spans="1:17" s="22" customFormat="1" ht="13.8" x14ac:dyDescent="0.25">
      <c r="A2215" s="22">
        <v>626</v>
      </c>
      <c r="B2215" s="22" t="s">
        <v>539</v>
      </c>
      <c r="C2215" s="22" t="s">
        <v>97</v>
      </c>
      <c r="D2215" s="22" t="s">
        <v>40</v>
      </c>
      <c r="E2215" s="158">
        <v>18005</v>
      </c>
      <c r="F2215" s="159">
        <v>85000</v>
      </c>
      <c r="G2215" s="159">
        <v>1530425000</v>
      </c>
      <c r="H2215" s="159">
        <v>153042500</v>
      </c>
      <c r="I2215" s="159">
        <v>1683467500</v>
      </c>
      <c r="J2215" s="159" t="e">
        <f>bargiri[[#This Row],[مقدار]]*INDEX(invoice[پیش دریافت به ازای هر کیلوگرم],MATCH(bargiri[[#This Row],[شماره سند مبنا]],invoice[شماره پیش فاکتور],0))</f>
        <v>#N/A</v>
      </c>
      <c r="K2215" s="159" t="e">
        <f>bargiri[[#This Row],[مبلغ خالص]]-bargiri[[#This Row],[میزان استهلاک پیش دریافتی]]</f>
        <v>#N/A</v>
      </c>
      <c r="L2215" s="160"/>
      <c r="M2215" s="159"/>
      <c r="N2215" s="159" t="e">
        <f>IF(bargiri[[#This Row],[مبلغ واریزی]]&lt;&gt;"",bargiri[[#This Row],[مانده مبلغ]]-bargiri[[#This Row],[مبلغ واریزی]],bargiri[[#This Row],[مانده مبلغ]])</f>
        <v>#N/A</v>
      </c>
      <c r="O2215" s="159"/>
      <c r="P2215" s="159" t="e">
        <f>VLOOKUP(bargiri[[#This Row],[شماره سند مبنا]],invoice[[شماره پیش فاکتور]:[پیش دریافت به ازای هر کیلوگرم]],14,0)</f>
        <v>#N/A</v>
      </c>
      <c r="Q2215" s="159" t="e">
        <f>IF(bargiri[[#This Row],[مبلغ ناخالص]]-(bargiri[[#This Row],[نرخ استهلاک]]*bargiri[[#This Row],[مقدار]])&lt;0,0,bargiri[[#This Row],[مبلغ ناخالص]]-(bargiri[[#This Row],[نرخ استهلاک]]*bargiri[[#This Row],[مقدار]]))</f>
        <v>#N/A</v>
      </c>
    </row>
    <row r="2216" spans="1:17" s="22" customFormat="1" ht="13.8" x14ac:dyDescent="0.25">
      <c r="A2216" s="22">
        <v>625</v>
      </c>
      <c r="B2216" s="22" t="s">
        <v>539</v>
      </c>
      <c r="C2216" s="22" t="s">
        <v>84</v>
      </c>
      <c r="D2216" s="22" t="s">
        <v>51</v>
      </c>
      <c r="E2216" s="158">
        <v>23380</v>
      </c>
      <c r="F2216" s="159">
        <v>70000</v>
      </c>
      <c r="G2216" s="159">
        <v>1636600000</v>
      </c>
      <c r="H2216" s="159">
        <v>163660000</v>
      </c>
      <c r="I2216" s="159">
        <v>1800260000</v>
      </c>
      <c r="J2216" s="159" t="e">
        <f>bargiri[[#This Row],[مقدار]]*INDEX(invoice[پیش دریافت به ازای هر کیلوگرم],MATCH(bargiri[[#This Row],[شماره سند مبنا]],invoice[شماره پیش فاکتور],0))</f>
        <v>#N/A</v>
      </c>
      <c r="K2216" s="159" t="e">
        <f>bargiri[[#This Row],[مبلغ خالص]]-bargiri[[#This Row],[میزان استهلاک پیش دریافتی]]</f>
        <v>#N/A</v>
      </c>
      <c r="L2216" s="160"/>
      <c r="M2216" s="159"/>
      <c r="N2216" s="159" t="e">
        <f>IF(bargiri[[#This Row],[مبلغ واریزی]]&lt;&gt;"",bargiri[[#This Row],[مانده مبلغ]]-bargiri[[#This Row],[مبلغ واریزی]],bargiri[[#This Row],[مانده مبلغ]])</f>
        <v>#N/A</v>
      </c>
      <c r="O2216" s="159"/>
      <c r="P2216" s="159" t="e">
        <f>VLOOKUP(bargiri[[#This Row],[شماره سند مبنا]],invoice[[شماره پیش فاکتور]:[پیش دریافت به ازای هر کیلوگرم]],14,0)</f>
        <v>#N/A</v>
      </c>
      <c r="Q2216" s="159" t="e">
        <f>IF(bargiri[[#This Row],[مبلغ ناخالص]]-(bargiri[[#This Row],[نرخ استهلاک]]*bargiri[[#This Row],[مقدار]])&lt;0,0,bargiri[[#This Row],[مبلغ ناخالص]]-(bargiri[[#This Row],[نرخ استهلاک]]*bargiri[[#This Row],[مقدار]]))</f>
        <v>#N/A</v>
      </c>
    </row>
    <row r="2217" spans="1:17" s="22" customFormat="1" ht="13.8" x14ac:dyDescent="0.25">
      <c r="A2217" s="22">
        <v>624</v>
      </c>
      <c r="B2217" s="22" t="s">
        <v>539</v>
      </c>
      <c r="C2217" s="22" t="s">
        <v>16</v>
      </c>
      <c r="D2217" s="22" t="s">
        <v>17</v>
      </c>
      <c r="E2217" s="158">
        <v>21805</v>
      </c>
      <c r="F2217" s="159">
        <v>77000</v>
      </c>
      <c r="G2217" s="159">
        <v>1678985000</v>
      </c>
      <c r="H2217" s="159">
        <v>151108650</v>
      </c>
      <c r="I2217" s="159">
        <v>1830093650</v>
      </c>
      <c r="J2217" s="159" t="e">
        <f>bargiri[[#This Row],[مقدار]]*INDEX(invoice[پیش دریافت به ازای هر کیلوگرم],MATCH(bargiri[[#This Row],[شماره سند مبنا]],invoice[شماره پیش فاکتور],0))</f>
        <v>#N/A</v>
      </c>
      <c r="K2217" s="159" t="e">
        <f>bargiri[[#This Row],[مبلغ خالص]]-bargiri[[#This Row],[میزان استهلاک پیش دریافتی]]</f>
        <v>#N/A</v>
      </c>
      <c r="L2217" s="160"/>
      <c r="M2217" s="159"/>
      <c r="N2217" s="159" t="e">
        <f>IF(bargiri[[#This Row],[مبلغ واریزی]]&lt;&gt;"",bargiri[[#This Row],[مانده مبلغ]]-bargiri[[#This Row],[مبلغ واریزی]],bargiri[[#This Row],[مانده مبلغ]])</f>
        <v>#N/A</v>
      </c>
      <c r="O2217" s="159"/>
      <c r="P2217" s="159" t="e">
        <f>VLOOKUP(bargiri[[#This Row],[شماره سند مبنا]],invoice[[شماره پیش فاکتور]:[پیش دریافت به ازای هر کیلوگرم]],14,0)</f>
        <v>#N/A</v>
      </c>
      <c r="Q2217" s="159" t="e">
        <f>IF(bargiri[[#This Row],[مبلغ ناخالص]]-(bargiri[[#This Row],[نرخ استهلاک]]*bargiri[[#This Row],[مقدار]])&lt;0,0,bargiri[[#This Row],[مبلغ ناخالص]]-(bargiri[[#This Row],[نرخ استهلاک]]*bargiri[[#This Row],[مقدار]]))</f>
        <v>#N/A</v>
      </c>
    </row>
    <row r="2218" spans="1:17" s="22" customFormat="1" ht="13.8" x14ac:dyDescent="0.25">
      <c r="A2218" s="22">
        <v>623</v>
      </c>
      <c r="B2218" s="22" t="s">
        <v>539</v>
      </c>
      <c r="C2218" s="22" t="s">
        <v>19</v>
      </c>
      <c r="D2218" s="22" t="s">
        <v>20</v>
      </c>
      <c r="E2218" s="158">
        <v>18515</v>
      </c>
      <c r="F2218" s="159">
        <v>65000</v>
      </c>
      <c r="G2218" s="159">
        <v>1203475000</v>
      </c>
      <c r="H2218" s="159">
        <v>108312750</v>
      </c>
      <c r="I2218" s="159">
        <v>1311787750</v>
      </c>
      <c r="J2218" s="159" t="e">
        <f>bargiri[[#This Row],[مقدار]]*INDEX(invoice[پیش دریافت به ازای هر کیلوگرم],MATCH(bargiri[[#This Row],[شماره سند مبنا]],invoice[شماره پیش فاکتور],0))</f>
        <v>#N/A</v>
      </c>
      <c r="K2218" s="159" t="e">
        <f>bargiri[[#This Row],[مبلغ خالص]]-bargiri[[#This Row],[میزان استهلاک پیش دریافتی]]</f>
        <v>#N/A</v>
      </c>
      <c r="L2218" s="160"/>
      <c r="M2218" s="159"/>
      <c r="N2218" s="159" t="e">
        <f>IF(bargiri[[#This Row],[مبلغ واریزی]]&lt;&gt;"",bargiri[[#This Row],[مانده مبلغ]]-bargiri[[#This Row],[مبلغ واریزی]],bargiri[[#This Row],[مانده مبلغ]])</f>
        <v>#N/A</v>
      </c>
      <c r="O2218" s="159"/>
      <c r="P2218" s="159" t="e">
        <f>VLOOKUP(bargiri[[#This Row],[شماره سند مبنا]],invoice[[شماره پیش فاکتور]:[پیش دریافت به ازای هر کیلوگرم]],14,0)</f>
        <v>#N/A</v>
      </c>
      <c r="Q2218" s="159" t="e">
        <f>IF(bargiri[[#This Row],[مبلغ ناخالص]]-(bargiri[[#This Row],[نرخ استهلاک]]*bargiri[[#This Row],[مقدار]])&lt;0,0,bargiri[[#This Row],[مبلغ ناخالص]]-(bargiri[[#This Row],[نرخ استهلاک]]*bargiri[[#This Row],[مقدار]]))</f>
        <v>#N/A</v>
      </c>
    </row>
    <row r="2219" spans="1:17" s="22" customFormat="1" ht="13.8" x14ac:dyDescent="0.25">
      <c r="A2219" s="22">
        <v>622</v>
      </c>
      <c r="B2219" s="22" t="s">
        <v>540</v>
      </c>
      <c r="C2219" s="22" t="s">
        <v>66</v>
      </c>
      <c r="D2219" s="22" t="s">
        <v>67</v>
      </c>
      <c r="E2219" s="158">
        <v>20160</v>
      </c>
      <c r="F2219" s="159">
        <v>68500</v>
      </c>
      <c r="G2219" s="159">
        <v>1380960000</v>
      </c>
      <c r="H2219" s="159">
        <v>124286400</v>
      </c>
      <c r="I2219" s="159">
        <v>1505246400</v>
      </c>
      <c r="J2219" s="159" t="e">
        <f>bargiri[[#This Row],[مقدار]]*INDEX(invoice[پیش دریافت به ازای هر کیلوگرم],MATCH(bargiri[[#This Row],[شماره سند مبنا]],invoice[شماره پیش فاکتور],0))</f>
        <v>#N/A</v>
      </c>
      <c r="K2219" s="159" t="e">
        <f>bargiri[[#This Row],[مبلغ خالص]]-bargiri[[#This Row],[میزان استهلاک پیش دریافتی]]</f>
        <v>#N/A</v>
      </c>
      <c r="L2219" s="160"/>
      <c r="M2219" s="159"/>
      <c r="N2219" s="159" t="e">
        <f>IF(bargiri[[#This Row],[مبلغ واریزی]]&lt;&gt;"",bargiri[[#This Row],[مانده مبلغ]]-bargiri[[#This Row],[مبلغ واریزی]],bargiri[[#This Row],[مانده مبلغ]])</f>
        <v>#N/A</v>
      </c>
      <c r="O2219" s="159"/>
      <c r="P2219" s="159" t="e">
        <f>VLOOKUP(bargiri[[#This Row],[شماره سند مبنا]],invoice[[شماره پیش فاکتور]:[پیش دریافت به ازای هر کیلوگرم]],14,0)</f>
        <v>#N/A</v>
      </c>
      <c r="Q2219" s="159" t="e">
        <f>IF(bargiri[[#This Row],[مبلغ ناخالص]]-(bargiri[[#This Row],[نرخ استهلاک]]*bargiri[[#This Row],[مقدار]])&lt;0,0,bargiri[[#This Row],[مبلغ ناخالص]]-(bargiri[[#This Row],[نرخ استهلاک]]*bargiri[[#This Row],[مقدار]]))</f>
        <v>#N/A</v>
      </c>
    </row>
    <row r="2220" spans="1:17" s="22" customFormat="1" ht="13.8" x14ac:dyDescent="0.25">
      <c r="A2220" s="22">
        <v>621</v>
      </c>
      <c r="B2220" s="22" t="s">
        <v>540</v>
      </c>
      <c r="C2220" s="22" t="s">
        <v>29</v>
      </c>
      <c r="D2220" s="22" t="s">
        <v>30</v>
      </c>
      <c r="E2220" s="158">
        <v>11235</v>
      </c>
      <c r="F2220" s="159">
        <v>70000</v>
      </c>
      <c r="G2220" s="159">
        <v>786450000</v>
      </c>
      <c r="H2220" s="159">
        <v>78645000</v>
      </c>
      <c r="I2220" s="159">
        <v>865095000</v>
      </c>
      <c r="J2220" s="159" t="e">
        <f>bargiri[[#This Row],[مقدار]]*INDEX(invoice[پیش دریافت به ازای هر کیلوگرم],MATCH(bargiri[[#This Row],[شماره سند مبنا]],invoice[شماره پیش فاکتور],0))</f>
        <v>#N/A</v>
      </c>
      <c r="K2220" s="159" t="e">
        <f>bargiri[[#This Row],[مبلغ خالص]]-bargiri[[#This Row],[میزان استهلاک پیش دریافتی]]</f>
        <v>#N/A</v>
      </c>
      <c r="L2220" s="160"/>
      <c r="M2220" s="159"/>
      <c r="N2220" s="159" t="e">
        <f>IF(bargiri[[#This Row],[مبلغ واریزی]]&lt;&gt;"",bargiri[[#This Row],[مانده مبلغ]]-bargiri[[#This Row],[مبلغ واریزی]],bargiri[[#This Row],[مانده مبلغ]])</f>
        <v>#N/A</v>
      </c>
      <c r="O2220" s="159"/>
      <c r="P2220" s="159" t="e">
        <f>VLOOKUP(bargiri[[#This Row],[شماره سند مبنا]],invoice[[شماره پیش فاکتور]:[پیش دریافت به ازای هر کیلوگرم]],14,0)</f>
        <v>#N/A</v>
      </c>
      <c r="Q2220" s="159" t="e">
        <f>IF(bargiri[[#This Row],[مبلغ ناخالص]]-(bargiri[[#This Row],[نرخ استهلاک]]*bargiri[[#This Row],[مقدار]])&lt;0,0,bargiri[[#This Row],[مبلغ ناخالص]]-(bargiri[[#This Row],[نرخ استهلاک]]*bargiri[[#This Row],[مقدار]]))</f>
        <v>#N/A</v>
      </c>
    </row>
    <row r="2221" spans="1:17" s="22" customFormat="1" ht="13.8" x14ac:dyDescent="0.25">
      <c r="A2221" s="22">
        <v>620</v>
      </c>
      <c r="B2221" s="22" t="s">
        <v>540</v>
      </c>
      <c r="C2221" s="22" t="s">
        <v>24</v>
      </c>
      <c r="D2221" s="22" t="s">
        <v>25</v>
      </c>
      <c r="E2221" s="158">
        <v>21055</v>
      </c>
      <c r="F2221" s="159">
        <v>68000</v>
      </c>
      <c r="G2221" s="159">
        <v>1431740000</v>
      </c>
      <c r="H2221" s="159">
        <v>128856600</v>
      </c>
      <c r="I2221" s="159">
        <v>1560596600</v>
      </c>
      <c r="J2221" s="159" t="e">
        <f>bargiri[[#This Row],[مقدار]]*INDEX(invoice[پیش دریافت به ازای هر کیلوگرم],MATCH(bargiri[[#This Row],[شماره سند مبنا]],invoice[شماره پیش فاکتور],0))</f>
        <v>#N/A</v>
      </c>
      <c r="K2221" s="159" t="e">
        <f>bargiri[[#This Row],[مبلغ خالص]]-bargiri[[#This Row],[میزان استهلاک پیش دریافتی]]</f>
        <v>#N/A</v>
      </c>
      <c r="L2221" s="160"/>
      <c r="M2221" s="159"/>
      <c r="N2221" s="159" t="e">
        <f>IF(bargiri[[#This Row],[مبلغ واریزی]]&lt;&gt;"",bargiri[[#This Row],[مانده مبلغ]]-bargiri[[#This Row],[مبلغ واریزی]],bargiri[[#This Row],[مانده مبلغ]])</f>
        <v>#N/A</v>
      </c>
      <c r="O2221" s="159"/>
      <c r="P2221" s="159" t="e">
        <f>VLOOKUP(bargiri[[#This Row],[شماره سند مبنا]],invoice[[شماره پیش فاکتور]:[پیش دریافت به ازای هر کیلوگرم]],14,0)</f>
        <v>#N/A</v>
      </c>
      <c r="Q2221" s="159" t="e">
        <f>IF(bargiri[[#This Row],[مبلغ ناخالص]]-(bargiri[[#This Row],[نرخ استهلاک]]*bargiri[[#This Row],[مقدار]])&lt;0,0,bargiri[[#This Row],[مبلغ ناخالص]]-(bargiri[[#This Row],[نرخ استهلاک]]*bargiri[[#This Row],[مقدار]]))</f>
        <v>#N/A</v>
      </c>
    </row>
    <row r="2222" spans="1:17" s="22" customFormat="1" ht="13.8" x14ac:dyDescent="0.25">
      <c r="A2222" s="22">
        <v>619</v>
      </c>
      <c r="B2222" s="22" t="s">
        <v>540</v>
      </c>
      <c r="C2222" s="22" t="s">
        <v>69</v>
      </c>
      <c r="D2222" s="22" t="s">
        <v>70</v>
      </c>
      <c r="E2222" s="158">
        <v>19860</v>
      </c>
      <c r="F2222" s="159">
        <v>70000</v>
      </c>
      <c r="G2222" s="159">
        <v>1390200000</v>
      </c>
      <c r="H2222" s="159">
        <v>125118000</v>
      </c>
      <c r="I2222" s="159">
        <v>1515318000</v>
      </c>
      <c r="J2222" s="159" t="e">
        <f>bargiri[[#This Row],[مقدار]]*INDEX(invoice[پیش دریافت به ازای هر کیلوگرم],MATCH(bargiri[[#This Row],[شماره سند مبنا]],invoice[شماره پیش فاکتور],0))</f>
        <v>#N/A</v>
      </c>
      <c r="K2222" s="159" t="e">
        <f>bargiri[[#This Row],[مبلغ خالص]]-bargiri[[#This Row],[میزان استهلاک پیش دریافتی]]</f>
        <v>#N/A</v>
      </c>
      <c r="L2222" s="160"/>
      <c r="M2222" s="159"/>
      <c r="N2222" s="159" t="e">
        <f>IF(bargiri[[#This Row],[مبلغ واریزی]]&lt;&gt;"",bargiri[[#This Row],[مانده مبلغ]]-bargiri[[#This Row],[مبلغ واریزی]],bargiri[[#This Row],[مانده مبلغ]])</f>
        <v>#N/A</v>
      </c>
      <c r="O2222" s="159"/>
      <c r="P2222" s="159" t="e">
        <f>VLOOKUP(bargiri[[#This Row],[شماره سند مبنا]],invoice[[شماره پیش فاکتور]:[پیش دریافت به ازای هر کیلوگرم]],14,0)</f>
        <v>#N/A</v>
      </c>
      <c r="Q2222" s="159" t="e">
        <f>IF(bargiri[[#This Row],[مبلغ ناخالص]]-(bargiri[[#This Row],[نرخ استهلاک]]*bargiri[[#This Row],[مقدار]])&lt;0,0,bargiri[[#This Row],[مبلغ ناخالص]]-(bargiri[[#This Row],[نرخ استهلاک]]*bargiri[[#This Row],[مقدار]]))</f>
        <v>#N/A</v>
      </c>
    </row>
    <row r="2223" spans="1:17" s="22" customFormat="1" ht="13.8" x14ac:dyDescent="0.25">
      <c r="A2223" s="22">
        <v>618</v>
      </c>
      <c r="B2223" s="22" t="s">
        <v>540</v>
      </c>
      <c r="C2223" s="22" t="s">
        <v>99</v>
      </c>
      <c r="D2223" s="22" t="s">
        <v>64</v>
      </c>
      <c r="E2223" s="158">
        <v>21460</v>
      </c>
      <c r="F2223" s="159">
        <v>75000</v>
      </c>
      <c r="G2223" s="159">
        <v>1609500000</v>
      </c>
      <c r="H2223" s="159">
        <v>160950000</v>
      </c>
      <c r="I2223" s="159">
        <v>1770450000</v>
      </c>
      <c r="J2223" s="159" t="e">
        <f>bargiri[[#This Row],[مقدار]]*INDEX(invoice[پیش دریافت به ازای هر کیلوگرم],MATCH(bargiri[[#This Row],[شماره سند مبنا]],invoice[شماره پیش فاکتور],0))</f>
        <v>#N/A</v>
      </c>
      <c r="K2223" s="159" t="e">
        <f>bargiri[[#This Row],[مبلغ خالص]]-bargiri[[#This Row],[میزان استهلاک پیش دریافتی]]</f>
        <v>#N/A</v>
      </c>
      <c r="L2223" s="160"/>
      <c r="M2223" s="159"/>
      <c r="N2223" s="159" t="e">
        <f>IF(bargiri[[#This Row],[مبلغ واریزی]]&lt;&gt;"",bargiri[[#This Row],[مانده مبلغ]]-bargiri[[#This Row],[مبلغ واریزی]],bargiri[[#This Row],[مانده مبلغ]])</f>
        <v>#N/A</v>
      </c>
      <c r="O2223" s="159"/>
      <c r="P2223" s="159" t="e">
        <f>VLOOKUP(bargiri[[#This Row],[شماره سند مبنا]],invoice[[شماره پیش فاکتور]:[پیش دریافت به ازای هر کیلوگرم]],14,0)</f>
        <v>#N/A</v>
      </c>
      <c r="Q2223" s="159" t="e">
        <f>IF(bargiri[[#This Row],[مبلغ ناخالص]]-(bargiri[[#This Row],[نرخ استهلاک]]*bargiri[[#This Row],[مقدار]])&lt;0,0,bargiri[[#This Row],[مبلغ ناخالص]]-(bargiri[[#This Row],[نرخ استهلاک]]*bargiri[[#This Row],[مقدار]]))</f>
        <v>#N/A</v>
      </c>
    </row>
    <row r="2224" spans="1:17" s="22" customFormat="1" ht="13.8" x14ac:dyDescent="0.25">
      <c r="A2224" s="22">
        <v>617</v>
      </c>
      <c r="B2224" s="22" t="s">
        <v>540</v>
      </c>
      <c r="C2224" s="22" t="s">
        <v>19</v>
      </c>
      <c r="D2224" s="22" t="s">
        <v>20</v>
      </c>
      <c r="E2224" s="158">
        <v>19225</v>
      </c>
      <c r="F2224" s="159">
        <v>65000</v>
      </c>
      <c r="G2224" s="159">
        <v>1249625000</v>
      </c>
      <c r="H2224" s="159">
        <v>112466250</v>
      </c>
      <c r="I2224" s="159">
        <v>1362091250</v>
      </c>
      <c r="J2224" s="159" t="e">
        <f>bargiri[[#This Row],[مقدار]]*INDEX(invoice[پیش دریافت به ازای هر کیلوگرم],MATCH(bargiri[[#This Row],[شماره سند مبنا]],invoice[شماره پیش فاکتور],0))</f>
        <v>#N/A</v>
      </c>
      <c r="K2224" s="159" t="e">
        <f>bargiri[[#This Row],[مبلغ خالص]]-bargiri[[#This Row],[میزان استهلاک پیش دریافتی]]</f>
        <v>#N/A</v>
      </c>
      <c r="L2224" s="160"/>
      <c r="M2224" s="159"/>
      <c r="N2224" s="159" t="e">
        <f>IF(bargiri[[#This Row],[مبلغ واریزی]]&lt;&gt;"",bargiri[[#This Row],[مانده مبلغ]]-bargiri[[#This Row],[مبلغ واریزی]],bargiri[[#This Row],[مانده مبلغ]])</f>
        <v>#N/A</v>
      </c>
      <c r="O2224" s="159"/>
      <c r="P2224" s="159" t="e">
        <f>VLOOKUP(bargiri[[#This Row],[شماره سند مبنا]],invoice[[شماره پیش فاکتور]:[پیش دریافت به ازای هر کیلوگرم]],14,0)</f>
        <v>#N/A</v>
      </c>
      <c r="Q2224" s="159" t="e">
        <f>IF(bargiri[[#This Row],[مبلغ ناخالص]]-(bargiri[[#This Row],[نرخ استهلاک]]*bargiri[[#This Row],[مقدار]])&lt;0,0,bargiri[[#This Row],[مبلغ ناخالص]]-(bargiri[[#This Row],[نرخ استهلاک]]*bargiri[[#This Row],[مقدار]]))</f>
        <v>#N/A</v>
      </c>
    </row>
    <row r="2225" spans="1:17" s="22" customFormat="1" ht="13.8" x14ac:dyDescent="0.25">
      <c r="A2225" s="22">
        <v>616</v>
      </c>
      <c r="B2225" s="22" t="s">
        <v>541</v>
      </c>
      <c r="C2225" s="22" t="s">
        <v>66</v>
      </c>
      <c r="D2225" s="22" t="s">
        <v>67</v>
      </c>
      <c r="E2225" s="158">
        <v>7545</v>
      </c>
      <c r="F2225" s="159">
        <v>68500</v>
      </c>
      <c r="G2225" s="159">
        <v>516832500</v>
      </c>
      <c r="H2225" s="159">
        <v>46514925</v>
      </c>
      <c r="I2225" s="159">
        <v>563347425</v>
      </c>
      <c r="J2225" s="159" t="e">
        <f>bargiri[[#This Row],[مقدار]]*INDEX(invoice[پیش دریافت به ازای هر کیلوگرم],MATCH(bargiri[[#This Row],[شماره سند مبنا]],invoice[شماره پیش فاکتور],0))</f>
        <v>#N/A</v>
      </c>
      <c r="K2225" s="159" t="e">
        <f>bargiri[[#This Row],[مبلغ خالص]]-bargiri[[#This Row],[میزان استهلاک پیش دریافتی]]</f>
        <v>#N/A</v>
      </c>
      <c r="L2225" s="160"/>
      <c r="M2225" s="159"/>
      <c r="N2225" s="159" t="e">
        <f>IF(bargiri[[#This Row],[مبلغ واریزی]]&lt;&gt;"",bargiri[[#This Row],[مانده مبلغ]]-bargiri[[#This Row],[مبلغ واریزی]],bargiri[[#This Row],[مانده مبلغ]])</f>
        <v>#N/A</v>
      </c>
      <c r="O2225" s="159"/>
      <c r="P2225" s="159" t="e">
        <f>VLOOKUP(bargiri[[#This Row],[شماره سند مبنا]],invoice[[شماره پیش فاکتور]:[پیش دریافت به ازای هر کیلوگرم]],14,0)</f>
        <v>#N/A</v>
      </c>
      <c r="Q2225" s="159" t="e">
        <f>IF(bargiri[[#This Row],[مبلغ ناخالص]]-(bargiri[[#This Row],[نرخ استهلاک]]*bargiri[[#This Row],[مقدار]])&lt;0,0,bargiri[[#This Row],[مبلغ ناخالص]]-(bargiri[[#This Row],[نرخ استهلاک]]*bargiri[[#This Row],[مقدار]]))</f>
        <v>#N/A</v>
      </c>
    </row>
    <row r="2226" spans="1:17" s="22" customFormat="1" ht="13.8" x14ac:dyDescent="0.25">
      <c r="A2226" s="22">
        <v>615</v>
      </c>
      <c r="B2226" s="22" t="s">
        <v>541</v>
      </c>
      <c r="C2226" s="22" t="s">
        <v>19</v>
      </c>
      <c r="D2226" s="22" t="s">
        <v>20</v>
      </c>
      <c r="E2226" s="158">
        <v>17850</v>
      </c>
      <c r="F2226" s="159">
        <v>65000</v>
      </c>
      <c r="G2226" s="159">
        <v>1160250000</v>
      </c>
      <c r="H2226" s="159">
        <v>104422500</v>
      </c>
      <c r="I2226" s="159">
        <v>1264672500</v>
      </c>
      <c r="J2226" s="159" t="e">
        <f>bargiri[[#This Row],[مقدار]]*INDEX(invoice[پیش دریافت به ازای هر کیلوگرم],MATCH(bargiri[[#This Row],[شماره سند مبنا]],invoice[شماره پیش فاکتور],0))</f>
        <v>#N/A</v>
      </c>
      <c r="K2226" s="159" t="e">
        <f>bargiri[[#This Row],[مبلغ خالص]]-bargiri[[#This Row],[میزان استهلاک پیش دریافتی]]</f>
        <v>#N/A</v>
      </c>
      <c r="L2226" s="160"/>
      <c r="M2226" s="159"/>
      <c r="N2226" s="159" t="e">
        <f>IF(bargiri[[#This Row],[مبلغ واریزی]]&lt;&gt;"",bargiri[[#This Row],[مانده مبلغ]]-bargiri[[#This Row],[مبلغ واریزی]],bargiri[[#This Row],[مانده مبلغ]])</f>
        <v>#N/A</v>
      </c>
      <c r="O2226" s="159"/>
      <c r="P2226" s="159" t="e">
        <f>VLOOKUP(bargiri[[#This Row],[شماره سند مبنا]],invoice[[شماره پیش فاکتور]:[پیش دریافت به ازای هر کیلوگرم]],14,0)</f>
        <v>#N/A</v>
      </c>
      <c r="Q2226" s="159" t="e">
        <f>IF(bargiri[[#This Row],[مبلغ ناخالص]]-(bargiri[[#This Row],[نرخ استهلاک]]*bargiri[[#This Row],[مقدار]])&lt;0,0,bargiri[[#This Row],[مبلغ ناخالص]]-(bargiri[[#This Row],[نرخ استهلاک]]*bargiri[[#This Row],[مقدار]]))</f>
        <v>#N/A</v>
      </c>
    </row>
    <row r="2227" spans="1:17" s="22" customFormat="1" ht="13.8" x14ac:dyDescent="0.25">
      <c r="A2227" s="22">
        <v>614</v>
      </c>
      <c r="B2227" s="22" t="s">
        <v>541</v>
      </c>
      <c r="C2227" s="22" t="s">
        <v>66</v>
      </c>
      <c r="D2227" s="22" t="s">
        <v>67</v>
      </c>
      <c r="E2227" s="158">
        <v>20940</v>
      </c>
      <c r="F2227" s="159">
        <v>68500</v>
      </c>
      <c r="G2227" s="159">
        <v>1434390000</v>
      </c>
      <c r="H2227" s="159">
        <v>129095100</v>
      </c>
      <c r="I2227" s="159">
        <v>1563485100</v>
      </c>
      <c r="J2227" s="159" t="e">
        <f>bargiri[[#This Row],[مقدار]]*INDEX(invoice[پیش دریافت به ازای هر کیلوگرم],MATCH(bargiri[[#This Row],[شماره سند مبنا]],invoice[شماره پیش فاکتور],0))</f>
        <v>#N/A</v>
      </c>
      <c r="K2227" s="159" t="e">
        <f>bargiri[[#This Row],[مبلغ خالص]]-bargiri[[#This Row],[میزان استهلاک پیش دریافتی]]</f>
        <v>#N/A</v>
      </c>
      <c r="L2227" s="160"/>
      <c r="M2227" s="159"/>
      <c r="N2227" s="159" t="e">
        <f>IF(bargiri[[#This Row],[مبلغ واریزی]]&lt;&gt;"",bargiri[[#This Row],[مانده مبلغ]]-bargiri[[#This Row],[مبلغ واریزی]],bargiri[[#This Row],[مانده مبلغ]])</f>
        <v>#N/A</v>
      </c>
      <c r="O2227" s="159"/>
      <c r="P2227" s="159" t="e">
        <f>VLOOKUP(bargiri[[#This Row],[شماره سند مبنا]],invoice[[شماره پیش فاکتور]:[پیش دریافت به ازای هر کیلوگرم]],14,0)</f>
        <v>#N/A</v>
      </c>
      <c r="Q2227" s="159" t="e">
        <f>IF(bargiri[[#This Row],[مبلغ ناخالص]]-(bargiri[[#This Row],[نرخ استهلاک]]*bargiri[[#This Row],[مقدار]])&lt;0,0,bargiri[[#This Row],[مبلغ ناخالص]]-(bargiri[[#This Row],[نرخ استهلاک]]*bargiri[[#This Row],[مقدار]]))</f>
        <v>#N/A</v>
      </c>
    </row>
    <row r="2228" spans="1:17" s="22" customFormat="1" ht="13.8" x14ac:dyDescent="0.25">
      <c r="A2228" s="22">
        <v>613</v>
      </c>
      <c r="B2228" s="22" t="s">
        <v>541</v>
      </c>
      <c r="C2228" s="22" t="s">
        <v>47</v>
      </c>
      <c r="D2228" s="22" t="s">
        <v>43</v>
      </c>
      <c r="E2228" s="158">
        <v>19965</v>
      </c>
      <c r="F2228" s="159">
        <v>65000</v>
      </c>
      <c r="G2228" s="159">
        <v>1297725000</v>
      </c>
      <c r="H2228" s="159">
        <v>116795250</v>
      </c>
      <c r="I2228" s="159">
        <v>1414520250</v>
      </c>
      <c r="J2228" s="159" t="e">
        <f>bargiri[[#This Row],[مقدار]]*INDEX(invoice[پیش دریافت به ازای هر کیلوگرم],MATCH(bargiri[[#This Row],[شماره سند مبنا]],invoice[شماره پیش فاکتور],0))</f>
        <v>#N/A</v>
      </c>
      <c r="K2228" s="159" t="e">
        <f>bargiri[[#This Row],[مبلغ خالص]]-bargiri[[#This Row],[میزان استهلاک پیش دریافتی]]</f>
        <v>#N/A</v>
      </c>
      <c r="L2228" s="160"/>
      <c r="M2228" s="159"/>
      <c r="N2228" s="159" t="e">
        <f>IF(bargiri[[#This Row],[مبلغ واریزی]]&lt;&gt;"",bargiri[[#This Row],[مانده مبلغ]]-bargiri[[#This Row],[مبلغ واریزی]],bargiri[[#This Row],[مانده مبلغ]])</f>
        <v>#N/A</v>
      </c>
      <c r="O2228" s="159"/>
      <c r="P2228" s="159" t="e">
        <f>VLOOKUP(bargiri[[#This Row],[شماره سند مبنا]],invoice[[شماره پیش فاکتور]:[پیش دریافت به ازای هر کیلوگرم]],14,0)</f>
        <v>#N/A</v>
      </c>
      <c r="Q2228" s="159" t="e">
        <f>IF(bargiri[[#This Row],[مبلغ ناخالص]]-(bargiri[[#This Row],[نرخ استهلاک]]*bargiri[[#This Row],[مقدار]])&lt;0,0,bargiri[[#This Row],[مبلغ ناخالص]]-(bargiri[[#This Row],[نرخ استهلاک]]*bargiri[[#This Row],[مقدار]]))</f>
        <v>#N/A</v>
      </c>
    </row>
    <row r="2229" spans="1:17" s="22" customFormat="1" ht="13.8" x14ac:dyDescent="0.25">
      <c r="A2229" s="22">
        <v>612</v>
      </c>
      <c r="B2229" s="22" t="s">
        <v>541</v>
      </c>
      <c r="C2229" s="22" t="s">
        <v>75</v>
      </c>
      <c r="D2229" s="22" t="s">
        <v>73</v>
      </c>
      <c r="E2229" s="158">
        <v>21090</v>
      </c>
      <c r="F2229" s="159">
        <v>56881</v>
      </c>
      <c r="G2229" s="159">
        <v>1199620290</v>
      </c>
      <c r="H2229" s="159">
        <v>107965826</v>
      </c>
      <c r="I2229" s="159">
        <v>1307586116</v>
      </c>
      <c r="J2229" s="159" t="e">
        <f>bargiri[[#This Row],[مقدار]]*INDEX(invoice[پیش دریافت به ازای هر کیلوگرم],MATCH(bargiri[[#This Row],[شماره سند مبنا]],invoice[شماره پیش فاکتور],0))</f>
        <v>#N/A</v>
      </c>
      <c r="K2229" s="159" t="e">
        <f>bargiri[[#This Row],[مبلغ خالص]]-bargiri[[#This Row],[میزان استهلاک پیش دریافتی]]</f>
        <v>#N/A</v>
      </c>
      <c r="L2229" s="160"/>
      <c r="M2229" s="159"/>
      <c r="N2229" s="159" t="e">
        <f>IF(bargiri[[#This Row],[مبلغ واریزی]]&lt;&gt;"",bargiri[[#This Row],[مانده مبلغ]]-bargiri[[#This Row],[مبلغ واریزی]],bargiri[[#This Row],[مانده مبلغ]])</f>
        <v>#N/A</v>
      </c>
      <c r="O2229" s="159"/>
      <c r="P2229" s="159" t="e">
        <f>VLOOKUP(bargiri[[#This Row],[شماره سند مبنا]],invoice[[شماره پیش فاکتور]:[پیش دریافت به ازای هر کیلوگرم]],14,0)</f>
        <v>#N/A</v>
      </c>
      <c r="Q2229" s="159" t="e">
        <f>IF(bargiri[[#This Row],[مبلغ ناخالص]]-(bargiri[[#This Row],[نرخ استهلاک]]*bargiri[[#This Row],[مقدار]])&lt;0,0,bargiri[[#This Row],[مبلغ ناخالص]]-(bargiri[[#This Row],[نرخ استهلاک]]*bargiri[[#This Row],[مقدار]]))</f>
        <v>#N/A</v>
      </c>
    </row>
    <row r="2230" spans="1:17" s="22" customFormat="1" ht="13.8" x14ac:dyDescent="0.25">
      <c r="A2230" s="22">
        <v>611</v>
      </c>
      <c r="B2230" s="22" t="s">
        <v>541</v>
      </c>
      <c r="C2230" s="22" t="s">
        <v>75</v>
      </c>
      <c r="D2230" s="22" t="s">
        <v>73</v>
      </c>
      <c r="E2230" s="158">
        <v>21110</v>
      </c>
      <c r="F2230" s="159">
        <v>56881</v>
      </c>
      <c r="G2230" s="159">
        <v>1200757910</v>
      </c>
      <c r="H2230" s="159">
        <v>108068212</v>
      </c>
      <c r="I2230" s="159">
        <v>1308826122</v>
      </c>
      <c r="J2230" s="159" t="e">
        <f>bargiri[[#This Row],[مقدار]]*INDEX(invoice[پیش دریافت به ازای هر کیلوگرم],MATCH(bargiri[[#This Row],[شماره سند مبنا]],invoice[شماره پیش فاکتور],0))</f>
        <v>#N/A</v>
      </c>
      <c r="K2230" s="159" t="e">
        <f>bargiri[[#This Row],[مبلغ خالص]]-bargiri[[#This Row],[میزان استهلاک پیش دریافتی]]</f>
        <v>#N/A</v>
      </c>
      <c r="L2230" s="160"/>
      <c r="M2230" s="159"/>
      <c r="N2230" s="159" t="e">
        <f>IF(bargiri[[#This Row],[مبلغ واریزی]]&lt;&gt;"",bargiri[[#This Row],[مانده مبلغ]]-bargiri[[#This Row],[مبلغ واریزی]],bargiri[[#This Row],[مانده مبلغ]])</f>
        <v>#N/A</v>
      </c>
      <c r="O2230" s="159"/>
      <c r="P2230" s="159" t="e">
        <f>VLOOKUP(bargiri[[#This Row],[شماره سند مبنا]],invoice[[شماره پیش فاکتور]:[پیش دریافت به ازای هر کیلوگرم]],14,0)</f>
        <v>#N/A</v>
      </c>
      <c r="Q2230" s="159" t="e">
        <f>IF(bargiri[[#This Row],[مبلغ ناخالص]]-(bargiri[[#This Row],[نرخ استهلاک]]*bargiri[[#This Row],[مقدار]])&lt;0,0,bargiri[[#This Row],[مبلغ ناخالص]]-(bargiri[[#This Row],[نرخ استهلاک]]*bargiri[[#This Row],[مقدار]]))</f>
        <v>#N/A</v>
      </c>
    </row>
    <row r="2231" spans="1:17" s="22" customFormat="1" ht="13.8" x14ac:dyDescent="0.25">
      <c r="A2231" s="22">
        <v>610</v>
      </c>
      <c r="B2231" s="22" t="s">
        <v>541</v>
      </c>
      <c r="C2231" s="22" t="s">
        <v>75</v>
      </c>
      <c r="D2231" s="22" t="s">
        <v>73</v>
      </c>
      <c r="E2231" s="158">
        <v>21160</v>
      </c>
      <c r="F2231" s="159">
        <v>56881</v>
      </c>
      <c r="G2231" s="159">
        <v>1203601960</v>
      </c>
      <c r="H2231" s="159">
        <v>108324176</v>
      </c>
      <c r="I2231" s="159">
        <v>1311926136</v>
      </c>
      <c r="J2231" s="159" t="e">
        <f>bargiri[[#This Row],[مقدار]]*INDEX(invoice[پیش دریافت به ازای هر کیلوگرم],MATCH(bargiri[[#This Row],[شماره سند مبنا]],invoice[شماره پیش فاکتور],0))</f>
        <v>#N/A</v>
      </c>
      <c r="K2231" s="159" t="e">
        <f>bargiri[[#This Row],[مبلغ خالص]]-bargiri[[#This Row],[میزان استهلاک پیش دریافتی]]</f>
        <v>#N/A</v>
      </c>
      <c r="L2231" s="160"/>
      <c r="M2231" s="159"/>
      <c r="N2231" s="159" t="e">
        <f>IF(bargiri[[#This Row],[مبلغ واریزی]]&lt;&gt;"",bargiri[[#This Row],[مانده مبلغ]]-bargiri[[#This Row],[مبلغ واریزی]],bargiri[[#This Row],[مانده مبلغ]])</f>
        <v>#N/A</v>
      </c>
      <c r="O2231" s="159"/>
      <c r="P2231" s="159" t="e">
        <f>VLOOKUP(bargiri[[#This Row],[شماره سند مبنا]],invoice[[شماره پیش فاکتور]:[پیش دریافت به ازای هر کیلوگرم]],14,0)</f>
        <v>#N/A</v>
      </c>
      <c r="Q2231" s="159" t="e">
        <f>IF(bargiri[[#This Row],[مبلغ ناخالص]]-(bargiri[[#This Row],[نرخ استهلاک]]*bargiri[[#This Row],[مقدار]])&lt;0,0,bargiri[[#This Row],[مبلغ ناخالص]]-(bargiri[[#This Row],[نرخ استهلاک]]*bargiri[[#This Row],[مقدار]]))</f>
        <v>#N/A</v>
      </c>
    </row>
    <row r="2232" spans="1:17" s="22" customFormat="1" ht="13.8" x14ac:dyDescent="0.25">
      <c r="A2232" s="22">
        <v>609</v>
      </c>
      <c r="B2232" s="22" t="s">
        <v>541</v>
      </c>
      <c r="C2232" s="22" t="s">
        <v>75</v>
      </c>
      <c r="D2232" s="22" t="s">
        <v>73</v>
      </c>
      <c r="E2232" s="158">
        <v>20485</v>
      </c>
      <c r="F2232" s="159">
        <v>56881</v>
      </c>
      <c r="G2232" s="159">
        <v>1165207285</v>
      </c>
      <c r="H2232" s="159">
        <v>104868656</v>
      </c>
      <c r="I2232" s="159">
        <v>1270075941</v>
      </c>
      <c r="J2232" s="159" t="e">
        <f>bargiri[[#This Row],[مقدار]]*INDEX(invoice[پیش دریافت به ازای هر کیلوگرم],MATCH(bargiri[[#This Row],[شماره سند مبنا]],invoice[شماره پیش فاکتور],0))</f>
        <v>#N/A</v>
      </c>
      <c r="K2232" s="159" t="e">
        <f>bargiri[[#This Row],[مبلغ خالص]]-bargiri[[#This Row],[میزان استهلاک پیش دریافتی]]</f>
        <v>#N/A</v>
      </c>
      <c r="L2232" s="160"/>
      <c r="M2232" s="159"/>
      <c r="N2232" s="159" t="e">
        <f>IF(bargiri[[#This Row],[مبلغ واریزی]]&lt;&gt;"",bargiri[[#This Row],[مانده مبلغ]]-bargiri[[#This Row],[مبلغ واریزی]],bargiri[[#This Row],[مانده مبلغ]])</f>
        <v>#N/A</v>
      </c>
      <c r="O2232" s="159"/>
      <c r="P2232" s="159" t="e">
        <f>VLOOKUP(bargiri[[#This Row],[شماره سند مبنا]],invoice[[شماره پیش فاکتور]:[پیش دریافت به ازای هر کیلوگرم]],14,0)</f>
        <v>#N/A</v>
      </c>
      <c r="Q2232" s="159" t="e">
        <f>IF(bargiri[[#This Row],[مبلغ ناخالص]]-(bargiri[[#This Row],[نرخ استهلاک]]*bargiri[[#This Row],[مقدار]])&lt;0,0,bargiri[[#This Row],[مبلغ ناخالص]]-(bargiri[[#This Row],[نرخ استهلاک]]*bargiri[[#This Row],[مقدار]]))</f>
        <v>#N/A</v>
      </c>
    </row>
    <row r="2233" spans="1:17" s="22" customFormat="1" ht="13.8" x14ac:dyDescent="0.25">
      <c r="A2233" s="22">
        <v>608</v>
      </c>
      <c r="B2233" s="22" t="s">
        <v>541</v>
      </c>
      <c r="C2233" s="22" t="s">
        <v>97</v>
      </c>
      <c r="D2233" s="22" t="s">
        <v>40</v>
      </c>
      <c r="E2233" s="158">
        <v>18225</v>
      </c>
      <c r="F2233" s="159">
        <v>85000</v>
      </c>
      <c r="G2233" s="159">
        <v>1549125000</v>
      </c>
      <c r="H2233" s="159">
        <v>154912500</v>
      </c>
      <c r="I2233" s="159">
        <v>1704037500</v>
      </c>
      <c r="J2233" s="159" t="e">
        <f>bargiri[[#This Row],[مقدار]]*INDEX(invoice[پیش دریافت به ازای هر کیلوگرم],MATCH(bargiri[[#This Row],[شماره سند مبنا]],invoice[شماره پیش فاکتور],0))</f>
        <v>#N/A</v>
      </c>
      <c r="K2233" s="159" t="e">
        <f>bargiri[[#This Row],[مبلغ خالص]]-bargiri[[#This Row],[میزان استهلاک پیش دریافتی]]</f>
        <v>#N/A</v>
      </c>
      <c r="L2233" s="160"/>
      <c r="M2233" s="159"/>
      <c r="N2233" s="159" t="e">
        <f>IF(bargiri[[#This Row],[مبلغ واریزی]]&lt;&gt;"",bargiri[[#This Row],[مانده مبلغ]]-bargiri[[#This Row],[مبلغ واریزی]],bargiri[[#This Row],[مانده مبلغ]])</f>
        <v>#N/A</v>
      </c>
      <c r="O2233" s="159"/>
      <c r="P2233" s="159" t="e">
        <f>VLOOKUP(bargiri[[#This Row],[شماره سند مبنا]],invoice[[شماره پیش فاکتور]:[پیش دریافت به ازای هر کیلوگرم]],14,0)</f>
        <v>#N/A</v>
      </c>
      <c r="Q2233" s="159" t="e">
        <f>IF(bargiri[[#This Row],[مبلغ ناخالص]]-(bargiri[[#This Row],[نرخ استهلاک]]*bargiri[[#This Row],[مقدار]])&lt;0,0,bargiri[[#This Row],[مبلغ ناخالص]]-(bargiri[[#This Row],[نرخ استهلاک]]*bargiri[[#This Row],[مقدار]]))</f>
        <v>#N/A</v>
      </c>
    </row>
    <row r="2234" spans="1:17" s="22" customFormat="1" ht="13.8" x14ac:dyDescent="0.25">
      <c r="A2234" s="22">
        <v>606</v>
      </c>
      <c r="B2234" s="22" t="s">
        <v>117</v>
      </c>
      <c r="C2234" s="22" t="s">
        <v>66</v>
      </c>
      <c r="D2234" s="22" t="s">
        <v>67</v>
      </c>
      <c r="E2234" s="158">
        <v>20100</v>
      </c>
      <c r="F2234" s="159">
        <v>68500</v>
      </c>
      <c r="G2234" s="159">
        <v>1376850000</v>
      </c>
      <c r="H2234" s="159">
        <v>123916500</v>
      </c>
      <c r="I2234" s="159">
        <v>1500766500</v>
      </c>
      <c r="J2234" s="159" t="e">
        <f>bargiri[[#This Row],[مقدار]]*INDEX(invoice[پیش دریافت به ازای هر کیلوگرم],MATCH(bargiri[[#This Row],[شماره سند مبنا]],invoice[شماره پیش فاکتور],0))</f>
        <v>#N/A</v>
      </c>
      <c r="K2234" s="159" t="e">
        <f>bargiri[[#This Row],[مبلغ خالص]]-bargiri[[#This Row],[میزان استهلاک پیش دریافتی]]</f>
        <v>#N/A</v>
      </c>
      <c r="L2234" s="160"/>
      <c r="M2234" s="159"/>
      <c r="N2234" s="159" t="e">
        <f>IF(bargiri[[#This Row],[مبلغ واریزی]]&lt;&gt;"",bargiri[[#This Row],[مانده مبلغ]]-bargiri[[#This Row],[مبلغ واریزی]],bargiri[[#This Row],[مانده مبلغ]])</f>
        <v>#N/A</v>
      </c>
      <c r="O2234" s="159"/>
      <c r="P2234" s="159" t="e">
        <f>VLOOKUP(bargiri[[#This Row],[شماره سند مبنا]],invoice[[شماره پیش فاکتور]:[پیش دریافت به ازای هر کیلوگرم]],14,0)</f>
        <v>#N/A</v>
      </c>
      <c r="Q2234" s="159" t="e">
        <f>IF(bargiri[[#This Row],[مبلغ ناخالص]]-(bargiri[[#This Row],[نرخ استهلاک]]*bargiri[[#This Row],[مقدار]])&lt;0,0,bargiri[[#This Row],[مبلغ ناخالص]]-(bargiri[[#This Row],[نرخ استهلاک]]*bargiri[[#This Row],[مقدار]]))</f>
        <v>#N/A</v>
      </c>
    </row>
    <row r="2235" spans="1:17" s="22" customFormat="1" ht="13.8" x14ac:dyDescent="0.25">
      <c r="A2235" s="22">
        <v>605</v>
      </c>
      <c r="B2235" s="22" t="s">
        <v>117</v>
      </c>
      <c r="C2235" s="22" t="s">
        <v>19</v>
      </c>
      <c r="D2235" s="22" t="s">
        <v>20</v>
      </c>
      <c r="E2235" s="158">
        <v>17710</v>
      </c>
      <c r="F2235" s="159">
        <v>65000</v>
      </c>
      <c r="G2235" s="159">
        <v>1151150000</v>
      </c>
      <c r="H2235" s="159">
        <v>103603500</v>
      </c>
      <c r="I2235" s="159">
        <v>1254753500</v>
      </c>
      <c r="J2235" s="159" t="e">
        <f>bargiri[[#This Row],[مقدار]]*INDEX(invoice[پیش دریافت به ازای هر کیلوگرم],MATCH(bargiri[[#This Row],[شماره سند مبنا]],invoice[شماره پیش فاکتور],0))</f>
        <v>#N/A</v>
      </c>
      <c r="K2235" s="159" t="e">
        <f>bargiri[[#This Row],[مبلغ خالص]]-bargiri[[#This Row],[میزان استهلاک پیش دریافتی]]</f>
        <v>#N/A</v>
      </c>
      <c r="L2235" s="160"/>
      <c r="M2235" s="159"/>
      <c r="N2235" s="159" t="e">
        <f>IF(bargiri[[#This Row],[مبلغ واریزی]]&lt;&gt;"",bargiri[[#This Row],[مانده مبلغ]]-bargiri[[#This Row],[مبلغ واریزی]],bargiri[[#This Row],[مانده مبلغ]])</f>
        <v>#N/A</v>
      </c>
      <c r="O2235" s="159"/>
      <c r="P2235" s="159" t="e">
        <f>VLOOKUP(bargiri[[#This Row],[شماره سند مبنا]],invoice[[شماره پیش فاکتور]:[پیش دریافت به ازای هر کیلوگرم]],14,0)</f>
        <v>#N/A</v>
      </c>
      <c r="Q2235" s="159" t="e">
        <f>IF(bargiri[[#This Row],[مبلغ ناخالص]]-(bargiri[[#This Row],[نرخ استهلاک]]*bargiri[[#This Row],[مقدار]])&lt;0,0,bargiri[[#This Row],[مبلغ ناخالص]]-(bargiri[[#This Row],[نرخ استهلاک]]*bargiri[[#This Row],[مقدار]]))</f>
        <v>#N/A</v>
      </c>
    </row>
    <row r="2236" spans="1:17" s="22" customFormat="1" ht="13.8" x14ac:dyDescent="0.25">
      <c r="A2236" s="22">
        <v>604</v>
      </c>
      <c r="B2236" s="22" t="s">
        <v>117</v>
      </c>
      <c r="C2236" s="22" t="s">
        <v>81</v>
      </c>
      <c r="D2236" s="22" t="s">
        <v>35</v>
      </c>
      <c r="E2236" s="158">
        <v>6370</v>
      </c>
      <c r="F2236" s="159">
        <v>70000</v>
      </c>
      <c r="G2236" s="159">
        <v>445900000</v>
      </c>
      <c r="H2236" s="159">
        <v>44590000</v>
      </c>
      <c r="I2236" s="159">
        <v>490490000</v>
      </c>
      <c r="J2236" s="159" t="e">
        <f>bargiri[[#This Row],[مقدار]]*INDEX(invoice[پیش دریافت به ازای هر کیلوگرم],MATCH(bargiri[[#This Row],[شماره سند مبنا]],invoice[شماره پیش فاکتور],0))</f>
        <v>#N/A</v>
      </c>
      <c r="K2236" s="159" t="e">
        <f>bargiri[[#This Row],[مبلغ خالص]]-bargiri[[#This Row],[میزان استهلاک پیش دریافتی]]</f>
        <v>#N/A</v>
      </c>
      <c r="L2236" s="160"/>
      <c r="M2236" s="159"/>
      <c r="N2236" s="159" t="e">
        <f>IF(bargiri[[#This Row],[مبلغ واریزی]]&lt;&gt;"",bargiri[[#This Row],[مانده مبلغ]]-bargiri[[#This Row],[مبلغ واریزی]],bargiri[[#This Row],[مانده مبلغ]])</f>
        <v>#N/A</v>
      </c>
      <c r="O2236" s="159"/>
      <c r="P2236" s="159" t="e">
        <f>VLOOKUP(bargiri[[#This Row],[شماره سند مبنا]],invoice[[شماره پیش فاکتور]:[پیش دریافت به ازای هر کیلوگرم]],14,0)</f>
        <v>#N/A</v>
      </c>
      <c r="Q2236" s="159" t="e">
        <f>IF(bargiri[[#This Row],[مبلغ ناخالص]]-(bargiri[[#This Row],[نرخ استهلاک]]*bargiri[[#This Row],[مقدار]])&lt;0,0,bargiri[[#This Row],[مبلغ ناخالص]]-(bargiri[[#This Row],[نرخ استهلاک]]*bargiri[[#This Row],[مقدار]]))</f>
        <v>#N/A</v>
      </c>
    </row>
    <row r="2237" spans="1:17" s="22" customFormat="1" ht="13.8" x14ac:dyDescent="0.25">
      <c r="A2237" s="22">
        <v>603</v>
      </c>
      <c r="B2237" s="22" t="s">
        <v>117</v>
      </c>
      <c r="C2237" s="22" t="s">
        <v>75</v>
      </c>
      <c r="D2237" s="22" t="s">
        <v>73</v>
      </c>
      <c r="E2237" s="158">
        <v>20950</v>
      </c>
      <c r="F2237" s="159">
        <v>56881</v>
      </c>
      <c r="G2237" s="159">
        <v>1191656950</v>
      </c>
      <c r="H2237" s="159">
        <v>107249126</v>
      </c>
      <c r="I2237" s="159">
        <v>1298906076</v>
      </c>
      <c r="J2237" s="159" t="e">
        <f>bargiri[[#This Row],[مقدار]]*INDEX(invoice[پیش دریافت به ازای هر کیلوگرم],MATCH(bargiri[[#This Row],[شماره سند مبنا]],invoice[شماره پیش فاکتور],0))</f>
        <v>#N/A</v>
      </c>
      <c r="K2237" s="159" t="e">
        <f>bargiri[[#This Row],[مبلغ خالص]]-bargiri[[#This Row],[میزان استهلاک پیش دریافتی]]</f>
        <v>#N/A</v>
      </c>
      <c r="L2237" s="160"/>
      <c r="M2237" s="159"/>
      <c r="N2237" s="159" t="e">
        <f>IF(bargiri[[#This Row],[مبلغ واریزی]]&lt;&gt;"",bargiri[[#This Row],[مانده مبلغ]]-bargiri[[#This Row],[مبلغ واریزی]],bargiri[[#This Row],[مانده مبلغ]])</f>
        <v>#N/A</v>
      </c>
      <c r="O2237" s="159"/>
      <c r="P2237" s="159" t="e">
        <f>VLOOKUP(bargiri[[#This Row],[شماره سند مبنا]],invoice[[شماره پیش فاکتور]:[پیش دریافت به ازای هر کیلوگرم]],14,0)</f>
        <v>#N/A</v>
      </c>
      <c r="Q2237" s="159" t="e">
        <f>IF(bargiri[[#This Row],[مبلغ ناخالص]]-(bargiri[[#This Row],[نرخ استهلاک]]*bargiri[[#This Row],[مقدار]])&lt;0,0,bargiri[[#This Row],[مبلغ ناخالص]]-(bargiri[[#This Row],[نرخ استهلاک]]*bargiri[[#This Row],[مقدار]]))</f>
        <v>#N/A</v>
      </c>
    </row>
    <row r="2238" spans="1:17" s="22" customFormat="1" ht="13.8" x14ac:dyDescent="0.25">
      <c r="A2238" s="22">
        <v>602</v>
      </c>
      <c r="B2238" s="22" t="s">
        <v>117</v>
      </c>
      <c r="C2238" s="22" t="s">
        <v>75</v>
      </c>
      <c r="D2238" s="22" t="s">
        <v>73</v>
      </c>
      <c r="E2238" s="158">
        <v>20800</v>
      </c>
      <c r="F2238" s="159">
        <v>56881</v>
      </c>
      <c r="G2238" s="159">
        <v>1183124800</v>
      </c>
      <c r="H2238" s="159">
        <v>106481232</v>
      </c>
      <c r="I2238" s="159">
        <v>1289606032</v>
      </c>
      <c r="J2238" s="159" t="e">
        <f>bargiri[[#This Row],[مقدار]]*INDEX(invoice[پیش دریافت به ازای هر کیلوگرم],MATCH(bargiri[[#This Row],[شماره سند مبنا]],invoice[شماره پیش فاکتور],0))</f>
        <v>#N/A</v>
      </c>
      <c r="K2238" s="159" t="e">
        <f>bargiri[[#This Row],[مبلغ خالص]]-bargiri[[#This Row],[میزان استهلاک پیش دریافتی]]</f>
        <v>#N/A</v>
      </c>
      <c r="L2238" s="160"/>
      <c r="M2238" s="159"/>
      <c r="N2238" s="159" t="e">
        <f>IF(bargiri[[#This Row],[مبلغ واریزی]]&lt;&gt;"",bargiri[[#This Row],[مانده مبلغ]]-bargiri[[#This Row],[مبلغ واریزی]],bargiri[[#This Row],[مانده مبلغ]])</f>
        <v>#N/A</v>
      </c>
      <c r="O2238" s="159"/>
      <c r="P2238" s="159" t="e">
        <f>VLOOKUP(bargiri[[#This Row],[شماره سند مبنا]],invoice[[شماره پیش فاکتور]:[پیش دریافت به ازای هر کیلوگرم]],14,0)</f>
        <v>#N/A</v>
      </c>
      <c r="Q2238" s="159" t="e">
        <f>IF(bargiri[[#This Row],[مبلغ ناخالص]]-(bargiri[[#This Row],[نرخ استهلاک]]*bargiri[[#This Row],[مقدار]])&lt;0,0,bargiri[[#This Row],[مبلغ ناخالص]]-(bargiri[[#This Row],[نرخ استهلاک]]*bargiri[[#This Row],[مقدار]]))</f>
        <v>#N/A</v>
      </c>
    </row>
    <row r="2239" spans="1:17" s="22" customFormat="1" ht="13.8" x14ac:dyDescent="0.25">
      <c r="A2239" s="22">
        <v>601</v>
      </c>
      <c r="B2239" s="22" t="s">
        <v>117</v>
      </c>
      <c r="C2239" s="22" t="s">
        <v>75</v>
      </c>
      <c r="D2239" s="22" t="s">
        <v>73</v>
      </c>
      <c r="E2239" s="158">
        <v>21055</v>
      </c>
      <c r="F2239" s="159">
        <v>56881</v>
      </c>
      <c r="G2239" s="159">
        <v>1197629455</v>
      </c>
      <c r="H2239" s="159">
        <v>107786651</v>
      </c>
      <c r="I2239" s="159">
        <v>1305416106</v>
      </c>
      <c r="J2239" s="159" t="e">
        <f>bargiri[[#This Row],[مقدار]]*INDEX(invoice[پیش دریافت به ازای هر کیلوگرم],MATCH(bargiri[[#This Row],[شماره سند مبنا]],invoice[شماره پیش فاکتور],0))</f>
        <v>#N/A</v>
      </c>
      <c r="K2239" s="159" t="e">
        <f>bargiri[[#This Row],[مبلغ خالص]]-bargiri[[#This Row],[میزان استهلاک پیش دریافتی]]</f>
        <v>#N/A</v>
      </c>
      <c r="L2239" s="160"/>
      <c r="M2239" s="159"/>
      <c r="N2239" s="159" t="e">
        <f>IF(bargiri[[#This Row],[مبلغ واریزی]]&lt;&gt;"",bargiri[[#This Row],[مانده مبلغ]]-bargiri[[#This Row],[مبلغ واریزی]],bargiri[[#This Row],[مانده مبلغ]])</f>
        <v>#N/A</v>
      </c>
      <c r="O2239" s="159"/>
      <c r="P2239" s="159" t="e">
        <f>VLOOKUP(bargiri[[#This Row],[شماره سند مبنا]],invoice[[شماره پیش فاکتور]:[پیش دریافت به ازای هر کیلوگرم]],14,0)</f>
        <v>#N/A</v>
      </c>
      <c r="Q2239" s="159" t="e">
        <f>IF(bargiri[[#This Row],[مبلغ ناخالص]]-(bargiri[[#This Row],[نرخ استهلاک]]*bargiri[[#This Row],[مقدار]])&lt;0,0,bargiri[[#This Row],[مبلغ ناخالص]]-(bargiri[[#This Row],[نرخ استهلاک]]*bargiri[[#This Row],[مقدار]]))</f>
        <v>#N/A</v>
      </c>
    </row>
    <row r="2240" spans="1:17" s="22" customFormat="1" ht="13.8" x14ac:dyDescent="0.25">
      <c r="A2240" s="22">
        <v>600</v>
      </c>
      <c r="B2240" s="22" t="s">
        <v>117</v>
      </c>
      <c r="C2240" s="22" t="s">
        <v>97</v>
      </c>
      <c r="D2240" s="22" t="s">
        <v>40</v>
      </c>
      <c r="E2240" s="158">
        <v>17940</v>
      </c>
      <c r="F2240" s="159">
        <v>85000</v>
      </c>
      <c r="G2240" s="159">
        <v>1524900000</v>
      </c>
      <c r="H2240" s="159">
        <v>152490000</v>
      </c>
      <c r="I2240" s="159">
        <v>1677390000</v>
      </c>
      <c r="J2240" s="159" t="e">
        <f>bargiri[[#This Row],[مقدار]]*INDEX(invoice[پیش دریافت به ازای هر کیلوگرم],MATCH(bargiri[[#This Row],[شماره سند مبنا]],invoice[شماره پیش فاکتور],0))</f>
        <v>#N/A</v>
      </c>
      <c r="K2240" s="159" t="e">
        <f>bargiri[[#This Row],[مبلغ خالص]]-bargiri[[#This Row],[میزان استهلاک پیش دریافتی]]</f>
        <v>#N/A</v>
      </c>
      <c r="L2240" s="160"/>
      <c r="M2240" s="159"/>
      <c r="N2240" s="159" t="e">
        <f>IF(bargiri[[#This Row],[مبلغ واریزی]]&lt;&gt;"",bargiri[[#This Row],[مانده مبلغ]]-bargiri[[#This Row],[مبلغ واریزی]],bargiri[[#This Row],[مانده مبلغ]])</f>
        <v>#N/A</v>
      </c>
      <c r="O2240" s="159"/>
      <c r="P2240" s="159" t="e">
        <f>VLOOKUP(bargiri[[#This Row],[شماره سند مبنا]],invoice[[شماره پیش فاکتور]:[پیش دریافت به ازای هر کیلوگرم]],14,0)</f>
        <v>#N/A</v>
      </c>
      <c r="Q2240" s="159" t="e">
        <f>IF(bargiri[[#This Row],[مبلغ ناخالص]]-(bargiri[[#This Row],[نرخ استهلاک]]*bargiri[[#This Row],[مقدار]])&lt;0,0,bargiri[[#This Row],[مبلغ ناخالص]]-(bargiri[[#This Row],[نرخ استهلاک]]*bargiri[[#This Row],[مقدار]]))</f>
        <v>#N/A</v>
      </c>
    </row>
    <row r="2241" spans="1:17" s="22" customFormat="1" ht="13.8" x14ac:dyDescent="0.25">
      <c r="A2241" s="22">
        <v>599</v>
      </c>
      <c r="B2241" s="22" t="s">
        <v>532</v>
      </c>
      <c r="C2241" s="22" t="s">
        <v>29</v>
      </c>
      <c r="D2241" s="22" t="s">
        <v>30</v>
      </c>
      <c r="E2241" s="158">
        <v>8205</v>
      </c>
      <c r="F2241" s="159">
        <v>70000</v>
      </c>
      <c r="G2241" s="159">
        <v>574350000</v>
      </c>
      <c r="H2241" s="159">
        <v>57435000</v>
      </c>
      <c r="I2241" s="159">
        <v>631785000</v>
      </c>
      <c r="J2241" s="159" t="e">
        <f>bargiri[[#This Row],[مقدار]]*INDEX(invoice[پیش دریافت به ازای هر کیلوگرم],MATCH(bargiri[[#This Row],[شماره سند مبنا]],invoice[شماره پیش فاکتور],0))</f>
        <v>#N/A</v>
      </c>
      <c r="K2241" s="159" t="e">
        <f>bargiri[[#This Row],[مبلغ خالص]]-bargiri[[#This Row],[میزان استهلاک پیش دریافتی]]</f>
        <v>#N/A</v>
      </c>
      <c r="L2241" s="160"/>
      <c r="M2241" s="159"/>
      <c r="N2241" s="159" t="e">
        <f>IF(bargiri[[#This Row],[مبلغ واریزی]]&lt;&gt;"",bargiri[[#This Row],[مانده مبلغ]]-bargiri[[#This Row],[مبلغ واریزی]],bargiri[[#This Row],[مانده مبلغ]])</f>
        <v>#N/A</v>
      </c>
      <c r="O2241" s="159"/>
      <c r="P2241" s="159" t="e">
        <f>VLOOKUP(bargiri[[#This Row],[شماره سند مبنا]],invoice[[شماره پیش فاکتور]:[پیش دریافت به ازای هر کیلوگرم]],14,0)</f>
        <v>#N/A</v>
      </c>
      <c r="Q2241" s="159" t="e">
        <f>IF(bargiri[[#This Row],[مبلغ ناخالص]]-(bargiri[[#This Row],[نرخ استهلاک]]*bargiri[[#This Row],[مقدار]])&lt;0,0,bargiri[[#This Row],[مبلغ ناخالص]]-(bargiri[[#This Row],[نرخ استهلاک]]*bargiri[[#This Row],[مقدار]]))</f>
        <v>#N/A</v>
      </c>
    </row>
    <row r="2242" spans="1:17" s="22" customFormat="1" ht="13.8" x14ac:dyDescent="0.25">
      <c r="A2242" s="22">
        <v>597</v>
      </c>
      <c r="B2242" s="22" t="s">
        <v>532</v>
      </c>
      <c r="C2242" s="22" t="s">
        <v>19</v>
      </c>
      <c r="D2242" s="22" t="s">
        <v>20</v>
      </c>
      <c r="E2242" s="158">
        <v>19240</v>
      </c>
      <c r="F2242" s="159">
        <v>65000</v>
      </c>
      <c r="G2242" s="159">
        <v>1250600000</v>
      </c>
      <c r="H2242" s="159">
        <v>112554000</v>
      </c>
      <c r="I2242" s="159">
        <v>1363154000</v>
      </c>
      <c r="J2242" s="159" t="e">
        <f>bargiri[[#This Row],[مقدار]]*INDEX(invoice[پیش دریافت به ازای هر کیلوگرم],MATCH(bargiri[[#This Row],[شماره سند مبنا]],invoice[شماره پیش فاکتور],0))</f>
        <v>#N/A</v>
      </c>
      <c r="K2242" s="159" t="e">
        <f>bargiri[[#This Row],[مبلغ خالص]]-bargiri[[#This Row],[میزان استهلاک پیش دریافتی]]</f>
        <v>#N/A</v>
      </c>
      <c r="L2242" s="160"/>
      <c r="M2242" s="159"/>
      <c r="N2242" s="159" t="e">
        <f>IF(bargiri[[#This Row],[مبلغ واریزی]]&lt;&gt;"",bargiri[[#This Row],[مانده مبلغ]]-bargiri[[#This Row],[مبلغ واریزی]],bargiri[[#This Row],[مانده مبلغ]])</f>
        <v>#N/A</v>
      </c>
      <c r="O2242" s="159"/>
      <c r="P2242" s="159" t="e">
        <f>VLOOKUP(bargiri[[#This Row],[شماره سند مبنا]],invoice[[شماره پیش فاکتور]:[پیش دریافت به ازای هر کیلوگرم]],14,0)</f>
        <v>#N/A</v>
      </c>
      <c r="Q2242" s="159" t="e">
        <f>IF(bargiri[[#This Row],[مبلغ ناخالص]]-(bargiri[[#This Row],[نرخ استهلاک]]*bargiri[[#This Row],[مقدار]])&lt;0,0,bargiri[[#This Row],[مبلغ ناخالص]]-(bargiri[[#This Row],[نرخ استهلاک]]*bargiri[[#This Row],[مقدار]]))</f>
        <v>#N/A</v>
      </c>
    </row>
    <row r="2243" spans="1:17" s="22" customFormat="1" ht="13.8" x14ac:dyDescent="0.25">
      <c r="A2243" s="22">
        <v>596</v>
      </c>
      <c r="B2243" s="22" t="s">
        <v>532</v>
      </c>
      <c r="C2243" s="22" t="s">
        <v>29</v>
      </c>
      <c r="D2243" s="22" t="s">
        <v>30</v>
      </c>
      <c r="E2243" s="158">
        <v>9495</v>
      </c>
      <c r="F2243" s="159">
        <v>70000</v>
      </c>
      <c r="G2243" s="159">
        <v>664650000</v>
      </c>
      <c r="H2243" s="159">
        <v>66465000</v>
      </c>
      <c r="I2243" s="159">
        <v>731115000</v>
      </c>
      <c r="J2243" s="159" t="e">
        <f>bargiri[[#This Row],[مقدار]]*INDEX(invoice[پیش دریافت به ازای هر کیلوگرم],MATCH(bargiri[[#This Row],[شماره سند مبنا]],invoice[شماره پیش فاکتور],0))</f>
        <v>#N/A</v>
      </c>
      <c r="K2243" s="159" t="e">
        <f>bargiri[[#This Row],[مبلغ خالص]]-bargiri[[#This Row],[میزان استهلاک پیش دریافتی]]</f>
        <v>#N/A</v>
      </c>
      <c r="L2243" s="160"/>
      <c r="M2243" s="159"/>
      <c r="N2243" s="159" t="e">
        <f>IF(bargiri[[#This Row],[مبلغ واریزی]]&lt;&gt;"",bargiri[[#This Row],[مانده مبلغ]]-bargiri[[#This Row],[مبلغ واریزی]],bargiri[[#This Row],[مانده مبلغ]])</f>
        <v>#N/A</v>
      </c>
      <c r="O2243" s="159"/>
      <c r="P2243" s="159" t="e">
        <f>VLOOKUP(bargiri[[#This Row],[شماره سند مبنا]],invoice[[شماره پیش فاکتور]:[پیش دریافت به ازای هر کیلوگرم]],14,0)</f>
        <v>#N/A</v>
      </c>
      <c r="Q2243" s="159" t="e">
        <f>IF(bargiri[[#This Row],[مبلغ ناخالص]]-(bargiri[[#This Row],[نرخ استهلاک]]*bargiri[[#This Row],[مقدار]])&lt;0,0,bargiri[[#This Row],[مبلغ ناخالص]]-(bargiri[[#This Row],[نرخ استهلاک]]*bargiri[[#This Row],[مقدار]]))</f>
        <v>#N/A</v>
      </c>
    </row>
    <row r="2244" spans="1:17" s="22" customFormat="1" ht="13.8" x14ac:dyDescent="0.25">
      <c r="A2244" s="22">
        <v>595</v>
      </c>
      <c r="B2244" s="22" t="s">
        <v>532</v>
      </c>
      <c r="C2244" s="22" t="s">
        <v>99</v>
      </c>
      <c r="D2244" s="22" t="s">
        <v>64</v>
      </c>
      <c r="E2244" s="158">
        <v>22125</v>
      </c>
      <c r="F2244" s="159">
        <v>75000</v>
      </c>
      <c r="G2244" s="159">
        <v>1659375000</v>
      </c>
      <c r="H2244" s="159">
        <v>165937500</v>
      </c>
      <c r="I2244" s="159">
        <v>1825312500</v>
      </c>
      <c r="J2244" s="159" t="e">
        <f>bargiri[[#This Row],[مقدار]]*INDEX(invoice[پیش دریافت به ازای هر کیلوگرم],MATCH(bargiri[[#This Row],[شماره سند مبنا]],invoice[شماره پیش فاکتور],0))</f>
        <v>#N/A</v>
      </c>
      <c r="K2244" s="159" t="e">
        <f>bargiri[[#This Row],[مبلغ خالص]]-bargiri[[#This Row],[میزان استهلاک پیش دریافتی]]</f>
        <v>#N/A</v>
      </c>
      <c r="L2244" s="160"/>
      <c r="M2244" s="159"/>
      <c r="N2244" s="159" t="e">
        <f>IF(bargiri[[#This Row],[مبلغ واریزی]]&lt;&gt;"",bargiri[[#This Row],[مانده مبلغ]]-bargiri[[#This Row],[مبلغ واریزی]],bargiri[[#This Row],[مانده مبلغ]])</f>
        <v>#N/A</v>
      </c>
      <c r="O2244" s="159"/>
      <c r="P2244" s="159" t="e">
        <f>VLOOKUP(bargiri[[#This Row],[شماره سند مبنا]],invoice[[شماره پیش فاکتور]:[پیش دریافت به ازای هر کیلوگرم]],14,0)</f>
        <v>#N/A</v>
      </c>
      <c r="Q2244" s="159" t="e">
        <f>IF(bargiri[[#This Row],[مبلغ ناخالص]]-(bargiri[[#This Row],[نرخ استهلاک]]*bargiri[[#This Row],[مقدار]])&lt;0,0,bargiri[[#This Row],[مبلغ ناخالص]]-(bargiri[[#This Row],[نرخ استهلاک]]*bargiri[[#This Row],[مقدار]]))</f>
        <v>#N/A</v>
      </c>
    </row>
    <row r="2245" spans="1:17" s="22" customFormat="1" ht="13.8" x14ac:dyDescent="0.25">
      <c r="A2245" s="22">
        <v>594</v>
      </c>
      <c r="B2245" s="22" t="s">
        <v>532</v>
      </c>
      <c r="C2245" s="22" t="s">
        <v>66</v>
      </c>
      <c r="D2245" s="22" t="s">
        <v>67</v>
      </c>
      <c r="E2245" s="158">
        <v>20045</v>
      </c>
      <c r="F2245" s="159">
        <v>68500</v>
      </c>
      <c r="G2245" s="159">
        <v>1373082500</v>
      </c>
      <c r="H2245" s="159">
        <v>123577425</v>
      </c>
      <c r="I2245" s="159">
        <v>1496659925</v>
      </c>
      <c r="J2245" s="159" t="e">
        <f>bargiri[[#This Row],[مقدار]]*INDEX(invoice[پیش دریافت به ازای هر کیلوگرم],MATCH(bargiri[[#This Row],[شماره سند مبنا]],invoice[شماره پیش فاکتور],0))</f>
        <v>#N/A</v>
      </c>
      <c r="K2245" s="159" t="e">
        <f>bargiri[[#This Row],[مبلغ خالص]]-bargiri[[#This Row],[میزان استهلاک پیش دریافتی]]</f>
        <v>#N/A</v>
      </c>
      <c r="L2245" s="160"/>
      <c r="M2245" s="159"/>
      <c r="N2245" s="159" t="e">
        <f>IF(bargiri[[#This Row],[مبلغ واریزی]]&lt;&gt;"",bargiri[[#This Row],[مانده مبلغ]]-bargiri[[#This Row],[مبلغ واریزی]],bargiri[[#This Row],[مانده مبلغ]])</f>
        <v>#N/A</v>
      </c>
      <c r="O2245" s="159"/>
      <c r="P2245" s="159" t="e">
        <f>VLOOKUP(bargiri[[#This Row],[شماره سند مبنا]],invoice[[شماره پیش فاکتور]:[پیش دریافت به ازای هر کیلوگرم]],14,0)</f>
        <v>#N/A</v>
      </c>
      <c r="Q2245" s="159" t="e">
        <f>IF(bargiri[[#This Row],[مبلغ ناخالص]]-(bargiri[[#This Row],[نرخ استهلاک]]*bargiri[[#This Row],[مقدار]])&lt;0,0,bargiri[[#This Row],[مبلغ ناخالص]]-(bargiri[[#This Row],[نرخ استهلاک]]*bargiri[[#This Row],[مقدار]]))</f>
        <v>#N/A</v>
      </c>
    </row>
    <row r="2246" spans="1:17" s="22" customFormat="1" ht="13.8" x14ac:dyDescent="0.25">
      <c r="A2246" s="22">
        <v>593</v>
      </c>
      <c r="B2246" s="22" t="s">
        <v>532</v>
      </c>
      <c r="C2246" s="22" t="s">
        <v>47</v>
      </c>
      <c r="D2246" s="22" t="s">
        <v>43</v>
      </c>
      <c r="E2246" s="158">
        <v>20160</v>
      </c>
      <c r="F2246" s="159">
        <v>65000</v>
      </c>
      <c r="G2246" s="159">
        <v>1310400000</v>
      </c>
      <c r="H2246" s="159">
        <v>117936000</v>
      </c>
      <c r="I2246" s="159">
        <v>1428336000</v>
      </c>
      <c r="J2246" s="159" t="e">
        <f>bargiri[[#This Row],[مقدار]]*INDEX(invoice[پیش دریافت به ازای هر کیلوگرم],MATCH(bargiri[[#This Row],[شماره سند مبنا]],invoice[شماره پیش فاکتور],0))</f>
        <v>#N/A</v>
      </c>
      <c r="K2246" s="159" t="e">
        <f>bargiri[[#This Row],[مبلغ خالص]]-bargiri[[#This Row],[میزان استهلاک پیش دریافتی]]</f>
        <v>#N/A</v>
      </c>
      <c r="L2246" s="160"/>
      <c r="M2246" s="159"/>
      <c r="N2246" s="159" t="e">
        <f>IF(bargiri[[#This Row],[مبلغ واریزی]]&lt;&gt;"",bargiri[[#This Row],[مانده مبلغ]]-bargiri[[#This Row],[مبلغ واریزی]],bargiri[[#This Row],[مانده مبلغ]])</f>
        <v>#N/A</v>
      </c>
      <c r="O2246" s="159"/>
      <c r="P2246" s="159" t="e">
        <f>VLOOKUP(bargiri[[#This Row],[شماره سند مبنا]],invoice[[شماره پیش فاکتور]:[پیش دریافت به ازای هر کیلوگرم]],14,0)</f>
        <v>#N/A</v>
      </c>
      <c r="Q2246" s="159" t="e">
        <f>IF(bargiri[[#This Row],[مبلغ ناخالص]]-(bargiri[[#This Row],[نرخ استهلاک]]*bargiri[[#This Row],[مقدار]])&lt;0,0,bargiri[[#This Row],[مبلغ ناخالص]]-(bargiri[[#This Row],[نرخ استهلاک]]*bargiri[[#This Row],[مقدار]]))</f>
        <v>#N/A</v>
      </c>
    </row>
    <row r="2247" spans="1:17" s="22" customFormat="1" ht="13.8" x14ac:dyDescent="0.25">
      <c r="A2247" s="22">
        <v>592</v>
      </c>
      <c r="B2247" s="22" t="s">
        <v>532</v>
      </c>
      <c r="C2247" s="22" t="s">
        <v>16</v>
      </c>
      <c r="D2247" s="22" t="s">
        <v>17</v>
      </c>
      <c r="E2247" s="158">
        <v>22275</v>
      </c>
      <c r="F2247" s="159">
        <v>77000</v>
      </c>
      <c r="G2247" s="159">
        <v>1715175000</v>
      </c>
      <c r="H2247" s="159">
        <v>154365750</v>
      </c>
      <c r="I2247" s="159">
        <v>1869540750</v>
      </c>
      <c r="J2247" s="159" t="e">
        <f>bargiri[[#This Row],[مقدار]]*INDEX(invoice[پیش دریافت به ازای هر کیلوگرم],MATCH(bargiri[[#This Row],[شماره سند مبنا]],invoice[شماره پیش فاکتور],0))</f>
        <v>#N/A</v>
      </c>
      <c r="K2247" s="159" t="e">
        <f>bargiri[[#This Row],[مبلغ خالص]]-bargiri[[#This Row],[میزان استهلاک پیش دریافتی]]</f>
        <v>#N/A</v>
      </c>
      <c r="L2247" s="160"/>
      <c r="M2247" s="159"/>
      <c r="N2247" s="159" t="e">
        <f>IF(bargiri[[#This Row],[مبلغ واریزی]]&lt;&gt;"",bargiri[[#This Row],[مانده مبلغ]]-bargiri[[#This Row],[مبلغ واریزی]],bargiri[[#This Row],[مانده مبلغ]])</f>
        <v>#N/A</v>
      </c>
      <c r="O2247" s="159"/>
      <c r="P2247" s="159" t="e">
        <f>VLOOKUP(bargiri[[#This Row],[شماره سند مبنا]],invoice[[شماره پیش فاکتور]:[پیش دریافت به ازای هر کیلوگرم]],14,0)</f>
        <v>#N/A</v>
      </c>
      <c r="Q2247" s="159" t="e">
        <f>IF(bargiri[[#This Row],[مبلغ ناخالص]]-(bargiri[[#This Row],[نرخ استهلاک]]*bargiri[[#This Row],[مقدار]])&lt;0,0,bargiri[[#This Row],[مبلغ ناخالص]]-(bargiri[[#This Row],[نرخ استهلاک]]*bargiri[[#This Row],[مقدار]]))</f>
        <v>#N/A</v>
      </c>
    </row>
    <row r="2248" spans="1:17" s="22" customFormat="1" ht="13.8" x14ac:dyDescent="0.25">
      <c r="A2248" s="22">
        <v>591</v>
      </c>
      <c r="B2248" s="22" t="s">
        <v>532</v>
      </c>
      <c r="C2248" s="22" t="s">
        <v>19</v>
      </c>
      <c r="D2248" s="22" t="s">
        <v>20</v>
      </c>
      <c r="E2248" s="158">
        <v>18530</v>
      </c>
      <c r="F2248" s="159">
        <v>65000</v>
      </c>
      <c r="G2248" s="159">
        <v>1204450000</v>
      </c>
      <c r="H2248" s="159">
        <v>108400500</v>
      </c>
      <c r="I2248" s="159">
        <v>1312850500</v>
      </c>
      <c r="J2248" s="159" t="e">
        <f>bargiri[[#This Row],[مقدار]]*INDEX(invoice[پیش دریافت به ازای هر کیلوگرم],MATCH(bargiri[[#This Row],[شماره سند مبنا]],invoice[شماره پیش فاکتور],0))</f>
        <v>#N/A</v>
      </c>
      <c r="K2248" s="159" t="e">
        <f>bargiri[[#This Row],[مبلغ خالص]]-bargiri[[#This Row],[میزان استهلاک پیش دریافتی]]</f>
        <v>#N/A</v>
      </c>
      <c r="L2248" s="160"/>
      <c r="M2248" s="159"/>
      <c r="N2248" s="159" t="e">
        <f>IF(bargiri[[#This Row],[مبلغ واریزی]]&lt;&gt;"",bargiri[[#This Row],[مانده مبلغ]]-bargiri[[#This Row],[مبلغ واریزی]],bargiri[[#This Row],[مانده مبلغ]])</f>
        <v>#N/A</v>
      </c>
      <c r="O2248" s="159"/>
      <c r="P2248" s="159" t="e">
        <f>VLOOKUP(bargiri[[#This Row],[شماره سند مبنا]],invoice[[شماره پیش فاکتور]:[پیش دریافت به ازای هر کیلوگرم]],14,0)</f>
        <v>#N/A</v>
      </c>
      <c r="Q2248" s="159" t="e">
        <f>IF(bargiri[[#This Row],[مبلغ ناخالص]]-(bargiri[[#This Row],[نرخ استهلاک]]*bargiri[[#This Row],[مقدار]])&lt;0,0,bargiri[[#This Row],[مبلغ ناخالص]]-(bargiri[[#This Row],[نرخ استهلاک]]*bargiri[[#This Row],[مقدار]]))</f>
        <v>#N/A</v>
      </c>
    </row>
    <row r="2249" spans="1:17" s="22" customFormat="1" ht="13.8" x14ac:dyDescent="0.25">
      <c r="A2249" s="22">
        <v>590</v>
      </c>
      <c r="B2249" s="22" t="s">
        <v>542</v>
      </c>
      <c r="C2249" s="22" t="s">
        <v>24</v>
      </c>
      <c r="D2249" s="22" t="s">
        <v>25</v>
      </c>
      <c r="E2249" s="158">
        <v>5970</v>
      </c>
      <c r="F2249" s="159">
        <v>68000</v>
      </c>
      <c r="G2249" s="159">
        <v>405960000</v>
      </c>
      <c r="H2249" s="159">
        <v>36536400</v>
      </c>
      <c r="I2249" s="159">
        <v>442496400</v>
      </c>
      <c r="J2249" s="159" t="e">
        <f>bargiri[[#This Row],[مقدار]]*INDEX(invoice[پیش دریافت به ازای هر کیلوگرم],MATCH(bargiri[[#This Row],[شماره سند مبنا]],invoice[شماره پیش فاکتور],0))</f>
        <v>#N/A</v>
      </c>
      <c r="K2249" s="159" t="e">
        <f>bargiri[[#This Row],[مبلغ خالص]]-bargiri[[#This Row],[میزان استهلاک پیش دریافتی]]</f>
        <v>#N/A</v>
      </c>
      <c r="L2249" s="160"/>
      <c r="M2249" s="159"/>
      <c r="N2249" s="159" t="e">
        <f>IF(bargiri[[#This Row],[مبلغ واریزی]]&lt;&gt;"",bargiri[[#This Row],[مانده مبلغ]]-bargiri[[#This Row],[مبلغ واریزی]],bargiri[[#This Row],[مانده مبلغ]])</f>
        <v>#N/A</v>
      </c>
      <c r="O2249" s="159"/>
      <c r="P2249" s="159" t="e">
        <f>VLOOKUP(bargiri[[#This Row],[شماره سند مبنا]],invoice[[شماره پیش فاکتور]:[پیش دریافت به ازای هر کیلوگرم]],14,0)</f>
        <v>#N/A</v>
      </c>
      <c r="Q2249" s="159" t="e">
        <f>IF(bargiri[[#This Row],[مبلغ ناخالص]]-(bargiri[[#This Row],[نرخ استهلاک]]*bargiri[[#This Row],[مقدار]])&lt;0,0,bargiri[[#This Row],[مبلغ ناخالص]]-(bargiri[[#This Row],[نرخ استهلاک]]*bargiri[[#This Row],[مقدار]]))</f>
        <v>#N/A</v>
      </c>
    </row>
    <row r="2250" spans="1:17" s="22" customFormat="1" ht="13.8" x14ac:dyDescent="0.25">
      <c r="A2250" s="22">
        <v>589</v>
      </c>
      <c r="B2250" s="22" t="s">
        <v>543</v>
      </c>
      <c r="C2250" s="22" t="s">
        <v>66</v>
      </c>
      <c r="D2250" s="22" t="s">
        <v>67</v>
      </c>
      <c r="E2250" s="158">
        <v>20040</v>
      </c>
      <c r="F2250" s="159">
        <v>68500</v>
      </c>
      <c r="G2250" s="159">
        <v>1372740000</v>
      </c>
      <c r="H2250" s="159">
        <v>123546600</v>
      </c>
      <c r="I2250" s="159">
        <v>1496286600</v>
      </c>
      <c r="J2250" s="159" t="e">
        <f>bargiri[[#This Row],[مقدار]]*INDEX(invoice[پیش دریافت به ازای هر کیلوگرم],MATCH(bargiri[[#This Row],[شماره سند مبنا]],invoice[شماره پیش فاکتور],0))</f>
        <v>#N/A</v>
      </c>
      <c r="K2250" s="159" t="e">
        <f>bargiri[[#This Row],[مبلغ خالص]]-bargiri[[#This Row],[میزان استهلاک پیش دریافتی]]</f>
        <v>#N/A</v>
      </c>
      <c r="L2250" s="160"/>
      <c r="M2250" s="159"/>
      <c r="N2250" s="159" t="e">
        <f>IF(bargiri[[#This Row],[مبلغ واریزی]]&lt;&gt;"",bargiri[[#This Row],[مانده مبلغ]]-bargiri[[#This Row],[مبلغ واریزی]],bargiri[[#This Row],[مانده مبلغ]])</f>
        <v>#N/A</v>
      </c>
      <c r="O2250" s="159"/>
      <c r="P2250" s="159" t="e">
        <f>VLOOKUP(bargiri[[#This Row],[شماره سند مبنا]],invoice[[شماره پیش فاکتور]:[پیش دریافت به ازای هر کیلوگرم]],14,0)</f>
        <v>#N/A</v>
      </c>
      <c r="Q2250" s="159" t="e">
        <f>IF(bargiri[[#This Row],[مبلغ ناخالص]]-(bargiri[[#This Row],[نرخ استهلاک]]*bargiri[[#This Row],[مقدار]])&lt;0,0,bargiri[[#This Row],[مبلغ ناخالص]]-(bargiri[[#This Row],[نرخ استهلاک]]*bargiri[[#This Row],[مقدار]]))</f>
        <v>#N/A</v>
      </c>
    </row>
    <row r="2251" spans="1:17" s="22" customFormat="1" ht="13.8" x14ac:dyDescent="0.25">
      <c r="A2251" s="22">
        <v>588</v>
      </c>
      <c r="B2251" s="22" t="s">
        <v>543</v>
      </c>
      <c r="C2251" s="22" t="s">
        <v>66</v>
      </c>
      <c r="D2251" s="22" t="s">
        <v>67</v>
      </c>
      <c r="E2251" s="158">
        <v>8100</v>
      </c>
      <c r="F2251" s="159">
        <v>68500</v>
      </c>
      <c r="G2251" s="159">
        <v>554850000</v>
      </c>
      <c r="H2251" s="159">
        <v>49936500</v>
      </c>
      <c r="I2251" s="159">
        <v>604786500</v>
      </c>
      <c r="J2251" s="159" t="e">
        <f>bargiri[[#This Row],[مقدار]]*INDEX(invoice[پیش دریافت به ازای هر کیلوگرم],MATCH(bargiri[[#This Row],[شماره سند مبنا]],invoice[شماره پیش فاکتور],0))</f>
        <v>#N/A</v>
      </c>
      <c r="K2251" s="159" t="e">
        <f>bargiri[[#This Row],[مبلغ خالص]]-bargiri[[#This Row],[میزان استهلاک پیش دریافتی]]</f>
        <v>#N/A</v>
      </c>
      <c r="L2251" s="160"/>
      <c r="M2251" s="159"/>
      <c r="N2251" s="159" t="e">
        <f>IF(bargiri[[#This Row],[مبلغ واریزی]]&lt;&gt;"",bargiri[[#This Row],[مانده مبلغ]]-bargiri[[#This Row],[مبلغ واریزی]],bargiri[[#This Row],[مانده مبلغ]])</f>
        <v>#N/A</v>
      </c>
      <c r="O2251" s="159"/>
      <c r="P2251" s="159" t="e">
        <f>VLOOKUP(bargiri[[#This Row],[شماره سند مبنا]],invoice[[شماره پیش فاکتور]:[پیش دریافت به ازای هر کیلوگرم]],14,0)</f>
        <v>#N/A</v>
      </c>
      <c r="Q2251" s="159" t="e">
        <f>IF(bargiri[[#This Row],[مبلغ ناخالص]]-(bargiri[[#This Row],[نرخ استهلاک]]*bargiri[[#This Row],[مقدار]])&lt;0,0,bargiri[[#This Row],[مبلغ ناخالص]]-(bargiri[[#This Row],[نرخ استهلاک]]*bargiri[[#This Row],[مقدار]]))</f>
        <v>#N/A</v>
      </c>
    </row>
    <row r="2252" spans="1:17" s="22" customFormat="1" ht="13.8" x14ac:dyDescent="0.25">
      <c r="A2252" s="22">
        <v>587</v>
      </c>
      <c r="B2252" s="22" t="s">
        <v>543</v>
      </c>
      <c r="C2252" s="22" t="s">
        <v>24</v>
      </c>
      <c r="D2252" s="22" t="s">
        <v>25</v>
      </c>
      <c r="E2252" s="158">
        <v>20100</v>
      </c>
      <c r="F2252" s="159">
        <v>68000</v>
      </c>
      <c r="G2252" s="159">
        <v>1366800000</v>
      </c>
      <c r="H2252" s="159">
        <v>123012000</v>
      </c>
      <c r="I2252" s="159">
        <v>1489812000</v>
      </c>
      <c r="J2252" s="159" t="e">
        <f>bargiri[[#This Row],[مقدار]]*INDEX(invoice[پیش دریافت به ازای هر کیلوگرم],MATCH(bargiri[[#This Row],[شماره سند مبنا]],invoice[شماره پیش فاکتور],0))</f>
        <v>#N/A</v>
      </c>
      <c r="K2252" s="159" t="e">
        <f>bargiri[[#This Row],[مبلغ خالص]]-bargiri[[#This Row],[میزان استهلاک پیش دریافتی]]</f>
        <v>#N/A</v>
      </c>
      <c r="L2252" s="160"/>
      <c r="M2252" s="159"/>
      <c r="N2252" s="159" t="e">
        <f>IF(bargiri[[#This Row],[مبلغ واریزی]]&lt;&gt;"",bargiri[[#This Row],[مانده مبلغ]]-bargiri[[#This Row],[مبلغ واریزی]],bargiri[[#This Row],[مانده مبلغ]])</f>
        <v>#N/A</v>
      </c>
      <c r="O2252" s="159"/>
      <c r="P2252" s="159" t="e">
        <f>VLOOKUP(bargiri[[#This Row],[شماره سند مبنا]],invoice[[شماره پیش فاکتور]:[پیش دریافت به ازای هر کیلوگرم]],14,0)</f>
        <v>#N/A</v>
      </c>
      <c r="Q2252" s="159" t="e">
        <f>IF(bargiri[[#This Row],[مبلغ ناخالص]]-(bargiri[[#This Row],[نرخ استهلاک]]*bargiri[[#This Row],[مقدار]])&lt;0,0,bargiri[[#This Row],[مبلغ ناخالص]]-(bargiri[[#This Row],[نرخ استهلاک]]*bargiri[[#This Row],[مقدار]]))</f>
        <v>#N/A</v>
      </c>
    </row>
    <row r="2253" spans="1:17" s="22" customFormat="1" ht="13.8" x14ac:dyDescent="0.25">
      <c r="A2253" s="22">
        <v>586</v>
      </c>
      <c r="B2253" s="22" t="s">
        <v>543</v>
      </c>
      <c r="C2253" s="22" t="s">
        <v>97</v>
      </c>
      <c r="D2253" s="22" t="s">
        <v>40</v>
      </c>
      <c r="E2253" s="158">
        <v>18155</v>
      </c>
      <c r="F2253" s="159">
        <v>85000</v>
      </c>
      <c r="G2253" s="159">
        <v>1543175000</v>
      </c>
      <c r="H2253" s="159">
        <v>154317500</v>
      </c>
      <c r="I2253" s="159">
        <v>1697492500</v>
      </c>
      <c r="J2253" s="159" t="e">
        <f>bargiri[[#This Row],[مقدار]]*INDEX(invoice[پیش دریافت به ازای هر کیلوگرم],MATCH(bargiri[[#This Row],[شماره سند مبنا]],invoice[شماره پیش فاکتور],0))</f>
        <v>#N/A</v>
      </c>
      <c r="K2253" s="159" t="e">
        <f>bargiri[[#This Row],[مبلغ خالص]]-bargiri[[#This Row],[میزان استهلاک پیش دریافتی]]</f>
        <v>#N/A</v>
      </c>
      <c r="L2253" s="160"/>
      <c r="M2253" s="159"/>
      <c r="N2253" s="159" t="e">
        <f>IF(bargiri[[#This Row],[مبلغ واریزی]]&lt;&gt;"",bargiri[[#This Row],[مانده مبلغ]]-bargiri[[#This Row],[مبلغ واریزی]],bargiri[[#This Row],[مانده مبلغ]])</f>
        <v>#N/A</v>
      </c>
      <c r="O2253" s="159"/>
      <c r="P2253" s="159" t="e">
        <f>VLOOKUP(bargiri[[#This Row],[شماره سند مبنا]],invoice[[شماره پیش فاکتور]:[پیش دریافت به ازای هر کیلوگرم]],14,0)</f>
        <v>#N/A</v>
      </c>
      <c r="Q2253" s="159" t="e">
        <f>IF(bargiri[[#This Row],[مبلغ ناخالص]]-(bargiri[[#This Row],[نرخ استهلاک]]*bargiri[[#This Row],[مقدار]])&lt;0,0,bargiri[[#This Row],[مبلغ ناخالص]]-(bargiri[[#This Row],[نرخ استهلاک]]*bargiri[[#This Row],[مقدار]]))</f>
        <v>#N/A</v>
      </c>
    </row>
    <row r="2254" spans="1:17" s="22" customFormat="1" ht="13.8" x14ac:dyDescent="0.25">
      <c r="A2254" s="22">
        <v>585</v>
      </c>
      <c r="B2254" s="22" t="s">
        <v>543</v>
      </c>
      <c r="C2254" s="22" t="s">
        <v>81</v>
      </c>
      <c r="D2254" s="22" t="s">
        <v>35</v>
      </c>
      <c r="E2254" s="158">
        <v>7510</v>
      </c>
      <c r="F2254" s="159">
        <v>70000</v>
      </c>
      <c r="G2254" s="159">
        <v>525700000</v>
      </c>
      <c r="H2254" s="159">
        <v>52570000</v>
      </c>
      <c r="I2254" s="159">
        <v>578270000</v>
      </c>
      <c r="J2254" s="159" t="e">
        <f>bargiri[[#This Row],[مقدار]]*INDEX(invoice[پیش دریافت به ازای هر کیلوگرم],MATCH(bargiri[[#This Row],[شماره سند مبنا]],invoice[شماره پیش فاکتور],0))</f>
        <v>#N/A</v>
      </c>
      <c r="K2254" s="159" t="e">
        <f>bargiri[[#This Row],[مبلغ خالص]]-bargiri[[#This Row],[میزان استهلاک پیش دریافتی]]</f>
        <v>#N/A</v>
      </c>
      <c r="L2254" s="160"/>
      <c r="M2254" s="159"/>
      <c r="N2254" s="159" t="e">
        <f>IF(bargiri[[#This Row],[مبلغ واریزی]]&lt;&gt;"",bargiri[[#This Row],[مانده مبلغ]]-bargiri[[#This Row],[مبلغ واریزی]],bargiri[[#This Row],[مانده مبلغ]])</f>
        <v>#N/A</v>
      </c>
      <c r="O2254" s="159"/>
      <c r="P2254" s="159" t="e">
        <f>VLOOKUP(bargiri[[#This Row],[شماره سند مبنا]],invoice[[شماره پیش فاکتور]:[پیش دریافت به ازای هر کیلوگرم]],14,0)</f>
        <v>#N/A</v>
      </c>
      <c r="Q2254" s="159" t="e">
        <f>IF(bargiri[[#This Row],[مبلغ ناخالص]]-(bargiri[[#This Row],[نرخ استهلاک]]*bargiri[[#This Row],[مقدار]])&lt;0,0,bargiri[[#This Row],[مبلغ ناخالص]]-(bargiri[[#This Row],[نرخ استهلاک]]*bargiri[[#This Row],[مقدار]]))</f>
        <v>#N/A</v>
      </c>
    </row>
    <row r="2255" spans="1:17" s="22" customFormat="1" ht="13.8" x14ac:dyDescent="0.25">
      <c r="A2255" s="22">
        <v>584</v>
      </c>
      <c r="B2255" s="22" t="s">
        <v>543</v>
      </c>
      <c r="C2255" s="22" t="s">
        <v>99</v>
      </c>
      <c r="D2255" s="22" t="s">
        <v>64</v>
      </c>
      <c r="E2255" s="158">
        <v>22095</v>
      </c>
      <c r="F2255" s="159">
        <v>75000</v>
      </c>
      <c r="G2255" s="159">
        <v>1657125000</v>
      </c>
      <c r="H2255" s="159">
        <v>165712500</v>
      </c>
      <c r="I2255" s="159">
        <v>1822837500</v>
      </c>
      <c r="J2255" s="159" t="e">
        <f>bargiri[[#This Row],[مقدار]]*INDEX(invoice[پیش دریافت به ازای هر کیلوگرم],MATCH(bargiri[[#This Row],[شماره سند مبنا]],invoice[شماره پیش فاکتور],0))</f>
        <v>#N/A</v>
      </c>
      <c r="K2255" s="159" t="e">
        <f>bargiri[[#This Row],[مبلغ خالص]]-bargiri[[#This Row],[میزان استهلاک پیش دریافتی]]</f>
        <v>#N/A</v>
      </c>
      <c r="L2255" s="160"/>
      <c r="M2255" s="159"/>
      <c r="N2255" s="159" t="e">
        <f>IF(bargiri[[#This Row],[مبلغ واریزی]]&lt;&gt;"",bargiri[[#This Row],[مانده مبلغ]]-bargiri[[#This Row],[مبلغ واریزی]],bargiri[[#This Row],[مانده مبلغ]])</f>
        <v>#N/A</v>
      </c>
      <c r="O2255" s="159"/>
      <c r="P2255" s="159" t="e">
        <f>VLOOKUP(bargiri[[#This Row],[شماره سند مبنا]],invoice[[شماره پیش فاکتور]:[پیش دریافت به ازای هر کیلوگرم]],14,0)</f>
        <v>#N/A</v>
      </c>
      <c r="Q2255" s="159" t="e">
        <f>IF(bargiri[[#This Row],[مبلغ ناخالص]]-(bargiri[[#This Row],[نرخ استهلاک]]*bargiri[[#This Row],[مقدار]])&lt;0,0,bargiri[[#This Row],[مبلغ ناخالص]]-(bargiri[[#This Row],[نرخ استهلاک]]*bargiri[[#This Row],[مقدار]]))</f>
        <v>#N/A</v>
      </c>
    </row>
    <row r="2256" spans="1:17" s="22" customFormat="1" ht="13.8" x14ac:dyDescent="0.25">
      <c r="A2256" s="22">
        <v>583</v>
      </c>
      <c r="B2256" s="22" t="s">
        <v>543</v>
      </c>
      <c r="C2256" s="22" t="s">
        <v>47</v>
      </c>
      <c r="D2256" s="22" t="s">
        <v>43</v>
      </c>
      <c r="E2256" s="158">
        <v>20245</v>
      </c>
      <c r="F2256" s="159">
        <v>65000</v>
      </c>
      <c r="G2256" s="159">
        <v>1315925000</v>
      </c>
      <c r="H2256" s="159">
        <v>118433250</v>
      </c>
      <c r="I2256" s="159">
        <v>1434358250</v>
      </c>
      <c r="J2256" s="159" t="e">
        <f>bargiri[[#This Row],[مقدار]]*INDEX(invoice[پیش دریافت به ازای هر کیلوگرم],MATCH(bargiri[[#This Row],[شماره سند مبنا]],invoice[شماره پیش فاکتور],0))</f>
        <v>#N/A</v>
      </c>
      <c r="K2256" s="159" t="e">
        <f>bargiri[[#This Row],[مبلغ خالص]]-bargiri[[#This Row],[میزان استهلاک پیش دریافتی]]</f>
        <v>#N/A</v>
      </c>
      <c r="L2256" s="160"/>
      <c r="M2256" s="159"/>
      <c r="N2256" s="159" t="e">
        <f>IF(bargiri[[#This Row],[مبلغ واریزی]]&lt;&gt;"",bargiri[[#This Row],[مانده مبلغ]]-bargiri[[#This Row],[مبلغ واریزی]],bargiri[[#This Row],[مانده مبلغ]])</f>
        <v>#N/A</v>
      </c>
      <c r="O2256" s="159"/>
      <c r="P2256" s="159" t="e">
        <f>VLOOKUP(bargiri[[#This Row],[شماره سند مبنا]],invoice[[شماره پیش فاکتور]:[پیش دریافت به ازای هر کیلوگرم]],14,0)</f>
        <v>#N/A</v>
      </c>
      <c r="Q2256" s="159" t="e">
        <f>IF(bargiri[[#This Row],[مبلغ ناخالص]]-(bargiri[[#This Row],[نرخ استهلاک]]*bargiri[[#This Row],[مقدار]])&lt;0,0,bargiri[[#This Row],[مبلغ ناخالص]]-(bargiri[[#This Row],[نرخ استهلاک]]*bargiri[[#This Row],[مقدار]]))</f>
        <v>#N/A</v>
      </c>
    </row>
    <row r="2257" spans="1:17" s="22" customFormat="1" ht="13.8" x14ac:dyDescent="0.25">
      <c r="A2257" s="22">
        <v>582</v>
      </c>
      <c r="B2257" s="22" t="s">
        <v>543</v>
      </c>
      <c r="C2257" s="22" t="s">
        <v>69</v>
      </c>
      <c r="D2257" s="22" t="s">
        <v>70</v>
      </c>
      <c r="E2257" s="158">
        <v>20115</v>
      </c>
      <c r="F2257" s="159">
        <v>70000</v>
      </c>
      <c r="G2257" s="159">
        <v>1408050000</v>
      </c>
      <c r="H2257" s="159">
        <v>126724500</v>
      </c>
      <c r="I2257" s="159">
        <v>1534774500</v>
      </c>
      <c r="J2257" s="159" t="e">
        <f>bargiri[[#This Row],[مقدار]]*INDEX(invoice[پیش دریافت به ازای هر کیلوگرم],MATCH(bargiri[[#This Row],[شماره سند مبنا]],invoice[شماره پیش فاکتور],0))</f>
        <v>#N/A</v>
      </c>
      <c r="K2257" s="159" t="e">
        <f>bargiri[[#This Row],[مبلغ خالص]]-bargiri[[#This Row],[میزان استهلاک پیش دریافتی]]</f>
        <v>#N/A</v>
      </c>
      <c r="L2257" s="160"/>
      <c r="M2257" s="159"/>
      <c r="N2257" s="159" t="e">
        <f>IF(bargiri[[#This Row],[مبلغ واریزی]]&lt;&gt;"",bargiri[[#This Row],[مانده مبلغ]]-bargiri[[#This Row],[مبلغ واریزی]],bargiri[[#This Row],[مانده مبلغ]])</f>
        <v>#N/A</v>
      </c>
      <c r="O2257" s="159"/>
      <c r="P2257" s="159" t="e">
        <f>VLOOKUP(bargiri[[#This Row],[شماره سند مبنا]],invoice[[شماره پیش فاکتور]:[پیش دریافت به ازای هر کیلوگرم]],14,0)</f>
        <v>#N/A</v>
      </c>
      <c r="Q2257" s="159" t="e">
        <f>IF(bargiri[[#This Row],[مبلغ ناخالص]]-(bargiri[[#This Row],[نرخ استهلاک]]*bargiri[[#This Row],[مقدار]])&lt;0,0,bargiri[[#This Row],[مبلغ ناخالص]]-(bargiri[[#This Row],[نرخ استهلاک]]*bargiri[[#This Row],[مقدار]]))</f>
        <v>#N/A</v>
      </c>
    </row>
    <row r="2258" spans="1:17" s="22" customFormat="1" ht="13.8" x14ac:dyDescent="0.25">
      <c r="A2258" s="22">
        <v>581</v>
      </c>
      <c r="B2258" s="22" t="s">
        <v>111</v>
      </c>
      <c r="C2258" s="22" t="s">
        <v>47</v>
      </c>
      <c r="D2258" s="22" t="s">
        <v>43</v>
      </c>
      <c r="E2258" s="158">
        <v>5050</v>
      </c>
      <c r="F2258" s="159">
        <v>65000</v>
      </c>
      <c r="G2258" s="159">
        <v>328250000</v>
      </c>
      <c r="H2258" s="159">
        <v>29542500</v>
      </c>
      <c r="I2258" s="159">
        <v>357792500</v>
      </c>
      <c r="J2258" s="159" t="e">
        <f>bargiri[[#This Row],[مقدار]]*INDEX(invoice[پیش دریافت به ازای هر کیلوگرم],MATCH(bargiri[[#This Row],[شماره سند مبنا]],invoice[شماره پیش فاکتور],0))</f>
        <v>#N/A</v>
      </c>
      <c r="K2258" s="159" t="e">
        <f>bargiri[[#This Row],[مبلغ خالص]]-bargiri[[#This Row],[میزان استهلاک پیش دریافتی]]</f>
        <v>#N/A</v>
      </c>
      <c r="L2258" s="160"/>
      <c r="M2258" s="159"/>
      <c r="N2258" s="159" t="e">
        <f>IF(bargiri[[#This Row],[مبلغ واریزی]]&lt;&gt;"",bargiri[[#This Row],[مانده مبلغ]]-bargiri[[#This Row],[مبلغ واریزی]],bargiri[[#This Row],[مانده مبلغ]])</f>
        <v>#N/A</v>
      </c>
      <c r="O2258" s="159"/>
      <c r="P2258" s="159" t="e">
        <f>VLOOKUP(bargiri[[#This Row],[شماره سند مبنا]],invoice[[شماره پیش فاکتور]:[پیش دریافت به ازای هر کیلوگرم]],14,0)</f>
        <v>#N/A</v>
      </c>
      <c r="Q2258" s="159" t="e">
        <f>IF(bargiri[[#This Row],[مبلغ ناخالص]]-(bargiri[[#This Row],[نرخ استهلاک]]*bargiri[[#This Row],[مقدار]])&lt;0,0,bargiri[[#This Row],[مبلغ ناخالص]]-(bargiri[[#This Row],[نرخ استهلاک]]*bargiri[[#This Row],[مقدار]]))</f>
        <v>#N/A</v>
      </c>
    </row>
    <row r="2259" spans="1:17" s="22" customFormat="1" ht="13.8" x14ac:dyDescent="0.25">
      <c r="A2259" s="22">
        <v>580</v>
      </c>
      <c r="B2259" s="22" t="s">
        <v>544</v>
      </c>
      <c r="C2259" s="22" t="s">
        <v>47</v>
      </c>
      <c r="D2259" s="22" t="s">
        <v>43</v>
      </c>
      <c r="E2259" s="158">
        <v>20265</v>
      </c>
      <c r="F2259" s="159">
        <v>65000</v>
      </c>
      <c r="G2259" s="159">
        <v>1317225000</v>
      </c>
      <c r="H2259" s="159">
        <v>118550250</v>
      </c>
      <c r="I2259" s="159">
        <v>1435775250</v>
      </c>
      <c r="J2259" s="159" t="e">
        <f>bargiri[[#This Row],[مقدار]]*INDEX(invoice[پیش دریافت به ازای هر کیلوگرم],MATCH(bargiri[[#This Row],[شماره سند مبنا]],invoice[شماره پیش فاکتور],0))</f>
        <v>#N/A</v>
      </c>
      <c r="K2259" s="159" t="e">
        <f>bargiri[[#This Row],[مبلغ خالص]]-bargiri[[#This Row],[میزان استهلاک پیش دریافتی]]</f>
        <v>#N/A</v>
      </c>
      <c r="L2259" s="160"/>
      <c r="M2259" s="159"/>
      <c r="N2259" s="159" t="e">
        <f>IF(bargiri[[#This Row],[مبلغ واریزی]]&lt;&gt;"",bargiri[[#This Row],[مانده مبلغ]]-bargiri[[#This Row],[مبلغ واریزی]],bargiri[[#This Row],[مانده مبلغ]])</f>
        <v>#N/A</v>
      </c>
      <c r="O2259" s="159"/>
      <c r="P2259" s="159" t="e">
        <f>VLOOKUP(bargiri[[#This Row],[شماره سند مبنا]],invoice[[شماره پیش فاکتور]:[پیش دریافت به ازای هر کیلوگرم]],14,0)</f>
        <v>#N/A</v>
      </c>
      <c r="Q2259" s="159" t="e">
        <f>IF(bargiri[[#This Row],[مبلغ ناخالص]]-(bargiri[[#This Row],[نرخ استهلاک]]*bargiri[[#This Row],[مقدار]])&lt;0,0,bargiri[[#This Row],[مبلغ ناخالص]]-(bargiri[[#This Row],[نرخ استهلاک]]*bargiri[[#This Row],[مقدار]]))</f>
        <v>#N/A</v>
      </c>
    </row>
    <row r="2260" spans="1:17" s="22" customFormat="1" ht="13.8" x14ac:dyDescent="0.25">
      <c r="A2260" s="22">
        <v>579</v>
      </c>
      <c r="B2260" s="22" t="s">
        <v>545</v>
      </c>
      <c r="C2260" s="22" t="s">
        <v>47</v>
      </c>
      <c r="D2260" s="22" t="s">
        <v>43</v>
      </c>
      <c r="E2260" s="158">
        <v>20255</v>
      </c>
      <c r="F2260" s="159">
        <v>65000</v>
      </c>
      <c r="G2260" s="159">
        <v>1316575000</v>
      </c>
      <c r="H2260" s="159">
        <v>118491750</v>
      </c>
      <c r="I2260" s="159">
        <v>1435066750</v>
      </c>
      <c r="J2260" s="159" t="e">
        <f>bargiri[[#This Row],[مقدار]]*INDEX(invoice[پیش دریافت به ازای هر کیلوگرم],MATCH(bargiri[[#This Row],[شماره سند مبنا]],invoice[شماره پیش فاکتور],0))</f>
        <v>#N/A</v>
      </c>
      <c r="K2260" s="159" t="e">
        <f>bargiri[[#This Row],[مبلغ خالص]]-bargiri[[#This Row],[میزان استهلاک پیش دریافتی]]</f>
        <v>#N/A</v>
      </c>
      <c r="L2260" s="160"/>
      <c r="M2260" s="159"/>
      <c r="N2260" s="159" t="e">
        <f>IF(bargiri[[#This Row],[مبلغ واریزی]]&lt;&gt;"",bargiri[[#This Row],[مانده مبلغ]]-bargiri[[#This Row],[مبلغ واریزی]],bargiri[[#This Row],[مانده مبلغ]])</f>
        <v>#N/A</v>
      </c>
      <c r="O2260" s="159"/>
      <c r="P2260" s="159" t="e">
        <f>VLOOKUP(bargiri[[#This Row],[شماره سند مبنا]],invoice[[شماره پیش فاکتور]:[پیش دریافت به ازای هر کیلوگرم]],14,0)</f>
        <v>#N/A</v>
      </c>
      <c r="Q2260" s="159" t="e">
        <f>IF(bargiri[[#This Row],[مبلغ ناخالص]]-(bargiri[[#This Row],[نرخ استهلاک]]*bargiri[[#This Row],[مقدار]])&lt;0,0,bargiri[[#This Row],[مبلغ ناخالص]]-(bargiri[[#This Row],[نرخ استهلاک]]*bargiri[[#This Row],[مقدار]]))</f>
        <v>#N/A</v>
      </c>
    </row>
    <row r="2261" spans="1:17" s="22" customFormat="1" ht="13.8" x14ac:dyDescent="0.25">
      <c r="A2261" s="22">
        <v>578</v>
      </c>
      <c r="B2261" s="22" t="s">
        <v>546</v>
      </c>
      <c r="C2261" s="22" t="s">
        <v>47</v>
      </c>
      <c r="D2261" s="22" t="s">
        <v>43</v>
      </c>
      <c r="E2261" s="158">
        <v>10050</v>
      </c>
      <c r="F2261" s="159">
        <v>65000</v>
      </c>
      <c r="G2261" s="159">
        <v>653250000</v>
      </c>
      <c r="H2261" s="159">
        <v>58792500</v>
      </c>
      <c r="I2261" s="159">
        <v>712042500</v>
      </c>
      <c r="J2261" s="159" t="e">
        <f>bargiri[[#This Row],[مقدار]]*INDEX(invoice[پیش دریافت به ازای هر کیلوگرم],MATCH(bargiri[[#This Row],[شماره سند مبنا]],invoice[شماره پیش فاکتور],0))</f>
        <v>#N/A</v>
      </c>
      <c r="K2261" s="159" t="e">
        <f>bargiri[[#This Row],[مبلغ خالص]]-bargiri[[#This Row],[میزان استهلاک پیش دریافتی]]</f>
        <v>#N/A</v>
      </c>
      <c r="L2261" s="160"/>
      <c r="M2261" s="159"/>
      <c r="N2261" s="159" t="e">
        <f>IF(bargiri[[#This Row],[مبلغ واریزی]]&lt;&gt;"",bargiri[[#This Row],[مانده مبلغ]]-bargiri[[#This Row],[مبلغ واریزی]],bargiri[[#This Row],[مانده مبلغ]])</f>
        <v>#N/A</v>
      </c>
      <c r="O2261" s="159"/>
      <c r="P2261" s="159" t="e">
        <f>VLOOKUP(bargiri[[#This Row],[شماره سند مبنا]],invoice[[شماره پیش فاکتور]:[پیش دریافت به ازای هر کیلوگرم]],14,0)</f>
        <v>#N/A</v>
      </c>
      <c r="Q2261" s="159" t="e">
        <f>IF(bargiri[[#This Row],[مبلغ ناخالص]]-(bargiri[[#This Row],[نرخ استهلاک]]*bargiri[[#This Row],[مقدار]])&lt;0,0,bargiri[[#This Row],[مبلغ ناخالص]]-(bargiri[[#This Row],[نرخ استهلاک]]*bargiri[[#This Row],[مقدار]]))</f>
        <v>#N/A</v>
      </c>
    </row>
    <row r="2262" spans="1:17" s="22" customFormat="1" ht="13.8" x14ac:dyDescent="0.25">
      <c r="A2262" s="22">
        <v>577</v>
      </c>
      <c r="B2262" s="22" t="s">
        <v>546</v>
      </c>
      <c r="C2262" s="22" t="s">
        <v>47</v>
      </c>
      <c r="D2262" s="22" t="s">
        <v>43</v>
      </c>
      <c r="E2262" s="158">
        <v>19965</v>
      </c>
      <c r="F2262" s="159">
        <v>65000</v>
      </c>
      <c r="G2262" s="159">
        <v>1297725000</v>
      </c>
      <c r="H2262" s="159">
        <v>116795250</v>
      </c>
      <c r="I2262" s="159">
        <v>1414520250</v>
      </c>
      <c r="J2262" s="159" t="e">
        <f>bargiri[[#This Row],[مقدار]]*INDEX(invoice[پیش دریافت به ازای هر کیلوگرم],MATCH(bargiri[[#This Row],[شماره سند مبنا]],invoice[شماره پیش فاکتور],0))</f>
        <v>#N/A</v>
      </c>
      <c r="K2262" s="159" t="e">
        <f>bargiri[[#This Row],[مبلغ خالص]]-bargiri[[#This Row],[میزان استهلاک پیش دریافتی]]</f>
        <v>#N/A</v>
      </c>
      <c r="L2262" s="160"/>
      <c r="M2262" s="159"/>
      <c r="N2262" s="159" t="e">
        <f>IF(bargiri[[#This Row],[مبلغ واریزی]]&lt;&gt;"",bargiri[[#This Row],[مانده مبلغ]]-bargiri[[#This Row],[مبلغ واریزی]],bargiri[[#This Row],[مانده مبلغ]])</f>
        <v>#N/A</v>
      </c>
      <c r="O2262" s="159"/>
      <c r="P2262" s="159" t="e">
        <f>VLOOKUP(bargiri[[#This Row],[شماره سند مبنا]],invoice[[شماره پیش فاکتور]:[پیش دریافت به ازای هر کیلوگرم]],14,0)</f>
        <v>#N/A</v>
      </c>
      <c r="Q2262" s="159" t="e">
        <f>IF(bargiri[[#This Row],[مبلغ ناخالص]]-(bargiri[[#This Row],[نرخ استهلاک]]*bargiri[[#This Row],[مقدار]])&lt;0,0,bargiri[[#This Row],[مبلغ ناخالص]]-(bargiri[[#This Row],[نرخ استهلاک]]*bargiri[[#This Row],[مقدار]]))</f>
        <v>#N/A</v>
      </c>
    </row>
    <row r="2263" spans="1:17" s="22" customFormat="1" ht="13.8" x14ac:dyDescent="0.25">
      <c r="A2263" s="22">
        <v>576</v>
      </c>
      <c r="B2263" s="22" t="s">
        <v>113</v>
      </c>
      <c r="C2263" s="22" t="s">
        <v>47</v>
      </c>
      <c r="D2263" s="22" t="s">
        <v>43</v>
      </c>
      <c r="E2263" s="158">
        <v>20445</v>
      </c>
      <c r="F2263" s="159">
        <v>65000</v>
      </c>
      <c r="G2263" s="159">
        <v>1328925000</v>
      </c>
      <c r="H2263" s="159">
        <v>119603250</v>
      </c>
      <c r="I2263" s="159">
        <v>1448528250</v>
      </c>
      <c r="J2263" s="159" t="e">
        <f>bargiri[[#This Row],[مقدار]]*INDEX(invoice[پیش دریافت به ازای هر کیلوگرم],MATCH(bargiri[[#This Row],[شماره سند مبنا]],invoice[شماره پیش فاکتور],0))</f>
        <v>#N/A</v>
      </c>
      <c r="K2263" s="159" t="e">
        <f>bargiri[[#This Row],[مبلغ خالص]]-bargiri[[#This Row],[میزان استهلاک پیش دریافتی]]</f>
        <v>#N/A</v>
      </c>
      <c r="L2263" s="160"/>
      <c r="M2263" s="159"/>
      <c r="N2263" s="159" t="e">
        <f>IF(bargiri[[#This Row],[مبلغ واریزی]]&lt;&gt;"",bargiri[[#This Row],[مانده مبلغ]]-bargiri[[#This Row],[مبلغ واریزی]],bargiri[[#This Row],[مانده مبلغ]])</f>
        <v>#N/A</v>
      </c>
      <c r="O2263" s="159"/>
      <c r="P2263" s="159" t="e">
        <f>VLOOKUP(bargiri[[#This Row],[شماره سند مبنا]],invoice[[شماره پیش فاکتور]:[پیش دریافت به ازای هر کیلوگرم]],14,0)</f>
        <v>#N/A</v>
      </c>
      <c r="Q2263" s="159" t="e">
        <f>IF(bargiri[[#This Row],[مبلغ ناخالص]]-(bargiri[[#This Row],[نرخ استهلاک]]*bargiri[[#This Row],[مقدار]])&lt;0,0,bargiri[[#This Row],[مبلغ ناخالص]]-(bargiri[[#This Row],[نرخ استهلاک]]*bargiri[[#This Row],[مقدار]]))</f>
        <v>#N/A</v>
      </c>
    </row>
    <row r="2264" spans="1:17" s="22" customFormat="1" ht="13.8" x14ac:dyDescent="0.25">
      <c r="A2264" s="22">
        <v>575</v>
      </c>
      <c r="B2264" s="22" t="s">
        <v>542</v>
      </c>
      <c r="C2264" s="22" t="s">
        <v>47</v>
      </c>
      <c r="D2264" s="22" t="s">
        <v>43</v>
      </c>
      <c r="E2264" s="158">
        <v>5115</v>
      </c>
      <c r="F2264" s="159">
        <v>65000</v>
      </c>
      <c r="G2264" s="159">
        <v>332475000</v>
      </c>
      <c r="H2264" s="159">
        <v>29922750</v>
      </c>
      <c r="I2264" s="159">
        <v>362397750</v>
      </c>
      <c r="J2264" s="159" t="e">
        <f>bargiri[[#This Row],[مقدار]]*INDEX(invoice[پیش دریافت به ازای هر کیلوگرم],MATCH(bargiri[[#This Row],[شماره سند مبنا]],invoice[شماره پیش فاکتور],0))</f>
        <v>#N/A</v>
      </c>
      <c r="K2264" s="159" t="e">
        <f>bargiri[[#This Row],[مبلغ خالص]]-bargiri[[#This Row],[میزان استهلاک پیش دریافتی]]</f>
        <v>#N/A</v>
      </c>
      <c r="L2264" s="160"/>
      <c r="M2264" s="159"/>
      <c r="N2264" s="159" t="e">
        <f>IF(bargiri[[#This Row],[مبلغ واریزی]]&lt;&gt;"",bargiri[[#This Row],[مانده مبلغ]]-bargiri[[#This Row],[مبلغ واریزی]],bargiri[[#This Row],[مانده مبلغ]])</f>
        <v>#N/A</v>
      </c>
      <c r="O2264" s="159"/>
      <c r="P2264" s="159" t="e">
        <f>VLOOKUP(bargiri[[#This Row],[شماره سند مبنا]],invoice[[شماره پیش فاکتور]:[پیش دریافت به ازای هر کیلوگرم]],14,0)</f>
        <v>#N/A</v>
      </c>
      <c r="Q2264" s="159" t="e">
        <f>IF(bargiri[[#This Row],[مبلغ ناخالص]]-(bargiri[[#This Row],[نرخ استهلاک]]*bargiri[[#This Row],[مقدار]])&lt;0,0,bargiri[[#This Row],[مبلغ ناخالص]]-(bargiri[[#This Row],[نرخ استهلاک]]*bargiri[[#This Row],[مقدار]]))</f>
        <v>#N/A</v>
      </c>
    </row>
    <row r="2265" spans="1:17" s="22" customFormat="1" ht="13.8" x14ac:dyDescent="0.25">
      <c r="A2265" s="22">
        <v>574</v>
      </c>
      <c r="B2265" s="22" t="s">
        <v>105</v>
      </c>
      <c r="C2265" s="22" t="s">
        <v>47</v>
      </c>
      <c r="D2265" s="22" t="s">
        <v>43</v>
      </c>
      <c r="E2265" s="158">
        <v>20050</v>
      </c>
      <c r="F2265" s="159">
        <v>65000</v>
      </c>
      <c r="G2265" s="159">
        <v>1303250000</v>
      </c>
      <c r="H2265" s="159">
        <v>117292500</v>
      </c>
      <c r="I2265" s="159">
        <v>1420542500</v>
      </c>
      <c r="J2265" s="159" t="e">
        <f>bargiri[[#This Row],[مقدار]]*INDEX(invoice[پیش دریافت به ازای هر کیلوگرم],MATCH(bargiri[[#This Row],[شماره سند مبنا]],invoice[شماره پیش فاکتور],0))</f>
        <v>#N/A</v>
      </c>
      <c r="K2265" s="159" t="e">
        <f>bargiri[[#This Row],[مبلغ خالص]]-bargiri[[#This Row],[میزان استهلاک پیش دریافتی]]</f>
        <v>#N/A</v>
      </c>
      <c r="L2265" s="160"/>
      <c r="M2265" s="159"/>
      <c r="N2265" s="159" t="e">
        <f>IF(bargiri[[#This Row],[مبلغ واریزی]]&lt;&gt;"",bargiri[[#This Row],[مانده مبلغ]]-bargiri[[#This Row],[مبلغ واریزی]],bargiri[[#This Row],[مانده مبلغ]])</f>
        <v>#N/A</v>
      </c>
      <c r="O2265" s="159"/>
      <c r="P2265" s="159" t="e">
        <f>VLOOKUP(bargiri[[#This Row],[شماره سند مبنا]],invoice[[شماره پیش فاکتور]:[پیش دریافت به ازای هر کیلوگرم]],14,0)</f>
        <v>#N/A</v>
      </c>
      <c r="Q2265" s="159" t="e">
        <f>IF(bargiri[[#This Row],[مبلغ ناخالص]]-(bargiri[[#This Row],[نرخ استهلاک]]*bargiri[[#This Row],[مقدار]])&lt;0,0,bargiri[[#This Row],[مبلغ ناخالص]]-(bargiri[[#This Row],[نرخ استهلاک]]*bargiri[[#This Row],[مقدار]]))</f>
        <v>#N/A</v>
      </c>
    </row>
    <row r="2266" spans="1:17" s="22" customFormat="1" ht="13.8" x14ac:dyDescent="0.25">
      <c r="A2266" s="22">
        <v>573</v>
      </c>
      <c r="B2266" s="22" t="s">
        <v>103</v>
      </c>
      <c r="C2266" s="22" t="s">
        <v>48</v>
      </c>
      <c r="D2266" s="22" t="s">
        <v>43</v>
      </c>
      <c r="E2266" s="158">
        <v>2490</v>
      </c>
      <c r="F2266" s="159">
        <v>50000</v>
      </c>
      <c r="G2266" s="159">
        <v>124500000</v>
      </c>
      <c r="H2266" s="159">
        <v>11205000</v>
      </c>
      <c r="I2266" s="159">
        <v>135705000</v>
      </c>
      <c r="J2266" s="159" t="e">
        <f>bargiri[[#This Row],[مقدار]]*INDEX(invoice[پیش دریافت به ازای هر کیلوگرم],MATCH(bargiri[[#This Row],[شماره سند مبنا]],invoice[شماره پیش فاکتور],0))</f>
        <v>#N/A</v>
      </c>
      <c r="K2266" s="159" t="e">
        <f>bargiri[[#This Row],[مبلغ خالص]]-bargiri[[#This Row],[میزان استهلاک پیش دریافتی]]</f>
        <v>#N/A</v>
      </c>
      <c r="L2266" s="160"/>
      <c r="M2266" s="159"/>
      <c r="N2266" s="159" t="e">
        <f>IF(bargiri[[#This Row],[مبلغ واریزی]]&lt;&gt;"",bargiri[[#This Row],[مانده مبلغ]]-bargiri[[#This Row],[مبلغ واریزی]],bargiri[[#This Row],[مانده مبلغ]])</f>
        <v>#N/A</v>
      </c>
      <c r="O2266" s="159"/>
      <c r="P2266" s="159" t="e">
        <f>VLOOKUP(bargiri[[#This Row],[شماره سند مبنا]],invoice[[شماره پیش فاکتور]:[پیش دریافت به ازای هر کیلوگرم]],14,0)</f>
        <v>#N/A</v>
      </c>
      <c r="Q2266" s="159" t="e">
        <f>IF(bargiri[[#This Row],[مبلغ ناخالص]]-(bargiri[[#This Row],[نرخ استهلاک]]*bargiri[[#This Row],[مقدار]])&lt;0,0,bargiri[[#This Row],[مبلغ ناخالص]]-(bargiri[[#This Row],[نرخ استهلاک]]*bargiri[[#This Row],[مقدار]]))</f>
        <v>#N/A</v>
      </c>
    </row>
    <row r="2267" spans="1:17" s="22" customFormat="1" ht="13.8" x14ac:dyDescent="0.25">
      <c r="A2267" s="22">
        <v>573</v>
      </c>
      <c r="B2267" s="22" t="s">
        <v>103</v>
      </c>
      <c r="C2267" s="22" t="s">
        <v>46</v>
      </c>
      <c r="D2267" s="22" t="s">
        <v>43</v>
      </c>
      <c r="E2267" s="158">
        <v>9130</v>
      </c>
      <c r="F2267" s="159">
        <v>50000</v>
      </c>
      <c r="G2267" s="159">
        <v>456500000</v>
      </c>
      <c r="H2267" s="159">
        <v>41085000</v>
      </c>
      <c r="I2267" s="159">
        <v>497585000</v>
      </c>
      <c r="J2267" s="159" t="e">
        <f>bargiri[[#This Row],[مقدار]]*INDEX(invoice[پیش دریافت به ازای هر کیلوگرم],MATCH(bargiri[[#This Row],[شماره سند مبنا]],invoice[شماره پیش فاکتور],0))</f>
        <v>#N/A</v>
      </c>
      <c r="K2267" s="159" t="e">
        <f>bargiri[[#This Row],[مبلغ خالص]]-bargiri[[#This Row],[میزان استهلاک پیش دریافتی]]</f>
        <v>#N/A</v>
      </c>
      <c r="L2267" s="160"/>
      <c r="M2267" s="159"/>
      <c r="N2267" s="159" t="e">
        <f>IF(bargiri[[#This Row],[مبلغ واریزی]]&lt;&gt;"",bargiri[[#This Row],[مانده مبلغ]]-bargiri[[#This Row],[مبلغ واریزی]],bargiri[[#This Row],[مانده مبلغ]])</f>
        <v>#N/A</v>
      </c>
      <c r="O2267" s="159"/>
      <c r="P2267" s="159" t="e">
        <f>VLOOKUP(bargiri[[#This Row],[شماره سند مبنا]],invoice[[شماره پیش فاکتور]:[پیش دریافت به ازای هر کیلوگرم]],14,0)</f>
        <v>#N/A</v>
      </c>
      <c r="Q2267" s="159" t="e">
        <f>IF(bargiri[[#This Row],[مبلغ ناخالص]]-(bargiri[[#This Row],[نرخ استهلاک]]*bargiri[[#This Row],[مقدار]])&lt;0,0,bargiri[[#This Row],[مبلغ ناخالص]]-(bargiri[[#This Row],[نرخ استهلاک]]*bargiri[[#This Row],[مقدار]]))</f>
        <v>#N/A</v>
      </c>
    </row>
    <row r="2268" spans="1:17" s="22" customFormat="1" ht="13.8" x14ac:dyDescent="0.25">
      <c r="A2268" s="22">
        <v>573</v>
      </c>
      <c r="B2268" s="22" t="s">
        <v>103</v>
      </c>
      <c r="C2268" s="22" t="s">
        <v>47</v>
      </c>
      <c r="D2268" s="22" t="s">
        <v>43</v>
      </c>
      <c r="E2268" s="158">
        <v>8510</v>
      </c>
      <c r="F2268" s="159">
        <v>65000</v>
      </c>
      <c r="G2268" s="159">
        <v>553150000</v>
      </c>
      <c r="H2268" s="159">
        <v>49783500</v>
      </c>
      <c r="I2268" s="159">
        <v>602933500</v>
      </c>
      <c r="J2268" s="159" t="e">
        <f>bargiri[[#This Row],[مقدار]]*INDEX(invoice[پیش دریافت به ازای هر کیلوگرم],MATCH(bargiri[[#This Row],[شماره سند مبنا]],invoice[شماره پیش فاکتور],0))</f>
        <v>#N/A</v>
      </c>
      <c r="K2268" s="159" t="e">
        <f>bargiri[[#This Row],[مبلغ خالص]]-bargiri[[#This Row],[میزان استهلاک پیش دریافتی]]</f>
        <v>#N/A</v>
      </c>
      <c r="L2268" s="160"/>
      <c r="M2268" s="159"/>
      <c r="N2268" s="159" t="e">
        <f>IF(bargiri[[#This Row],[مبلغ واریزی]]&lt;&gt;"",bargiri[[#This Row],[مانده مبلغ]]-bargiri[[#This Row],[مبلغ واریزی]],bargiri[[#This Row],[مانده مبلغ]])</f>
        <v>#N/A</v>
      </c>
      <c r="O2268" s="159"/>
      <c r="P2268" s="159" t="e">
        <f>VLOOKUP(bargiri[[#This Row],[شماره سند مبنا]],invoice[[شماره پیش فاکتور]:[پیش دریافت به ازای هر کیلوگرم]],14,0)</f>
        <v>#N/A</v>
      </c>
      <c r="Q2268" s="159" t="e">
        <f>IF(bargiri[[#This Row],[مبلغ ناخالص]]-(bargiri[[#This Row],[نرخ استهلاک]]*bargiri[[#This Row],[مقدار]])&lt;0,0,bargiri[[#This Row],[مبلغ ناخالص]]-(bargiri[[#This Row],[نرخ استهلاک]]*bargiri[[#This Row],[مقدار]]))</f>
        <v>#N/A</v>
      </c>
    </row>
    <row r="2269" spans="1:17" s="22" customFormat="1" ht="13.8" x14ac:dyDescent="0.25">
      <c r="A2269" s="22">
        <v>571</v>
      </c>
      <c r="B2269" s="22" t="s">
        <v>111</v>
      </c>
      <c r="C2269" s="22" t="s">
        <v>66</v>
      </c>
      <c r="D2269" s="22" t="s">
        <v>67</v>
      </c>
      <c r="E2269" s="158">
        <v>8215</v>
      </c>
      <c r="F2269" s="159">
        <v>68500</v>
      </c>
      <c r="G2269" s="159">
        <v>562727500</v>
      </c>
      <c r="H2269" s="159">
        <v>50645475</v>
      </c>
      <c r="I2269" s="159">
        <v>613372975</v>
      </c>
      <c r="J2269" s="159" t="e">
        <f>bargiri[[#This Row],[مقدار]]*INDEX(invoice[پیش دریافت به ازای هر کیلوگرم],MATCH(bargiri[[#This Row],[شماره سند مبنا]],invoice[شماره پیش فاکتور],0))</f>
        <v>#N/A</v>
      </c>
      <c r="K2269" s="159" t="e">
        <f>bargiri[[#This Row],[مبلغ خالص]]-bargiri[[#This Row],[میزان استهلاک پیش دریافتی]]</f>
        <v>#N/A</v>
      </c>
      <c r="L2269" s="160"/>
      <c r="M2269" s="159"/>
      <c r="N2269" s="159" t="e">
        <f>IF(bargiri[[#This Row],[مبلغ واریزی]]&lt;&gt;"",bargiri[[#This Row],[مانده مبلغ]]-bargiri[[#This Row],[مبلغ واریزی]],bargiri[[#This Row],[مانده مبلغ]])</f>
        <v>#N/A</v>
      </c>
      <c r="O2269" s="159"/>
      <c r="P2269" s="159" t="e">
        <f>VLOOKUP(bargiri[[#This Row],[شماره سند مبنا]],invoice[[شماره پیش فاکتور]:[پیش دریافت به ازای هر کیلوگرم]],14,0)</f>
        <v>#N/A</v>
      </c>
      <c r="Q2269" s="159" t="e">
        <f>IF(bargiri[[#This Row],[مبلغ ناخالص]]-(bargiri[[#This Row],[نرخ استهلاک]]*bargiri[[#This Row],[مقدار]])&lt;0,0,bargiri[[#This Row],[مبلغ ناخالص]]-(bargiri[[#This Row],[نرخ استهلاک]]*bargiri[[#This Row],[مقدار]]))</f>
        <v>#N/A</v>
      </c>
    </row>
    <row r="2270" spans="1:17" s="22" customFormat="1" ht="13.8" x14ac:dyDescent="0.25">
      <c r="A2270" s="22">
        <v>570</v>
      </c>
      <c r="B2270" s="22" t="s">
        <v>111</v>
      </c>
      <c r="C2270" s="22" t="s">
        <v>69</v>
      </c>
      <c r="D2270" s="22" t="s">
        <v>70</v>
      </c>
      <c r="E2270" s="158">
        <v>19960</v>
      </c>
      <c r="F2270" s="159">
        <v>70000</v>
      </c>
      <c r="G2270" s="159">
        <v>1397200000</v>
      </c>
      <c r="H2270" s="159">
        <v>125748000</v>
      </c>
      <c r="I2270" s="159">
        <v>1522948000</v>
      </c>
      <c r="J2270" s="159" t="e">
        <f>bargiri[[#This Row],[مقدار]]*INDEX(invoice[پیش دریافت به ازای هر کیلوگرم],MATCH(bargiri[[#This Row],[شماره سند مبنا]],invoice[شماره پیش فاکتور],0))</f>
        <v>#N/A</v>
      </c>
      <c r="K2270" s="159" t="e">
        <f>bargiri[[#This Row],[مبلغ خالص]]-bargiri[[#This Row],[میزان استهلاک پیش دریافتی]]</f>
        <v>#N/A</v>
      </c>
      <c r="L2270" s="160"/>
      <c r="M2270" s="159"/>
      <c r="N2270" s="159" t="e">
        <f>IF(bargiri[[#This Row],[مبلغ واریزی]]&lt;&gt;"",bargiri[[#This Row],[مانده مبلغ]]-bargiri[[#This Row],[مبلغ واریزی]],bargiri[[#This Row],[مانده مبلغ]])</f>
        <v>#N/A</v>
      </c>
      <c r="O2270" s="159"/>
      <c r="P2270" s="159" t="e">
        <f>VLOOKUP(bargiri[[#This Row],[شماره سند مبنا]],invoice[[شماره پیش فاکتور]:[پیش دریافت به ازای هر کیلوگرم]],14,0)</f>
        <v>#N/A</v>
      </c>
      <c r="Q2270" s="159" t="e">
        <f>IF(bargiri[[#This Row],[مبلغ ناخالص]]-(bargiri[[#This Row],[نرخ استهلاک]]*bargiri[[#This Row],[مقدار]])&lt;0,0,bargiri[[#This Row],[مبلغ ناخالص]]-(bargiri[[#This Row],[نرخ استهلاک]]*bargiri[[#This Row],[مقدار]]))</f>
        <v>#N/A</v>
      </c>
    </row>
    <row r="2271" spans="1:17" s="22" customFormat="1" ht="13.8" x14ac:dyDescent="0.25">
      <c r="A2271" s="22">
        <v>569</v>
      </c>
      <c r="B2271" s="22" t="s">
        <v>111</v>
      </c>
      <c r="C2271" s="22" t="s">
        <v>66</v>
      </c>
      <c r="D2271" s="22" t="s">
        <v>67</v>
      </c>
      <c r="E2271" s="158">
        <v>19790</v>
      </c>
      <c r="F2271" s="159">
        <v>68500</v>
      </c>
      <c r="G2271" s="159">
        <v>1355615000</v>
      </c>
      <c r="H2271" s="159">
        <v>122005350</v>
      </c>
      <c r="I2271" s="159">
        <v>1477620350</v>
      </c>
      <c r="J2271" s="159" t="e">
        <f>bargiri[[#This Row],[مقدار]]*INDEX(invoice[پیش دریافت به ازای هر کیلوگرم],MATCH(bargiri[[#This Row],[شماره سند مبنا]],invoice[شماره پیش فاکتور],0))</f>
        <v>#N/A</v>
      </c>
      <c r="K2271" s="159" t="e">
        <f>bargiri[[#This Row],[مبلغ خالص]]-bargiri[[#This Row],[میزان استهلاک پیش دریافتی]]</f>
        <v>#N/A</v>
      </c>
      <c r="L2271" s="160"/>
      <c r="M2271" s="159"/>
      <c r="N2271" s="159" t="e">
        <f>IF(bargiri[[#This Row],[مبلغ واریزی]]&lt;&gt;"",bargiri[[#This Row],[مانده مبلغ]]-bargiri[[#This Row],[مبلغ واریزی]],bargiri[[#This Row],[مانده مبلغ]])</f>
        <v>#N/A</v>
      </c>
      <c r="O2271" s="159"/>
      <c r="P2271" s="159" t="e">
        <f>VLOOKUP(bargiri[[#This Row],[شماره سند مبنا]],invoice[[شماره پیش فاکتور]:[پیش دریافت به ازای هر کیلوگرم]],14,0)</f>
        <v>#N/A</v>
      </c>
      <c r="Q2271" s="159" t="e">
        <f>IF(bargiri[[#This Row],[مبلغ ناخالص]]-(bargiri[[#This Row],[نرخ استهلاک]]*bargiri[[#This Row],[مقدار]])&lt;0,0,bargiri[[#This Row],[مبلغ ناخالص]]-(bargiri[[#This Row],[نرخ استهلاک]]*bargiri[[#This Row],[مقدار]]))</f>
        <v>#N/A</v>
      </c>
    </row>
    <row r="2272" spans="1:17" s="22" customFormat="1" ht="13.8" x14ac:dyDescent="0.25">
      <c r="A2272" s="22">
        <v>568</v>
      </c>
      <c r="B2272" s="22" t="s">
        <v>111</v>
      </c>
      <c r="C2272" s="22" t="s">
        <v>75</v>
      </c>
      <c r="D2272" s="22" t="s">
        <v>73</v>
      </c>
      <c r="E2272" s="158">
        <v>20905</v>
      </c>
      <c r="F2272" s="159">
        <v>56881</v>
      </c>
      <c r="G2272" s="159">
        <v>1189097305</v>
      </c>
      <c r="H2272" s="159">
        <v>107018757</v>
      </c>
      <c r="I2272" s="159">
        <v>1296116062</v>
      </c>
      <c r="J2272" s="159" t="e">
        <f>bargiri[[#This Row],[مقدار]]*INDEX(invoice[پیش دریافت به ازای هر کیلوگرم],MATCH(bargiri[[#This Row],[شماره سند مبنا]],invoice[شماره پیش فاکتور],0))</f>
        <v>#N/A</v>
      </c>
      <c r="K2272" s="159" t="e">
        <f>bargiri[[#This Row],[مبلغ خالص]]-bargiri[[#This Row],[میزان استهلاک پیش دریافتی]]</f>
        <v>#N/A</v>
      </c>
      <c r="L2272" s="160"/>
      <c r="M2272" s="159"/>
      <c r="N2272" s="159" t="e">
        <f>IF(bargiri[[#This Row],[مبلغ واریزی]]&lt;&gt;"",bargiri[[#This Row],[مانده مبلغ]]-bargiri[[#This Row],[مبلغ واریزی]],bargiri[[#This Row],[مانده مبلغ]])</f>
        <v>#N/A</v>
      </c>
      <c r="O2272" s="159"/>
      <c r="P2272" s="159" t="e">
        <f>VLOOKUP(bargiri[[#This Row],[شماره سند مبنا]],invoice[[شماره پیش فاکتور]:[پیش دریافت به ازای هر کیلوگرم]],14,0)</f>
        <v>#N/A</v>
      </c>
      <c r="Q2272" s="159" t="e">
        <f>IF(bargiri[[#This Row],[مبلغ ناخالص]]-(bargiri[[#This Row],[نرخ استهلاک]]*bargiri[[#This Row],[مقدار]])&lt;0,0,bargiri[[#This Row],[مبلغ ناخالص]]-(bargiri[[#This Row],[نرخ استهلاک]]*bargiri[[#This Row],[مقدار]]))</f>
        <v>#N/A</v>
      </c>
    </row>
    <row r="2273" spans="1:17" s="22" customFormat="1" ht="13.8" x14ac:dyDescent="0.25">
      <c r="A2273" s="22">
        <v>567</v>
      </c>
      <c r="B2273" s="22" t="s">
        <v>111</v>
      </c>
      <c r="C2273" s="22" t="s">
        <v>75</v>
      </c>
      <c r="D2273" s="22" t="s">
        <v>73</v>
      </c>
      <c r="E2273" s="158">
        <v>21120</v>
      </c>
      <c r="F2273" s="159">
        <v>56881</v>
      </c>
      <c r="G2273" s="159">
        <v>1201326720</v>
      </c>
      <c r="H2273" s="159">
        <v>108119405</v>
      </c>
      <c r="I2273" s="159">
        <v>1309446125</v>
      </c>
      <c r="J2273" s="159" t="e">
        <f>bargiri[[#This Row],[مقدار]]*INDEX(invoice[پیش دریافت به ازای هر کیلوگرم],MATCH(bargiri[[#This Row],[شماره سند مبنا]],invoice[شماره پیش فاکتور],0))</f>
        <v>#N/A</v>
      </c>
      <c r="K2273" s="159" t="e">
        <f>bargiri[[#This Row],[مبلغ خالص]]-bargiri[[#This Row],[میزان استهلاک پیش دریافتی]]</f>
        <v>#N/A</v>
      </c>
      <c r="L2273" s="160"/>
      <c r="M2273" s="159"/>
      <c r="N2273" s="159" t="e">
        <f>IF(bargiri[[#This Row],[مبلغ واریزی]]&lt;&gt;"",bargiri[[#This Row],[مانده مبلغ]]-bargiri[[#This Row],[مبلغ واریزی]],bargiri[[#This Row],[مانده مبلغ]])</f>
        <v>#N/A</v>
      </c>
      <c r="O2273" s="159"/>
      <c r="P2273" s="159" t="e">
        <f>VLOOKUP(bargiri[[#This Row],[شماره سند مبنا]],invoice[[شماره پیش فاکتور]:[پیش دریافت به ازای هر کیلوگرم]],14,0)</f>
        <v>#N/A</v>
      </c>
      <c r="Q2273" s="159" t="e">
        <f>IF(bargiri[[#This Row],[مبلغ ناخالص]]-(bargiri[[#This Row],[نرخ استهلاک]]*bargiri[[#This Row],[مقدار]])&lt;0,0,bargiri[[#This Row],[مبلغ ناخالص]]-(bargiri[[#This Row],[نرخ استهلاک]]*bargiri[[#This Row],[مقدار]]))</f>
        <v>#N/A</v>
      </c>
    </row>
    <row r="2274" spans="1:17" s="22" customFormat="1" ht="13.8" x14ac:dyDescent="0.25">
      <c r="A2274" s="22">
        <v>566</v>
      </c>
      <c r="B2274" s="22" t="s">
        <v>111</v>
      </c>
      <c r="C2274" s="22" t="s">
        <v>75</v>
      </c>
      <c r="D2274" s="22" t="s">
        <v>73</v>
      </c>
      <c r="E2274" s="158">
        <v>21065</v>
      </c>
      <c r="F2274" s="159">
        <v>56881</v>
      </c>
      <c r="G2274" s="159">
        <v>1198198265</v>
      </c>
      <c r="H2274" s="159">
        <v>107837844</v>
      </c>
      <c r="I2274" s="159">
        <v>1306036109</v>
      </c>
      <c r="J2274" s="159" t="e">
        <f>bargiri[[#This Row],[مقدار]]*INDEX(invoice[پیش دریافت به ازای هر کیلوگرم],MATCH(bargiri[[#This Row],[شماره سند مبنا]],invoice[شماره پیش فاکتور],0))</f>
        <v>#N/A</v>
      </c>
      <c r="K2274" s="159" t="e">
        <f>bargiri[[#This Row],[مبلغ خالص]]-bargiri[[#This Row],[میزان استهلاک پیش دریافتی]]</f>
        <v>#N/A</v>
      </c>
      <c r="L2274" s="160"/>
      <c r="M2274" s="159"/>
      <c r="N2274" s="159" t="e">
        <f>IF(bargiri[[#This Row],[مبلغ واریزی]]&lt;&gt;"",bargiri[[#This Row],[مانده مبلغ]]-bargiri[[#This Row],[مبلغ واریزی]],bargiri[[#This Row],[مانده مبلغ]])</f>
        <v>#N/A</v>
      </c>
      <c r="O2274" s="159"/>
      <c r="P2274" s="159" t="e">
        <f>VLOOKUP(bargiri[[#This Row],[شماره سند مبنا]],invoice[[شماره پیش فاکتور]:[پیش دریافت به ازای هر کیلوگرم]],14,0)</f>
        <v>#N/A</v>
      </c>
      <c r="Q2274" s="159" t="e">
        <f>IF(bargiri[[#This Row],[مبلغ ناخالص]]-(bargiri[[#This Row],[نرخ استهلاک]]*bargiri[[#This Row],[مقدار]])&lt;0,0,bargiri[[#This Row],[مبلغ ناخالص]]-(bargiri[[#This Row],[نرخ استهلاک]]*bargiri[[#This Row],[مقدار]]))</f>
        <v>#N/A</v>
      </c>
    </row>
    <row r="2275" spans="1:17" s="22" customFormat="1" ht="13.8" x14ac:dyDescent="0.25">
      <c r="A2275" s="22">
        <v>565</v>
      </c>
      <c r="B2275" s="22" t="s">
        <v>544</v>
      </c>
      <c r="C2275" s="22" t="s">
        <v>75</v>
      </c>
      <c r="D2275" s="22" t="s">
        <v>73</v>
      </c>
      <c r="E2275" s="158">
        <v>21135</v>
      </c>
      <c r="F2275" s="159">
        <v>56881</v>
      </c>
      <c r="G2275" s="159">
        <v>1202179935</v>
      </c>
      <c r="H2275" s="159">
        <v>108196194</v>
      </c>
      <c r="I2275" s="159">
        <v>1310376129</v>
      </c>
      <c r="J2275" s="159" t="e">
        <f>bargiri[[#This Row],[مقدار]]*INDEX(invoice[پیش دریافت به ازای هر کیلوگرم],MATCH(bargiri[[#This Row],[شماره سند مبنا]],invoice[شماره پیش فاکتور],0))</f>
        <v>#N/A</v>
      </c>
      <c r="K2275" s="159" t="e">
        <f>bargiri[[#This Row],[مبلغ خالص]]-bargiri[[#This Row],[میزان استهلاک پیش دریافتی]]</f>
        <v>#N/A</v>
      </c>
      <c r="L2275" s="160"/>
      <c r="M2275" s="159"/>
      <c r="N2275" s="159" t="e">
        <f>IF(bargiri[[#This Row],[مبلغ واریزی]]&lt;&gt;"",bargiri[[#This Row],[مانده مبلغ]]-bargiri[[#This Row],[مبلغ واریزی]],bargiri[[#This Row],[مانده مبلغ]])</f>
        <v>#N/A</v>
      </c>
      <c r="O2275" s="159"/>
      <c r="P2275" s="159" t="e">
        <f>VLOOKUP(bargiri[[#This Row],[شماره سند مبنا]],invoice[[شماره پیش فاکتور]:[پیش دریافت به ازای هر کیلوگرم]],14,0)</f>
        <v>#N/A</v>
      </c>
      <c r="Q2275" s="159" t="e">
        <f>IF(bargiri[[#This Row],[مبلغ ناخالص]]-(bargiri[[#This Row],[نرخ استهلاک]]*bargiri[[#This Row],[مقدار]])&lt;0,0,bargiri[[#This Row],[مبلغ ناخالص]]-(bargiri[[#This Row],[نرخ استهلاک]]*bargiri[[#This Row],[مقدار]]))</f>
        <v>#N/A</v>
      </c>
    </row>
    <row r="2276" spans="1:17" s="22" customFormat="1" ht="13.8" x14ac:dyDescent="0.25">
      <c r="A2276" s="22">
        <v>564</v>
      </c>
      <c r="B2276" s="22" t="s">
        <v>544</v>
      </c>
      <c r="C2276" s="22" t="s">
        <v>75</v>
      </c>
      <c r="D2276" s="22" t="s">
        <v>73</v>
      </c>
      <c r="E2276" s="158">
        <v>21165</v>
      </c>
      <c r="F2276" s="159">
        <v>56881</v>
      </c>
      <c r="G2276" s="159">
        <v>1203886365</v>
      </c>
      <c r="H2276" s="159">
        <v>108349773</v>
      </c>
      <c r="I2276" s="159">
        <v>1312236138</v>
      </c>
      <c r="J2276" s="159" t="e">
        <f>bargiri[[#This Row],[مقدار]]*INDEX(invoice[پیش دریافت به ازای هر کیلوگرم],MATCH(bargiri[[#This Row],[شماره سند مبنا]],invoice[شماره پیش فاکتور],0))</f>
        <v>#N/A</v>
      </c>
      <c r="K2276" s="159" t="e">
        <f>bargiri[[#This Row],[مبلغ خالص]]-bargiri[[#This Row],[میزان استهلاک پیش دریافتی]]</f>
        <v>#N/A</v>
      </c>
      <c r="L2276" s="160"/>
      <c r="M2276" s="159"/>
      <c r="N2276" s="159" t="e">
        <f>IF(bargiri[[#This Row],[مبلغ واریزی]]&lt;&gt;"",bargiri[[#This Row],[مانده مبلغ]]-bargiri[[#This Row],[مبلغ واریزی]],bargiri[[#This Row],[مانده مبلغ]])</f>
        <v>#N/A</v>
      </c>
      <c r="O2276" s="159"/>
      <c r="P2276" s="159" t="e">
        <f>VLOOKUP(bargiri[[#This Row],[شماره سند مبنا]],invoice[[شماره پیش فاکتور]:[پیش دریافت به ازای هر کیلوگرم]],14,0)</f>
        <v>#N/A</v>
      </c>
      <c r="Q2276" s="159" t="e">
        <f>IF(bargiri[[#This Row],[مبلغ ناخالص]]-(bargiri[[#This Row],[نرخ استهلاک]]*bargiri[[#This Row],[مقدار]])&lt;0,0,bargiri[[#This Row],[مبلغ ناخالص]]-(bargiri[[#This Row],[نرخ استهلاک]]*bargiri[[#This Row],[مقدار]]))</f>
        <v>#N/A</v>
      </c>
    </row>
    <row r="2277" spans="1:17" s="22" customFormat="1" ht="13.8" x14ac:dyDescent="0.25">
      <c r="A2277" s="22">
        <v>563</v>
      </c>
      <c r="B2277" s="22" t="s">
        <v>544</v>
      </c>
      <c r="C2277" s="22" t="s">
        <v>24</v>
      </c>
      <c r="D2277" s="22" t="s">
        <v>25</v>
      </c>
      <c r="E2277" s="158">
        <v>5885</v>
      </c>
      <c r="F2277" s="159">
        <v>68000</v>
      </c>
      <c r="G2277" s="159">
        <v>400180000</v>
      </c>
      <c r="H2277" s="159">
        <v>36016200</v>
      </c>
      <c r="I2277" s="159">
        <v>436196200</v>
      </c>
      <c r="J2277" s="159" t="e">
        <f>bargiri[[#This Row],[مقدار]]*INDEX(invoice[پیش دریافت به ازای هر کیلوگرم],MATCH(bargiri[[#This Row],[شماره سند مبنا]],invoice[شماره پیش فاکتور],0))</f>
        <v>#N/A</v>
      </c>
      <c r="K2277" s="159" t="e">
        <f>bargiri[[#This Row],[مبلغ خالص]]-bargiri[[#This Row],[میزان استهلاک پیش دریافتی]]</f>
        <v>#N/A</v>
      </c>
      <c r="L2277" s="160"/>
      <c r="M2277" s="159"/>
      <c r="N2277" s="159" t="e">
        <f>IF(bargiri[[#This Row],[مبلغ واریزی]]&lt;&gt;"",bargiri[[#This Row],[مانده مبلغ]]-bargiri[[#This Row],[مبلغ واریزی]],bargiri[[#This Row],[مانده مبلغ]])</f>
        <v>#N/A</v>
      </c>
      <c r="O2277" s="159"/>
      <c r="P2277" s="159" t="e">
        <f>VLOOKUP(bargiri[[#This Row],[شماره سند مبنا]],invoice[[شماره پیش فاکتور]:[پیش دریافت به ازای هر کیلوگرم]],14,0)</f>
        <v>#N/A</v>
      </c>
      <c r="Q2277" s="159" t="e">
        <f>IF(bargiri[[#This Row],[مبلغ ناخالص]]-(bargiri[[#This Row],[نرخ استهلاک]]*bargiri[[#This Row],[مقدار]])&lt;0,0,bargiri[[#This Row],[مبلغ ناخالص]]-(bargiri[[#This Row],[نرخ استهلاک]]*bargiri[[#This Row],[مقدار]]))</f>
        <v>#N/A</v>
      </c>
    </row>
    <row r="2278" spans="1:17" s="22" customFormat="1" ht="13.8" x14ac:dyDescent="0.25">
      <c r="A2278" s="22">
        <v>562</v>
      </c>
      <c r="B2278" s="22" t="s">
        <v>544</v>
      </c>
      <c r="C2278" s="22" t="s">
        <v>29</v>
      </c>
      <c r="D2278" s="22" t="s">
        <v>30</v>
      </c>
      <c r="E2278" s="158">
        <v>11115</v>
      </c>
      <c r="F2278" s="159">
        <v>70000</v>
      </c>
      <c r="G2278" s="159">
        <v>778050000</v>
      </c>
      <c r="H2278" s="159">
        <v>77805000</v>
      </c>
      <c r="I2278" s="159">
        <v>855855000</v>
      </c>
      <c r="J2278" s="159" t="e">
        <f>bargiri[[#This Row],[مقدار]]*INDEX(invoice[پیش دریافت به ازای هر کیلوگرم],MATCH(bargiri[[#This Row],[شماره سند مبنا]],invoice[شماره پیش فاکتور],0))</f>
        <v>#N/A</v>
      </c>
      <c r="K2278" s="159" t="e">
        <f>bargiri[[#This Row],[مبلغ خالص]]-bargiri[[#This Row],[میزان استهلاک پیش دریافتی]]</f>
        <v>#N/A</v>
      </c>
      <c r="L2278" s="160"/>
      <c r="M2278" s="159"/>
      <c r="N2278" s="159" t="e">
        <f>IF(bargiri[[#This Row],[مبلغ واریزی]]&lt;&gt;"",bargiri[[#This Row],[مانده مبلغ]]-bargiri[[#This Row],[مبلغ واریزی]],bargiri[[#This Row],[مانده مبلغ]])</f>
        <v>#N/A</v>
      </c>
      <c r="O2278" s="159"/>
      <c r="P2278" s="159" t="e">
        <f>VLOOKUP(bargiri[[#This Row],[شماره سند مبنا]],invoice[[شماره پیش فاکتور]:[پیش دریافت به ازای هر کیلوگرم]],14,0)</f>
        <v>#N/A</v>
      </c>
      <c r="Q2278" s="159" t="e">
        <f>IF(bargiri[[#This Row],[مبلغ ناخالص]]-(bargiri[[#This Row],[نرخ استهلاک]]*bargiri[[#This Row],[مقدار]])&lt;0,0,bargiri[[#This Row],[مبلغ ناخالص]]-(bargiri[[#This Row],[نرخ استهلاک]]*bargiri[[#This Row],[مقدار]]))</f>
        <v>#N/A</v>
      </c>
    </row>
    <row r="2279" spans="1:17" s="22" customFormat="1" ht="13.8" x14ac:dyDescent="0.25">
      <c r="A2279" s="22">
        <v>561</v>
      </c>
      <c r="B2279" s="22" t="s">
        <v>544</v>
      </c>
      <c r="C2279" s="22" t="s">
        <v>66</v>
      </c>
      <c r="D2279" s="22" t="s">
        <v>67</v>
      </c>
      <c r="E2279" s="158">
        <v>19680</v>
      </c>
      <c r="F2279" s="159">
        <v>68500</v>
      </c>
      <c r="G2279" s="159">
        <v>1348080000</v>
      </c>
      <c r="H2279" s="159">
        <v>121327200</v>
      </c>
      <c r="I2279" s="159">
        <v>1469407200</v>
      </c>
      <c r="J2279" s="159" t="e">
        <f>bargiri[[#This Row],[مقدار]]*INDEX(invoice[پیش دریافت به ازای هر کیلوگرم],MATCH(bargiri[[#This Row],[شماره سند مبنا]],invoice[شماره پیش فاکتور],0))</f>
        <v>#N/A</v>
      </c>
      <c r="K2279" s="159" t="e">
        <f>bargiri[[#This Row],[مبلغ خالص]]-bargiri[[#This Row],[میزان استهلاک پیش دریافتی]]</f>
        <v>#N/A</v>
      </c>
      <c r="L2279" s="160"/>
      <c r="M2279" s="159"/>
      <c r="N2279" s="159" t="e">
        <f>IF(bargiri[[#This Row],[مبلغ واریزی]]&lt;&gt;"",bargiri[[#This Row],[مانده مبلغ]]-bargiri[[#This Row],[مبلغ واریزی]],bargiri[[#This Row],[مانده مبلغ]])</f>
        <v>#N/A</v>
      </c>
      <c r="O2279" s="159"/>
      <c r="P2279" s="159" t="e">
        <f>VLOOKUP(bargiri[[#This Row],[شماره سند مبنا]],invoice[[شماره پیش فاکتور]:[پیش دریافت به ازای هر کیلوگرم]],14,0)</f>
        <v>#N/A</v>
      </c>
      <c r="Q2279" s="159" t="e">
        <f>IF(bargiri[[#This Row],[مبلغ ناخالص]]-(bargiri[[#This Row],[نرخ استهلاک]]*bargiri[[#This Row],[مقدار]])&lt;0,0,bargiri[[#This Row],[مبلغ ناخالص]]-(bargiri[[#This Row],[نرخ استهلاک]]*bargiri[[#This Row],[مقدار]]))</f>
        <v>#N/A</v>
      </c>
    </row>
    <row r="2280" spans="1:17" s="22" customFormat="1" ht="13.8" x14ac:dyDescent="0.25">
      <c r="A2280" s="22">
        <v>560</v>
      </c>
      <c r="B2280" s="22" t="s">
        <v>544</v>
      </c>
      <c r="C2280" s="22" t="s">
        <v>88</v>
      </c>
      <c r="D2280" s="22" t="s">
        <v>89</v>
      </c>
      <c r="E2280" s="158">
        <v>18145</v>
      </c>
      <c r="F2280" s="159">
        <v>78000</v>
      </c>
      <c r="G2280" s="159">
        <v>1415310000</v>
      </c>
      <c r="H2280" s="159">
        <v>141531000</v>
      </c>
      <c r="I2280" s="159">
        <v>1556841000</v>
      </c>
      <c r="J2280" s="159" t="e">
        <f>bargiri[[#This Row],[مقدار]]*INDEX(invoice[پیش دریافت به ازای هر کیلوگرم],MATCH(bargiri[[#This Row],[شماره سند مبنا]],invoice[شماره پیش فاکتور],0))</f>
        <v>#N/A</v>
      </c>
      <c r="K2280" s="159" t="e">
        <f>bargiri[[#This Row],[مبلغ خالص]]-bargiri[[#This Row],[میزان استهلاک پیش دریافتی]]</f>
        <v>#N/A</v>
      </c>
      <c r="L2280" s="160"/>
      <c r="M2280" s="159"/>
      <c r="N2280" s="159" t="e">
        <f>IF(bargiri[[#This Row],[مبلغ واریزی]]&lt;&gt;"",bargiri[[#This Row],[مانده مبلغ]]-bargiri[[#This Row],[مبلغ واریزی]],bargiri[[#This Row],[مانده مبلغ]])</f>
        <v>#N/A</v>
      </c>
      <c r="O2280" s="159"/>
      <c r="P2280" s="159" t="e">
        <f>VLOOKUP(bargiri[[#This Row],[شماره سند مبنا]],invoice[[شماره پیش فاکتور]:[پیش دریافت به ازای هر کیلوگرم]],14,0)</f>
        <v>#N/A</v>
      </c>
      <c r="Q2280" s="159" t="e">
        <f>IF(bargiri[[#This Row],[مبلغ ناخالص]]-(bargiri[[#This Row],[نرخ استهلاک]]*bargiri[[#This Row],[مقدار]])&lt;0,0,bargiri[[#This Row],[مبلغ ناخالص]]-(bargiri[[#This Row],[نرخ استهلاک]]*bargiri[[#This Row],[مقدار]]))</f>
        <v>#N/A</v>
      </c>
    </row>
    <row r="2281" spans="1:17" s="22" customFormat="1" ht="13.8" x14ac:dyDescent="0.25">
      <c r="A2281" s="22">
        <v>559</v>
      </c>
      <c r="B2281" s="22" t="s">
        <v>544</v>
      </c>
      <c r="C2281" s="22" t="s">
        <v>97</v>
      </c>
      <c r="D2281" s="22" t="s">
        <v>40</v>
      </c>
      <c r="E2281" s="158">
        <v>17950</v>
      </c>
      <c r="F2281" s="159">
        <v>85000</v>
      </c>
      <c r="G2281" s="159">
        <v>1525750000</v>
      </c>
      <c r="H2281" s="159">
        <v>152575000</v>
      </c>
      <c r="I2281" s="159">
        <v>1678325000</v>
      </c>
      <c r="J2281" s="159" t="e">
        <f>bargiri[[#This Row],[مقدار]]*INDEX(invoice[پیش دریافت به ازای هر کیلوگرم],MATCH(bargiri[[#This Row],[شماره سند مبنا]],invoice[شماره پیش فاکتور],0))</f>
        <v>#N/A</v>
      </c>
      <c r="K2281" s="159" t="e">
        <f>bargiri[[#This Row],[مبلغ خالص]]-bargiri[[#This Row],[میزان استهلاک پیش دریافتی]]</f>
        <v>#N/A</v>
      </c>
      <c r="L2281" s="160"/>
      <c r="M2281" s="159"/>
      <c r="N2281" s="159" t="e">
        <f>IF(bargiri[[#This Row],[مبلغ واریزی]]&lt;&gt;"",bargiri[[#This Row],[مانده مبلغ]]-bargiri[[#This Row],[مبلغ واریزی]],bargiri[[#This Row],[مانده مبلغ]])</f>
        <v>#N/A</v>
      </c>
      <c r="O2281" s="159"/>
      <c r="P2281" s="159" t="e">
        <f>VLOOKUP(bargiri[[#This Row],[شماره سند مبنا]],invoice[[شماره پیش فاکتور]:[پیش دریافت به ازای هر کیلوگرم]],14,0)</f>
        <v>#N/A</v>
      </c>
      <c r="Q2281" s="159" t="e">
        <f>IF(bargiri[[#This Row],[مبلغ ناخالص]]-(bargiri[[#This Row],[نرخ استهلاک]]*bargiri[[#This Row],[مقدار]])&lt;0,0,bargiri[[#This Row],[مبلغ ناخالص]]-(bargiri[[#This Row],[نرخ استهلاک]]*bargiri[[#This Row],[مقدار]]))</f>
        <v>#N/A</v>
      </c>
    </row>
    <row r="2282" spans="1:17" s="22" customFormat="1" ht="13.8" x14ac:dyDescent="0.25">
      <c r="A2282" s="22">
        <v>558</v>
      </c>
      <c r="B2282" s="22" t="s">
        <v>544</v>
      </c>
      <c r="C2282" s="22" t="s">
        <v>16</v>
      </c>
      <c r="D2282" s="22" t="s">
        <v>17</v>
      </c>
      <c r="E2282" s="158">
        <v>22155</v>
      </c>
      <c r="F2282" s="159">
        <v>77000</v>
      </c>
      <c r="G2282" s="159">
        <v>1705935000</v>
      </c>
      <c r="H2282" s="159">
        <v>153534150</v>
      </c>
      <c r="I2282" s="159">
        <v>1859469150</v>
      </c>
      <c r="J2282" s="159" t="e">
        <f>bargiri[[#This Row],[مقدار]]*INDEX(invoice[پیش دریافت به ازای هر کیلوگرم],MATCH(bargiri[[#This Row],[شماره سند مبنا]],invoice[شماره پیش فاکتور],0))</f>
        <v>#N/A</v>
      </c>
      <c r="K2282" s="159" t="e">
        <f>bargiri[[#This Row],[مبلغ خالص]]-bargiri[[#This Row],[میزان استهلاک پیش دریافتی]]</f>
        <v>#N/A</v>
      </c>
      <c r="L2282" s="160"/>
      <c r="M2282" s="159"/>
      <c r="N2282" s="159" t="e">
        <f>IF(bargiri[[#This Row],[مبلغ واریزی]]&lt;&gt;"",bargiri[[#This Row],[مانده مبلغ]]-bargiri[[#This Row],[مبلغ واریزی]],bargiri[[#This Row],[مانده مبلغ]])</f>
        <v>#N/A</v>
      </c>
      <c r="O2282" s="159"/>
      <c r="P2282" s="159" t="e">
        <f>VLOOKUP(bargiri[[#This Row],[شماره سند مبنا]],invoice[[شماره پیش فاکتور]:[پیش دریافت به ازای هر کیلوگرم]],14,0)</f>
        <v>#N/A</v>
      </c>
      <c r="Q2282" s="159" t="e">
        <f>IF(bargiri[[#This Row],[مبلغ ناخالص]]-(bargiri[[#This Row],[نرخ استهلاک]]*bargiri[[#This Row],[مقدار]])&lt;0,0,bargiri[[#This Row],[مبلغ ناخالص]]-(bargiri[[#This Row],[نرخ استهلاک]]*bargiri[[#This Row],[مقدار]]))</f>
        <v>#N/A</v>
      </c>
    </row>
    <row r="2283" spans="1:17" s="22" customFormat="1" ht="13.8" x14ac:dyDescent="0.25">
      <c r="A2283" s="22">
        <v>557</v>
      </c>
      <c r="B2283" s="22" t="s">
        <v>544</v>
      </c>
      <c r="C2283" s="22" t="s">
        <v>19</v>
      </c>
      <c r="D2283" s="22" t="s">
        <v>20</v>
      </c>
      <c r="E2283" s="158">
        <v>18100</v>
      </c>
      <c r="F2283" s="159">
        <v>65000</v>
      </c>
      <c r="G2283" s="159">
        <v>1176500000</v>
      </c>
      <c r="H2283" s="159">
        <v>105885000</v>
      </c>
      <c r="I2283" s="159">
        <v>1282385000</v>
      </c>
      <c r="J2283" s="159" t="e">
        <f>bargiri[[#This Row],[مقدار]]*INDEX(invoice[پیش دریافت به ازای هر کیلوگرم],MATCH(bargiri[[#This Row],[شماره سند مبنا]],invoice[شماره پیش فاکتور],0))</f>
        <v>#N/A</v>
      </c>
      <c r="K2283" s="159" t="e">
        <f>bargiri[[#This Row],[مبلغ خالص]]-bargiri[[#This Row],[میزان استهلاک پیش دریافتی]]</f>
        <v>#N/A</v>
      </c>
      <c r="L2283" s="160"/>
      <c r="M2283" s="159"/>
      <c r="N2283" s="159" t="e">
        <f>IF(bargiri[[#This Row],[مبلغ واریزی]]&lt;&gt;"",bargiri[[#This Row],[مانده مبلغ]]-bargiri[[#This Row],[مبلغ واریزی]],bargiri[[#This Row],[مانده مبلغ]])</f>
        <v>#N/A</v>
      </c>
      <c r="O2283" s="159"/>
      <c r="P2283" s="159" t="e">
        <f>VLOOKUP(bargiri[[#This Row],[شماره سند مبنا]],invoice[[شماره پیش فاکتور]:[پیش دریافت به ازای هر کیلوگرم]],14,0)</f>
        <v>#N/A</v>
      </c>
      <c r="Q2283" s="159" t="e">
        <f>IF(bargiri[[#This Row],[مبلغ ناخالص]]-(bargiri[[#This Row],[نرخ استهلاک]]*bargiri[[#This Row],[مقدار]])&lt;0,0,bargiri[[#This Row],[مبلغ ناخالص]]-(bargiri[[#This Row],[نرخ استهلاک]]*bargiri[[#This Row],[مقدار]]))</f>
        <v>#N/A</v>
      </c>
    </row>
    <row r="2284" spans="1:17" s="22" customFormat="1" ht="13.8" x14ac:dyDescent="0.25">
      <c r="A2284" s="22">
        <v>556</v>
      </c>
      <c r="B2284" s="22" t="s">
        <v>545</v>
      </c>
      <c r="C2284" s="22" t="s">
        <v>19</v>
      </c>
      <c r="D2284" s="22" t="s">
        <v>20</v>
      </c>
      <c r="E2284" s="158">
        <v>18150</v>
      </c>
      <c r="F2284" s="159">
        <v>65000</v>
      </c>
      <c r="G2284" s="159">
        <v>1179750000</v>
      </c>
      <c r="H2284" s="159">
        <v>106177500</v>
      </c>
      <c r="I2284" s="159">
        <v>1285927500</v>
      </c>
      <c r="J2284" s="159" t="e">
        <f>bargiri[[#This Row],[مقدار]]*INDEX(invoice[پیش دریافت به ازای هر کیلوگرم],MATCH(bargiri[[#This Row],[شماره سند مبنا]],invoice[شماره پیش فاکتور],0))</f>
        <v>#N/A</v>
      </c>
      <c r="K2284" s="159" t="e">
        <f>bargiri[[#This Row],[مبلغ خالص]]-bargiri[[#This Row],[میزان استهلاک پیش دریافتی]]</f>
        <v>#N/A</v>
      </c>
      <c r="L2284" s="160"/>
      <c r="M2284" s="159"/>
      <c r="N2284" s="159" t="e">
        <f>IF(bargiri[[#This Row],[مبلغ واریزی]]&lt;&gt;"",bargiri[[#This Row],[مانده مبلغ]]-bargiri[[#This Row],[مبلغ واریزی]],bargiri[[#This Row],[مانده مبلغ]])</f>
        <v>#N/A</v>
      </c>
      <c r="O2284" s="159"/>
      <c r="P2284" s="159" t="e">
        <f>VLOOKUP(bargiri[[#This Row],[شماره سند مبنا]],invoice[[شماره پیش فاکتور]:[پیش دریافت به ازای هر کیلوگرم]],14,0)</f>
        <v>#N/A</v>
      </c>
      <c r="Q2284" s="159" t="e">
        <f>IF(bargiri[[#This Row],[مبلغ ناخالص]]-(bargiri[[#This Row],[نرخ استهلاک]]*bargiri[[#This Row],[مقدار]])&lt;0,0,bargiri[[#This Row],[مبلغ ناخالص]]-(bargiri[[#This Row],[نرخ استهلاک]]*bargiri[[#This Row],[مقدار]]))</f>
        <v>#N/A</v>
      </c>
    </row>
    <row r="2285" spans="1:17" s="22" customFormat="1" ht="13.8" x14ac:dyDescent="0.25">
      <c r="A2285" s="22">
        <v>555</v>
      </c>
      <c r="B2285" s="22" t="s">
        <v>545</v>
      </c>
      <c r="C2285" s="22" t="s">
        <v>66</v>
      </c>
      <c r="D2285" s="22" t="s">
        <v>67</v>
      </c>
      <c r="E2285" s="158">
        <v>8180</v>
      </c>
      <c r="F2285" s="159">
        <v>68500</v>
      </c>
      <c r="G2285" s="159">
        <v>560330000</v>
      </c>
      <c r="H2285" s="159">
        <v>50429700</v>
      </c>
      <c r="I2285" s="159">
        <v>610759700</v>
      </c>
      <c r="J2285" s="159" t="e">
        <f>bargiri[[#This Row],[مقدار]]*INDEX(invoice[پیش دریافت به ازای هر کیلوگرم],MATCH(bargiri[[#This Row],[شماره سند مبنا]],invoice[شماره پیش فاکتور],0))</f>
        <v>#N/A</v>
      </c>
      <c r="K2285" s="159" t="e">
        <f>bargiri[[#This Row],[مبلغ خالص]]-bargiri[[#This Row],[میزان استهلاک پیش دریافتی]]</f>
        <v>#N/A</v>
      </c>
      <c r="L2285" s="160"/>
      <c r="M2285" s="159"/>
      <c r="N2285" s="159" t="e">
        <f>IF(bargiri[[#This Row],[مبلغ واریزی]]&lt;&gt;"",bargiri[[#This Row],[مانده مبلغ]]-bargiri[[#This Row],[مبلغ واریزی]],bargiri[[#This Row],[مانده مبلغ]])</f>
        <v>#N/A</v>
      </c>
      <c r="O2285" s="159"/>
      <c r="P2285" s="159" t="e">
        <f>VLOOKUP(bargiri[[#This Row],[شماره سند مبنا]],invoice[[شماره پیش فاکتور]:[پیش دریافت به ازای هر کیلوگرم]],14,0)</f>
        <v>#N/A</v>
      </c>
      <c r="Q2285" s="159" t="e">
        <f>IF(bargiri[[#This Row],[مبلغ ناخالص]]-(bargiri[[#This Row],[نرخ استهلاک]]*bargiri[[#This Row],[مقدار]])&lt;0,0,bargiri[[#This Row],[مبلغ ناخالص]]-(bargiri[[#This Row],[نرخ استهلاک]]*bargiri[[#This Row],[مقدار]]))</f>
        <v>#N/A</v>
      </c>
    </row>
    <row r="2286" spans="1:17" s="22" customFormat="1" ht="13.8" x14ac:dyDescent="0.25">
      <c r="A2286" s="22">
        <v>554</v>
      </c>
      <c r="B2286" s="22" t="s">
        <v>545</v>
      </c>
      <c r="C2286" s="22" t="s">
        <v>66</v>
      </c>
      <c r="D2286" s="22" t="s">
        <v>67</v>
      </c>
      <c r="E2286" s="158">
        <v>20080</v>
      </c>
      <c r="F2286" s="159">
        <v>68500</v>
      </c>
      <c r="G2286" s="159">
        <v>1375480000</v>
      </c>
      <c r="H2286" s="159">
        <v>123793200</v>
      </c>
      <c r="I2286" s="159">
        <v>1499273200</v>
      </c>
      <c r="J2286" s="159" t="e">
        <f>bargiri[[#This Row],[مقدار]]*INDEX(invoice[پیش دریافت به ازای هر کیلوگرم],MATCH(bargiri[[#This Row],[شماره سند مبنا]],invoice[شماره پیش فاکتور],0))</f>
        <v>#N/A</v>
      </c>
      <c r="K2286" s="159" t="e">
        <f>bargiri[[#This Row],[مبلغ خالص]]-bargiri[[#This Row],[میزان استهلاک پیش دریافتی]]</f>
        <v>#N/A</v>
      </c>
      <c r="L2286" s="160"/>
      <c r="M2286" s="159"/>
      <c r="N2286" s="159" t="e">
        <f>IF(bargiri[[#This Row],[مبلغ واریزی]]&lt;&gt;"",bargiri[[#This Row],[مانده مبلغ]]-bargiri[[#This Row],[مبلغ واریزی]],bargiri[[#This Row],[مانده مبلغ]])</f>
        <v>#N/A</v>
      </c>
      <c r="O2286" s="159"/>
      <c r="P2286" s="159" t="e">
        <f>VLOOKUP(bargiri[[#This Row],[شماره سند مبنا]],invoice[[شماره پیش فاکتور]:[پیش دریافت به ازای هر کیلوگرم]],14,0)</f>
        <v>#N/A</v>
      </c>
      <c r="Q2286" s="159" t="e">
        <f>IF(bargiri[[#This Row],[مبلغ ناخالص]]-(bargiri[[#This Row],[نرخ استهلاک]]*bargiri[[#This Row],[مقدار]])&lt;0,0,bargiri[[#This Row],[مبلغ ناخالص]]-(bargiri[[#This Row],[نرخ استهلاک]]*bargiri[[#This Row],[مقدار]]))</f>
        <v>#N/A</v>
      </c>
    </row>
    <row r="2287" spans="1:17" s="22" customFormat="1" ht="13.8" x14ac:dyDescent="0.25">
      <c r="A2287" s="22">
        <v>553</v>
      </c>
      <c r="B2287" s="22" t="s">
        <v>545</v>
      </c>
      <c r="C2287" s="22" t="s">
        <v>99</v>
      </c>
      <c r="D2287" s="22" t="s">
        <v>64</v>
      </c>
      <c r="E2287" s="158">
        <v>19955</v>
      </c>
      <c r="F2287" s="159">
        <v>75000</v>
      </c>
      <c r="G2287" s="159">
        <v>1496625000</v>
      </c>
      <c r="H2287" s="159">
        <v>149662500</v>
      </c>
      <c r="I2287" s="159">
        <v>1646287500</v>
      </c>
      <c r="J2287" s="159" t="e">
        <f>bargiri[[#This Row],[مقدار]]*INDEX(invoice[پیش دریافت به ازای هر کیلوگرم],MATCH(bargiri[[#This Row],[شماره سند مبنا]],invoice[شماره پیش فاکتور],0))</f>
        <v>#N/A</v>
      </c>
      <c r="K2287" s="159" t="e">
        <f>bargiri[[#This Row],[مبلغ خالص]]-bargiri[[#This Row],[میزان استهلاک پیش دریافتی]]</f>
        <v>#N/A</v>
      </c>
      <c r="L2287" s="160"/>
      <c r="M2287" s="159"/>
      <c r="N2287" s="159" t="e">
        <f>IF(bargiri[[#This Row],[مبلغ واریزی]]&lt;&gt;"",bargiri[[#This Row],[مانده مبلغ]]-bargiri[[#This Row],[مبلغ واریزی]],bargiri[[#This Row],[مانده مبلغ]])</f>
        <v>#N/A</v>
      </c>
      <c r="O2287" s="159"/>
      <c r="P2287" s="159" t="e">
        <f>VLOOKUP(bargiri[[#This Row],[شماره سند مبنا]],invoice[[شماره پیش فاکتور]:[پیش دریافت به ازای هر کیلوگرم]],14,0)</f>
        <v>#N/A</v>
      </c>
      <c r="Q2287" s="159" t="e">
        <f>IF(bargiri[[#This Row],[مبلغ ناخالص]]-(bargiri[[#This Row],[نرخ استهلاک]]*bargiri[[#This Row],[مقدار]])&lt;0,0,bargiri[[#This Row],[مبلغ ناخالص]]-(bargiri[[#This Row],[نرخ استهلاک]]*bargiri[[#This Row],[مقدار]]))</f>
        <v>#N/A</v>
      </c>
    </row>
    <row r="2288" spans="1:17" s="22" customFormat="1" ht="13.8" x14ac:dyDescent="0.25">
      <c r="A2288" s="22">
        <v>552</v>
      </c>
      <c r="B2288" s="22" t="s">
        <v>545</v>
      </c>
      <c r="C2288" s="22" t="s">
        <v>69</v>
      </c>
      <c r="D2288" s="22" t="s">
        <v>70</v>
      </c>
      <c r="E2288" s="158">
        <v>19635</v>
      </c>
      <c r="F2288" s="159">
        <v>70000</v>
      </c>
      <c r="G2288" s="159">
        <v>1374450000</v>
      </c>
      <c r="H2288" s="159">
        <v>123700500</v>
      </c>
      <c r="I2288" s="159">
        <v>1498150500</v>
      </c>
      <c r="J2288" s="159" t="e">
        <f>bargiri[[#This Row],[مقدار]]*INDEX(invoice[پیش دریافت به ازای هر کیلوگرم],MATCH(bargiri[[#This Row],[شماره سند مبنا]],invoice[شماره پیش فاکتور],0))</f>
        <v>#N/A</v>
      </c>
      <c r="K2288" s="159" t="e">
        <f>bargiri[[#This Row],[مبلغ خالص]]-bargiri[[#This Row],[میزان استهلاک پیش دریافتی]]</f>
        <v>#N/A</v>
      </c>
      <c r="L2288" s="160"/>
      <c r="M2288" s="159"/>
      <c r="N2288" s="159" t="e">
        <f>IF(bargiri[[#This Row],[مبلغ واریزی]]&lt;&gt;"",bargiri[[#This Row],[مانده مبلغ]]-bargiri[[#This Row],[مبلغ واریزی]],bargiri[[#This Row],[مانده مبلغ]])</f>
        <v>#N/A</v>
      </c>
      <c r="O2288" s="159"/>
      <c r="P2288" s="159" t="e">
        <f>VLOOKUP(bargiri[[#This Row],[شماره سند مبنا]],invoice[[شماره پیش فاکتور]:[پیش دریافت به ازای هر کیلوگرم]],14,0)</f>
        <v>#N/A</v>
      </c>
      <c r="Q2288" s="159" t="e">
        <f>IF(bargiri[[#This Row],[مبلغ ناخالص]]-(bargiri[[#This Row],[نرخ استهلاک]]*bargiri[[#This Row],[مقدار]])&lt;0,0,bargiri[[#This Row],[مبلغ ناخالص]]-(bargiri[[#This Row],[نرخ استهلاک]]*bargiri[[#This Row],[مقدار]]))</f>
        <v>#N/A</v>
      </c>
    </row>
    <row r="2289" spans="1:17" s="22" customFormat="1" ht="13.8" x14ac:dyDescent="0.25">
      <c r="A2289" s="22">
        <v>551</v>
      </c>
      <c r="B2289" s="22" t="s">
        <v>545</v>
      </c>
      <c r="C2289" s="22" t="s">
        <v>24</v>
      </c>
      <c r="D2289" s="22" t="s">
        <v>25</v>
      </c>
      <c r="E2289" s="158">
        <v>20105</v>
      </c>
      <c r="F2289" s="159">
        <v>68000</v>
      </c>
      <c r="G2289" s="159">
        <v>1367140000</v>
      </c>
      <c r="H2289" s="159">
        <v>123042600</v>
      </c>
      <c r="I2289" s="159">
        <v>1490182600</v>
      </c>
      <c r="J2289" s="159" t="e">
        <f>bargiri[[#This Row],[مقدار]]*INDEX(invoice[پیش دریافت به ازای هر کیلوگرم],MATCH(bargiri[[#This Row],[شماره سند مبنا]],invoice[شماره پیش فاکتور],0))</f>
        <v>#N/A</v>
      </c>
      <c r="K2289" s="159" t="e">
        <f>bargiri[[#This Row],[مبلغ خالص]]-bargiri[[#This Row],[میزان استهلاک پیش دریافتی]]</f>
        <v>#N/A</v>
      </c>
      <c r="L2289" s="160"/>
      <c r="M2289" s="159"/>
      <c r="N2289" s="159" t="e">
        <f>IF(bargiri[[#This Row],[مبلغ واریزی]]&lt;&gt;"",bargiri[[#This Row],[مانده مبلغ]]-bargiri[[#This Row],[مبلغ واریزی]],bargiri[[#This Row],[مانده مبلغ]])</f>
        <v>#N/A</v>
      </c>
      <c r="O2289" s="159"/>
      <c r="P2289" s="159" t="e">
        <f>VLOOKUP(bargiri[[#This Row],[شماره سند مبنا]],invoice[[شماره پیش فاکتور]:[پیش دریافت به ازای هر کیلوگرم]],14,0)</f>
        <v>#N/A</v>
      </c>
      <c r="Q2289" s="159" t="e">
        <f>IF(bargiri[[#This Row],[مبلغ ناخالص]]-(bargiri[[#This Row],[نرخ استهلاک]]*bargiri[[#This Row],[مقدار]])&lt;0,0,bargiri[[#This Row],[مبلغ ناخالص]]-(bargiri[[#This Row],[نرخ استهلاک]]*bargiri[[#This Row],[مقدار]]))</f>
        <v>#N/A</v>
      </c>
    </row>
    <row r="2290" spans="1:17" s="22" customFormat="1" ht="13.8" x14ac:dyDescent="0.25">
      <c r="A2290" s="22">
        <v>550</v>
      </c>
      <c r="B2290" s="22" t="s">
        <v>545</v>
      </c>
      <c r="C2290" s="22" t="s">
        <v>81</v>
      </c>
      <c r="D2290" s="22" t="s">
        <v>35</v>
      </c>
      <c r="E2290" s="158">
        <v>7565</v>
      </c>
      <c r="F2290" s="159">
        <v>70000</v>
      </c>
      <c r="G2290" s="159">
        <v>529550000</v>
      </c>
      <c r="H2290" s="159">
        <v>52955000</v>
      </c>
      <c r="I2290" s="159">
        <v>582505000</v>
      </c>
      <c r="J2290" s="159" t="e">
        <f>bargiri[[#This Row],[مقدار]]*INDEX(invoice[پیش دریافت به ازای هر کیلوگرم],MATCH(bargiri[[#This Row],[شماره سند مبنا]],invoice[شماره پیش فاکتور],0))</f>
        <v>#N/A</v>
      </c>
      <c r="K2290" s="159" t="e">
        <f>bargiri[[#This Row],[مبلغ خالص]]-bargiri[[#This Row],[میزان استهلاک پیش دریافتی]]</f>
        <v>#N/A</v>
      </c>
      <c r="L2290" s="160"/>
      <c r="M2290" s="159"/>
      <c r="N2290" s="159" t="e">
        <f>IF(bargiri[[#This Row],[مبلغ واریزی]]&lt;&gt;"",bargiri[[#This Row],[مانده مبلغ]]-bargiri[[#This Row],[مبلغ واریزی]],bargiri[[#This Row],[مانده مبلغ]])</f>
        <v>#N/A</v>
      </c>
      <c r="O2290" s="159"/>
      <c r="P2290" s="159" t="e">
        <f>VLOOKUP(bargiri[[#This Row],[شماره سند مبنا]],invoice[[شماره پیش فاکتور]:[پیش دریافت به ازای هر کیلوگرم]],14,0)</f>
        <v>#N/A</v>
      </c>
      <c r="Q2290" s="159" t="e">
        <f>IF(bargiri[[#This Row],[مبلغ ناخالص]]-(bargiri[[#This Row],[نرخ استهلاک]]*bargiri[[#This Row],[مقدار]])&lt;0,0,bargiri[[#This Row],[مبلغ ناخالص]]-(bargiri[[#This Row],[نرخ استهلاک]]*bargiri[[#This Row],[مقدار]]))</f>
        <v>#N/A</v>
      </c>
    </row>
    <row r="2291" spans="1:17" s="22" customFormat="1" ht="13.8" x14ac:dyDescent="0.25">
      <c r="A2291" s="22">
        <v>549</v>
      </c>
      <c r="B2291" s="22" t="s">
        <v>547</v>
      </c>
      <c r="C2291" s="22" t="s">
        <v>66</v>
      </c>
      <c r="D2291" s="22" t="s">
        <v>67</v>
      </c>
      <c r="E2291" s="158">
        <v>8030</v>
      </c>
      <c r="F2291" s="159">
        <v>68500</v>
      </c>
      <c r="G2291" s="159">
        <v>550055000</v>
      </c>
      <c r="H2291" s="159">
        <v>49504950</v>
      </c>
      <c r="I2291" s="159">
        <v>599559950</v>
      </c>
      <c r="J2291" s="159" t="e">
        <f>bargiri[[#This Row],[مقدار]]*INDEX(invoice[پیش دریافت به ازای هر کیلوگرم],MATCH(bargiri[[#This Row],[شماره سند مبنا]],invoice[شماره پیش فاکتور],0))</f>
        <v>#N/A</v>
      </c>
      <c r="K2291" s="159" t="e">
        <f>bargiri[[#This Row],[مبلغ خالص]]-bargiri[[#This Row],[میزان استهلاک پیش دریافتی]]</f>
        <v>#N/A</v>
      </c>
      <c r="L2291" s="160"/>
      <c r="M2291" s="159"/>
      <c r="N2291" s="159" t="e">
        <f>IF(bargiri[[#This Row],[مبلغ واریزی]]&lt;&gt;"",bargiri[[#This Row],[مانده مبلغ]]-bargiri[[#This Row],[مبلغ واریزی]],bargiri[[#This Row],[مانده مبلغ]])</f>
        <v>#N/A</v>
      </c>
      <c r="O2291" s="159"/>
      <c r="P2291" s="159" t="e">
        <f>VLOOKUP(bargiri[[#This Row],[شماره سند مبنا]],invoice[[شماره پیش فاکتور]:[پیش دریافت به ازای هر کیلوگرم]],14,0)</f>
        <v>#N/A</v>
      </c>
      <c r="Q2291" s="159" t="e">
        <f>IF(bargiri[[#This Row],[مبلغ ناخالص]]-(bargiri[[#This Row],[نرخ استهلاک]]*bargiri[[#This Row],[مقدار]])&lt;0,0,bargiri[[#This Row],[مبلغ ناخالص]]-(bargiri[[#This Row],[نرخ استهلاک]]*bargiri[[#This Row],[مقدار]]))</f>
        <v>#N/A</v>
      </c>
    </row>
    <row r="2292" spans="1:17" s="22" customFormat="1" ht="13.8" x14ac:dyDescent="0.25">
      <c r="A2292" s="22">
        <v>548</v>
      </c>
      <c r="B2292" s="22" t="s">
        <v>547</v>
      </c>
      <c r="C2292" s="22" t="s">
        <v>69</v>
      </c>
      <c r="D2292" s="22" t="s">
        <v>70</v>
      </c>
      <c r="E2292" s="158">
        <v>5930</v>
      </c>
      <c r="F2292" s="159">
        <v>70000</v>
      </c>
      <c r="G2292" s="159">
        <v>415100000</v>
      </c>
      <c r="H2292" s="159">
        <v>37359000</v>
      </c>
      <c r="I2292" s="159">
        <v>452459000</v>
      </c>
      <c r="J2292" s="159" t="e">
        <f>bargiri[[#This Row],[مقدار]]*INDEX(invoice[پیش دریافت به ازای هر کیلوگرم],MATCH(bargiri[[#This Row],[شماره سند مبنا]],invoice[شماره پیش فاکتور],0))</f>
        <v>#N/A</v>
      </c>
      <c r="K2292" s="159" t="e">
        <f>bargiri[[#This Row],[مبلغ خالص]]-bargiri[[#This Row],[میزان استهلاک پیش دریافتی]]</f>
        <v>#N/A</v>
      </c>
      <c r="L2292" s="160"/>
      <c r="M2292" s="159"/>
      <c r="N2292" s="159" t="e">
        <f>IF(bargiri[[#This Row],[مبلغ واریزی]]&lt;&gt;"",bargiri[[#This Row],[مانده مبلغ]]-bargiri[[#This Row],[مبلغ واریزی]],bargiri[[#This Row],[مانده مبلغ]])</f>
        <v>#N/A</v>
      </c>
      <c r="O2292" s="159"/>
      <c r="P2292" s="159" t="e">
        <f>VLOOKUP(bargiri[[#This Row],[شماره سند مبنا]],invoice[[شماره پیش فاکتور]:[پیش دریافت به ازای هر کیلوگرم]],14,0)</f>
        <v>#N/A</v>
      </c>
      <c r="Q2292" s="159" t="e">
        <f>IF(bargiri[[#This Row],[مبلغ ناخالص]]-(bargiri[[#This Row],[نرخ استهلاک]]*bargiri[[#This Row],[مقدار]])&lt;0,0,bargiri[[#This Row],[مبلغ ناخالص]]-(bargiri[[#This Row],[نرخ استهلاک]]*bargiri[[#This Row],[مقدار]]))</f>
        <v>#N/A</v>
      </c>
    </row>
    <row r="2293" spans="1:17" s="22" customFormat="1" ht="13.8" x14ac:dyDescent="0.25">
      <c r="A2293" s="22">
        <v>547</v>
      </c>
      <c r="B2293" s="22" t="s">
        <v>547</v>
      </c>
      <c r="C2293" s="22" t="s">
        <v>29</v>
      </c>
      <c r="D2293" s="22" t="s">
        <v>30</v>
      </c>
      <c r="E2293" s="158">
        <v>10045</v>
      </c>
      <c r="F2293" s="159">
        <v>70000</v>
      </c>
      <c r="G2293" s="159">
        <v>703150000</v>
      </c>
      <c r="H2293" s="159">
        <v>70315000</v>
      </c>
      <c r="I2293" s="159">
        <v>773465000</v>
      </c>
      <c r="J2293" s="159" t="e">
        <f>bargiri[[#This Row],[مقدار]]*INDEX(invoice[پیش دریافت به ازای هر کیلوگرم],MATCH(bargiri[[#This Row],[شماره سند مبنا]],invoice[شماره پیش فاکتور],0))</f>
        <v>#N/A</v>
      </c>
      <c r="K2293" s="159" t="e">
        <f>bargiri[[#This Row],[مبلغ خالص]]-bargiri[[#This Row],[میزان استهلاک پیش دریافتی]]</f>
        <v>#N/A</v>
      </c>
      <c r="L2293" s="160"/>
      <c r="M2293" s="159"/>
      <c r="N2293" s="159" t="e">
        <f>IF(bargiri[[#This Row],[مبلغ واریزی]]&lt;&gt;"",bargiri[[#This Row],[مانده مبلغ]]-bargiri[[#This Row],[مبلغ واریزی]],bargiri[[#This Row],[مانده مبلغ]])</f>
        <v>#N/A</v>
      </c>
      <c r="O2293" s="159"/>
      <c r="P2293" s="159" t="e">
        <f>VLOOKUP(bargiri[[#This Row],[شماره سند مبنا]],invoice[[شماره پیش فاکتور]:[پیش دریافت به ازای هر کیلوگرم]],14,0)</f>
        <v>#N/A</v>
      </c>
      <c r="Q2293" s="159" t="e">
        <f>IF(bargiri[[#This Row],[مبلغ ناخالص]]-(bargiri[[#This Row],[نرخ استهلاک]]*bargiri[[#This Row],[مقدار]])&lt;0,0,bargiri[[#This Row],[مبلغ ناخالص]]-(bargiri[[#This Row],[نرخ استهلاک]]*bargiri[[#This Row],[مقدار]]))</f>
        <v>#N/A</v>
      </c>
    </row>
    <row r="2294" spans="1:17" s="22" customFormat="1" ht="13.8" x14ac:dyDescent="0.25">
      <c r="A2294" s="22">
        <v>546</v>
      </c>
      <c r="B2294" s="22" t="s">
        <v>547</v>
      </c>
      <c r="C2294" s="22" t="s">
        <v>66</v>
      </c>
      <c r="D2294" s="22" t="s">
        <v>67</v>
      </c>
      <c r="E2294" s="158">
        <v>20015</v>
      </c>
      <c r="F2294" s="159">
        <v>68500</v>
      </c>
      <c r="G2294" s="159">
        <v>1371027500</v>
      </c>
      <c r="H2294" s="159">
        <v>123392475</v>
      </c>
      <c r="I2294" s="159">
        <v>1494419975</v>
      </c>
      <c r="J2294" s="159" t="e">
        <f>bargiri[[#This Row],[مقدار]]*INDEX(invoice[پیش دریافت به ازای هر کیلوگرم],MATCH(bargiri[[#This Row],[شماره سند مبنا]],invoice[شماره پیش فاکتور],0))</f>
        <v>#N/A</v>
      </c>
      <c r="K2294" s="159" t="e">
        <f>bargiri[[#This Row],[مبلغ خالص]]-bargiri[[#This Row],[میزان استهلاک پیش دریافتی]]</f>
        <v>#N/A</v>
      </c>
      <c r="L2294" s="160"/>
      <c r="M2294" s="159"/>
      <c r="N2294" s="159" t="e">
        <f>IF(bargiri[[#This Row],[مبلغ واریزی]]&lt;&gt;"",bargiri[[#This Row],[مانده مبلغ]]-bargiri[[#This Row],[مبلغ واریزی]],bargiri[[#This Row],[مانده مبلغ]])</f>
        <v>#N/A</v>
      </c>
      <c r="O2294" s="159"/>
      <c r="P2294" s="159" t="e">
        <f>VLOOKUP(bargiri[[#This Row],[شماره سند مبنا]],invoice[[شماره پیش فاکتور]:[پیش دریافت به ازای هر کیلوگرم]],14,0)</f>
        <v>#N/A</v>
      </c>
      <c r="Q2294" s="159" t="e">
        <f>IF(bargiri[[#This Row],[مبلغ ناخالص]]-(bargiri[[#This Row],[نرخ استهلاک]]*bargiri[[#This Row],[مقدار]])&lt;0,0,bargiri[[#This Row],[مبلغ ناخالص]]-(bargiri[[#This Row],[نرخ استهلاک]]*bargiri[[#This Row],[مقدار]]))</f>
        <v>#N/A</v>
      </c>
    </row>
    <row r="2295" spans="1:17" s="22" customFormat="1" ht="13.8" x14ac:dyDescent="0.25">
      <c r="A2295" s="22">
        <v>545</v>
      </c>
      <c r="B2295" s="22" t="s">
        <v>547</v>
      </c>
      <c r="C2295" s="22" t="s">
        <v>99</v>
      </c>
      <c r="D2295" s="22" t="s">
        <v>64</v>
      </c>
      <c r="E2295" s="158">
        <v>19955</v>
      </c>
      <c r="F2295" s="159">
        <v>75000</v>
      </c>
      <c r="G2295" s="159">
        <v>1496625000</v>
      </c>
      <c r="H2295" s="159">
        <v>149662500</v>
      </c>
      <c r="I2295" s="159">
        <v>1646287500</v>
      </c>
      <c r="J2295" s="159" t="e">
        <f>bargiri[[#This Row],[مقدار]]*INDEX(invoice[پیش دریافت به ازای هر کیلوگرم],MATCH(bargiri[[#This Row],[شماره سند مبنا]],invoice[شماره پیش فاکتور],0))</f>
        <v>#N/A</v>
      </c>
      <c r="K2295" s="159" t="e">
        <f>bargiri[[#This Row],[مبلغ خالص]]-bargiri[[#This Row],[میزان استهلاک پیش دریافتی]]</f>
        <v>#N/A</v>
      </c>
      <c r="L2295" s="160"/>
      <c r="M2295" s="159"/>
      <c r="N2295" s="159" t="e">
        <f>IF(bargiri[[#This Row],[مبلغ واریزی]]&lt;&gt;"",bargiri[[#This Row],[مانده مبلغ]]-bargiri[[#This Row],[مبلغ واریزی]],bargiri[[#This Row],[مانده مبلغ]])</f>
        <v>#N/A</v>
      </c>
      <c r="O2295" s="159"/>
      <c r="P2295" s="159" t="e">
        <f>VLOOKUP(bargiri[[#This Row],[شماره سند مبنا]],invoice[[شماره پیش فاکتور]:[پیش دریافت به ازای هر کیلوگرم]],14,0)</f>
        <v>#N/A</v>
      </c>
      <c r="Q2295" s="159" t="e">
        <f>IF(bargiri[[#This Row],[مبلغ ناخالص]]-(bargiri[[#This Row],[نرخ استهلاک]]*bargiri[[#This Row],[مقدار]])&lt;0,0,bargiri[[#This Row],[مبلغ ناخالص]]-(bargiri[[#This Row],[نرخ استهلاک]]*bargiri[[#This Row],[مقدار]]))</f>
        <v>#N/A</v>
      </c>
    </row>
    <row r="2296" spans="1:17" s="22" customFormat="1" ht="13.8" x14ac:dyDescent="0.25">
      <c r="A2296" s="22">
        <v>544</v>
      </c>
      <c r="B2296" s="22" t="s">
        <v>547</v>
      </c>
      <c r="C2296" s="22" t="s">
        <v>97</v>
      </c>
      <c r="D2296" s="22" t="s">
        <v>40</v>
      </c>
      <c r="E2296" s="158">
        <v>17550</v>
      </c>
      <c r="F2296" s="159">
        <v>85000</v>
      </c>
      <c r="G2296" s="159">
        <v>1491750000</v>
      </c>
      <c r="H2296" s="159">
        <v>149175000</v>
      </c>
      <c r="I2296" s="159">
        <v>1640925000</v>
      </c>
      <c r="J2296" s="159" t="e">
        <f>bargiri[[#This Row],[مقدار]]*INDEX(invoice[پیش دریافت به ازای هر کیلوگرم],MATCH(bargiri[[#This Row],[شماره سند مبنا]],invoice[شماره پیش فاکتور],0))</f>
        <v>#N/A</v>
      </c>
      <c r="K2296" s="159" t="e">
        <f>bargiri[[#This Row],[مبلغ خالص]]-bargiri[[#This Row],[میزان استهلاک پیش دریافتی]]</f>
        <v>#N/A</v>
      </c>
      <c r="L2296" s="160"/>
      <c r="M2296" s="159"/>
      <c r="N2296" s="159" t="e">
        <f>IF(bargiri[[#This Row],[مبلغ واریزی]]&lt;&gt;"",bargiri[[#This Row],[مانده مبلغ]]-bargiri[[#This Row],[مبلغ واریزی]],bargiri[[#This Row],[مانده مبلغ]])</f>
        <v>#N/A</v>
      </c>
      <c r="O2296" s="159"/>
      <c r="P2296" s="159" t="e">
        <f>VLOOKUP(bargiri[[#This Row],[شماره سند مبنا]],invoice[[شماره پیش فاکتور]:[پیش دریافت به ازای هر کیلوگرم]],14,0)</f>
        <v>#N/A</v>
      </c>
      <c r="Q2296" s="159" t="e">
        <f>IF(bargiri[[#This Row],[مبلغ ناخالص]]-(bargiri[[#This Row],[نرخ استهلاک]]*bargiri[[#This Row],[مقدار]])&lt;0,0,bargiri[[#This Row],[مبلغ ناخالص]]-(bargiri[[#This Row],[نرخ استهلاک]]*bargiri[[#This Row],[مقدار]]))</f>
        <v>#N/A</v>
      </c>
    </row>
    <row r="2297" spans="1:17" s="22" customFormat="1" ht="13.8" x14ac:dyDescent="0.25">
      <c r="A2297" s="22">
        <v>543</v>
      </c>
      <c r="B2297" s="22" t="s">
        <v>547</v>
      </c>
      <c r="C2297" s="22" t="s">
        <v>75</v>
      </c>
      <c r="D2297" s="22" t="s">
        <v>73</v>
      </c>
      <c r="E2297" s="158">
        <v>19955</v>
      </c>
      <c r="F2297" s="159">
        <v>56881</v>
      </c>
      <c r="G2297" s="159">
        <v>1135060355</v>
      </c>
      <c r="H2297" s="159">
        <v>102155432</v>
      </c>
      <c r="I2297" s="159">
        <v>1237215787</v>
      </c>
      <c r="J2297" s="159" t="e">
        <f>bargiri[[#This Row],[مقدار]]*INDEX(invoice[پیش دریافت به ازای هر کیلوگرم],MATCH(bargiri[[#This Row],[شماره سند مبنا]],invoice[شماره پیش فاکتور],0))</f>
        <v>#N/A</v>
      </c>
      <c r="K2297" s="159" t="e">
        <f>bargiri[[#This Row],[مبلغ خالص]]-bargiri[[#This Row],[میزان استهلاک پیش دریافتی]]</f>
        <v>#N/A</v>
      </c>
      <c r="L2297" s="160"/>
      <c r="M2297" s="159"/>
      <c r="N2297" s="159" t="e">
        <f>IF(bargiri[[#This Row],[مبلغ واریزی]]&lt;&gt;"",bargiri[[#This Row],[مانده مبلغ]]-bargiri[[#This Row],[مبلغ واریزی]],bargiri[[#This Row],[مانده مبلغ]])</f>
        <v>#N/A</v>
      </c>
      <c r="O2297" s="159"/>
      <c r="P2297" s="159" t="e">
        <f>VLOOKUP(bargiri[[#This Row],[شماره سند مبنا]],invoice[[شماره پیش فاکتور]:[پیش دریافت به ازای هر کیلوگرم]],14,0)</f>
        <v>#N/A</v>
      </c>
      <c r="Q2297" s="159" t="e">
        <f>IF(bargiri[[#This Row],[مبلغ ناخالص]]-(bargiri[[#This Row],[نرخ استهلاک]]*bargiri[[#This Row],[مقدار]])&lt;0,0,bargiri[[#This Row],[مبلغ ناخالص]]-(bargiri[[#This Row],[نرخ استهلاک]]*bargiri[[#This Row],[مقدار]]))</f>
        <v>#N/A</v>
      </c>
    </row>
    <row r="2298" spans="1:17" s="22" customFormat="1" ht="13.8" x14ac:dyDescent="0.25">
      <c r="A2298" s="22">
        <v>542</v>
      </c>
      <c r="B2298" s="22" t="s">
        <v>547</v>
      </c>
      <c r="C2298" s="22" t="s">
        <v>75</v>
      </c>
      <c r="D2298" s="22" t="s">
        <v>73</v>
      </c>
      <c r="E2298" s="158">
        <v>20165</v>
      </c>
      <c r="F2298" s="159">
        <v>56881</v>
      </c>
      <c r="G2298" s="159">
        <v>1147005365</v>
      </c>
      <c r="H2298" s="159">
        <v>103230483</v>
      </c>
      <c r="I2298" s="159">
        <v>1250235848</v>
      </c>
      <c r="J2298" s="159" t="e">
        <f>bargiri[[#This Row],[مقدار]]*INDEX(invoice[پیش دریافت به ازای هر کیلوگرم],MATCH(bargiri[[#This Row],[شماره سند مبنا]],invoice[شماره پیش فاکتور],0))</f>
        <v>#N/A</v>
      </c>
      <c r="K2298" s="159" t="e">
        <f>bargiri[[#This Row],[مبلغ خالص]]-bargiri[[#This Row],[میزان استهلاک پیش دریافتی]]</f>
        <v>#N/A</v>
      </c>
      <c r="L2298" s="160"/>
      <c r="M2298" s="159"/>
      <c r="N2298" s="159" t="e">
        <f>IF(bargiri[[#This Row],[مبلغ واریزی]]&lt;&gt;"",bargiri[[#This Row],[مانده مبلغ]]-bargiri[[#This Row],[مبلغ واریزی]],bargiri[[#This Row],[مانده مبلغ]])</f>
        <v>#N/A</v>
      </c>
      <c r="O2298" s="159"/>
      <c r="P2298" s="159" t="e">
        <f>VLOOKUP(bargiri[[#This Row],[شماره سند مبنا]],invoice[[شماره پیش فاکتور]:[پیش دریافت به ازای هر کیلوگرم]],14,0)</f>
        <v>#N/A</v>
      </c>
      <c r="Q2298" s="159" t="e">
        <f>IF(bargiri[[#This Row],[مبلغ ناخالص]]-(bargiri[[#This Row],[نرخ استهلاک]]*bargiri[[#This Row],[مقدار]])&lt;0,0,bargiri[[#This Row],[مبلغ ناخالص]]-(bargiri[[#This Row],[نرخ استهلاک]]*bargiri[[#This Row],[مقدار]]))</f>
        <v>#N/A</v>
      </c>
    </row>
    <row r="2299" spans="1:17" s="22" customFormat="1" ht="13.8" x14ac:dyDescent="0.25">
      <c r="A2299" s="22">
        <v>541</v>
      </c>
      <c r="B2299" s="22" t="s">
        <v>547</v>
      </c>
      <c r="C2299" s="22" t="s">
        <v>75</v>
      </c>
      <c r="D2299" s="22" t="s">
        <v>73</v>
      </c>
      <c r="E2299" s="158">
        <v>20050</v>
      </c>
      <c r="F2299" s="159">
        <v>56881</v>
      </c>
      <c r="G2299" s="159">
        <v>1140464050</v>
      </c>
      <c r="H2299" s="159">
        <v>102641765</v>
      </c>
      <c r="I2299" s="159">
        <v>1243105815</v>
      </c>
      <c r="J2299" s="159" t="e">
        <f>bargiri[[#This Row],[مقدار]]*INDEX(invoice[پیش دریافت به ازای هر کیلوگرم],MATCH(bargiri[[#This Row],[شماره سند مبنا]],invoice[شماره پیش فاکتور],0))</f>
        <v>#N/A</v>
      </c>
      <c r="K2299" s="159" t="e">
        <f>bargiri[[#This Row],[مبلغ خالص]]-bargiri[[#This Row],[میزان استهلاک پیش دریافتی]]</f>
        <v>#N/A</v>
      </c>
      <c r="L2299" s="160"/>
      <c r="M2299" s="159"/>
      <c r="N2299" s="159" t="e">
        <f>IF(bargiri[[#This Row],[مبلغ واریزی]]&lt;&gt;"",bargiri[[#This Row],[مانده مبلغ]]-bargiri[[#This Row],[مبلغ واریزی]],bargiri[[#This Row],[مانده مبلغ]])</f>
        <v>#N/A</v>
      </c>
      <c r="O2299" s="159"/>
      <c r="P2299" s="159" t="e">
        <f>VLOOKUP(bargiri[[#This Row],[شماره سند مبنا]],invoice[[شماره پیش فاکتور]:[پیش دریافت به ازای هر کیلوگرم]],14,0)</f>
        <v>#N/A</v>
      </c>
      <c r="Q2299" s="159" t="e">
        <f>IF(bargiri[[#This Row],[مبلغ ناخالص]]-(bargiri[[#This Row],[نرخ استهلاک]]*bargiri[[#This Row],[مقدار]])&lt;0,0,bargiri[[#This Row],[مبلغ ناخالص]]-(bargiri[[#This Row],[نرخ استهلاک]]*bargiri[[#This Row],[مقدار]]))</f>
        <v>#N/A</v>
      </c>
    </row>
    <row r="2300" spans="1:17" s="22" customFormat="1" ht="13.8" x14ac:dyDescent="0.25">
      <c r="A2300" s="22">
        <v>540</v>
      </c>
      <c r="B2300" s="22" t="s">
        <v>547</v>
      </c>
      <c r="C2300" s="22" t="s">
        <v>93</v>
      </c>
      <c r="D2300" s="22" t="s">
        <v>78</v>
      </c>
      <c r="E2300" s="158">
        <v>20335</v>
      </c>
      <c r="F2300" s="159">
        <v>70000</v>
      </c>
      <c r="G2300" s="159">
        <v>1423450000</v>
      </c>
      <c r="H2300" s="159">
        <v>142345000</v>
      </c>
      <c r="I2300" s="159">
        <v>1565795000</v>
      </c>
      <c r="J2300" s="159" t="e">
        <f>bargiri[[#This Row],[مقدار]]*INDEX(invoice[پیش دریافت به ازای هر کیلوگرم],MATCH(bargiri[[#This Row],[شماره سند مبنا]],invoice[شماره پیش فاکتور],0))</f>
        <v>#N/A</v>
      </c>
      <c r="K2300" s="159" t="e">
        <f>bargiri[[#This Row],[مبلغ خالص]]-bargiri[[#This Row],[میزان استهلاک پیش دریافتی]]</f>
        <v>#N/A</v>
      </c>
      <c r="L2300" s="160"/>
      <c r="M2300" s="159"/>
      <c r="N2300" s="159" t="e">
        <f>IF(bargiri[[#This Row],[مبلغ واریزی]]&lt;&gt;"",bargiri[[#This Row],[مانده مبلغ]]-bargiri[[#This Row],[مبلغ واریزی]],bargiri[[#This Row],[مانده مبلغ]])</f>
        <v>#N/A</v>
      </c>
      <c r="O2300" s="159"/>
      <c r="P2300" s="159" t="e">
        <f>VLOOKUP(bargiri[[#This Row],[شماره سند مبنا]],invoice[[شماره پیش فاکتور]:[پیش دریافت به ازای هر کیلوگرم]],14,0)</f>
        <v>#N/A</v>
      </c>
      <c r="Q2300" s="159" t="e">
        <f>IF(bargiri[[#This Row],[مبلغ ناخالص]]-(bargiri[[#This Row],[نرخ استهلاک]]*bargiri[[#This Row],[مقدار]])&lt;0,0,bargiri[[#This Row],[مبلغ ناخالص]]-(bargiri[[#This Row],[نرخ استهلاک]]*bargiri[[#This Row],[مقدار]]))</f>
        <v>#N/A</v>
      </c>
    </row>
    <row r="2301" spans="1:17" s="22" customFormat="1" ht="13.8" x14ac:dyDescent="0.25">
      <c r="A2301" s="22">
        <v>539</v>
      </c>
      <c r="B2301" s="22" t="s">
        <v>548</v>
      </c>
      <c r="C2301" s="22" t="s">
        <v>75</v>
      </c>
      <c r="D2301" s="22" t="s">
        <v>73</v>
      </c>
      <c r="E2301" s="158">
        <v>20095</v>
      </c>
      <c r="F2301" s="159">
        <v>56881</v>
      </c>
      <c r="G2301" s="159">
        <v>1143023695</v>
      </c>
      <c r="H2301" s="159">
        <v>102872133</v>
      </c>
      <c r="I2301" s="159">
        <v>1245895828</v>
      </c>
      <c r="J2301" s="159" t="e">
        <f>bargiri[[#This Row],[مقدار]]*INDEX(invoice[پیش دریافت به ازای هر کیلوگرم],MATCH(bargiri[[#This Row],[شماره سند مبنا]],invoice[شماره پیش فاکتور],0))</f>
        <v>#N/A</v>
      </c>
      <c r="K2301" s="159" t="e">
        <f>bargiri[[#This Row],[مبلغ خالص]]-bargiri[[#This Row],[میزان استهلاک پیش دریافتی]]</f>
        <v>#N/A</v>
      </c>
      <c r="L2301" s="160"/>
      <c r="M2301" s="159"/>
      <c r="N2301" s="159" t="e">
        <f>IF(bargiri[[#This Row],[مبلغ واریزی]]&lt;&gt;"",bargiri[[#This Row],[مانده مبلغ]]-bargiri[[#This Row],[مبلغ واریزی]],bargiri[[#This Row],[مانده مبلغ]])</f>
        <v>#N/A</v>
      </c>
      <c r="O2301" s="159"/>
      <c r="P2301" s="159" t="e">
        <f>VLOOKUP(bargiri[[#This Row],[شماره سند مبنا]],invoice[[شماره پیش فاکتور]:[پیش دریافت به ازای هر کیلوگرم]],14,0)</f>
        <v>#N/A</v>
      </c>
      <c r="Q2301" s="159" t="e">
        <f>IF(bargiri[[#This Row],[مبلغ ناخالص]]-(bargiri[[#This Row],[نرخ استهلاک]]*bargiri[[#This Row],[مقدار]])&lt;0,0,bargiri[[#This Row],[مبلغ ناخالص]]-(bargiri[[#This Row],[نرخ استهلاک]]*bargiri[[#This Row],[مقدار]]))</f>
        <v>#N/A</v>
      </c>
    </row>
    <row r="2302" spans="1:17" s="22" customFormat="1" ht="13.8" x14ac:dyDescent="0.25">
      <c r="A2302" s="22">
        <v>538</v>
      </c>
      <c r="B2302" s="22" t="s">
        <v>548</v>
      </c>
      <c r="C2302" s="22" t="s">
        <v>75</v>
      </c>
      <c r="D2302" s="22" t="s">
        <v>73</v>
      </c>
      <c r="E2302" s="158">
        <v>20165</v>
      </c>
      <c r="F2302" s="159">
        <v>56881</v>
      </c>
      <c r="G2302" s="159">
        <v>1147005365</v>
      </c>
      <c r="H2302" s="159">
        <v>103230483</v>
      </c>
      <c r="I2302" s="159">
        <v>1250235848</v>
      </c>
      <c r="J2302" s="159" t="e">
        <f>bargiri[[#This Row],[مقدار]]*INDEX(invoice[پیش دریافت به ازای هر کیلوگرم],MATCH(bargiri[[#This Row],[شماره سند مبنا]],invoice[شماره پیش فاکتور],0))</f>
        <v>#N/A</v>
      </c>
      <c r="K2302" s="159" t="e">
        <f>bargiri[[#This Row],[مبلغ خالص]]-bargiri[[#This Row],[میزان استهلاک پیش دریافتی]]</f>
        <v>#N/A</v>
      </c>
      <c r="L2302" s="160"/>
      <c r="M2302" s="159"/>
      <c r="N2302" s="159" t="e">
        <f>IF(bargiri[[#This Row],[مبلغ واریزی]]&lt;&gt;"",bargiri[[#This Row],[مانده مبلغ]]-bargiri[[#This Row],[مبلغ واریزی]],bargiri[[#This Row],[مانده مبلغ]])</f>
        <v>#N/A</v>
      </c>
      <c r="O2302" s="159"/>
      <c r="P2302" s="159" t="e">
        <f>VLOOKUP(bargiri[[#This Row],[شماره سند مبنا]],invoice[[شماره پیش فاکتور]:[پیش دریافت به ازای هر کیلوگرم]],14,0)</f>
        <v>#N/A</v>
      </c>
      <c r="Q2302" s="159" t="e">
        <f>IF(bargiri[[#This Row],[مبلغ ناخالص]]-(bargiri[[#This Row],[نرخ استهلاک]]*bargiri[[#This Row],[مقدار]])&lt;0,0,bargiri[[#This Row],[مبلغ ناخالص]]-(bargiri[[#This Row],[نرخ استهلاک]]*bargiri[[#This Row],[مقدار]]))</f>
        <v>#N/A</v>
      </c>
    </row>
    <row r="2303" spans="1:17" s="22" customFormat="1" ht="13.8" x14ac:dyDescent="0.25">
      <c r="A2303" s="22">
        <v>537</v>
      </c>
      <c r="B2303" s="22" t="s">
        <v>548</v>
      </c>
      <c r="C2303" s="22" t="s">
        <v>75</v>
      </c>
      <c r="D2303" s="22" t="s">
        <v>73</v>
      </c>
      <c r="E2303" s="158">
        <v>19985</v>
      </c>
      <c r="F2303" s="159">
        <v>56881</v>
      </c>
      <c r="G2303" s="159">
        <v>1136766785</v>
      </c>
      <c r="H2303" s="159">
        <v>102309011</v>
      </c>
      <c r="I2303" s="159">
        <v>1239075796</v>
      </c>
      <c r="J2303" s="159" t="e">
        <f>bargiri[[#This Row],[مقدار]]*INDEX(invoice[پیش دریافت به ازای هر کیلوگرم],MATCH(bargiri[[#This Row],[شماره سند مبنا]],invoice[شماره پیش فاکتور],0))</f>
        <v>#N/A</v>
      </c>
      <c r="K2303" s="159" t="e">
        <f>bargiri[[#This Row],[مبلغ خالص]]-bargiri[[#This Row],[میزان استهلاک پیش دریافتی]]</f>
        <v>#N/A</v>
      </c>
      <c r="L2303" s="160"/>
      <c r="M2303" s="159"/>
      <c r="N2303" s="159" t="e">
        <f>IF(bargiri[[#This Row],[مبلغ واریزی]]&lt;&gt;"",bargiri[[#This Row],[مانده مبلغ]]-bargiri[[#This Row],[مبلغ واریزی]],bargiri[[#This Row],[مانده مبلغ]])</f>
        <v>#N/A</v>
      </c>
      <c r="O2303" s="159"/>
      <c r="P2303" s="159" t="e">
        <f>VLOOKUP(bargiri[[#This Row],[شماره سند مبنا]],invoice[[شماره پیش فاکتور]:[پیش دریافت به ازای هر کیلوگرم]],14,0)</f>
        <v>#N/A</v>
      </c>
      <c r="Q2303" s="159" t="e">
        <f>IF(bargiri[[#This Row],[مبلغ ناخالص]]-(bargiri[[#This Row],[نرخ استهلاک]]*bargiri[[#This Row],[مقدار]])&lt;0,0,bargiri[[#This Row],[مبلغ ناخالص]]-(bargiri[[#This Row],[نرخ استهلاک]]*bargiri[[#This Row],[مقدار]]))</f>
        <v>#N/A</v>
      </c>
    </row>
    <row r="2304" spans="1:17" s="22" customFormat="1" ht="13.8" x14ac:dyDescent="0.25">
      <c r="A2304" s="22">
        <v>536</v>
      </c>
      <c r="B2304" s="22" t="s">
        <v>548</v>
      </c>
      <c r="C2304" s="22" t="s">
        <v>19</v>
      </c>
      <c r="D2304" s="22" t="s">
        <v>20</v>
      </c>
      <c r="E2304" s="158">
        <v>14645</v>
      </c>
      <c r="F2304" s="159">
        <v>65000</v>
      </c>
      <c r="G2304" s="159">
        <v>951925000</v>
      </c>
      <c r="H2304" s="159">
        <v>85673250</v>
      </c>
      <c r="I2304" s="159">
        <v>1037598250</v>
      </c>
      <c r="J2304" s="159" t="e">
        <f>bargiri[[#This Row],[مقدار]]*INDEX(invoice[پیش دریافت به ازای هر کیلوگرم],MATCH(bargiri[[#This Row],[شماره سند مبنا]],invoice[شماره پیش فاکتور],0))</f>
        <v>#N/A</v>
      </c>
      <c r="K2304" s="159" t="e">
        <f>bargiri[[#This Row],[مبلغ خالص]]-bargiri[[#This Row],[میزان استهلاک پیش دریافتی]]</f>
        <v>#N/A</v>
      </c>
      <c r="L2304" s="160"/>
      <c r="M2304" s="159"/>
      <c r="N2304" s="159" t="e">
        <f>IF(bargiri[[#This Row],[مبلغ واریزی]]&lt;&gt;"",bargiri[[#This Row],[مانده مبلغ]]-bargiri[[#This Row],[مبلغ واریزی]],bargiri[[#This Row],[مانده مبلغ]])</f>
        <v>#N/A</v>
      </c>
      <c r="O2304" s="159"/>
      <c r="P2304" s="159" t="e">
        <f>VLOOKUP(bargiri[[#This Row],[شماره سند مبنا]],invoice[[شماره پیش فاکتور]:[پیش دریافت به ازای هر کیلوگرم]],14,0)</f>
        <v>#N/A</v>
      </c>
      <c r="Q2304" s="159" t="e">
        <f>IF(bargiri[[#This Row],[مبلغ ناخالص]]-(bargiri[[#This Row],[نرخ استهلاک]]*bargiri[[#This Row],[مقدار]])&lt;0,0,bargiri[[#This Row],[مبلغ ناخالص]]-(bargiri[[#This Row],[نرخ استهلاک]]*bargiri[[#This Row],[مقدار]]))</f>
        <v>#N/A</v>
      </c>
    </row>
    <row r="2305" spans="1:17" s="22" customFormat="1" ht="13.8" x14ac:dyDescent="0.25">
      <c r="A2305" s="22">
        <v>535</v>
      </c>
      <c r="B2305" s="22" t="s">
        <v>548</v>
      </c>
      <c r="C2305" s="22" t="s">
        <v>88</v>
      </c>
      <c r="D2305" s="22" t="s">
        <v>89</v>
      </c>
      <c r="E2305" s="158">
        <v>20235</v>
      </c>
      <c r="F2305" s="159">
        <v>78000</v>
      </c>
      <c r="G2305" s="159">
        <v>1578330000</v>
      </c>
      <c r="H2305" s="159">
        <v>157833000</v>
      </c>
      <c r="I2305" s="159">
        <v>1736163000</v>
      </c>
      <c r="J2305" s="159" t="e">
        <f>bargiri[[#This Row],[مقدار]]*INDEX(invoice[پیش دریافت به ازای هر کیلوگرم],MATCH(bargiri[[#This Row],[شماره سند مبنا]],invoice[شماره پیش فاکتور],0))</f>
        <v>#N/A</v>
      </c>
      <c r="K2305" s="159" t="e">
        <f>bargiri[[#This Row],[مبلغ خالص]]-bargiri[[#This Row],[میزان استهلاک پیش دریافتی]]</f>
        <v>#N/A</v>
      </c>
      <c r="L2305" s="160"/>
      <c r="M2305" s="159"/>
      <c r="N2305" s="159" t="e">
        <f>IF(bargiri[[#This Row],[مبلغ واریزی]]&lt;&gt;"",bargiri[[#This Row],[مانده مبلغ]]-bargiri[[#This Row],[مبلغ واریزی]],bargiri[[#This Row],[مانده مبلغ]])</f>
        <v>#N/A</v>
      </c>
      <c r="O2305" s="159"/>
      <c r="P2305" s="159" t="e">
        <f>VLOOKUP(bargiri[[#This Row],[شماره سند مبنا]],invoice[[شماره پیش فاکتور]:[پیش دریافت به ازای هر کیلوگرم]],14,0)</f>
        <v>#N/A</v>
      </c>
      <c r="Q2305" s="159" t="e">
        <f>IF(bargiri[[#This Row],[مبلغ ناخالص]]-(bargiri[[#This Row],[نرخ استهلاک]]*bargiri[[#This Row],[مقدار]])&lt;0,0,bargiri[[#This Row],[مبلغ ناخالص]]-(bargiri[[#This Row],[نرخ استهلاک]]*bargiri[[#This Row],[مقدار]]))</f>
        <v>#N/A</v>
      </c>
    </row>
    <row r="2306" spans="1:17" s="22" customFormat="1" ht="13.8" x14ac:dyDescent="0.25">
      <c r="A2306" s="22">
        <v>534</v>
      </c>
      <c r="B2306" s="22" t="s">
        <v>548</v>
      </c>
      <c r="C2306" s="22" t="s">
        <v>29</v>
      </c>
      <c r="D2306" s="22" t="s">
        <v>30</v>
      </c>
      <c r="E2306" s="158">
        <v>9825</v>
      </c>
      <c r="F2306" s="159">
        <v>70000</v>
      </c>
      <c r="G2306" s="159">
        <v>687750000</v>
      </c>
      <c r="H2306" s="159">
        <v>68775000</v>
      </c>
      <c r="I2306" s="159">
        <v>756525000</v>
      </c>
      <c r="J2306" s="159" t="e">
        <f>bargiri[[#This Row],[مقدار]]*INDEX(invoice[پیش دریافت به ازای هر کیلوگرم],MATCH(bargiri[[#This Row],[شماره سند مبنا]],invoice[شماره پیش فاکتور],0))</f>
        <v>#N/A</v>
      </c>
      <c r="K2306" s="159" t="e">
        <f>bargiri[[#This Row],[مبلغ خالص]]-bargiri[[#This Row],[میزان استهلاک پیش دریافتی]]</f>
        <v>#N/A</v>
      </c>
      <c r="L2306" s="160"/>
      <c r="M2306" s="159"/>
      <c r="N2306" s="159" t="e">
        <f>IF(bargiri[[#This Row],[مبلغ واریزی]]&lt;&gt;"",bargiri[[#This Row],[مانده مبلغ]]-bargiri[[#This Row],[مبلغ واریزی]],bargiri[[#This Row],[مانده مبلغ]])</f>
        <v>#N/A</v>
      </c>
      <c r="O2306" s="159"/>
      <c r="P2306" s="159" t="e">
        <f>VLOOKUP(bargiri[[#This Row],[شماره سند مبنا]],invoice[[شماره پیش فاکتور]:[پیش دریافت به ازای هر کیلوگرم]],14,0)</f>
        <v>#N/A</v>
      </c>
      <c r="Q2306" s="159" t="e">
        <f>IF(bargiri[[#This Row],[مبلغ ناخالص]]-(bargiri[[#This Row],[نرخ استهلاک]]*bargiri[[#This Row],[مقدار]])&lt;0,0,bargiri[[#This Row],[مبلغ ناخالص]]-(bargiri[[#This Row],[نرخ استهلاک]]*bargiri[[#This Row],[مقدار]]))</f>
        <v>#N/A</v>
      </c>
    </row>
    <row r="2307" spans="1:17" s="22" customFormat="1" ht="13.8" x14ac:dyDescent="0.25">
      <c r="A2307" s="22">
        <v>533</v>
      </c>
      <c r="B2307" s="22" t="s">
        <v>548</v>
      </c>
      <c r="C2307" s="22" t="s">
        <v>66</v>
      </c>
      <c r="D2307" s="22" t="s">
        <v>67</v>
      </c>
      <c r="E2307" s="158">
        <v>20565</v>
      </c>
      <c r="F2307" s="159">
        <v>68500</v>
      </c>
      <c r="G2307" s="159">
        <v>1408702500</v>
      </c>
      <c r="H2307" s="159">
        <v>126783225</v>
      </c>
      <c r="I2307" s="159">
        <v>1535485725</v>
      </c>
      <c r="J2307" s="159" t="e">
        <f>bargiri[[#This Row],[مقدار]]*INDEX(invoice[پیش دریافت به ازای هر کیلوگرم],MATCH(bargiri[[#This Row],[شماره سند مبنا]],invoice[شماره پیش فاکتور],0))</f>
        <v>#N/A</v>
      </c>
      <c r="K2307" s="159" t="e">
        <f>bargiri[[#This Row],[مبلغ خالص]]-bargiri[[#This Row],[میزان استهلاک پیش دریافتی]]</f>
        <v>#N/A</v>
      </c>
      <c r="L2307" s="160"/>
      <c r="M2307" s="159"/>
      <c r="N2307" s="159" t="e">
        <f>IF(bargiri[[#This Row],[مبلغ واریزی]]&lt;&gt;"",bargiri[[#This Row],[مانده مبلغ]]-bargiri[[#This Row],[مبلغ واریزی]],bargiri[[#This Row],[مانده مبلغ]])</f>
        <v>#N/A</v>
      </c>
      <c r="O2307" s="159"/>
      <c r="P2307" s="159" t="e">
        <f>VLOOKUP(bargiri[[#This Row],[شماره سند مبنا]],invoice[[شماره پیش فاکتور]:[پیش دریافت به ازای هر کیلوگرم]],14,0)</f>
        <v>#N/A</v>
      </c>
      <c r="Q2307" s="159" t="e">
        <f>IF(bargiri[[#This Row],[مبلغ ناخالص]]-(bargiri[[#This Row],[نرخ استهلاک]]*bargiri[[#This Row],[مقدار]])&lt;0,0,bargiri[[#This Row],[مبلغ ناخالص]]-(bargiri[[#This Row],[نرخ استهلاک]]*bargiri[[#This Row],[مقدار]]))</f>
        <v>#N/A</v>
      </c>
    </row>
    <row r="2308" spans="1:17" s="22" customFormat="1" ht="13.8" x14ac:dyDescent="0.25">
      <c r="A2308" s="22">
        <v>532</v>
      </c>
      <c r="B2308" s="22" t="s">
        <v>548</v>
      </c>
      <c r="C2308" s="22" t="s">
        <v>19</v>
      </c>
      <c r="D2308" s="22" t="s">
        <v>20</v>
      </c>
      <c r="E2308" s="158">
        <v>17840</v>
      </c>
      <c r="F2308" s="159">
        <v>65000</v>
      </c>
      <c r="G2308" s="159">
        <v>1159600000</v>
      </c>
      <c r="H2308" s="159">
        <v>104364000</v>
      </c>
      <c r="I2308" s="159">
        <v>1263964000</v>
      </c>
      <c r="J2308" s="159" t="e">
        <f>bargiri[[#This Row],[مقدار]]*INDEX(invoice[پیش دریافت به ازای هر کیلوگرم],MATCH(bargiri[[#This Row],[شماره سند مبنا]],invoice[شماره پیش فاکتور],0))</f>
        <v>#N/A</v>
      </c>
      <c r="K2308" s="159" t="e">
        <f>bargiri[[#This Row],[مبلغ خالص]]-bargiri[[#This Row],[میزان استهلاک پیش دریافتی]]</f>
        <v>#N/A</v>
      </c>
      <c r="L2308" s="160"/>
      <c r="M2308" s="159"/>
      <c r="N2308" s="159" t="e">
        <f>IF(bargiri[[#This Row],[مبلغ واریزی]]&lt;&gt;"",bargiri[[#This Row],[مانده مبلغ]]-bargiri[[#This Row],[مبلغ واریزی]],bargiri[[#This Row],[مانده مبلغ]])</f>
        <v>#N/A</v>
      </c>
      <c r="O2308" s="159"/>
      <c r="P2308" s="159" t="e">
        <f>VLOOKUP(bargiri[[#This Row],[شماره سند مبنا]],invoice[[شماره پیش فاکتور]:[پیش دریافت به ازای هر کیلوگرم]],14,0)</f>
        <v>#N/A</v>
      </c>
      <c r="Q2308" s="159" t="e">
        <f>IF(bargiri[[#This Row],[مبلغ ناخالص]]-(bargiri[[#This Row],[نرخ استهلاک]]*bargiri[[#This Row],[مقدار]])&lt;0,0,bargiri[[#This Row],[مبلغ ناخالص]]-(bargiri[[#This Row],[نرخ استهلاک]]*bargiri[[#This Row],[مقدار]]))</f>
        <v>#N/A</v>
      </c>
    </row>
    <row r="2309" spans="1:17" s="22" customFormat="1" ht="13.8" x14ac:dyDescent="0.25">
      <c r="A2309" s="22">
        <v>531</v>
      </c>
      <c r="B2309" s="22" t="s">
        <v>546</v>
      </c>
      <c r="C2309" s="22" t="s">
        <v>66</v>
      </c>
      <c r="D2309" s="22" t="s">
        <v>67</v>
      </c>
      <c r="E2309" s="158">
        <v>20055</v>
      </c>
      <c r="F2309" s="159">
        <v>68500</v>
      </c>
      <c r="G2309" s="159">
        <v>1373767500</v>
      </c>
      <c r="H2309" s="159">
        <v>123639075</v>
      </c>
      <c r="I2309" s="159">
        <v>1497406575</v>
      </c>
      <c r="J2309" s="159" t="e">
        <f>bargiri[[#This Row],[مقدار]]*INDEX(invoice[پیش دریافت به ازای هر کیلوگرم],MATCH(bargiri[[#This Row],[شماره سند مبنا]],invoice[شماره پیش فاکتور],0))</f>
        <v>#N/A</v>
      </c>
      <c r="K2309" s="159" t="e">
        <f>bargiri[[#This Row],[مبلغ خالص]]-bargiri[[#This Row],[میزان استهلاک پیش دریافتی]]</f>
        <v>#N/A</v>
      </c>
      <c r="L2309" s="160"/>
      <c r="M2309" s="159"/>
      <c r="N2309" s="159" t="e">
        <f>IF(bargiri[[#This Row],[مبلغ واریزی]]&lt;&gt;"",bargiri[[#This Row],[مانده مبلغ]]-bargiri[[#This Row],[مبلغ واریزی]],bargiri[[#This Row],[مانده مبلغ]])</f>
        <v>#N/A</v>
      </c>
      <c r="O2309" s="159"/>
      <c r="P2309" s="159" t="e">
        <f>VLOOKUP(bargiri[[#This Row],[شماره سند مبنا]],invoice[[شماره پیش فاکتور]:[پیش دریافت به ازای هر کیلوگرم]],14,0)</f>
        <v>#N/A</v>
      </c>
      <c r="Q2309" s="159" t="e">
        <f>IF(bargiri[[#This Row],[مبلغ ناخالص]]-(bargiri[[#This Row],[نرخ استهلاک]]*bargiri[[#This Row],[مقدار]])&lt;0,0,bargiri[[#This Row],[مبلغ ناخالص]]-(bargiri[[#This Row],[نرخ استهلاک]]*bargiri[[#This Row],[مقدار]]))</f>
        <v>#N/A</v>
      </c>
    </row>
    <row r="2310" spans="1:17" s="22" customFormat="1" ht="13.8" x14ac:dyDescent="0.25">
      <c r="A2310" s="22">
        <v>530</v>
      </c>
      <c r="B2310" s="22" t="s">
        <v>546</v>
      </c>
      <c r="C2310" s="22" t="s">
        <v>24</v>
      </c>
      <c r="D2310" s="22" t="s">
        <v>25</v>
      </c>
      <c r="E2310" s="158">
        <v>19720</v>
      </c>
      <c r="F2310" s="159">
        <v>68000</v>
      </c>
      <c r="G2310" s="159">
        <v>1340960000</v>
      </c>
      <c r="H2310" s="159">
        <v>120686400</v>
      </c>
      <c r="I2310" s="159">
        <v>1461646400</v>
      </c>
      <c r="J2310" s="159" t="e">
        <f>bargiri[[#This Row],[مقدار]]*INDEX(invoice[پیش دریافت به ازای هر کیلوگرم],MATCH(bargiri[[#This Row],[شماره سند مبنا]],invoice[شماره پیش فاکتور],0))</f>
        <v>#N/A</v>
      </c>
      <c r="K2310" s="159" t="e">
        <f>bargiri[[#This Row],[مبلغ خالص]]-bargiri[[#This Row],[میزان استهلاک پیش دریافتی]]</f>
        <v>#N/A</v>
      </c>
      <c r="L2310" s="160"/>
      <c r="M2310" s="159"/>
      <c r="N2310" s="159" t="e">
        <f>IF(bargiri[[#This Row],[مبلغ واریزی]]&lt;&gt;"",bargiri[[#This Row],[مانده مبلغ]]-bargiri[[#This Row],[مبلغ واریزی]],bargiri[[#This Row],[مانده مبلغ]])</f>
        <v>#N/A</v>
      </c>
      <c r="O2310" s="159"/>
      <c r="P2310" s="159" t="e">
        <f>VLOOKUP(bargiri[[#This Row],[شماره سند مبنا]],invoice[[شماره پیش فاکتور]:[پیش دریافت به ازای هر کیلوگرم]],14,0)</f>
        <v>#N/A</v>
      </c>
      <c r="Q2310" s="159" t="e">
        <f>IF(bargiri[[#This Row],[مبلغ ناخالص]]-(bargiri[[#This Row],[نرخ استهلاک]]*bargiri[[#This Row],[مقدار]])&lt;0,0,bargiri[[#This Row],[مبلغ ناخالص]]-(bargiri[[#This Row],[نرخ استهلاک]]*bargiri[[#This Row],[مقدار]]))</f>
        <v>#N/A</v>
      </c>
    </row>
    <row r="2311" spans="1:17" s="22" customFormat="1" ht="13.8" x14ac:dyDescent="0.25">
      <c r="A2311" s="22">
        <v>529</v>
      </c>
      <c r="B2311" s="22" t="s">
        <v>546</v>
      </c>
      <c r="C2311" s="22" t="s">
        <v>16</v>
      </c>
      <c r="D2311" s="22" t="s">
        <v>17</v>
      </c>
      <c r="E2311" s="158">
        <v>22610</v>
      </c>
      <c r="F2311" s="159">
        <v>77000</v>
      </c>
      <c r="G2311" s="159">
        <v>1740970000</v>
      </c>
      <c r="H2311" s="159">
        <v>156687300</v>
      </c>
      <c r="I2311" s="159">
        <v>1897657300</v>
      </c>
      <c r="J2311" s="159" t="e">
        <f>bargiri[[#This Row],[مقدار]]*INDEX(invoice[پیش دریافت به ازای هر کیلوگرم],MATCH(bargiri[[#This Row],[شماره سند مبنا]],invoice[شماره پیش فاکتور],0))</f>
        <v>#N/A</v>
      </c>
      <c r="K2311" s="159" t="e">
        <f>bargiri[[#This Row],[مبلغ خالص]]-bargiri[[#This Row],[میزان استهلاک پیش دریافتی]]</f>
        <v>#N/A</v>
      </c>
      <c r="L2311" s="160"/>
      <c r="M2311" s="159"/>
      <c r="N2311" s="159" t="e">
        <f>IF(bargiri[[#This Row],[مبلغ واریزی]]&lt;&gt;"",bargiri[[#This Row],[مانده مبلغ]]-bargiri[[#This Row],[مبلغ واریزی]],bargiri[[#This Row],[مانده مبلغ]])</f>
        <v>#N/A</v>
      </c>
      <c r="O2311" s="159"/>
      <c r="P2311" s="159" t="e">
        <f>VLOOKUP(bargiri[[#This Row],[شماره سند مبنا]],invoice[[شماره پیش فاکتور]:[پیش دریافت به ازای هر کیلوگرم]],14,0)</f>
        <v>#N/A</v>
      </c>
      <c r="Q2311" s="159" t="e">
        <f>IF(bargiri[[#This Row],[مبلغ ناخالص]]-(bargiri[[#This Row],[نرخ استهلاک]]*bargiri[[#This Row],[مقدار]])&lt;0,0,bargiri[[#This Row],[مبلغ ناخالص]]-(bargiri[[#This Row],[نرخ استهلاک]]*bargiri[[#This Row],[مقدار]]))</f>
        <v>#N/A</v>
      </c>
    </row>
    <row r="2312" spans="1:17" s="22" customFormat="1" ht="13.8" x14ac:dyDescent="0.25">
      <c r="A2312" s="22">
        <v>528</v>
      </c>
      <c r="B2312" s="22" t="s">
        <v>114</v>
      </c>
      <c r="C2312" s="22" t="s">
        <v>112</v>
      </c>
      <c r="D2312" s="22" t="s">
        <v>110</v>
      </c>
      <c r="E2312" s="158">
        <v>15000</v>
      </c>
      <c r="F2312" s="159">
        <v>74000</v>
      </c>
      <c r="G2312" s="159">
        <v>1110000000</v>
      </c>
      <c r="H2312" s="159">
        <v>111000000</v>
      </c>
      <c r="I2312" s="159">
        <v>1221000000</v>
      </c>
      <c r="J2312" s="159" t="e">
        <f>bargiri[[#This Row],[مقدار]]*INDEX(invoice[پیش دریافت به ازای هر کیلوگرم],MATCH(bargiri[[#This Row],[شماره سند مبنا]],invoice[شماره پیش فاکتور],0))</f>
        <v>#N/A</v>
      </c>
      <c r="K2312" s="159" t="e">
        <f>bargiri[[#This Row],[مبلغ خالص]]-bargiri[[#This Row],[میزان استهلاک پیش دریافتی]]</f>
        <v>#N/A</v>
      </c>
      <c r="L2312" s="160"/>
      <c r="M2312" s="159"/>
      <c r="N2312" s="159" t="e">
        <f>IF(bargiri[[#This Row],[مبلغ واریزی]]&lt;&gt;"",bargiri[[#This Row],[مانده مبلغ]]-bargiri[[#This Row],[مبلغ واریزی]],bargiri[[#This Row],[مانده مبلغ]])</f>
        <v>#N/A</v>
      </c>
      <c r="O2312" s="159"/>
      <c r="P2312" s="159" t="e">
        <f>VLOOKUP(bargiri[[#This Row],[شماره سند مبنا]],invoice[[شماره پیش فاکتور]:[پیش دریافت به ازای هر کیلوگرم]],14,0)</f>
        <v>#N/A</v>
      </c>
      <c r="Q2312" s="159" t="e">
        <f>IF(bargiri[[#This Row],[مبلغ ناخالص]]-(bargiri[[#This Row],[نرخ استهلاک]]*bargiri[[#This Row],[مقدار]])&lt;0,0,bargiri[[#This Row],[مبلغ ناخالص]]-(bargiri[[#This Row],[نرخ استهلاک]]*bargiri[[#This Row],[مقدار]]))</f>
        <v>#N/A</v>
      </c>
    </row>
    <row r="2313" spans="1:17" s="22" customFormat="1" ht="13.8" x14ac:dyDescent="0.25">
      <c r="A2313" s="22">
        <v>527</v>
      </c>
      <c r="B2313" s="22" t="s">
        <v>549</v>
      </c>
      <c r="C2313" s="22" t="s">
        <v>99</v>
      </c>
      <c r="D2313" s="22" t="s">
        <v>64</v>
      </c>
      <c r="E2313" s="158">
        <v>20155</v>
      </c>
      <c r="F2313" s="159">
        <v>75000</v>
      </c>
      <c r="G2313" s="159">
        <v>1511625000</v>
      </c>
      <c r="H2313" s="159">
        <v>151162500</v>
      </c>
      <c r="I2313" s="159">
        <v>1662787500</v>
      </c>
      <c r="J2313" s="159" t="e">
        <f>bargiri[[#This Row],[مقدار]]*INDEX(invoice[پیش دریافت به ازای هر کیلوگرم],MATCH(bargiri[[#This Row],[شماره سند مبنا]],invoice[شماره پیش فاکتور],0))</f>
        <v>#N/A</v>
      </c>
      <c r="K2313" s="159" t="e">
        <f>bargiri[[#This Row],[مبلغ خالص]]-bargiri[[#This Row],[میزان استهلاک پیش دریافتی]]</f>
        <v>#N/A</v>
      </c>
      <c r="L2313" s="160"/>
      <c r="M2313" s="159"/>
      <c r="N2313" s="159" t="e">
        <f>IF(bargiri[[#This Row],[مبلغ واریزی]]&lt;&gt;"",bargiri[[#This Row],[مانده مبلغ]]-bargiri[[#This Row],[مبلغ واریزی]],bargiri[[#This Row],[مانده مبلغ]])</f>
        <v>#N/A</v>
      </c>
      <c r="O2313" s="159"/>
      <c r="P2313" s="159" t="e">
        <f>VLOOKUP(bargiri[[#This Row],[شماره سند مبنا]],invoice[[شماره پیش فاکتور]:[پیش دریافت به ازای هر کیلوگرم]],14,0)</f>
        <v>#N/A</v>
      </c>
      <c r="Q2313" s="159" t="e">
        <f>IF(bargiri[[#This Row],[مبلغ ناخالص]]-(bargiri[[#This Row],[نرخ استهلاک]]*bargiri[[#This Row],[مقدار]])&lt;0,0,bargiri[[#This Row],[مبلغ ناخالص]]-(bargiri[[#This Row],[نرخ استهلاک]]*bargiri[[#This Row],[مقدار]]))</f>
        <v>#N/A</v>
      </c>
    </row>
    <row r="2314" spans="1:17" s="22" customFormat="1" ht="13.8" x14ac:dyDescent="0.25">
      <c r="A2314" s="22">
        <v>526</v>
      </c>
      <c r="B2314" s="22" t="s">
        <v>549</v>
      </c>
      <c r="C2314" s="22" t="s">
        <v>81</v>
      </c>
      <c r="D2314" s="22" t="s">
        <v>35</v>
      </c>
      <c r="E2314" s="158">
        <v>6985</v>
      </c>
      <c r="F2314" s="159">
        <v>70000</v>
      </c>
      <c r="G2314" s="159">
        <v>488950000</v>
      </c>
      <c r="H2314" s="159">
        <v>48895000</v>
      </c>
      <c r="I2314" s="159">
        <v>537845000</v>
      </c>
      <c r="J2314" s="159" t="e">
        <f>bargiri[[#This Row],[مقدار]]*INDEX(invoice[پیش دریافت به ازای هر کیلوگرم],MATCH(bargiri[[#This Row],[شماره سند مبنا]],invoice[شماره پیش فاکتور],0))</f>
        <v>#N/A</v>
      </c>
      <c r="K2314" s="159" t="e">
        <f>bargiri[[#This Row],[مبلغ خالص]]-bargiri[[#This Row],[میزان استهلاک پیش دریافتی]]</f>
        <v>#N/A</v>
      </c>
      <c r="L2314" s="160"/>
      <c r="M2314" s="159"/>
      <c r="N2314" s="159" t="e">
        <f>IF(bargiri[[#This Row],[مبلغ واریزی]]&lt;&gt;"",bargiri[[#This Row],[مانده مبلغ]]-bargiri[[#This Row],[مبلغ واریزی]],bargiri[[#This Row],[مانده مبلغ]])</f>
        <v>#N/A</v>
      </c>
      <c r="O2314" s="159"/>
      <c r="P2314" s="159" t="e">
        <f>VLOOKUP(bargiri[[#This Row],[شماره سند مبنا]],invoice[[شماره پیش فاکتور]:[پیش دریافت به ازای هر کیلوگرم]],14,0)</f>
        <v>#N/A</v>
      </c>
      <c r="Q2314" s="159" t="e">
        <f>IF(bargiri[[#This Row],[مبلغ ناخالص]]-(bargiri[[#This Row],[نرخ استهلاک]]*bargiri[[#This Row],[مقدار]])&lt;0,0,bargiri[[#This Row],[مبلغ ناخالص]]-(bargiri[[#This Row],[نرخ استهلاک]]*bargiri[[#This Row],[مقدار]]))</f>
        <v>#N/A</v>
      </c>
    </row>
    <row r="2315" spans="1:17" s="22" customFormat="1" ht="13.8" x14ac:dyDescent="0.25">
      <c r="A2315" s="22">
        <v>525</v>
      </c>
      <c r="B2315" s="22" t="s">
        <v>549</v>
      </c>
      <c r="C2315" s="22" t="s">
        <v>81</v>
      </c>
      <c r="D2315" s="22" t="s">
        <v>35</v>
      </c>
      <c r="E2315" s="158">
        <v>6670</v>
      </c>
      <c r="F2315" s="159">
        <v>70000</v>
      </c>
      <c r="G2315" s="159">
        <v>466900000</v>
      </c>
      <c r="H2315" s="159">
        <v>46690000</v>
      </c>
      <c r="I2315" s="159">
        <v>513590000</v>
      </c>
      <c r="J2315" s="159" t="e">
        <f>bargiri[[#This Row],[مقدار]]*INDEX(invoice[پیش دریافت به ازای هر کیلوگرم],MATCH(bargiri[[#This Row],[شماره سند مبنا]],invoice[شماره پیش فاکتور],0))</f>
        <v>#N/A</v>
      </c>
      <c r="K2315" s="159" t="e">
        <f>bargiri[[#This Row],[مبلغ خالص]]-bargiri[[#This Row],[میزان استهلاک پیش دریافتی]]</f>
        <v>#N/A</v>
      </c>
      <c r="L2315" s="160"/>
      <c r="M2315" s="159"/>
      <c r="N2315" s="159" t="e">
        <f>IF(bargiri[[#This Row],[مبلغ واریزی]]&lt;&gt;"",bargiri[[#This Row],[مانده مبلغ]]-bargiri[[#This Row],[مبلغ واریزی]],bargiri[[#This Row],[مانده مبلغ]])</f>
        <v>#N/A</v>
      </c>
      <c r="O2315" s="159"/>
      <c r="P2315" s="159" t="e">
        <f>VLOOKUP(bargiri[[#This Row],[شماره سند مبنا]],invoice[[شماره پیش فاکتور]:[پیش دریافت به ازای هر کیلوگرم]],14,0)</f>
        <v>#N/A</v>
      </c>
      <c r="Q2315" s="159" t="e">
        <f>IF(bargiri[[#This Row],[مبلغ ناخالص]]-(bargiri[[#This Row],[نرخ استهلاک]]*bargiri[[#This Row],[مقدار]])&lt;0,0,bargiri[[#This Row],[مبلغ ناخالص]]-(bargiri[[#This Row],[نرخ استهلاک]]*bargiri[[#This Row],[مقدار]]))</f>
        <v>#N/A</v>
      </c>
    </row>
    <row r="2316" spans="1:17" s="22" customFormat="1" ht="13.8" x14ac:dyDescent="0.25">
      <c r="A2316" s="22">
        <v>524</v>
      </c>
      <c r="B2316" s="22" t="s">
        <v>549</v>
      </c>
      <c r="C2316" s="22" t="s">
        <v>69</v>
      </c>
      <c r="D2316" s="22" t="s">
        <v>70</v>
      </c>
      <c r="E2316" s="158">
        <v>20270</v>
      </c>
      <c r="F2316" s="159">
        <v>70000</v>
      </c>
      <c r="G2316" s="159">
        <v>1418900000</v>
      </c>
      <c r="H2316" s="159">
        <v>127701000</v>
      </c>
      <c r="I2316" s="159">
        <v>1546601000</v>
      </c>
      <c r="J2316" s="159" t="e">
        <f>bargiri[[#This Row],[مقدار]]*INDEX(invoice[پیش دریافت به ازای هر کیلوگرم],MATCH(bargiri[[#This Row],[شماره سند مبنا]],invoice[شماره پیش فاکتور],0))</f>
        <v>#N/A</v>
      </c>
      <c r="K2316" s="159" t="e">
        <f>bargiri[[#This Row],[مبلغ خالص]]-bargiri[[#This Row],[میزان استهلاک پیش دریافتی]]</f>
        <v>#N/A</v>
      </c>
      <c r="L2316" s="160"/>
      <c r="M2316" s="159"/>
      <c r="N2316" s="159" t="e">
        <f>IF(bargiri[[#This Row],[مبلغ واریزی]]&lt;&gt;"",bargiri[[#This Row],[مانده مبلغ]]-bargiri[[#This Row],[مبلغ واریزی]],bargiri[[#This Row],[مانده مبلغ]])</f>
        <v>#N/A</v>
      </c>
      <c r="O2316" s="159"/>
      <c r="P2316" s="159" t="e">
        <f>VLOOKUP(bargiri[[#This Row],[شماره سند مبنا]],invoice[[شماره پیش فاکتور]:[پیش دریافت به ازای هر کیلوگرم]],14,0)</f>
        <v>#N/A</v>
      </c>
      <c r="Q2316" s="159" t="e">
        <f>IF(bargiri[[#This Row],[مبلغ ناخالص]]-(bargiri[[#This Row],[نرخ استهلاک]]*bargiri[[#This Row],[مقدار]])&lt;0,0,bargiri[[#This Row],[مبلغ ناخالص]]-(bargiri[[#This Row],[نرخ استهلاک]]*bargiri[[#This Row],[مقدار]]))</f>
        <v>#N/A</v>
      </c>
    </row>
    <row r="2317" spans="1:17" s="22" customFormat="1" ht="13.8" x14ac:dyDescent="0.25">
      <c r="A2317" s="22">
        <v>523</v>
      </c>
      <c r="B2317" s="22" t="s">
        <v>113</v>
      </c>
      <c r="C2317" s="22" t="s">
        <v>75</v>
      </c>
      <c r="D2317" s="22" t="s">
        <v>73</v>
      </c>
      <c r="E2317" s="158">
        <v>20035</v>
      </c>
      <c r="F2317" s="159">
        <v>56881</v>
      </c>
      <c r="G2317" s="159">
        <v>1139610835</v>
      </c>
      <c r="H2317" s="159">
        <v>102564975</v>
      </c>
      <c r="I2317" s="159">
        <v>1242175810</v>
      </c>
      <c r="J2317" s="159" t="e">
        <f>bargiri[[#This Row],[مقدار]]*INDEX(invoice[پیش دریافت به ازای هر کیلوگرم],MATCH(bargiri[[#This Row],[شماره سند مبنا]],invoice[شماره پیش فاکتور],0))</f>
        <v>#N/A</v>
      </c>
      <c r="K2317" s="159" t="e">
        <f>bargiri[[#This Row],[مبلغ خالص]]-bargiri[[#This Row],[میزان استهلاک پیش دریافتی]]</f>
        <v>#N/A</v>
      </c>
      <c r="L2317" s="160"/>
      <c r="M2317" s="159"/>
      <c r="N2317" s="159" t="e">
        <f>IF(bargiri[[#This Row],[مبلغ واریزی]]&lt;&gt;"",bargiri[[#This Row],[مانده مبلغ]]-bargiri[[#This Row],[مبلغ واریزی]],bargiri[[#This Row],[مانده مبلغ]])</f>
        <v>#N/A</v>
      </c>
      <c r="O2317" s="159"/>
      <c r="P2317" s="159" t="e">
        <f>VLOOKUP(bargiri[[#This Row],[شماره سند مبنا]],invoice[[شماره پیش فاکتور]:[پیش دریافت به ازای هر کیلوگرم]],14,0)</f>
        <v>#N/A</v>
      </c>
      <c r="Q2317" s="159" t="e">
        <f>IF(bargiri[[#This Row],[مبلغ ناخالص]]-(bargiri[[#This Row],[نرخ استهلاک]]*bargiri[[#This Row],[مقدار]])&lt;0,0,bargiri[[#This Row],[مبلغ ناخالص]]-(bargiri[[#This Row],[نرخ استهلاک]]*bargiri[[#This Row],[مقدار]]))</f>
        <v>#N/A</v>
      </c>
    </row>
    <row r="2318" spans="1:17" s="22" customFormat="1" ht="13.8" x14ac:dyDescent="0.25">
      <c r="A2318" s="22">
        <v>522</v>
      </c>
      <c r="B2318" s="22" t="s">
        <v>113</v>
      </c>
      <c r="C2318" s="22" t="s">
        <v>75</v>
      </c>
      <c r="D2318" s="22" t="s">
        <v>73</v>
      </c>
      <c r="E2318" s="158">
        <v>20145</v>
      </c>
      <c r="F2318" s="159">
        <v>56881</v>
      </c>
      <c r="G2318" s="159">
        <v>1145867745</v>
      </c>
      <c r="H2318" s="159">
        <v>103128097</v>
      </c>
      <c r="I2318" s="159">
        <v>1248995842</v>
      </c>
      <c r="J2318" s="159" t="e">
        <f>bargiri[[#This Row],[مقدار]]*INDEX(invoice[پیش دریافت به ازای هر کیلوگرم],MATCH(bargiri[[#This Row],[شماره سند مبنا]],invoice[شماره پیش فاکتور],0))</f>
        <v>#N/A</v>
      </c>
      <c r="K2318" s="159" t="e">
        <f>bargiri[[#This Row],[مبلغ خالص]]-bargiri[[#This Row],[میزان استهلاک پیش دریافتی]]</f>
        <v>#N/A</v>
      </c>
      <c r="L2318" s="160"/>
      <c r="M2318" s="159"/>
      <c r="N2318" s="159" t="e">
        <f>IF(bargiri[[#This Row],[مبلغ واریزی]]&lt;&gt;"",bargiri[[#This Row],[مانده مبلغ]]-bargiri[[#This Row],[مبلغ واریزی]],bargiri[[#This Row],[مانده مبلغ]])</f>
        <v>#N/A</v>
      </c>
      <c r="O2318" s="159"/>
      <c r="P2318" s="159" t="e">
        <f>VLOOKUP(bargiri[[#This Row],[شماره سند مبنا]],invoice[[شماره پیش فاکتور]:[پیش دریافت به ازای هر کیلوگرم]],14,0)</f>
        <v>#N/A</v>
      </c>
      <c r="Q2318" s="159" t="e">
        <f>IF(bargiri[[#This Row],[مبلغ ناخالص]]-(bargiri[[#This Row],[نرخ استهلاک]]*bargiri[[#This Row],[مقدار]])&lt;0,0,bargiri[[#This Row],[مبلغ ناخالص]]-(bargiri[[#This Row],[نرخ استهلاک]]*bargiri[[#This Row],[مقدار]]))</f>
        <v>#N/A</v>
      </c>
    </row>
    <row r="2319" spans="1:17" s="22" customFormat="1" ht="13.8" x14ac:dyDescent="0.25">
      <c r="A2319" s="22">
        <v>521</v>
      </c>
      <c r="B2319" s="22" t="s">
        <v>113</v>
      </c>
      <c r="C2319" s="22" t="s">
        <v>75</v>
      </c>
      <c r="D2319" s="22" t="s">
        <v>73</v>
      </c>
      <c r="E2319" s="158">
        <v>20075</v>
      </c>
      <c r="F2319" s="159">
        <v>56881</v>
      </c>
      <c r="G2319" s="159">
        <v>1141886075</v>
      </c>
      <c r="H2319" s="159">
        <v>102769747</v>
      </c>
      <c r="I2319" s="159">
        <v>1244655822</v>
      </c>
      <c r="J2319" s="159" t="e">
        <f>bargiri[[#This Row],[مقدار]]*INDEX(invoice[پیش دریافت به ازای هر کیلوگرم],MATCH(bargiri[[#This Row],[شماره سند مبنا]],invoice[شماره پیش فاکتور],0))</f>
        <v>#N/A</v>
      </c>
      <c r="K2319" s="159" t="e">
        <f>bargiri[[#This Row],[مبلغ خالص]]-bargiri[[#This Row],[میزان استهلاک پیش دریافتی]]</f>
        <v>#N/A</v>
      </c>
      <c r="L2319" s="160"/>
      <c r="M2319" s="159"/>
      <c r="N2319" s="159" t="e">
        <f>IF(bargiri[[#This Row],[مبلغ واریزی]]&lt;&gt;"",bargiri[[#This Row],[مانده مبلغ]]-bargiri[[#This Row],[مبلغ واریزی]],bargiri[[#This Row],[مانده مبلغ]])</f>
        <v>#N/A</v>
      </c>
      <c r="O2319" s="159"/>
      <c r="P2319" s="159" t="e">
        <f>VLOOKUP(bargiri[[#This Row],[شماره سند مبنا]],invoice[[شماره پیش فاکتور]:[پیش دریافت به ازای هر کیلوگرم]],14,0)</f>
        <v>#N/A</v>
      </c>
      <c r="Q2319" s="159" t="e">
        <f>IF(bargiri[[#This Row],[مبلغ ناخالص]]-(bargiri[[#This Row],[نرخ استهلاک]]*bargiri[[#This Row],[مقدار]])&lt;0,0,bargiri[[#This Row],[مبلغ ناخالص]]-(bargiri[[#This Row],[نرخ استهلاک]]*bargiri[[#This Row],[مقدار]]))</f>
        <v>#N/A</v>
      </c>
    </row>
    <row r="2320" spans="1:17" s="22" customFormat="1" ht="13.8" x14ac:dyDescent="0.25">
      <c r="A2320" s="22">
        <v>520</v>
      </c>
      <c r="B2320" s="22" t="s">
        <v>113</v>
      </c>
      <c r="C2320" s="22" t="s">
        <v>66</v>
      </c>
      <c r="D2320" s="22" t="s">
        <v>67</v>
      </c>
      <c r="E2320" s="158">
        <v>20020</v>
      </c>
      <c r="F2320" s="159">
        <v>68500</v>
      </c>
      <c r="G2320" s="159">
        <v>1371370000</v>
      </c>
      <c r="H2320" s="159">
        <v>123423300</v>
      </c>
      <c r="I2320" s="159">
        <v>1494793300</v>
      </c>
      <c r="J2320" s="159" t="e">
        <f>bargiri[[#This Row],[مقدار]]*INDEX(invoice[پیش دریافت به ازای هر کیلوگرم],MATCH(bargiri[[#This Row],[شماره سند مبنا]],invoice[شماره پیش فاکتور],0))</f>
        <v>#N/A</v>
      </c>
      <c r="K2320" s="159" t="e">
        <f>bargiri[[#This Row],[مبلغ خالص]]-bargiri[[#This Row],[میزان استهلاک پیش دریافتی]]</f>
        <v>#N/A</v>
      </c>
      <c r="L2320" s="160"/>
      <c r="M2320" s="159"/>
      <c r="N2320" s="159" t="e">
        <f>IF(bargiri[[#This Row],[مبلغ واریزی]]&lt;&gt;"",bargiri[[#This Row],[مانده مبلغ]]-bargiri[[#This Row],[مبلغ واریزی]],bargiri[[#This Row],[مانده مبلغ]])</f>
        <v>#N/A</v>
      </c>
      <c r="O2320" s="159"/>
      <c r="P2320" s="159" t="e">
        <f>VLOOKUP(bargiri[[#This Row],[شماره سند مبنا]],invoice[[شماره پیش فاکتور]:[پیش دریافت به ازای هر کیلوگرم]],14,0)</f>
        <v>#N/A</v>
      </c>
      <c r="Q2320" s="159" t="e">
        <f>IF(bargiri[[#This Row],[مبلغ ناخالص]]-(bargiri[[#This Row],[نرخ استهلاک]]*bargiri[[#This Row],[مقدار]])&lt;0,0,bargiri[[#This Row],[مبلغ ناخالص]]-(bargiri[[#This Row],[نرخ استهلاک]]*bargiri[[#This Row],[مقدار]]))</f>
        <v>#N/A</v>
      </c>
    </row>
    <row r="2321" spans="1:17" s="22" customFormat="1" ht="13.8" x14ac:dyDescent="0.25">
      <c r="A2321" s="22">
        <v>519</v>
      </c>
      <c r="B2321" s="22" t="s">
        <v>113</v>
      </c>
      <c r="C2321" s="22" t="s">
        <v>66</v>
      </c>
      <c r="D2321" s="22" t="s">
        <v>67</v>
      </c>
      <c r="E2321" s="158">
        <v>8160</v>
      </c>
      <c r="F2321" s="159">
        <v>68500</v>
      </c>
      <c r="G2321" s="159">
        <v>558960000</v>
      </c>
      <c r="H2321" s="159">
        <v>50306400</v>
      </c>
      <c r="I2321" s="159">
        <v>609266400</v>
      </c>
      <c r="J2321" s="159" t="e">
        <f>bargiri[[#This Row],[مقدار]]*INDEX(invoice[پیش دریافت به ازای هر کیلوگرم],MATCH(bargiri[[#This Row],[شماره سند مبنا]],invoice[شماره پیش فاکتور],0))</f>
        <v>#N/A</v>
      </c>
      <c r="K2321" s="159" t="e">
        <f>bargiri[[#This Row],[مبلغ خالص]]-bargiri[[#This Row],[میزان استهلاک پیش دریافتی]]</f>
        <v>#N/A</v>
      </c>
      <c r="L2321" s="160"/>
      <c r="M2321" s="159"/>
      <c r="N2321" s="159" t="e">
        <f>IF(bargiri[[#This Row],[مبلغ واریزی]]&lt;&gt;"",bargiri[[#This Row],[مانده مبلغ]]-bargiri[[#This Row],[مبلغ واریزی]],bargiri[[#This Row],[مانده مبلغ]])</f>
        <v>#N/A</v>
      </c>
      <c r="O2321" s="159"/>
      <c r="P2321" s="159" t="e">
        <f>VLOOKUP(bargiri[[#This Row],[شماره سند مبنا]],invoice[[شماره پیش فاکتور]:[پیش دریافت به ازای هر کیلوگرم]],14,0)</f>
        <v>#N/A</v>
      </c>
      <c r="Q2321" s="159" t="e">
        <f>IF(bargiri[[#This Row],[مبلغ ناخالص]]-(bargiri[[#This Row],[نرخ استهلاک]]*bargiri[[#This Row],[مقدار]])&lt;0,0,bargiri[[#This Row],[مبلغ ناخالص]]-(bargiri[[#This Row],[نرخ استهلاک]]*bargiri[[#This Row],[مقدار]]))</f>
        <v>#N/A</v>
      </c>
    </row>
    <row r="2322" spans="1:17" s="22" customFormat="1" ht="13.8" x14ac:dyDescent="0.25">
      <c r="A2322" s="22">
        <v>518</v>
      </c>
      <c r="B2322" s="22" t="s">
        <v>546</v>
      </c>
      <c r="C2322" s="22" t="s">
        <v>19</v>
      </c>
      <c r="D2322" s="22" t="s">
        <v>20</v>
      </c>
      <c r="E2322" s="158">
        <v>18450</v>
      </c>
      <c r="F2322" s="159">
        <v>65000</v>
      </c>
      <c r="G2322" s="159">
        <v>1199250000</v>
      </c>
      <c r="H2322" s="159">
        <v>107932500</v>
      </c>
      <c r="I2322" s="159">
        <v>1307182500</v>
      </c>
      <c r="J2322" s="159" t="e">
        <f>bargiri[[#This Row],[مقدار]]*INDEX(invoice[پیش دریافت به ازای هر کیلوگرم],MATCH(bargiri[[#This Row],[شماره سند مبنا]],invoice[شماره پیش فاکتور],0))</f>
        <v>#N/A</v>
      </c>
      <c r="K2322" s="159" t="e">
        <f>bargiri[[#This Row],[مبلغ خالص]]-bargiri[[#This Row],[میزان استهلاک پیش دریافتی]]</f>
        <v>#N/A</v>
      </c>
      <c r="L2322" s="160"/>
      <c r="M2322" s="159"/>
      <c r="N2322" s="159" t="e">
        <f>IF(bargiri[[#This Row],[مبلغ واریزی]]&lt;&gt;"",bargiri[[#This Row],[مانده مبلغ]]-bargiri[[#This Row],[مبلغ واریزی]],bargiri[[#This Row],[مانده مبلغ]])</f>
        <v>#N/A</v>
      </c>
      <c r="O2322" s="159"/>
      <c r="P2322" s="159" t="e">
        <f>VLOOKUP(bargiri[[#This Row],[شماره سند مبنا]],invoice[[شماره پیش فاکتور]:[پیش دریافت به ازای هر کیلوگرم]],14,0)</f>
        <v>#N/A</v>
      </c>
      <c r="Q2322" s="159" t="e">
        <f>IF(bargiri[[#This Row],[مبلغ ناخالص]]-(bargiri[[#This Row],[نرخ استهلاک]]*bargiri[[#This Row],[مقدار]])&lt;0,0,bargiri[[#This Row],[مبلغ ناخالص]]-(bargiri[[#This Row],[نرخ استهلاک]]*bargiri[[#This Row],[مقدار]]))</f>
        <v>#N/A</v>
      </c>
    </row>
    <row r="2323" spans="1:17" s="22" customFormat="1" ht="13.8" x14ac:dyDescent="0.25">
      <c r="A2323" s="22">
        <v>517</v>
      </c>
      <c r="B2323" s="22" t="s">
        <v>549</v>
      </c>
      <c r="C2323" s="22" t="s">
        <v>97</v>
      </c>
      <c r="D2323" s="22" t="s">
        <v>40</v>
      </c>
      <c r="E2323" s="158">
        <v>18185</v>
      </c>
      <c r="F2323" s="159">
        <v>85000</v>
      </c>
      <c r="G2323" s="159">
        <v>1545725000</v>
      </c>
      <c r="H2323" s="159">
        <v>154572500</v>
      </c>
      <c r="I2323" s="159">
        <v>1700297500</v>
      </c>
      <c r="J2323" s="159" t="e">
        <f>bargiri[[#This Row],[مقدار]]*INDEX(invoice[پیش دریافت به ازای هر کیلوگرم],MATCH(bargiri[[#This Row],[شماره سند مبنا]],invoice[شماره پیش فاکتور],0))</f>
        <v>#N/A</v>
      </c>
      <c r="K2323" s="159" t="e">
        <f>bargiri[[#This Row],[مبلغ خالص]]-bargiri[[#This Row],[میزان استهلاک پیش دریافتی]]</f>
        <v>#N/A</v>
      </c>
      <c r="L2323" s="160"/>
      <c r="M2323" s="159"/>
      <c r="N2323" s="159" t="e">
        <f>IF(bargiri[[#This Row],[مبلغ واریزی]]&lt;&gt;"",bargiri[[#This Row],[مانده مبلغ]]-bargiri[[#This Row],[مبلغ واریزی]],bargiri[[#This Row],[مانده مبلغ]])</f>
        <v>#N/A</v>
      </c>
      <c r="O2323" s="159"/>
      <c r="P2323" s="159" t="e">
        <f>VLOOKUP(bargiri[[#This Row],[شماره سند مبنا]],invoice[[شماره پیش فاکتور]:[پیش دریافت به ازای هر کیلوگرم]],14,0)</f>
        <v>#N/A</v>
      </c>
      <c r="Q2323" s="159" t="e">
        <f>IF(bargiri[[#This Row],[مبلغ ناخالص]]-(bargiri[[#This Row],[نرخ استهلاک]]*bargiri[[#This Row],[مقدار]])&lt;0,0,bargiri[[#This Row],[مبلغ ناخالص]]-(bargiri[[#This Row],[نرخ استهلاک]]*bargiri[[#This Row],[مقدار]]))</f>
        <v>#N/A</v>
      </c>
    </row>
    <row r="2324" spans="1:17" s="22" customFormat="1" ht="13.8" x14ac:dyDescent="0.25">
      <c r="A2324" s="22">
        <v>516</v>
      </c>
      <c r="B2324" s="22" t="s">
        <v>549</v>
      </c>
      <c r="C2324" s="22" t="s">
        <v>66</v>
      </c>
      <c r="D2324" s="22" t="s">
        <v>67</v>
      </c>
      <c r="E2324" s="158">
        <v>7475</v>
      </c>
      <c r="F2324" s="159">
        <v>68500</v>
      </c>
      <c r="G2324" s="159">
        <v>512037500</v>
      </c>
      <c r="H2324" s="159">
        <v>46083375</v>
      </c>
      <c r="I2324" s="159">
        <v>558120875</v>
      </c>
      <c r="J2324" s="159" t="e">
        <f>bargiri[[#This Row],[مقدار]]*INDEX(invoice[پیش دریافت به ازای هر کیلوگرم],MATCH(bargiri[[#This Row],[شماره سند مبنا]],invoice[شماره پیش فاکتور],0))</f>
        <v>#N/A</v>
      </c>
      <c r="K2324" s="159" t="e">
        <f>bargiri[[#This Row],[مبلغ خالص]]-bargiri[[#This Row],[میزان استهلاک پیش دریافتی]]</f>
        <v>#N/A</v>
      </c>
      <c r="L2324" s="160"/>
      <c r="M2324" s="159"/>
      <c r="N2324" s="159" t="e">
        <f>IF(bargiri[[#This Row],[مبلغ واریزی]]&lt;&gt;"",bargiri[[#This Row],[مانده مبلغ]]-bargiri[[#This Row],[مبلغ واریزی]],bargiri[[#This Row],[مانده مبلغ]])</f>
        <v>#N/A</v>
      </c>
      <c r="O2324" s="159"/>
      <c r="P2324" s="159" t="e">
        <f>VLOOKUP(bargiri[[#This Row],[شماره سند مبنا]],invoice[[شماره پیش فاکتور]:[پیش دریافت به ازای هر کیلوگرم]],14,0)</f>
        <v>#N/A</v>
      </c>
      <c r="Q2324" s="159" t="e">
        <f>IF(bargiri[[#This Row],[مبلغ ناخالص]]-(bargiri[[#This Row],[نرخ استهلاک]]*bargiri[[#This Row],[مقدار]])&lt;0,0,bargiri[[#This Row],[مبلغ ناخالص]]-(bargiri[[#This Row],[نرخ استهلاک]]*bargiri[[#This Row],[مقدار]]))</f>
        <v>#N/A</v>
      </c>
    </row>
    <row r="2325" spans="1:17" s="22" customFormat="1" ht="13.8" x14ac:dyDescent="0.25">
      <c r="A2325" s="22">
        <v>515</v>
      </c>
      <c r="B2325" s="22" t="s">
        <v>549</v>
      </c>
      <c r="C2325" s="22" t="s">
        <v>29</v>
      </c>
      <c r="D2325" s="22" t="s">
        <v>30</v>
      </c>
      <c r="E2325" s="158">
        <v>11975</v>
      </c>
      <c r="F2325" s="159">
        <v>70000</v>
      </c>
      <c r="G2325" s="159">
        <v>838250000</v>
      </c>
      <c r="H2325" s="159">
        <v>83825000</v>
      </c>
      <c r="I2325" s="159">
        <v>922075000</v>
      </c>
      <c r="J2325" s="159" t="e">
        <f>bargiri[[#This Row],[مقدار]]*INDEX(invoice[پیش دریافت به ازای هر کیلوگرم],MATCH(bargiri[[#This Row],[شماره سند مبنا]],invoice[شماره پیش فاکتور],0))</f>
        <v>#N/A</v>
      </c>
      <c r="K2325" s="159" t="e">
        <f>bargiri[[#This Row],[مبلغ خالص]]-bargiri[[#This Row],[میزان استهلاک پیش دریافتی]]</f>
        <v>#N/A</v>
      </c>
      <c r="L2325" s="160"/>
      <c r="M2325" s="159"/>
      <c r="N2325" s="159" t="e">
        <f>IF(bargiri[[#This Row],[مبلغ واریزی]]&lt;&gt;"",bargiri[[#This Row],[مانده مبلغ]]-bargiri[[#This Row],[مبلغ واریزی]],bargiri[[#This Row],[مانده مبلغ]])</f>
        <v>#N/A</v>
      </c>
      <c r="O2325" s="159"/>
      <c r="P2325" s="159" t="e">
        <f>VLOOKUP(bargiri[[#This Row],[شماره سند مبنا]],invoice[[شماره پیش فاکتور]:[پیش دریافت به ازای هر کیلوگرم]],14,0)</f>
        <v>#N/A</v>
      </c>
      <c r="Q2325" s="159" t="e">
        <f>IF(bargiri[[#This Row],[مبلغ ناخالص]]-(bargiri[[#This Row],[نرخ استهلاک]]*bargiri[[#This Row],[مقدار]])&lt;0,0,bargiri[[#This Row],[مبلغ ناخالص]]-(bargiri[[#This Row],[نرخ استهلاک]]*bargiri[[#This Row],[مقدار]]))</f>
        <v>#N/A</v>
      </c>
    </row>
    <row r="2326" spans="1:17" s="22" customFormat="1" ht="13.8" x14ac:dyDescent="0.25">
      <c r="A2326" s="22">
        <v>514</v>
      </c>
      <c r="B2326" s="22" t="s">
        <v>113</v>
      </c>
      <c r="C2326" s="22" t="s">
        <v>97</v>
      </c>
      <c r="D2326" s="22" t="s">
        <v>40</v>
      </c>
      <c r="E2326" s="158">
        <v>17945</v>
      </c>
      <c r="F2326" s="159">
        <v>85000</v>
      </c>
      <c r="G2326" s="159">
        <v>1525325000</v>
      </c>
      <c r="H2326" s="159">
        <v>152532500</v>
      </c>
      <c r="I2326" s="159">
        <v>1677857500</v>
      </c>
      <c r="J2326" s="159" t="e">
        <f>bargiri[[#This Row],[مقدار]]*INDEX(invoice[پیش دریافت به ازای هر کیلوگرم],MATCH(bargiri[[#This Row],[شماره سند مبنا]],invoice[شماره پیش فاکتور],0))</f>
        <v>#N/A</v>
      </c>
      <c r="K2326" s="159" t="e">
        <f>bargiri[[#This Row],[مبلغ خالص]]-bargiri[[#This Row],[میزان استهلاک پیش دریافتی]]</f>
        <v>#N/A</v>
      </c>
      <c r="L2326" s="160"/>
      <c r="M2326" s="159"/>
      <c r="N2326" s="159" t="e">
        <f>IF(bargiri[[#This Row],[مبلغ واریزی]]&lt;&gt;"",bargiri[[#This Row],[مانده مبلغ]]-bargiri[[#This Row],[مبلغ واریزی]],bargiri[[#This Row],[مانده مبلغ]])</f>
        <v>#N/A</v>
      </c>
      <c r="O2326" s="159"/>
      <c r="P2326" s="159" t="e">
        <f>VLOOKUP(bargiri[[#This Row],[شماره سند مبنا]],invoice[[شماره پیش فاکتور]:[پیش دریافت به ازای هر کیلوگرم]],14,0)</f>
        <v>#N/A</v>
      </c>
      <c r="Q2326" s="159" t="e">
        <f>IF(bargiri[[#This Row],[مبلغ ناخالص]]-(bargiri[[#This Row],[نرخ استهلاک]]*bargiri[[#This Row],[مقدار]])&lt;0,0,bargiri[[#This Row],[مبلغ ناخالص]]-(bargiri[[#This Row],[نرخ استهلاک]]*bargiri[[#This Row],[مقدار]]))</f>
        <v>#N/A</v>
      </c>
    </row>
    <row r="2327" spans="1:17" s="22" customFormat="1" ht="13.8" x14ac:dyDescent="0.25">
      <c r="A2327" s="22">
        <v>513</v>
      </c>
      <c r="B2327" s="22" t="s">
        <v>58</v>
      </c>
      <c r="C2327" s="22" t="s">
        <v>75</v>
      </c>
      <c r="D2327" s="22" t="s">
        <v>73</v>
      </c>
      <c r="E2327" s="158">
        <v>20120</v>
      </c>
      <c r="F2327" s="159">
        <v>56881</v>
      </c>
      <c r="G2327" s="159">
        <v>1144445720</v>
      </c>
      <c r="H2327" s="159">
        <v>103000115</v>
      </c>
      <c r="I2327" s="159">
        <v>1247445835</v>
      </c>
      <c r="J2327" s="159" t="e">
        <f>bargiri[[#This Row],[مقدار]]*INDEX(invoice[پیش دریافت به ازای هر کیلوگرم],MATCH(bargiri[[#This Row],[شماره سند مبنا]],invoice[شماره پیش فاکتور],0))</f>
        <v>#N/A</v>
      </c>
      <c r="K2327" s="159" t="e">
        <f>bargiri[[#This Row],[مبلغ خالص]]-bargiri[[#This Row],[میزان استهلاک پیش دریافتی]]</f>
        <v>#N/A</v>
      </c>
      <c r="L2327" s="160"/>
      <c r="M2327" s="159"/>
      <c r="N2327" s="159" t="e">
        <f>IF(bargiri[[#This Row],[مبلغ واریزی]]&lt;&gt;"",bargiri[[#This Row],[مانده مبلغ]]-bargiri[[#This Row],[مبلغ واریزی]],bargiri[[#This Row],[مانده مبلغ]])</f>
        <v>#N/A</v>
      </c>
      <c r="O2327" s="159"/>
      <c r="P2327" s="159" t="e">
        <f>VLOOKUP(bargiri[[#This Row],[شماره سند مبنا]],invoice[[شماره پیش فاکتور]:[پیش دریافت به ازای هر کیلوگرم]],14,0)</f>
        <v>#N/A</v>
      </c>
      <c r="Q2327" s="159" t="e">
        <f>IF(bargiri[[#This Row],[مبلغ ناخالص]]-(bargiri[[#This Row],[نرخ استهلاک]]*bargiri[[#This Row],[مقدار]])&lt;0,0,bargiri[[#This Row],[مبلغ ناخالص]]-(bargiri[[#This Row],[نرخ استهلاک]]*bargiri[[#This Row],[مقدار]]))</f>
        <v>#N/A</v>
      </c>
    </row>
    <row r="2328" spans="1:17" s="22" customFormat="1" ht="13.8" x14ac:dyDescent="0.25">
      <c r="A2328" s="22">
        <v>512</v>
      </c>
      <c r="B2328" s="22" t="s">
        <v>58</v>
      </c>
      <c r="C2328" s="22" t="s">
        <v>75</v>
      </c>
      <c r="D2328" s="22" t="s">
        <v>73</v>
      </c>
      <c r="E2328" s="158">
        <v>20060</v>
      </c>
      <c r="F2328" s="159">
        <v>56881</v>
      </c>
      <c r="G2328" s="159">
        <v>1141032860</v>
      </c>
      <c r="H2328" s="159">
        <v>102692957</v>
      </c>
      <c r="I2328" s="159">
        <v>1243725817</v>
      </c>
      <c r="J2328" s="159" t="e">
        <f>bargiri[[#This Row],[مقدار]]*INDEX(invoice[پیش دریافت به ازای هر کیلوگرم],MATCH(bargiri[[#This Row],[شماره سند مبنا]],invoice[شماره پیش فاکتور],0))</f>
        <v>#N/A</v>
      </c>
      <c r="K2328" s="159" t="e">
        <f>bargiri[[#This Row],[مبلغ خالص]]-bargiri[[#This Row],[میزان استهلاک پیش دریافتی]]</f>
        <v>#N/A</v>
      </c>
      <c r="L2328" s="160"/>
      <c r="M2328" s="159"/>
      <c r="N2328" s="159" t="e">
        <f>IF(bargiri[[#This Row],[مبلغ واریزی]]&lt;&gt;"",bargiri[[#This Row],[مانده مبلغ]]-bargiri[[#This Row],[مبلغ واریزی]],bargiri[[#This Row],[مانده مبلغ]])</f>
        <v>#N/A</v>
      </c>
      <c r="O2328" s="159"/>
      <c r="P2328" s="159" t="e">
        <f>VLOOKUP(bargiri[[#This Row],[شماره سند مبنا]],invoice[[شماره پیش فاکتور]:[پیش دریافت به ازای هر کیلوگرم]],14,0)</f>
        <v>#N/A</v>
      </c>
      <c r="Q2328" s="159" t="e">
        <f>IF(bargiri[[#This Row],[مبلغ ناخالص]]-(bargiri[[#This Row],[نرخ استهلاک]]*bargiri[[#This Row],[مقدار]])&lt;0,0,bargiri[[#This Row],[مبلغ ناخالص]]-(bargiri[[#This Row],[نرخ استهلاک]]*bargiri[[#This Row],[مقدار]]))</f>
        <v>#N/A</v>
      </c>
    </row>
    <row r="2329" spans="1:17" s="22" customFormat="1" ht="13.8" x14ac:dyDescent="0.25">
      <c r="A2329" s="22">
        <v>511</v>
      </c>
      <c r="B2329" s="22" t="s">
        <v>58</v>
      </c>
      <c r="C2329" s="22" t="s">
        <v>29</v>
      </c>
      <c r="D2329" s="22" t="s">
        <v>30</v>
      </c>
      <c r="E2329" s="158">
        <v>10120</v>
      </c>
      <c r="F2329" s="159">
        <v>70000</v>
      </c>
      <c r="G2329" s="159">
        <v>708400000</v>
      </c>
      <c r="H2329" s="159">
        <v>70840000</v>
      </c>
      <c r="I2329" s="159">
        <v>779240000</v>
      </c>
      <c r="J2329" s="159" t="e">
        <f>bargiri[[#This Row],[مقدار]]*INDEX(invoice[پیش دریافت به ازای هر کیلوگرم],MATCH(bargiri[[#This Row],[شماره سند مبنا]],invoice[شماره پیش فاکتور],0))</f>
        <v>#N/A</v>
      </c>
      <c r="K2329" s="159" t="e">
        <f>bargiri[[#This Row],[مبلغ خالص]]-bargiri[[#This Row],[میزان استهلاک پیش دریافتی]]</f>
        <v>#N/A</v>
      </c>
      <c r="L2329" s="160"/>
      <c r="M2329" s="159"/>
      <c r="N2329" s="159" t="e">
        <f>IF(bargiri[[#This Row],[مبلغ واریزی]]&lt;&gt;"",bargiri[[#This Row],[مانده مبلغ]]-bargiri[[#This Row],[مبلغ واریزی]],bargiri[[#This Row],[مانده مبلغ]])</f>
        <v>#N/A</v>
      </c>
      <c r="O2329" s="159"/>
      <c r="P2329" s="159" t="e">
        <f>VLOOKUP(bargiri[[#This Row],[شماره سند مبنا]],invoice[[شماره پیش فاکتور]:[پیش دریافت به ازای هر کیلوگرم]],14,0)</f>
        <v>#N/A</v>
      </c>
      <c r="Q2329" s="159" t="e">
        <f>IF(bargiri[[#This Row],[مبلغ ناخالص]]-(bargiri[[#This Row],[نرخ استهلاک]]*bargiri[[#This Row],[مقدار]])&lt;0,0,bargiri[[#This Row],[مبلغ ناخالص]]-(bargiri[[#This Row],[نرخ استهلاک]]*bargiri[[#This Row],[مقدار]]))</f>
        <v>#N/A</v>
      </c>
    </row>
    <row r="2330" spans="1:17" s="22" customFormat="1" ht="13.8" x14ac:dyDescent="0.25">
      <c r="A2330" s="22">
        <v>510</v>
      </c>
      <c r="B2330" s="22" t="s">
        <v>58</v>
      </c>
      <c r="C2330" s="22" t="s">
        <v>93</v>
      </c>
      <c r="D2330" s="22" t="s">
        <v>78</v>
      </c>
      <c r="E2330" s="158">
        <v>20130</v>
      </c>
      <c r="F2330" s="159">
        <v>70000</v>
      </c>
      <c r="G2330" s="159">
        <v>1409100000</v>
      </c>
      <c r="H2330" s="159">
        <v>140910000</v>
      </c>
      <c r="I2330" s="159">
        <v>1550010000</v>
      </c>
      <c r="J2330" s="159" t="e">
        <f>bargiri[[#This Row],[مقدار]]*INDEX(invoice[پیش دریافت به ازای هر کیلوگرم],MATCH(bargiri[[#This Row],[شماره سند مبنا]],invoice[شماره پیش فاکتور],0))</f>
        <v>#N/A</v>
      </c>
      <c r="K2330" s="159" t="e">
        <f>bargiri[[#This Row],[مبلغ خالص]]-bargiri[[#This Row],[میزان استهلاک پیش دریافتی]]</f>
        <v>#N/A</v>
      </c>
      <c r="L2330" s="160"/>
      <c r="M2330" s="159"/>
      <c r="N2330" s="159" t="e">
        <f>IF(bargiri[[#This Row],[مبلغ واریزی]]&lt;&gt;"",bargiri[[#This Row],[مانده مبلغ]]-bargiri[[#This Row],[مبلغ واریزی]],bargiri[[#This Row],[مانده مبلغ]])</f>
        <v>#N/A</v>
      </c>
      <c r="O2330" s="159"/>
      <c r="P2330" s="159" t="e">
        <f>VLOOKUP(bargiri[[#This Row],[شماره سند مبنا]],invoice[[شماره پیش فاکتور]:[پیش دریافت به ازای هر کیلوگرم]],14,0)</f>
        <v>#N/A</v>
      </c>
      <c r="Q2330" s="159" t="e">
        <f>IF(bargiri[[#This Row],[مبلغ ناخالص]]-(bargiri[[#This Row],[نرخ استهلاک]]*bargiri[[#This Row],[مقدار]])&lt;0,0,bargiri[[#This Row],[مبلغ ناخالص]]-(bargiri[[#This Row],[نرخ استهلاک]]*bargiri[[#This Row],[مقدار]]))</f>
        <v>#N/A</v>
      </c>
    </row>
    <row r="2331" spans="1:17" s="22" customFormat="1" ht="13.8" x14ac:dyDescent="0.25">
      <c r="A2331" s="22">
        <v>509</v>
      </c>
      <c r="B2331" s="22" t="s">
        <v>58</v>
      </c>
      <c r="C2331" s="22" t="s">
        <v>66</v>
      </c>
      <c r="D2331" s="22" t="s">
        <v>67</v>
      </c>
      <c r="E2331" s="158">
        <v>20100</v>
      </c>
      <c r="F2331" s="159">
        <v>68500</v>
      </c>
      <c r="G2331" s="159">
        <v>1376850000</v>
      </c>
      <c r="H2331" s="159">
        <v>123916500</v>
      </c>
      <c r="I2331" s="159">
        <v>1500766500</v>
      </c>
      <c r="J2331" s="159" t="e">
        <f>bargiri[[#This Row],[مقدار]]*INDEX(invoice[پیش دریافت به ازای هر کیلوگرم],MATCH(bargiri[[#This Row],[شماره سند مبنا]],invoice[شماره پیش فاکتور],0))</f>
        <v>#N/A</v>
      </c>
      <c r="K2331" s="159" t="e">
        <f>bargiri[[#This Row],[مبلغ خالص]]-bargiri[[#This Row],[میزان استهلاک پیش دریافتی]]</f>
        <v>#N/A</v>
      </c>
      <c r="L2331" s="160"/>
      <c r="M2331" s="159"/>
      <c r="N2331" s="159" t="e">
        <f>IF(bargiri[[#This Row],[مبلغ واریزی]]&lt;&gt;"",bargiri[[#This Row],[مانده مبلغ]]-bargiri[[#This Row],[مبلغ واریزی]],bargiri[[#This Row],[مانده مبلغ]])</f>
        <v>#N/A</v>
      </c>
      <c r="O2331" s="159"/>
      <c r="P2331" s="159" t="e">
        <f>VLOOKUP(bargiri[[#This Row],[شماره سند مبنا]],invoice[[شماره پیش فاکتور]:[پیش دریافت به ازای هر کیلوگرم]],14,0)</f>
        <v>#N/A</v>
      </c>
      <c r="Q2331" s="159" t="e">
        <f>IF(bargiri[[#This Row],[مبلغ ناخالص]]-(bargiri[[#This Row],[نرخ استهلاک]]*bargiri[[#This Row],[مقدار]])&lt;0,0,bargiri[[#This Row],[مبلغ ناخالص]]-(bargiri[[#This Row],[نرخ استهلاک]]*bargiri[[#This Row],[مقدار]]))</f>
        <v>#N/A</v>
      </c>
    </row>
    <row r="2332" spans="1:17" s="22" customFormat="1" ht="13.8" x14ac:dyDescent="0.25">
      <c r="A2332" s="22">
        <v>508</v>
      </c>
      <c r="B2332" s="22" t="s">
        <v>58</v>
      </c>
      <c r="C2332" s="22" t="s">
        <v>56</v>
      </c>
      <c r="D2332" s="22" t="s">
        <v>57</v>
      </c>
      <c r="E2332" s="158">
        <v>3550</v>
      </c>
      <c r="F2332" s="159">
        <v>80000</v>
      </c>
      <c r="G2332" s="159">
        <v>284000000</v>
      </c>
      <c r="H2332" s="159">
        <v>25560000</v>
      </c>
      <c r="I2332" s="159">
        <v>309560000</v>
      </c>
      <c r="J2332" s="159" t="e">
        <f>bargiri[[#This Row],[مقدار]]*INDEX(invoice[پیش دریافت به ازای هر کیلوگرم],MATCH(bargiri[[#This Row],[شماره سند مبنا]],invoice[شماره پیش فاکتور],0))</f>
        <v>#N/A</v>
      </c>
      <c r="K2332" s="159" t="e">
        <f>bargiri[[#This Row],[مبلغ خالص]]-bargiri[[#This Row],[میزان استهلاک پیش دریافتی]]</f>
        <v>#N/A</v>
      </c>
      <c r="L2332" s="160"/>
      <c r="M2332" s="159"/>
      <c r="N2332" s="159" t="e">
        <f>IF(bargiri[[#This Row],[مبلغ واریزی]]&lt;&gt;"",bargiri[[#This Row],[مانده مبلغ]]-bargiri[[#This Row],[مبلغ واریزی]],bargiri[[#This Row],[مانده مبلغ]])</f>
        <v>#N/A</v>
      </c>
      <c r="O2332" s="159"/>
      <c r="P2332" s="159" t="e">
        <f>VLOOKUP(bargiri[[#This Row],[شماره سند مبنا]],invoice[[شماره پیش فاکتور]:[پیش دریافت به ازای هر کیلوگرم]],14,0)</f>
        <v>#N/A</v>
      </c>
      <c r="Q2332" s="159" t="e">
        <f>IF(bargiri[[#This Row],[مبلغ ناخالص]]-(bargiri[[#This Row],[نرخ استهلاک]]*bargiri[[#This Row],[مقدار]])&lt;0,0,bargiri[[#This Row],[مبلغ ناخالص]]-(bargiri[[#This Row],[نرخ استهلاک]]*bargiri[[#This Row],[مقدار]]))</f>
        <v>#N/A</v>
      </c>
    </row>
    <row r="2333" spans="1:17" s="22" customFormat="1" ht="13.8" x14ac:dyDescent="0.25">
      <c r="A2333" s="22">
        <v>508</v>
      </c>
      <c r="B2333" s="22" t="s">
        <v>58</v>
      </c>
      <c r="C2333" s="22" t="s">
        <v>59</v>
      </c>
      <c r="D2333" s="22" t="s">
        <v>57</v>
      </c>
      <c r="E2333" s="158">
        <v>6335</v>
      </c>
      <c r="F2333" s="159">
        <v>80000</v>
      </c>
      <c r="G2333" s="159">
        <v>506800000</v>
      </c>
      <c r="H2333" s="159">
        <v>45612000</v>
      </c>
      <c r="I2333" s="159">
        <v>552412000</v>
      </c>
      <c r="J2333" s="159" t="e">
        <f>bargiri[[#This Row],[مقدار]]*INDEX(invoice[پیش دریافت به ازای هر کیلوگرم],MATCH(bargiri[[#This Row],[شماره سند مبنا]],invoice[شماره پیش فاکتور],0))</f>
        <v>#N/A</v>
      </c>
      <c r="K2333" s="159" t="e">
        <f>bargiri[[#This Row],[مبلغ خالص]]-bargiri[[#This Row],[میزان استهلاک پیش دریافتی]]</f>
        <v>#N/A</v>
      </c>
      <c r="L2333" s="160"/>
      <c r="M2333" s="159"/>
      <c r="N2333" s="159" t="e">
        <f>IF(bargiri[[#This Row],[مبلغ واریزی]]&lt;&gt;"",bargiri[[#This Row],[مانده مبلغ]]-bargiri[[#This Row],[مبلغ واریزی]],bargiri[[#This Row],[مانده مبلغ]])</f>
        <v>#N/A</v>
      </c>
      <c r="O2333" s="159"/>
      <c r="P2333" s="159" t="e">
        <f>VLOOKUP(bargiri[[#This Row],[شماره سند مبنا]],invoice[[شماره پیش فاکتور]:[پیش دریافت به ازای هر کیلوگرم]],14,0)</f>
        <v>#N/A</v>
      </c>
      <c r="Q2333" s="159" t="e">
        <f>IF(bargiri[[#This Row],[مبلغ ناخالص]]-(bargiri[[#This Row],[نرخ استهلاک]]*bargiri[[#This Row],[مقدار]])&lt;0,0,bargiri[[#This Row],[مبلغ ناخالص]]-(bargiri[[#This Row],[نرخ استهلاک]]*bargiri[[#This Row],[مقدار]]))</f>
        <v>#N/A</v>
      </c>
    </row>
    <row r="2334" spans="1:17" s="22" customFormat="1" ht="13.8" x14ac:dyDescent="0.25">
      <c r="A2334" s="22">
        <v>507</v>
      </c>
      <c r="B2334" s="22" t="s">
        <v>550</v>
      </c>
      <c r="C2334" s="22" t="s">
        <v>81</v>
      </c>
      <c r="D2334" s="22" t="s">
        <v>35</v>
      </c>
      <c r="E2334" s="158">
        <v>7010</v>
      </c>
      <c r="F2334" s="159">
        <v>70000</v>
      </c>
      <c r="G2334" s="159">
        <v>490700000</v>
      </c>
      <c r="H2334" s="159">
        <v>49070000</v>
      </c>
      <c r="I2334" s="159">
        <v>539770000</v>
      </c>
      <c r="J2334" s="159" t="e">
        <f>bargiri[[#This Row],[مقدار]]*INDEX(invoice[پیش دریافت به ازای هر کیلوگرم],MATCH(bargiri[[#This Row],[شماره سند مبنا]],invoice[شماره پیش فاکتور],0))</f>
        <v>#N/A</v>
      </c>
      <c r="K2334" s="159" t="e">
        <f>bargiri[[#This Row],[مبلغ خالص]]-bargiri[[#This Row],[میزان استهلاک پیش دریافتی]]</f>
        <v>#N/A</v>
      </c>
      <c r="L2334" s="160"/>
      <c r="M2334" s="159"/>
      <c r="N2334" s="159" t="e">
        <f>IF(bargiri[[#This Row],[مبلغ واریزی]]&lt;&gt;"",bargiri[[#This Row],[مانده مبلغ]]-bargiri[[#This Row],[مبلغ واریزی]],bargiri[[#This Row],[مانده مبلغ]])</f>
        <v>#N/A</v>
      </c>
      <c r="O2334" s="159"/>
      <c r="P2334" s="159" t="e">
        <f>VLOOKUP(bargiri[[#This Row],[شماره سند مبنا]],invoice[[شماره پیش فاکتور]:[پیش دریافت به ازای هر کیلوگرم]],14,0)</f>
        <v>#N/A</v>
      </c>
      <c r="Q2334" s="159" t="e">
        <f>IF(bargiri[[#This Row],[مبلغ ناخالص]]-(bargiri[[#This Row],[نرخ استهلاک]]*bargiri[[#This Row],[مقدار]])&lt;0,0,bargiri[[#This Row],[مبلغ ناخالص]]-(bargiri[[#This Row],[نرخ استهلاک]]*bargiri[[#This Row],[مقدار]]))</f>
        <v>#N/A</v>
      </c>
    </row>
    <row r="2335" spans="1:17" s="22" customFormat="1" ht="13.8" x14ac:dyDescent="0.25">
      <c r="A2335" s="22">
        <v>506</v>
      </c>
      <c r="B2335" s="22" t="s">
        <v>551</v>
      </c>
      <c r="C2335" s="22" t="s">
        <v>81</v>
      </c>
      <c r="D2335" s="22" t="s">
        <v>35</v>
      </c>
      <c r="E2335" s="158">
        <v>7780</v>
      </c>
      <c r="F2335" s="159">
        <v>70000</v>
      </c>
      <c r="G2335" s="159">
        <v>544600000</v>
      </c>
      <c r="H2335" s="159">
        <v>54460000</v>
      </c>
      <c r="I2335" s="159">
        <v>599060000</v>
      </c>
      <c r="J2335" s="159" t="e">
        <f>bargiri[[#This Row],[مقدار]]*INDEX(invoice[پیش دریافت به ازای هر کیلوگرم],MATCH(bargiri[[#This Row],[شماره سند مبنا]],invoice[شماره پیش فاکتور],0))</f>
        <v>#N/A</v>
      </c>
      <c r="K2335" s="159" t="e">
        <f>bargiri[[#This Row],[مبلغ خالص]]-bargiri[[#This Row],[میزان استهلاک پیش دریافتی]]</f>
        <v>#N/A</v>
      </c>
      <c r="L2335" s="160"/>
      <c r="M2335" s="159"/>
      <c r="N2335" s="159" t="e">
        <f>IF(bargiri[[#This Row],[مبلغ واریزی]]&lt;&gt;"",bargiri[[#This Row],[مانده مبلغ]]-bargiri[[#This Row],[مبلغ واریزی]],bargiri[[#This Row],[مانده مبلغ]])</f>
        <v>#N/A</v>
      </c>
      <c r="O2335" s="159"/>
      <c r="P2335" s="159" t="e">
        <f>VLOOKUP(bargiri[[#This Row],[شماره سند مبنا]],invoice[[شماره پیش فاکتور]:[پیش دریافت به ازای هر کیلوگرم]],14,0)</f>
        <v>#N/A</v>
      </c>
      <c r="Q2335" s="159" t="e">
        <f>IF(bargiri[[#This Row],[مبلغ ناخالص]]-(bargiri[[#This Row],[نرخ استهلاک]]*bargiri[[#This Row],[مقدار]])&lt;0,0,bargiri[[#This Row],[مبلغ ناخالص]]-(bargiri[[#This Row],[نرخ استهلاک]]*bargiri[[#This Row],[مقدار]]))</f>
        <v>#N/A</v>
      </c>
    </row>
    <row r="2336" spans="1:17" s="22" customFormat="1" ht="13.8" x14ac:dyDescent="0.25">
      <c r="A2336" s="22">
        <v>505</v>
      </c>
      <c r="B2336" s="22" t="s">
        <v>58</v>
      </c>
      <c r="C2336" s="22" t="s">
        <v>19</v>
      </c>
      <c r="D2336" s="22" t="s">
        <v>20</v>
      </c>
      <c r="E2336" s="158">
        <v>18225</v>
      </c>
      <c r="F2336" s="159">
        <v>65000</v>
      </c>
      <c r="G2336" s="159">
        <v>1184625000</v>
      </c>
      <c r="H2336" s="159">
        <v>106616250</v>
      </c>
      <c r="I2336" s="159">
        <v>1291241250</v>
      </c>
      <c r="J2336" s="159" t="e">
        <f>bargiri[[#This Row],[مقدار]]*INDEX(invoice[پیش دریافت به ازای هر کیلوگرم],MATCH(bargiri[[#This Row],[شماره سند مبنا]],invoice[شماره پیش فاکتور],0))</f>
        <v>#N/A</v>
      </c>
      <c r="K2336" s="159" t="e">
        <f>bargiri[[#This Row],[مبلغ خالص]]-bargiri[[#This Row],[میزان استهلاک پیش دریافتی]]</f>
        <v>#N/A</v>
      </c>
      <c r="L2336" s="160"/>
      <c r="M2336" s="159"/>
      <c r="N2336" s="159" t="e">
        <f>IF(bargiri[[#This Row],[مبلغ واریزی]]&lt;&gt;"",bargiri[[#This Row],[مانده مبلغ]]-bargiri[[#This Row],[مبلغ واریزی]],bargiri[[#This Row],[مانده مبلغ]])</f>
        <v>#N/A</v>
      </c>
      <c r="O2336" s="159"/>
      <c r="P2336" s="159" t="e">
        <f>VLOOKUP(bargiri[[#This Row],[شماره سند مبنا]],invoice[[شماره پیش فاکتور]:[پیش دریافت به ازای هر کیلوگرم]],14,0)</f>
        <v>#N/A</v>
      </c>
      <c r="Q2336" s="159" t="e">
        <f>IF(bargiri[[#This Row],[مبلغ ناخالص]]-(bargiri[[#This Row],[نرخ استهلاک]]*bargiri[[#This Row],[مقدار]])&lt;0,0,bargiri[[#This Row],[مبلغ ناخالص]]-(bargiri[[#This Row],[نرخ استهلاک]]*bargiri[[#This Row],[مقدار]]))</f>
        <v>#N/A</v>
      </c>
    </row>
    <row r="2337" spans="1:17" s="22" customFormat="1" ht="13.8" x14ac:dyDescent="0.25">
      <c r="A2337" s="22">
        <v>504</v>
      </c>
      <c r="B2337" s="22" t="s">
        <v>552</v>
      </c>
      <c r="C2337" s="22" t="s">
        <v>84</v>
      </c>
      <c r="D2337" s="22" t="s">
        <v>51</v>
      </c>
      <c r="E2337" s="158">
        <v>20005</v>
      </c>
      <c r="F2337" s="159">
        <v>70000</v>
      </c>
      <c r="G2337" s="159">
        <v>1400350000</v>
      </c>
      <c r="H2337" s="159">
        <v>140035000</v>
      </c>
      <c r="I2337" s="159">
        <v>1540385000</v>
      </c>
      <c r="J2337" s="159" t="e">
        <f>bargiri[[#This Row],[مقدار]]*INDEX(invoice[پیش دریافت به ازای هر کیلوگرم],MATCH(bargiri[[#This Row],[شماره سند مبنا]],invoice[شماره پیش فاکتور],0))</f>
        <v>#N/A</v>
      </c>
      <c r="K2337" s="159" t="e">
        <f>bargiri[[#This Row],[مبلغ خالص]]-bargiri[[#This Row],[میزان استهلاک پیش دریافتی]]</f>
        <v>#N/A</v>
      </c>
      <c r="L2337" s="160"/>
      <c r="M2337" s="159"/>
      <c r="N2337" s="159" t="e">
        <f>IF(bargiri[[#This Row],[مبلغ واریزی]]&lt;&gt;"",bargiri[[#This Row],[مانده مبلغ]]-bargiri[[#This Row],[مبلغ واریزی]],bargiri[[#This Row],[مانده مبلغ]])</f>
        <v>#N/A</v>
      </c>
      <c r="O2337" s="159"/>
      <c r="P2337" s="159" t="e">
        <f>VLOOKUP(bargiri[[#This Row],[شماره سند مبنا]],invoice[[شماره پیش فاکتور]:[پیش دریافت به ازای هر کیلوگرم]],14,0)</f>
        <v>#N/A</v>
      </c>
      <c r="Q2337" s="159" t="e">
        <f>IF(bargiri[[#This Row],[مبلغ ناخالص]]-(bargiri[[#This Row],[نرخ استهلاک]]*bargiri[[#This Row],[مقدار]])&lt;0,0,bargiri[[#This Row],[مبلغ ناخالص]]-(bargiri[[#This Row],[نرخ استهلاک]]*bargiri[[#This Row],[مقدار]]))</f>
        <v>#N/A</v>
      </c>
    </row>
    <row r="2338" spans="1:17" s="22" customFormat="1" ht="13.8" x14ac:dyDescent="0.25">
      <c r="A2338" s="22">
        <v>503</v>
      </c>
      <c r="B2338" s="22" t="s">
        <v>552</v>
      </c>
      <c r="C2338" s="22" t="s">
        <v>66</v>
      </c>
      <c r="D2338" s="22" t="s">
        <v>67</v>
      </c>
      <c r="E2338" s="158">
        <v>20080</v>
      </c>
      <c r="F2338" s="159">
        <v>68500</v>
      </c>
      <c r="G2338" s="159">
        <v>1375480000</v>
      </c>
      <c r="H2338" s="159">
        <v>123793200</v>
      </c>
      <c r="I2338" s="159">
        <v>1499273200</v>
      </c>
      <c r="J2338" s="159" t="e">
        <f>bargiri[[#This Row],[مقدار]]*INDEX(invoice[پیش دریافت به ازای هر کیلوگرم],MATCH(bargiri[[#This Row],[شماره سند مبنا]],invoice[شماره پیش فاکتور],0))</f>
        <v>#N/A</v>
      </c>
      <c r="K2338" s="159" t="e">
        <f>bargiri[[#This Row],[مبلغ خالص]]-bargiri[[#This Row],[میزان استهلاک پیش دریافتی]]</f>
        <v>#N/A</v>
      </c>
      <c r="L2338" s="160"/>
      <c r="M2338" s="159"/>
      <c r="N2338" s="159" t="e">
        <f>IF(bargiri[[#This Row],[مبلغ واریزی]]&lt;&gt;"",bargiri[[#This Row],[مانده مبلغ]]-bargiri[[#This Row],[مبلغ واریزی]],bargiri[[#This Row],[مانده مبلغ]])</f>
        <v>#N/A</v>
      </c>
      <c r="O2338" s="159"/>
      <c r="P2338" s="159" t="e">
        <f>VLOOKUP(bargiri[[#This Row],[شماره سند مبنا]],invoice[[شماره پیش فاکتور]:[پیش دریافت به ازای هر کیلوگرم]],14,0)</f>
        <v>#N/A</v>
      </c>
      <c r="Q2338" s="159" t="e">
        <f>IF(bargiri[[#This Row],[مبلغ ناخالص]]-(bargiri[[#This Row],[نرخ استهلاک]]*bargiri[[#This Row],[مقدار]])&lt;0,0,bargiri[[#This Row],[مبلغ ناخالص]]-(bargiri[[#This Row],[نرخ استهلاک]]*bargiri[[#This Row],[مقدار]]))</f>
        <v>#N/A</v>
      </c>
    </row>
    <row r="2339" spans="1:17" s="22" customFormat="1" ht="13.8" x14ac:dyDescent="0.25">
      <c r="A2339" s="22">
        <v>502</v>
      </c>
      <c r="B2339" s="22" t="s">
        <v>552</v>
      </c>
      <c r="C2339" s="22" t="s">
        <v>16</v>
      </c>
      <c r="D2339" s="22" t="s">
        <v>17</v>
      </c>
      <c r="E2339" s="158">
        <v>20245</v>
      </c>
      <c r="F2339" s="159">
        <v>77000</v>
      </c>
      <c r="G2339" s="159">
        <v>1558865000</v>
      </c>
      <c r="H2339" s="159">
        <v>140297850</v>
      </c>
      <c r="I2339" s="159">
        <v>1699162850</v>
      </c>
      <c r="J2339" s="159" t="e">
        <f>bargiri[[#This Row],[مقدار]]*INDEX(invoice[پیش دریافت به ازای هر کیلوگرم],MATCH(bargiri[[#This Row],[شماره سند مبنا]],invoice[شماره پیش فاکتور],0))</f>
        <v>#N/A</v>
      </c>
      <c r="K2339" s="159" t="e">
        <f>bargiri[[#This Row],[مبلغ خالص]]-bargiri[[#This Row],[میزان استهلاک پیش دریافتی]]</f>
        <v>#N/A</v>
      </c>
      <c r="L2339" s="160"/>
      <c r="M2339" s="159"/>
      <c r="N2339" s="159" t="e">
        <f>IF(bargiri[[#This Row],[مبلغ واریزی]]&lt;&gt;"",bargiri[[#This Row],[مانده مبلغ]]-bargiri[[#This Row],[مبلغ واریزی]],bargiri[[#This Row],[مانده مبلغ]])</f>
        <v>#N/A</v>
      </c>
      <c r="O2339" s="159"/>
      <c r="P2339" s="159" t="e">
        <f>VLOOKUP(bargiri[[#This Row],[شماره سند مبنا]],invoice[[شماره پیش فاکتور]:[پیش دریافت به ازای هر کیلوگرم]],14,0)</f>
        <v>#N/A</v>
      </c>
      <c r="Q2339" s="159" t="e">
        <f>IF(bargiri[[#This Row],[مبلغ ناخالص]]-(bargiri[[#This Row],[نرخ استهلاک]]*bargiri[[#This Row],[مقدار]])&lt;0,0,bargiri[[#This Row],[مبلغ ناخالص]]-(bargiri[[#This Row],[نرخ استهلاک]]*bargiri[[#This Row],[مقدار]]))</f>
        <v>#N/A</v>
      </c>
    </row>
    <row r="2340" spans="1:17" s="22" customFormat="1" ht="13.8" x14ac:dyDescent="0.25">
      <c r="A2340" s="22">
        <v>501</v>
      </c>
      <c r="B2340" s="22" t="s">
        <v>552</v>
      </c>
      <c r="C2340" s="22" t="s">
        <v>19</v>
      </c>
      <c r="D2340" s="22" t="s">
        <v>20</v>
      </c>
      <c r="E2340" s="158">
        <v>17930</v>
      </c>
      <c r="F2340" s="159">
        <v>65000</v>
      </c>
      <c r="G2340" s="159">
        <v>1165450000</v>
      </c>
      <c r="H2340" s="159">
        <v>104890500</v>
      </c>
      <c r="I2340" s="159">
        <v>1270340500</v>
      </c>
      <c r="J2340" s="159" t="e">
        <f>bargiri[[#This Row],[مقدار]]*INDEX(invoice[پیش دریافت به ازای هر کیلوگرم],MATCH(bargiri[[#This Row],[شماره سند مبنا]],invoice[شماره پیش فاکتور],0))</f>
        <v>#N/A</v>
      </c>
      <c r="K2340" s="159" t="e">
        <f>bargiri[[#This Row],[مبلغ خالص]]-bargiri[[#This Row],[میزان استهلاک پیش دریافتی]]</f>
        <v>#N/A</v>
      </c>
      <c r="L2340" s="160"/>
      <c r="M2340" s="159"/>
      <c r="N2340" s="159" t="e">
        <f>IF(bargiri[[#This Row],[مبلغ واریزی]]&lt;&gt;"",bargiri[[#This Row],[مانده مبلغ]]-bargiri[[#This Row],[مبلغ واریزی]],bargiri[[#This Row],[مانده مبلغ]])</f>
        <v>#N/A</v>
      </c>
      <c r="O2340" s="159"/>
      <c r="P2340" s="159" t="e">
        <f>VLOOKUP(bargiri[[#This Row],[شماره سند مبنا]],invoice[[شماره پیش فاکتور]:[پیش دریافت به ازای هر کیلوگرم]],14,0)</f>
        <v>#N/A</v>
      </c>
      <c r="Q2340" s="159" t="e">
        <f>IF(bargiri[[#This Row],[مبلغ ناخالص]]-(bargiri[[#This Row],[نرخ استهلاک]]*bargiri[[#This Row],[مقدار]])&lt;0,0,bargiri[[#This Row],[مبلغ ناخالص]]-(bargiri[[#This Row],[نرخ استهلاک]]*bargiri[[#This Row],[مقدار]]))</f>
        <v>#N/A</v>
      </c>
    </row>
    <row r="2341" spans="1:17" s="22" customFormat="1" ht="13.8" x14ac:dyDescent="0.25">
      <c r="A2341" s="22">
        <v>500</v>
      </c>
      <c r="B2341" s="22" t="s">
        <v>550</v>
      </c>
      <c r="C2341" s="22" t="s">
        <v>99</v>
      </c>
      <c r="D2341" s="22" t="s">
        <v>64</v>
      </c>
      <c r="E2341" s="158">
        <v>7080</v>
      </c>
      <c r="F2341" s="159">
        <v>75000</v>
      </c>
      <c r="G2341" s="159">
        <v>531000000</v>
      </c>
      <c r="H2341" s="159">
        <v>53100000</v>
      </c>
      <c r="I2341" s="159">
        <v>584100000</v>
      </c>
      <c r="J2341" s="159" t="e">
        <f>bargiri[[#This Row],[مقدار]]*INDEX(invoice[پیش دریافت به ازای هر کیلوگرم],MATCH(bargiri[[#This Row],[شماره سند مبنا]],invoice[شماره پیش فاکتور],0))</f>
        <v>#N/A</v>
      </c>
      <c r="K2341" s="159" t="e">
        <f>bargiri[[#This Row],[مبلغ خالص]]-bargiri[[#This Row],[میزان استهلاک پیش دریافتی]]</f>
        <v>#N/A</v>
      </c>
      <c r="L2341" s="160"/>
      <c r="M2341" s="159"/>
      <c r="N2341" s="159" t="e">
        <f>IF(bargiri[[#This Row],[مبلغ واریزی]]&lt;&gt;"",bargiri[[#This Row],[مانده مبلغ]]-bargiri[[#This Row],[مبلغ واریزی]],bargiri[[#This Row],[مانده مبلغ]])</f>
        <v>#N/A</v>
      </c>
      <c r="O2341" s="159"/>
      <c r="P2341" s="159" t="e">
        <f>VLOOKUP(bargiri[[#This Row],[شماره سند مبنا]],invoice[[شماره پیش فاکتور]:[پیش دریافت به ازای هر کیلوگرم]],14,0)</f>
        <v>#N/A</v>
      </c>
      <c r="Q2341" s="159" t="e">
        <f>IF(bargiri[[#This Row],[مبلغ ناخالص]]-(bargiri[[#This Row],[نرخ استهلاک]]*bargiri[[#This Row],[مقدار]])&lt;0,0,bargiri[[#This Row],[مبلغ ناخالص]]-(bargiri[[#This Row],[نرخ استهلاک]]*bargiri[[#This Row],[مقدار]]))</f>
        <v>#N/A</v>
      </c>
    </row>
    <row r="2342" spans="1:17" s="22" customFormat="1" ht="13.8" x14ac:dyDescent="0.25">
      <c r="A2342" s="22">
        <v>499</v>
      </c>
      <c r="B2342" s="22" t="s">
        <v>550</v>
      </c>
      <c r="C2342" s="22" t="s">
        <v>97</v>
      </c>
      <c r="D2342" s="22" t="s">
        <v>40</v>
      </c>
      <c r="E2342" s="158">
        <v>17075</v>
      </c>
      <c r="F2342" s="159">
        <v>85000</v>
      </c>
      <c r="G2342" s="159">
        <v>1451375000</v>
      </c>
      <c r="H2342" s="159">
        <v>145137500</v>
      </c>
      <c r="I2342" s="159">
        <v>1596512500</v>
      </c>
      <c r="J2342" s="159" t="e">
        <f>bargiri[[#This Row],[مقدار]]*INDEX(invoice[پیش دریافت به ازای هر کیلوگرم],MATCH(bargiri[[#This Row],[شماره سند مبنا]],invoice[شماره پیش فاکتور],0))</f>
        <v>#N/A</v>
      </c>
      <c r="K2342" s="159" t="e">
        <f>bargiri[[#This Row],[مبلغ خالص]]-bargiri[[#This Row],[میزان استهلاک پیش دریافتی]]</f>
        <v>#N/A</v>
      </c>
      <c r="L2342" s="160"/>
      <c r="M2342" s="159"/>
      <c r="N2342" s="159" t="e">
        <f>IF(bargiri[[#This Row],[مبلغ واریزی]]&lt;&gt;"",bargiri[[#This Row],[مانده مبلغ]]-bargiri[[#This Row],[مبلغ واریزی]],bargiri[[#This Row],[مانده مبلغ]])</f>
        <v>#N/A</v>
      </c>
      <c r="O2342" s="159"/>
      <c r="P2342" s="159" t="e">
        <f>VLOOKUP(bargiri[[#This Row],[شماره سند مبنا]],invoice[[شماره پیش فاکتور]:[پیش دریافت به ازای هر کیلوگرم]],14,0)</f>
        <v>#N/A</v>
      </c>
      <c r="Q2342" s="159" t="e">
        <f>IF(bargiri[[#This Row],[مبلغ ناخالص]]-(bargiri[[#This Row],[نرخ استهلاک]]*bargiri[[#This Row],[مقدار]])&lt;0,0,bargiri[[#This Row],[مبلغ ناخالص]]-(bargiri[[#This Row],[نرخ استهلاک]]*bargiri[[#This Row],[مقدار]]))</f>
        <v>#N/A</v>
      </c>
    </row>
    <row r="2343" spans="1:17" s="22" customFormat="1" ht="13.8" x14ac:dyDescent="0.25">
      <c r="A2343" s="22">
        <v>498</v>
      </c>
      <c r="B2343" s="22" t="s">
        <v>550</v>
      </c>
      <c r="C2343" s="22" t="s">
        <v>24</v>
      </c>
      <c r="D2343" s="22" t="s">
        <v>25</v>
      </c>
      <c r="E2343" s="158">
        <v>10010</v>
      </c>
      <c r="F2343" s="159">
        <v>68000</v>
      </c>
      <c r="G2343" s="159">
        <v>680680000</v>
      </c>
      <c r="H2343" s="159">
        <v>61261200</v>
      </c>
      <c r="I2343" s="159">
        <v>741941200</v>
      </c>
      <c r="J2343" s="159" t="e">
        <f>bargiri[[#This Row],[مقدار]]*INDEX(invoice[پیش دریافت به ازای هر کیلوگرم],MATCH(bargiri[[#This Row],[شماره سند مبنا]],invoice[شماره پیش فاکتور],0))</f>
        <v>#N/A</v>
      </c>
      <c r="K2343" s="159" t="e">
        <f>bargiri[[#This Row],[مبلغ خالص]]-bargiri[[#This Row],[میزان استهلاک پیش دریافتی]]</f>
        <v>#N/A</v>
      </c>
      <c r="L2343" s="160"/>
      <c r="M2343" s="159"/>
      <c r="N2343" s="159" t="e">
        <f>IF(bargiri[[#This Row],[مبلغ واریزی]]&lt;&gt;"",bargiri[[#This Row],[مانده مبلغ]]-bargiri[[#This Row],[مبلغ واریزی]],bargiri[[#This Row],[مانده مبلغ]])</f>
        <v>#N/A</v>
      </c>
      <c r="O2343" s="159"/>
      <c r="P2343" s="159" t="e">
        <f>VLOOKUP(bargiri[[#This Row],[شماره سند مبنا]],invoice[[شماره پیش فاکتور]:[پیش دریافت به ازای هر کیلوگرم]],14,0)</f>
        <v>#N/A</v>
      </c>
      <c r="Q2343" s="159" t="e">
        <f>IF(bargiri[[#This Row],[مبلغ ناخالص]]-(bargiri[[#This Row],[نرخ استهلاک]]*bargiri[[#This Row],[مقدار]])&lt;0,0,bargiri[[#This Row],[مبلغ ناخالص]]-(bargiri[[#This Row],[نرخ استهلاک]]*bargiri[[#This Row],[مقدار]]))</f>
        <v>#N/A</v>
      </c>
    </row>
    <row r="2344" spans="1:17" s="22" customFormat="1" ht="13.8" x14ac:dyDescent="0.25">
      <c r="A2344" s="22">
        <v>497</v>
      </c>
      <c r="B2344" s="22" t="s">
        <v>550</v>
      </c>
      <c r="C2344" s="22" t="s">
        <v>29</v>
      </c>
      <c r="D2344" s="22" t="s">
        <v>30</v>
      </c>
      <c r="E2344" s="158">
        <v>9680</v>
      </c>
      <c r="F2344" s="159">
        <v>70000</v>
      </c>
      <c r="G2344" s="159">
        <v>677600000</v>
      </c>
      <c r="H2344" s="159">
        <v>67760000</v>
      </c>
      <c r="I2344" s="159">
        <v>745360000</v>
      </c>
      <c r="J2344" s="159" t="e">
        <f>bargiri[[#This Row],[مقدار]]*INDEX(invoice[پیش دریافت به ازای هر کیلوگرم],MATCH(bargiri[[#This Row],[شماره سند مبنا]],invoice[شماره پیش فاکتور],0))</f>
        <v>#N/A</v>
      </c>
      <c r="K2344" s="159" t="e">
        <f>bargiri[[#This Row],[مبلغ خالص]]-bargiri[[#This Row],[میزان استهلاک پیش دریافتی]]</f>
        <v>#N/A</v>
      </c>
      <c r="L2344" s="160"/>
      <c r="M2344" s="159"/>
      <c r="N2344" s="159" t="e">
        <f>IF(bargiri[[#This Row],[مبلغ واریزی]]&lt;&gt;"",bargiri[[#This Row],[مانده مبلغ]]-bargiri[[#This Row],[مبلغ واریزی]],bargiri[[#This Row],[مانده مبلغ]])</f>
        <v>#N/A</v>
      </c>
      <c r="O2344" s="159"/>
      <c r="P2344" s="159" t="e">
        <f>VLOOKUP(bargiri[[#This Row],[شماره سند مبنا]],invoice[[شماره پیش فاکتور]:[پیش دریافت به ازای هر کیلوگرم]],14,0)</f>
        <v>#N/A</v>
      </c>
      <c r="Q2344" s="159" t="e">
        <f>IF(bargiri[[#This Row],[مبلغ ناخالص]]-(bargiri[[#This Row],[نرخ استهلاک]]*bargiri[[#This Row],[مقدار]])&lt;0,0,bargiri[[#This Row],[مبلغ ناخالص]]-(bargiri[[#This Row],[نرخ استهلاک]]*bargiri[[#This Row],[مقدار]]))</f>
        <v>#N/A</v>
      </c>
    </row>
    <row r="2345" spans="1:17" s="22" customFormat="1" ht="13.8" x14ac:dyDescent="0.25">
      <c r="A2345" s="22">
        <v>496</v>
      </c>
      <c r="B2345" s="22" t="s">
        <v>550</v>
      </c>
      <c r="C2345" s="22" t="s">
        <v>69</v>
      </c>
      <c r="D2345" s="22" t="s">
        <v>70</v>
      </c>
      <c r="E2345" s="158">
        <v>17975</v>
      </c>
      <c r="F2345" s="159">
        <v>70000</v>
      </c>
      <c r="G2345" s="159">
        <v>1258250000</v>
      </c>
      <c r="H2345" s="159">
        <v>113242500</v>
      </c>
      <c r="I2345" s="159">
        <v>1371492500</v>
      </c>
      <c r="J2345" s="159" t="e">
        <f>bargiri[[#This Row],[مقدار]]*INDEX(invoice[پیش دریافت به ازای هر کیلوگرم],MATCH(bargiri[[#This Row],[شماره سند مبنا]],invoice[شماره پیش فاکتور],0))</f>
        <v>#N/A</v>
      </c>
      <c r="K2345" s="159" t="e">
        <f>bargiri[[#This Row],[مبلغ خالص]]-bargiri[[#This Row],[میزان استهلاک پیش دریافتی]]</f>
        <v>#N/A</v>
      </c>
      <c r="L2345" s="160"/>
      <c r="M2345" s="159"/>
      <c r="N2345" s="159" t="e">
        <f>IF(bargiri[[#This Row],[مبلغ واریزی]]&lt;&gt;"",bargiri[[#This Row],[مانده مبلغ]]-bargiri[[#This Row],[مبلغ واریزی]],bargiri[[#This Row],[مانده مبلغ]])</f>
        <v>#N/A</v>
      </c>
      <c r="O2345" s="159"/>
      <c r="P2345" s="159" t="e">
        <f>VLOOKUP(bargiri[[#This Row],[شماره سند مبنا]],invoice[[شماره پیش فاکتور]:[پیش دریافت به ازای هر کیلوگرم]],14,0)</f>
        <v>#N/A</v>
      </c>
      <c r="Q2345" s="159" t="e">
        <f>IF(bargiri[[#This Row],[مبلغ ناخالص]]-(bargiri[[#This Row],[نرخ استهلاک]]*bargiri[[#This Row],[مقدار]])&lt;0,0,bargiri[[#This Row],[مبلغ ناخالص]]-(bargiri[[#This Row],[نرخ استهلاک]]*bargiri[[#This Row],[مقدار]]))</f>
        <v>#N/A</v>
      </c>
    </row>
    <row r="2346" spans="1:17" s="22" customFormat="1" ht="13.8" x14ac:dyDescent="0.25">
      <c r="A2346" s="22">
        <v>495</v>
      </c>
      <c r="B2346" s="22" t="s">
        <v>100</v>
      </c>
      <c r="C2346" s="22" t="s">
        <v>81</v>
      </c>
      <c r="D2346" s="22" t="s">
        <v>35</v>
      </c>
      <c r="E2346" s="158">
        <v>7820</v>
      </c>
      <c r="F2346" s="159">
        <v>70000</v>
      </c>
      <c r="G2346" s="159">
        <v>547400000</v>
      </c>
      <c r="H2346" s="159">
        <v>54740000</v>
      </c>
      <c r="I2346" s="159">
        <v>602140000</v>
      </c>
      <c r="J2346" s="159" t="e">
        <f>bargiri[[#This Row],[مقدار]]*INDEX(invoice[پیش دریافت به ازای هر کیلوگرم],MATCH(bargiri[[#This Row],[شماره سند مبنا]],invoice[شماره پیش فاکتور],0))</f>
        <v>#N/A</v>
      </c>
      <c r="K2346" s="159" t="e">
        <f>bargiri[[#This Row],[مبلغ خالص]]-bargiri[[#This Row],[میزان استهلاک پیش دریافتی]]</f>
        <v>#N/A</v>
      </c>
      <c r="L2346" s="160"/>
      <c r="M2346" s="159"/>
      <c r="N2346" s="159" t="e">
        <f>IF(bargiri[[#This Row],[مبلغ واریزی]]&lt;&gt;"",bargiri[[#This Row],[مانده مبلغ]]-bargiri[[#This Row],[مبلغ واریزی]],bargiri[[#This Row],[مانده مبلغ]])</f>
        <v>#N/A</v>
      </c>
      <c r="O2346" s="159"/>
      <c r="P2346" s="159" t="e">
        <f>VLOOKUP(bargiri[[#This Row],[شماره سند مبنا]],invoice[[شماره پیش فاکتور]:[پیش دریافت به ازای هر کیلوگرم]],14,0)</f>
        <v>#N/A</v>
      </c>
      <c r="Q2346" s="159" t="e">
        <f>IF(bargiri[[#This Row],[مبلغ ناخالص]]-(bargiri[[#This Row],[نرخ استهلاک]]*bargiri[[#This Row],[مقدار]])&lt;0,0,bargiri[[#This Row],[مبلغ ناخالص]]-(bargiri[[#This Row],[نرخ استهلاک]]*bargiri[[#This Row],[مقدار]]))</f>
        <v>#N/A</v>
      </c>
    </row>
    <row r="2347" spans="1:17" s="22" customFormat="1" ht="13.8" x14ac:dyDescent="0.25">
      <c r="A2347" s="22">
        <v>494</v>
      </c>
      <c r="B2347" s="22" t="s">
        <v>553</v>
      </c>
      <c r="C2347" s="22" t="s">
        <v>81</v>
      </c>
      <c r="D2347" s="22" t="s">
        <v>35</v>
      </c>
      <c r="E2347" s="158">
        <v>7880</v>
      </c>
      <c r="F2347" s="159">
        <v>70000</v>
      </c>
      <c r="G2347" s="159">
        <v>551600000</v>
      </c>
      <c r="H2347" s="159">
        <v>55160000</v>
      </c>
      <c r="I2347" s="159">
        <v>606760000</v>
      </c>
      <c r="J2347" s="159" t="e">
        <f>bargiri[[#This Row],[مقدار]]*INDEX(invoice[پیش دریافت به ازای هر کیلوگرم],MATCH(bargiri[[#This Row],[شماره سند مبنا]],invoice[شماره پیش فاکتور],0))</f>
        <v>#N/A</v>
      </c>
      <c r="K2347" s="159" t="e">
        <f>bargiri[[#This Row],[مبلغ خالص]]-bargiri[[#This Row],[میزان استهلاک پیش دریافتی]]</f>
        <v>#N/A</v>
      </c>
      <c r="L2347" s="160"/>
      <c r="M2347" s="159"/>
      <c r="N2347" s="159" t="e">
        <f>IF(bargiri[[#This Row],[مبلغ واریزی]]&lt;&gt;"",bargiri[[#This Row],[مانده مبلغ]]-bargiri[[#This Row],[مبلغ واریزی]],bargiri[[#This Row],[مانده مبلغ]])</f>
        <v>#N/A</v>
      </c>
      <c r="O2347" s="159"/>
      <c r="P2347" s="159" t="e">
        <f>VLOOKUP(bargiri[[#This Row],[شماره سند مبنا]],invoice[[شماره پیش فاکتور]:[پیش دریافت به ازای هر کیلوگرم]],14,0)</f>
        <v>#N/A</v>
      </c>
      <c r="Q2347" s="159" t="e">
        <f>IF(bargiri[[#This Row],[مبلغ ناخالص]]-(bargiri[[#This Row],[نرخ استهلاک]]*bargiri[[#This Row],[مقدار]])&lt;0,0,bargiri[[#This Row],[مبلغ ناخالص]]-(bargiri[[#This Row],[نرخ استهلاک]]*bargiri[[#This Row],[مقدار]]))</f>
        <v>#N/A</v>
      </c>
    </row>
    <row r="2348" spans="1:17" s="22" customFormat="1" ht="13.8" x14ac:dyDescent="0.25">
      <c r="A2348" s="22">
        <v>493</v>
      </c>
      <c r="B2348" s="22" t="s">
        <v>90</v>
      </c>
      <c r="C2348" s="22" t="s">
        <v>81</v>
      </c>
      <c r="D2348" s="22" t="s">
        <v>35</v>
      </c>
      <c r="E2348" s="158">
        <v>7680</v>
      </c>
      <c r="F2348" s="159">
        <v>70000</v>
      </c>
      <c r="G2348" s="159">
        <v>537600000</v>
      </c>
      <c r="H2348" s="159">
        <v>53760000</v>
      </c>
      <c r="I2348" s="159">
        <v>591360000</v>
      </c>
      <c r="J2348" s="159" t="e">
        <f>bargiri[[#This Row],[مقدار]]*INDEX(invoice[پیش دریافت به ازای هر کیلوگرم],MATCH(bargiri[[#This Row],[شماره سند مبنا]],invoice[شماره پیش فاکتور],0))</f>
        <v>#N/A</v>
      </c>
      <c r="K2348" s="159" t="e">
        <f>bargiri[[#This Row],[مبلغ خالص]]-bargiri[[#This Row],[میزان استهلاک پیش دریافتی]]</f>
        <v>#N/A</v>
      </c>
      <c r="L2348" s="160"/>
      <c r="M2348" s="159"/>
      <c r="N2348" s="159" t="e">
        <f>IF(bargiri[[#This Row],[مبلغ واریزی]]&lt;&gt;"",bargiri[[#This Row],[مانده مبلغ]]-bargiri[[#This Row],[مبلغ واریزی]],bargiri[[#This Row],[مانده مبلغ]])</f>
        <v>#N/A</v>
      </c>
      <c r="O2348" s="159"/>
      <c r="P2348" s="159" t="e">
        <f>VLOOKUP(bargiri[[#This Row],[شماره سند مبنا]],invoice[[شماره پیش فاکتور]:[پیش دریافت به ازای هر کیلوگرم]],14,0)</f>
        <v>#N/A</v>
      </c>
      <c r="Q2348" s="159" t="e">
        <f>IF(bargiri[[#This Row],[مبلغ ناخالص]]-(bargiri[[#This Row],[نرخ استهلاک]]*bargiri[[#This Row],[مقدار]])&lt;0,0,bargiri[[#This Row],[مبلغ ناخالص]]-(bargiri[[#This Row],[نرخ استهلاک]]*bargiri[[#This Row],[مقدار]]))</f>
        <v>#N/A</v>
      </c>
    </row>
    <row r="2349" spans="1:17" s="22" customFormat="1" ht="13.8" x14ac:dyDescent="0.25">
      <c r="A2349" s="22">
        <v>492</v>
      </c>
      <c r="B2349" s="22" t="s">
        <v>554</v>
      </c>
      <c r="C2349" s="22" t="s">
        <v>81</v>
      </c>
      <c r="D2349" s="22" t="s">
        <v>35</v>
      </c>
      <c r="E2349" s="158">
        <v>7600</v>
      </c>
      <c r="F2349" s="159">
        <v>70000</v>
      </c>
      <c r="G2349" s="159">
        <v>532000000</v>
      </c>
      <c r="H2349" s="159">
        <v>53200000</v>
      </c>
      <c r="I2349" s="159">
        <v>585200000</v>
      </c>
      <c r="J2349" s="159" t="e">
        <f>bargiri[[#This Row],[مقدار]]*INDEX(invoice[پیش دریافت به ازای هر کیلوگرم],MATCH(bargiri[[#This Row],[شماره سند مبنا]],invoice[شماره پیش فاکتور],0))</f>
        <v>#N/A</v>
      </c>
      <c r="K2349" s="159" t="e">
        <f>bargiri[[#This Row],[مبلغ خالص]]-bargiri[[#This Row],[میزان استهلاک پیش دریافتی]]</f>
        <v>#N/A</v>
      </c>
      <c r="L2349" s="160"/>
      <c r="M2349" s="159"/>
      <c r="N2349" s="159" t="e">
        <f>IF(bargiri[[#This Row],[مبلغ واریزی]]&lt;&gt;"",bargiri[[#This Row],[مانده مبلغ]]-bargiri[[#This Row],[مبلغ واریزی]],bargiri[[#This Row],[مانده مبلغ]])</f>
        <v>#N/A</v>
      </c>
      <c r="O2349" s="159"/>
      <c r="P2349" s="159" t="e">
        <f>VLOOKUP(bargiri[[#This Row],[شماره سند مبنا]],invoice[[شماره پیش فاکتور]:[پیش دریافت به ازای هر کیلوگرم]],14,0)</f>
        <v>#N/A</v>
      </c>
      <c r="Q2349" s="159" t="e">
        <f>IF(bargiri[[#This Row],[مبلغ ناخالص]]-(bargiri[[#This Row],[نرخ استهلاک]]*bargiri[[#This Row],[مقدار]])&lt;0,0,bargiri[[#This Row],[مبلغ ناخالص]]-(bargiri[[#This Row],[نرخ استهلاک]]*bargiri[[#This Row],[مقدار]]))</f>
        <v>#N/A</v>
      </c>
    </row>
    <row r="2350" spans="1:17" s="22" customFormat="1" ht="13.8" x14ac:dyDescent="0.25">
      <c r="A2350" s="22">
        <v>491</v>
      </c>
      <c r="B2350" s="22" t="s">
        <v>554</v>
      </c>
      <c r="C2350" s="22" t="s">
        <v>81</v>
      </c>
      <c r="D2350" s="22" t="s">
        <v>35</v>
      </c>
      <c r="E2350" s="158">
        <v>7370</v>
      </c>
      <c r="F2350" s="159">
        <v>70000</v>
      </c>
      <c r="G2350" s="159">
        <v>515900000</v>
      </c>
      <c r="H2350" s="159">
        <v>51590000</v>
      </c>
      <c r="I2350" s="159">
        <v>567490000</v>
      </c>
      <c r="J2350" s="159" t="e">
        <f>bargiri[[#This Row],[مقدار]]*INDEX(invoice[پیش دریافت به ازای هر کیلوگرم],MATCH(bargiri[[#This Row],[شماره سند مبنا]],invoice[شماره پیش فاکتور],0))</f>
        <v>#N/A</v>
      </c>
      <c r="K2350" s="159" t="e">
        <f>bargiri[[#This Row],[مبلغ خالص]]-bargiri[[#This Row],[میزان استهلاک پیش دریافتی]]</f>
        <v>#N/A</v>
      </c>
      <c r="L2350" s="160"/>
      <c r="M2350" s="159"/>
      <c r="N2350" s="159" t="e">
        <f>IF(bargiri[[#This Row],[مبلغ واریزی]]&lt;&gt;"",bargiri[[#This Row],[مانده مبلغ]]-bargiri[[#This Row],[مبلغ واریزی]],bargiri[[#This Row],[مانده مبلغ]])</f>
        <v>#N/A</v>
      </c>
      <c r="O2350" s="159"/>
      <c r="P2350" s="159" t="e">
        <f>VLOOKUP(bargiri[[#This Row],[شماره سند مبنا]],invoice[[شماره پیش فاکتور]:[پیش دریافت به ازای هر کیلوگرم]],14,0)</f>
        <v>#N/A</v>
      </c>
      <c r="Q2350" s="159" t="e">
        <f>IF(bargiri[[#This Row],[مبلغ ناخالص]]-(bargiri[[#This Row],[نرخ استهلاک]]*bargiri[[#This Row],[مقدار]])&lt;0,0,bargiri[[#This Row],[مبلغ ناخالص]]-(bargiri[[#This Row],[نرخ استهلاک]]*bargiri[[#This Row],[مقدار]]))</f>
        <v>#N/A</v>
      </c>
    </row>
    <row r="2351" spans="1:17" s="22" customFormat="1" ht="13.8" x14ac:dyDescent="0.25">
      <c r="A2351" s="22">
        <v>490</v>
      </c>
      <c r="B2351" s="22" t="s">
        <v>555</v>
      </c>
      <c r="C2351" s="22" t="s">
        <v>81</v>
      </c>
      <c r="D2351" s="22" t="s">
        <v>35</v>
      </c>
      <c r="E2351" s="158">
        <v>7480</v>
      </c>
      <c r="F2351" s="159">
        <v>70000</v>
      </c>
      <c r="G2351" s="159">
        <v>523600000</v>
      </c>
      <c r="H2351" s="159">
        <v>52360000</v>
      </c>
      <c r="I2351" s="159">
        <v>575960000</v>
      </c>
      <c r="J2351" s="159" t="e">
        <f>bargiri[[#This Row],[مقدار]]*INDEX(invoice[پیش دریافت به ازای هر کیلوگرم],MATCH(bargiri[[#This Row],[شماره سند مبنا]],invoice[شماره پیش فاکتور],0))</f>
        <v>#N/A</v>
      </c>
      <c r="K2351" s="159" t="e">
        <f>bargiri[[#This Row],[مبلغ خالص]]-bargiri[[#This Row],[میزان استهلاک پیش دریافتی]]</f>
        <v>#N/A</v>
      </c>
      <c r="L2351" s="160"/>
      <c r="M2351" s="159"/>
      <c r="N2351" s="159" t="e">
        <f>IF(bargiri[[#This Row],[مبلغ واریزی]]&lt;&gt;"",bargiri[[#This Row],[مانده مبلغ]]-bargiri[[#This Row],[مبلغ واریزی]],bargiri[[#This Row],[مانده مبلغ]])</f>
        <v>#N/A</v>
      </c>
      <c r="O2351" s="159"/>
      <c r="P2351" s="159" t="e">
        <f>VLOOKUP(bargiri[[#This Row],[شماره سند مبنا]],invoice[[شماره پیش فاکتور]:[پیش دریافت به ازای هر کیلوگرم]],14,0)</f>
        <v>#N/A</v>
      </c>
      <c r="Q2351" s="159" t="e">
        <f>IF(bargiri[[#This Row],[مبلغ ناخالص]]-(bargiri[[#This Row],[نرخ استهلاک]]*bargiri[[#This Row],[مقدار]])&lt;0,0,bargiri[[#This Row],[مبلغ ناخالص]]-(bargiri[[#This Row],[نرخ استهلاک]]*bargiri[[#This Row],[مقدار]]))</f>
        <v>#N/A</v>
      </c>
    </row>
    <row r="2352" spans="1:17" s="22" customFormat="1" ht="13.8" x14ac:dyDescent="0.25">
      <c r="A2352" s="22">
        <v>489</v>
      </c>
      <c r="B2352" s="22" t="s">
        <v>82</v>
      </c>
      <c r="C2352" s="22" t="s">
        <v>81</v>
      </c>
      <c r="D2352" s="22" t="s">
        <v>35</v>
      </c>
      <c r="E2352" s="158">
        <v>9040</v>
      </c>
      <c r="F2352" s="159">
        <v>70000</v>
      </c>
      <c r="G2352" s="159">
        <v>632800000</v>
      </c>
      <c r="H2352" s="159">
        <v>63280000</v>
      </c>
      <c r="I2352" s="159">
        <v>696080000</v>
      </c>
      <c r="J2352" s="159" t="e">
        <f>bargiri[[#This Row],[مقدار]]*INDEX(invoice[پیش دریافت به ازای هر کیلوگرم],MATCH(bargiri[[#This Row],[شماره سند مبنا]],invoice[شماره پیش فاکتور],0))</f>
        <v>#N/A</v>
      </c>
      <c r="K2352" s="159" t="e">
        <f>bargiri[[#This Row],[مبلغ خالص]]-bargiri[[#This Row],[میزان استهلاک پیش دریافتی]]</f>
        <v>#N/A</v>
      </c>
      <c r="L2352" s="160"/>
      <c r="M2352" s="159"/>
      <c r="N2352" s="159" t="e">
        <f>IF(bargiri[[#This Row],[مبلغ واریزی]]&lt;&gt;"",bargiri[[#This Row],[مانده مبلغ]]-bargiri[[#This Row],[مبلغ واریزی]],bargiri[[#This Row],[مانده مبلغ]])</f>
        <v>#N/A</v>
      </c>
      <c r="O2352" s="159"/>
      <c r="P2352" s="159" t="e">
        <f>VLOOKUP(bargiri[[#This Row],[شماره سند مبنا]],invoice[[شماره پیش فاکتور]:[پیش دریافت به ازای هر کیلوگرم]],14,0)</f>
        <v>#N/A</v>
      </c>
      <c r="Q2352" s="159" t="e">
        <f>IF(bargiri[[#This Row],[مبلغ ناخالص]]-(bargiri[[#This Row],[نرخ استهلاک]]*bargiri[[#This Row],[مقدار]])&lt;0,0,bargiri[[#This Row],[مبلغ ناخالص]]-(bargiri[[#This Row],[نرخ استهلاک]]*bargiri[[#This Row],[مقدار]]))</f>
        <v>#N/A</v>
      </c>
    </row>
    <row r="2353" spans="1:17" s="22" customFormat="1" ht="13.8" x14ac:dyDescent="0.25">
      <c r="A2353" s="22">
        <v>488</v>
      </c>
      <c r="B2353" s="22" t="s">
        <v>550</v>
      </c>
      <c r="C2353" s="22" t="s">
        <v>99</v>
      </c>
      <c r="D2353" s="22" t="s">
        <v>64</v>
      </c>
      <c r="E2353" s="158">
        <v>21365</v>
      </c>
      <c r="F2353" s="159">
        <v>75000</v>
      </c>
      <c r="G2353" s="159">
        <v>1602375000</v>
      </c>
      <c r="H2353" s="159">
        <v>160237500</v>
      </c>
      <c r="I2353" s="159">
        <v>1762612500</v>
      </c>
      <c r="J2353" s="159" t="e">
        <f>bargiri[[#This Row],[مقدار]]*INDEX(invoice[پیش دریافت به ازای هر کیلوگرم],MATCH(bargiri[[#This Row],[شماره سند مبنا]],invoice[شماره پیش فاکتور],0))</f>
        <v>#N/A</v>
      </c>
      <c r="K2353" s="159" t="e">
        <f>bargiri[[#This Row],[مبلغ خالص]]-bargiri[[#This Row],[میزان استهلاک پیش دریافتی]]</f>
        <v>#N/A</v>
      </c>
      <c r="L2353" s="160"/>
      <c r="M2353" s="159"/>
      <c r="N2353" s="159" t="e">
        <f>IF(bargiri[[#This Row],[مبلغ واریزی]]&lt;&gt;"",bargiri[[#This Row],[مانده مبلغ]]-bargiri[[#This Row],[مبلغ واریزی]],bargiri[[#This Row],[مانده مبلغ]])</f>
        <v>#N/A</v>
      </c>
      <c r="O2353" s="159"/>
      <c r="P2353" s="159" t="e">
        <f>VLOOKUP(bargiri[[#This Row],[شماره سند مبنا]],invoice[[شماره پیش فاکتور]:[پیش دریافت به ازای هر کیلوگرم]],14,0)</f>
        <v>#N/A</v>
      </c>
      <c r="Q2353" s="159" t="e">
        <f>IF(bargiri[[#This Row],[مبلغ ناخالص]]-(bargiri[[#This Row],[نرخ استهلاک]]*bargiri[[#This Row],[مقدار]])&lt;0,0,bargiri[[#This Row],[مبلغ ناخالص]]-(bargiri[[#This Row],[نرخ استهلاک]]*bargiri[[#This Row],[مقدار]]))</f>
        <v>#N/A</v>
      </c>
    </row>
    <row r="2354" spans="1:17" s="22" customFormat="1" ht="13.8" x14ac:dyDescent="0.25">
      <c r="A2354" s="22">
        <v>486</v>
      </c>
      <c r="B2354" s="22" t="s">
        <v>542</v>
      </c>
      <c r="C2354" s="22" t="s">
        <v>66</v>
      </c>
      <c r="D2354" s="22" t="s">
        <v>67</v>
      </c>
      <c r="E2354" s="158">
        <v>8085</v>
      </c>
      <c r="F2354" s="159">
        <v>68500</v>
      </c>
      <c r="G2354" s="159">
        <v>553822500</v>
      </c>
      <c r="H2354" s="159">
        <v>49844025</v>
      </c>
      <c r="I2354" s="159">
        <v>603666525</v>
      </c>
      <c r="J2354" s="159" t="e">
        <f>bargiri[[#This Row],[مقدار]]*INDEX(invoice[پیش دریافت به ازای هر کیلوگرم],MATCH(bargiri[[#This Row],[شماره سند مبنا]],invoice[شماره پیش فاکتور],0))</f>
        <v>#N/A</v>
      </c>
      <c r="K2354" s="159" t="e">
        <f>bargiri[[#This Row],[مبلغ خالص]]-bargiri[[#This Row],[میزان استهلاک پیش دریافتی]]</f>
        <v>#N/A</v>
      </c>
      <c r="L2354" s="160"/>
      <c r="M2354" s="159"/>
      <c r="N2354" s="159" t="e">
        <f>IF(bargiri[[#This Row],[مبلغ واریزی]]&lt;&gt;"",bargiri[[#This Row],[مانده مبلغ]]-bargiri[[#This Row],[مبلغ واریزی]],bargiri[[#This Row],[مانده مبلغ]])</f>
        <v>#N/A</v>
      </c>
      <c r="O2354" s="159"/>
      <c r="P2354" s="159" t="e">
        <f>VLOOKUP(bargiri[[#This Row],[شماره سند مبنا]],invoice[[شماره پیش فاکتور]:[پیش دریافت به ازای هر کیلوگرم]],14,0)</f>
        <v>#N/A</v>
      </c>
      <c r="Q2354" s="159" t="e">
        <f>IF(bargiri[[#This Row],[مبلغ ناخالص]]-(bargiri[[#This Row],[نرخ استهلاک]]*bargiri[[#This Row],[مقدار]])&lt;0,0,bargiri[[#This Row],[مبلغ ناخالص]]-(bargiri[[#This Row],[نرخ استهلاک]]*bargiri[[#This Row],[مقدار]]))</f>
        <v>#N/A</v>
      </c>
    </row>
    <row r="2355" spans="1:17" s="22" customFormat="1" ht="13.8" x14ac:dyDescent="0.25">
      <c r="A2355" s="22">
        <v>485</v>
      </c>
      <c r="B2355" s="22" t="s">
        <v>542</v>
      </c>
      <c r="C2355" s="22" t="s">
        <v>29</v>
      </c>
      <c r="D2355" s="22" t="s">
        <v>30</v>
      </c>
      <c r="E2355" s="158">
        <v>10180</v>
      </c>
      <c r="F2355" s="159">
        <v>70000</v>
      </c>
      <c r="G2355" s="159">
        <v>712600000</v>
      </c>
      <c r="H2355" s="159">
        <v>71260000</v>
      </c>
      <c r="I2355" s="159">
        <v>783860000</v>
      </c>
      <c r="J2355" s="159" t="e">
        <f>bargiri[[#This Row],[مقدار]]*INDEX(invoice[پیش دریافت به ازای هر کیلوگرم],MATCH(bargiri[[#This Row],[شماره سند مبنا]],invoice[شماره پیش فاکتور],0))</f>
        <v>#N/A</v>
      </c>
      <c r="K2355" s="159" t="e">
        <f>bargiri[[#This Row],[مبلغ خالص]]-bargiri[[#This Row],[میزان استهلاک پیش دریافتی]]</f>
        <v>#N/A</v>
      </c>
      <c r="L2355" s="160"/>
      <c r="M2355" s="159"/>
      <c r="N2355" s="159" t="e">
        <f>IF(bargiri[[#This Row],[مبلغ واریزی]]&lt;&gt;"",bargiri[[#This Row],[مانده مبلغ]]-bargiri[[#This Row],[مبلغ واریزی]],bargiri[[#This Row],[مانده مبلغ]])</f>
        <v>#N/A</v>
      </c>
      <c r="O2355" s="159"/>
      <c r="P2355" s="159" t="e">
        <f>VLOOKUP(bargiri[[#This Row],[شماره سند مبنا]],invoice[[شماره پیش فاکتور]:[پیش دریافت به ازای هر کیلوگرم]],14,0)</f>
        <v>#N/A</v>
      </c>
      <c r="Q2355" s="159" t="e">
        <f>IF(bargiri[[#This Row],[مبلغ ناخالص]]-(bargiri[[#This Row],[نرخ استهلاک]]*bargiri[[#This Row],[مقدار]])&lt;0,0,bargiri[[#This Row],[مبلغ ناخالص]]-(bargiri[[#This Row],[نرخ استهلاک]]*bargiri[[#This Row],[مقدار]]))</f>
        <v>#N/A</v>
      </c>
    </row>
    <row r="2356" spans="1:17" s="22" customFormat="1" ht="13.8" x14ac:dyDescent="0.25">
      <c r="A2356" s="22">
        <v>484</v>
      </c>
      <c r="B2356" s="22" t="s">
        <v>542</v>
      </c>
      <c r="C2356" s="22" t="s">
        <v>88</v>
      </c>
      <c r="D2356" s="22" t="s">
        <v>89</v>
      </c>
      <c r="E2356" s="158">
        <v>20105</v>
      </c>
      <c r="F2356" s="159">
        <v>78000</v>
      </c>
      <c r="G2356" s="159">
        <v>1568190000</v>
      </c>
      <c r="H2356" s="159">
        <v>156819000</v>
      </c>
      <c r="I2356" s="159">
        <v>1725009000</v>
      </c>
      <c r="J2356" s="159" t="e">
        <f>bargiri[[#This Row],[مقدار]]*INDEX(invoice[پیش دریافت به ازای هر کیلوگرم],MATCH(bargiri[[#This Row],[شماره سند مبنا]],invoice[شماره پیش فاکتور],0))</f>
        <v>#N/A</v>
      </c>
      <c r="K2356" s="159" t="e">
        <f>bargiri[[#This Row],[مبلغ خالص]]-bargiri[[#This Row],[میزان استهلاک پیش دریافتی]]</f>
        <v>#N/A</v>
      </c>
      <c r="L2356" s="160"/>
      <c r="M2356" s="159"/>
      <c r="N2356" s="159" t="e">
        <f>IF(bargiri[[#This Row],[مبلغ واریزی]]&lt;&gt;"",bargiri[[#This Row],[مانده مبلغ]]-bargiri[[#This Row],[مبلغ واریزی]],bargiri[[#This Row],[مانده مبلغ]])</f>
        <v>#N/A</v>
      </c>
      <c r="O2356" s="159"/>
      <c r="P2356" s="159" t="e">
        <f>VLOOKUP(bargiri[[#This Row],[شماره سند مبنا]],invoice[[شماره پیش فاکتور]:[پیش دریافت به ازای هر کیلوگرم]],14,0)</f>
        <v>#N/A</v>
      </c>
      <c r="Q2356" s="159" t="e">
        <f>IF(bargiri[[#This Row],[مبلغ ناخالص]]-(bargiri[[#This Row],[نرخ استهلاک]]*bargiri[[#This Row],[مقدار]])&lt;0,0,bargiri[[#This Row],[مبلغ ناخالص]]-(bargiri[[#This Row],[نرخ استهلاک]]*bargiri[[#This Row],[مقدار]]))</f>
        <v>#N/A</v>
      </c>
    </row>
    <row r="2357" spans="1:17" s="22" customFormat="1" ht="13.8" x14ac:dyDescent="0.25">
      <c r="A2357" s="22">
        <v>483</v>
      </c>
      <c r="B2357" s="22" t="s">
        <v>542</v>
      </c>
      <c r="C2357" s="22" t="s">
        <v>66</v>
      </c>
      <c r="D2357" s="22" t="s">
        <v>67</v>
      </c>
      <c r="E2357" s="158">
        <v>18960</v>
      </c>
      <c r="F2357" s="159">
        <v>68500</v>
      </c>
      <c r="G2357" s="159">
        <v>1298760000</v>
      </c>
      <c r="H2357" s="159">
        <v>116888400</v>
      </c>
      <c r="I2357" s="159">
        <v>1415648400</v>
      </c>
      <c r="J2357" s="159" t="e">
        <f>bargiri[[#This Row],[مقدار]]*INDEX(invoice[پیش دریافت به ازای هر کیلوگرم],MATCH(bargiri[[#This Row],[شماره سند مبنا]],invoice[شماره پیش فاکتور],0))</f>
        <v>#N/A</v>
      </c>
      <c r="K2357" s="159" t="e">
        <f>bargiri[[#This Row],[مبلغ خالص]]-bargiri[[#This Row],[میزان استهلاک پیش دریافتی]]</f>
        <v>#N/A</v>
      </c>
      <c r="L2357" s="160"/>
      <c r="M2357" s="159"/>
      <c r="N2357" s="159" t="e">
        <f>IF(bargiri[[#This Row],[مبلغ واریزی]]&lt;&gt;"",bargiri[[#This Row],[مانده مبلغ]]-bargiri[[#This Row],[مبلغ واریزی]],bargiri[[#This Row],[مانده مبلغ]])</f>
        <v>#N/A</v>
      </c>
      <c r="O2357" s="159"/>
      <c r="P2357" s="159" t="e">
        <f>VLOOKUP(bargiri[[#This Row],[شماره سند مبنا]],invoice[[شماره پیش فاکتور]:[پیش دریافت به ازای هر کیلوگرم]],14,0)</f>
        <v>#N/A</v>
      </c>
      <c r="Q2357" s="159" t="e">
        <f>IF(bargiri[[#This Row],[مبلغ ناخالص]]-(bargiri[[#This Row],[نرخ استهلاک]]*bargiri[[#This Row],[مقدار]])&lt;0,0,bargiri[[#This Row],[مبلغ ناخالص]]-(bargiri[[#This Row],[نرخ استهلاک]]*bargiri[[#This Row],[مقدار]]))</f>
        <v>#N/A</v>
      </c>
    </row>
    <row r="2358" spans="1:17" s="22" customFormat="1" ht="13.8" x14ac:dyDescent="0.25">
      <c r="A2358" s="22">
        <v>482</v>
      </c>
      <c r="B2358" s="22" t="s">
        <v>542</v>
      </c>
      <c r="C2358" s="22" t="s">
        <v>97</v>
      </c>
      <c r="D2358" s="22" t="s">
        <v>40</v>
      </c>
      <c r="E2358" s="158">
        <v>18065</v>
      </c>
      <c r="F2358" s="159">
        <v>85000</v>
      </c>
      <c r="G2358" s="159">
        <v>1535525000</v>
      </c>
      <c r="H2358" s="159">
        <v>153552500</v>
      </c>
      <c r="I2358" s="159">
        <v>1689077500</v>
      </c>
      <c r="J2358" s="159" t="e">
        <f>bargiri[[#This Row],[مقدار]]*INDEX(invoice[پیش دریافت به ازای هر کیلوگرم],MATCH(bargiri[[#This Row],[شماره سند مبنا]],invoice[شماره پیش فاکتور],0))</f>
        <v>#N/A</v>
      </c>
      <c r="K2358" s="159" t="e">
        <f>bargiri[[#This Row],[مبلغ خالص]]-bargiri[[#This Row],[میزان استهلاک پیش دریافتی]]</f>
        <v>#N/A</v>
      </c>
      <c r="L2358" s="160"/>
      <c r="M2358" s="159"/>
      <c r="N2358" s="159" t="e">
        <f>IF(bargiri[[#This Row],[مبلغ واریزی]]&lt;&gt;"",bargiri[[#This Row],[مانده مبلغ]]-bargiri[[#This Row],[مبلغ واریزی]],bargiri[[#This Row],[مانده مبلغ]])</f>
        <v>#N/A</v>
      </c>
      <c r="O2358" s="159"/>
      <c r="P2358" s="159" t="e">
        <f>VLOOKUP(bargiri[[#This Row],[شماره سند مبنا]],invoice[[شماره پیش فاکتور]:[پیش دریافت به ازای هر کیلوگرم]],14,0)</f>
        <v>#N/A</v>
      </c>
      <c r="Q2358" s="159" t="e">
        <f>IF(bargiri[[#This Row],[مبلغ ناخالص]]-(bargiri[[#This Row],[نرخ استهلاک]]*bargiri[[#This Row],[مقدار]])&lt;0,0,bargiri[[#This Row],[مبلغ ناخالص]]-(bargiri[[#This Row],[نرخ استهلاک]]*bargiri[[#This Row],[مقدار]]))</f>
        <v>#N/A</v>
      </c>
    </row>
    <row r="2359" spans="1:17" s="22" customFormat="1" ht="13.8" x14ac:dyDescent="0.25">
      <c r="A2359" s="22">
        <v>481</v>
      </c>
      <c r="B2359" s="22" t="s">
        <v>542</v>
      </c>
      <c r="C2359" s="22" t="s">
        <v>75</v>
      </c>
      <c r="D2359" s="22" t="s">
        <v>73</v>
      </c>
      <c r="E2359" s="158">
        <v>19995</v>
      </c>
      <c r="F2359" s="159">
        <v>56881</v>
      </c>
      <c r="G2359" s="159">
        <v>1137335595</v>
      </c>
      <c r="H2359" s="159">
        <v>102360204</v>
      </c>
      <c r="I2359" s="159">
        <v>1239695799</v>
      </c>
      <c r="J2359" s="159" t="e">
        <f>bargiri[[#This Row],[مقدار]]*INDEX(invoice[پیش دریافت به ازای هر کیلوگرم],MATCH(bargiri[[#This Row],[شماره سند مبنا]],invoice[شماره پیش فاکتور],0))</f>
        <v>#N/A</v>
      </c>
      <c r="K2359" s="159" t="e">
        <f>bargiri[[#This Row],[مبلغ خالص]]-bargiri[[#This Row],[میزان استهلاک پیش دریافتی]]</f>
        <v>#N/A</v>
      </c>
      <c r="L2359" s="160"/>
      <c r="M2359" s="159"/>
      <c r="N2359" s="159" t="e">
        <f>IF(bargiri[[#This Row],[مبلغ واریزی]]&lt;&gt;"",bargiri[[#This Row],[مانده مبلغ]]-bargiri[[#This Row],[مبلغ واریزی]],bargiri[[#This Row],[مانده مبلغ]])</f>
        <v>#N/A</v>
      </c>
      <c r="O2359" s="159"/>
      <c r="P2359" s="159" t="e">
        <f>VLOOKUP(bargiri[[#This Row],[شماره سند مبنا]],invoice[[شماره پیش فاکتور]:[پیش دریافت به ازای هر کیلوگرم]],14,0)</f>
        <v>#N/A</v>
      </c>
      <c r="Q2359" s="159" t="e">
        <f>IF(bargiri[[#This Row],[مبلغ ناخالص]]-(bargiri[[#This Row],[نرخ استهلاک]]*bargiri[[#This Row],[مقدار]])&lt;0,0,bargiri[[#This Row],[مبلغ ناخالص]]-(bargiri[[#This Row],[نرخ استهلاک]]*bargiri[[#This Row],[مقدار]]))</f>
        <v>#N/A</v>
      </c>
    </row>
    <row r="2360" spans="1:17" s="22" customFormat="1" ht="13.8" x14ac:dyDescent="0.25">
      <c r="A2360" s="22">
        <v>480</v>
      </c>
      <c r="B2360" s="22" t="s">
        <v>542</v>
      </c>
      <c r="C2360" s="22" t="s">
        <v>75</v>
      </c>
      <c r="D2360" s="22" t="s">
        <v>73</v>
      </c>
      <c r="E2360" s="158">
        <v>20040</v>
      </c>
      <c r="F2360" s="159">
        <v>56881</v>
      </c>
      <c r="G2360" s="159">
        <v>1139895240</v>
      </c>
      <c r="H2360" s="159">
        <v>102590572</v>
      </c>
      <c r="I2360" s="159">
        <v>1242485812</v>
      </c>
      <c r="J2360" s="159" t="e">
        <f>bargiri[[#This Row],[مقدار]]*INDEX(invoice[پیش دریافت به ازای هر کیلوگرم],MATCH(bargiri[[#This Row],[شماره سند مبنا]],invoice[شماره پیش فاکتور],0))</f>
        <v>#N/A</v>
      </c>
      <c r="K2360" s="159" t="e">
        <f>bargiri[[#This Row],[مبلغ خالص]]-bargiri[[#This Row],[میزان استهلاک پیش دریافتی]]</f>
        <v>#N/A</v>
      </c>
      <c r="L2360" s="160"/>
      <c r="M2360" s="159"/>
      <c r="N2360" s="159" t="e">
        <f>IF(bargiri[[#This Row],[مبلغ واریزی]]&lt;&gt;"",bargiri[[#This Row],[مانده مبلغ]]-bargiri[[#This Row],[مبلغ واریزی]],bargiri[[#This Row],[مانده مبلغ]])</f>
        <v>#N/A</v>
      </c>
      <c r="O2360" s="159"/>
      <c r="P2360" s="159" t="e">
        <f>VLOOKUP(bargiri[[#This Row],[شماره سند مبنا]],invoice[[شماره پیش فاکتور]:[پیش دریافت به ازای هر کیلوگرم]],14,0)</f>
        <v>#N/A</v>
      </c>
      <c r="Q2360" s="159" t="e">
        <f>IF(bargiri[[#This Row],[مبلغ ناخالص]]-(bargiri[[#This Row],[نرخ استهلاک]]*bargiri[[#This Row],[مقدار]])&lt;0,0,bargiri[[#This Row],[مبلغ ناخالص]]-(bargiri[[#This Row],[نرخ استهلاک]]*bargiri[[#This Row],[مقدار]]))</f>
        <v>#N/A</v>
      </c>
    </row>
    <row r="2361" spans="1:17" s="22" customFormat="1" ht="13.8" x14ac:dyDescent="0.25">
      <c r="A2361" s="22">
        <v>479</v>
      </c>
      <c r="B2361" s="22" t="s">
        <v>542</v>
      </c>
      <c r="C2361" s="22" t="s">
        <v>75</v>
      </c>
      <c r="D2361" s="22" t="s">
        <v>73</v>
      </c>
      <c r="E2361" s="158">
        <v>20050</v>
      </c>
      <c r="F2361" s="159">
        <v>56881</v>
      </c>
      <c r="G2361" s="159">
        <v>1140464050</v>
      </c>
      <c r="H2361" s="159">
        <v>102641765</v>
      </c>
      <c r="I2361" s="159">
        <v>1243105815</v>
      </c>
      <c r="J2361" s="159" t="e">
        <f>bargiri[[#This Row],[مقدار]]*INDEX(invoice[پیش دریافت به ازای هر کیلوگرم],MATCH(bargiri[[#This Row],[شماره سند مبنا]],invoice[شماره پیش فاکتور],0))</f>
        <v>#N/A</v>
      </c>
      <c r="K2361" s="159" t="e">
        <f>bargiri[[#This Row],[مبلغ خالص]]-bargiri[[#This Row],[میزان استهلاک پیش دریافتی]]</f>
        <v>#N/A</v>
      </c>
      <c r="L2361" s="160"/>
      <c r="M2361" s="159"/>
      <c r="N2361" s="159" t="e">
        <f>IF(bargiri[[#This Row],[مبلغ واریزی]]&lt;&gt;"",bargiri[[#This Row],[مانده مبلغ]]-bargiri[[#This Row],[مبلغ واریزی]],bargiri[[#This Row],[مانده مبلغ]])</f>
        <v>#N/A</v>
      </c>
      <c r="O2361" s="159"/>
      <c r="P2361" s="159" t="e">
        <f>VLOOKUP(bargiri[[#This Row],[شماره سند مبنا]],invoice[[شماره پیش فاکتور]:[پیش دریافت به ازای هر کیلوگرم]],14,0)</f>
        <v>#N/A</v>
      </c>
      <c r="Q2361" s="159" t="e">
        <f>IF(bargiri[[#This Row],[مبلغ ناخالص]]-(bargiri[[#This Row],[نرخ استهلاک]]*bargiri[[#This Row],[مقدار]])&lt;0,0,bargiri[[#This Row],[مبلغ ناخالص]]-(bargiri[[#This Row],[نرخ استهلاک]]*bargiri[[#This Row],[مقدار]]))</f>
        <v>#N/A</v>
      </c>
    </row>
    <row r="2362" spans="1:17" s="22" customFormat="1" ht="13.8" x14ac:dyDescent="0.25">
      <c r="A2362" s="22">
        <v>478</v>
      </c>
      <c r="B2362" s="22" t="s">
        <v>542</v>
      </c>
      <c r="C2362" s="22" t="s">
        <v>75</v>
      </c>
      <c r="D2362" s="22" t="s">
        <v>73</v>
      </c>
      <c r="E2362" s="158">
        <v>19995</v>
      </c>
      <c r="F2362" s="159">
        <v>56881</v>
      </c>
      <c r="G2362" s="159">
        <v>1137335595</v>
      </c>
      <c r="H2362" s="159">
        <v>102360204</v>
      </c>
      <c r="I2362" s="159">
        <v>1239695799</v>
      </c>
      <c r="J2362" s="159" t="e">
        <f>bargiri[[#This Row],[مقدار]]*INDEX(invoice[پیش دریافت به ازای هر کیلوگرم],MATCH(bargiri[[#This Row],[شماره سند مبنا]],invoice[شماره پیش فاکتور],0))</f>
        <v>#N/A</v>
      </c>
      <c r="K2362" s="159" t="e">
        <f>bargiri[[#This Row],[مبلغ خالص]]-bargiri[[#This Row],[میزان استهلاک پیش دریافتی]]</f>
        <v>#N/A</v>
      </c>
      <c r="L2362" s="160"/>
      <c r="M2362" s="159"/>
      <c r="N2362" s="159" t="e">
        <f>IF(bargiri[[#This Row],[مبلغ واریزی]]&lt;&gt;"",bargiri[[#This Row],[مانده مبلغ]]-bargiri[[#This Row],[مبلغ واریزی]],bargiri[[#This Row],[مانده مبلغ]])</f>
        <v>#N/A</v>
      </c>
      <c r="O2362" s="159"/>
      <c r="P2362" s="159" t="e">
        <f>VLOOKUP(bargiri[[#This Row],[شماره سند مبنا]],invoice[[شماره پیش فاکتور]:[پیش دریافت به ازای هر کیلوگرم]],14,0)</f>
        <v>#N/A</v>
      </c>
      <c r="Q2362" s="159" t="e">
        <f>IF(bargiri[[#This Row],[مبلغ ناخالص]]-(bargiri[[#This Row],[نرخ استهلاک]]*bargiri[[#This Row],[مقدار]])&lt;0,0,bargiri[[#This Row],[مبلغ ناخالص]]-(bargiri[[#This Row],[نرخ استهلاک]]*bargiri[[#This Row],[مقدار]]))</f>
        <v>#N/A</v>
      </c>
    </row>
    <row r="2363" spans="1:17" s="22" customFormat="1" ht="13.8" x14ac:dyDescent="0.25">
      <c r="A2363" s="22">
        <v>477</v>
      </c>
      <c r="B2363" s="22" t="s">
        <v>556</v>
      </c>
      <c r="C2363" s="22" t="s">
        <v>99</v>
      </c>
      <c r="D2363" s="22" t="s">
        <v>64</v>
      </c>
      <c r="E2363" s="158">
        <v>20590</v>
      </c>
      <c r="F2363" s="159">
        <v>75000</v>
      </c>
      <c r="G2363" s="159">
        <v>1544250000</v>
      </c>
      <c r="H2363" s="159">
        <v>154425000</v>
      </c>
      <c r="I2363" s="159">
        <v>1698675000</v>
      </c>
      <c r="J2363" s="159" t="e">
        <f>bargiri[[#This Row],[مقدار]]*INDEX(invoice[پیش دریافت به ازای هر کیلوگرم],MATCH(bargiri[[#This Row],[شماره سند مبنا]],invoice[شماره پیش فاکتور],0))</f>
        <v>#N/A</v>
      </c>
      <c r="K2363" s="159" t="e">
        <f>bargiri[[#This Row],[مبلغ خالص]]-bargiri[[#This Row],[میزان استهلاک پیش دریافتی]]</f>
        <v>#N/A</v>
      </c>
      <c r="L2363" s="160"/>
      <c r="M2363" s="159"/>
      <c r="N2363" s="159" t="e">
        <f>IF(bargiri[[#This Row],[مبلغ واریزی]]&lt;&gt;"",bargiri[[#This Row],[مانده مبلغ]]-bargiri[[#This Row],[مبلغ واریزی]],bargiri[[#This Row],[مانده مبلغ]])</f>
        <v>#N/A</v>
      </c>
      <c r="O2363" s="159"/>
      <c r="P2363" s="159" t="e">
        <f>VLOOKUP(bargiri[[#This Row],[شماره سند مبنا]],invoice[[شماره پیش فاکتور]:[پیش دریافت به ازای هر کیلوگرم]],14,0)</f>
        <v>#N/A</v>
      </c>
      <c r="Q2363" s="159" t="e">
        <f>IF(bargiri[[#This Row],[مبلغ ناخالص]]-(bargiri[[#This Row],[نرخ استهلاک]]*bargiri[[#This Row],[مقدار]])&lt;0,0,bargiri[[#This Row],[مبلغ ناخالص]]-(bargiri[[#This Row],[نرخ استهلاک]]*bargiri[[#This Row],[مقدار]]))</f>
        <v>#N/A</v>
      </c>
    </row>
    <row r="2364" spans="1:17" s="22" customFormat="1" ht="13.8" x14ac:dyDescent="0.25">
      <c r="A2364" s="22">
        <v>476</v>
      </c>
      <c r="B2364" s="22" t="s">
        <v>556</v>
      </c>
      <c r="C2364" s="22" t="s">
        <v>16</v>
      </c>
      <c r="D2364" s="22" t="s">
        <v>17</v>
      </c>
      <c r="E2364" s="158">
        <v>20390</v>
      </c>
      <c r="F2364" s="159">
        <v>77000</v>
      </c>
      <c r="G2364" s="159">
        <v>1570030000</v>
      </c>
      <c r="H2364" s="159">
        <v>141302700</v>
      </c>
      <c r="I2364" s="159">
        <v>1711332700</v>
      </c>
      <c r="J2364" s="159" t="e">
        <f>bargiri[[#This Row],[مقدار]]*INDEX(invoice[پیش دریافت به ازای هر کیلوگرم],MATCH(bargiri[[#This Row],[شماره سند مبنا]],invoice[شماره پیش فاکتور],0))</f>
        <v>#N/A</v>
      </c>
      <c r="K2364" s="159" t="e">
        <f>bargiri[[#This Row],[مبلغ خالص]]-bargiri[[#This Row],[میزان استهلاک پیش دریافتی]]</f>
        <v>#N/A</v>
      </c>
      <c r="L2364" s="160"/>
      <c r="M2364" s="159"/>
      <c r="N2364" s="159" t="e">
        <f>IF(bargiri[[#This Row],[مبلغ واریزی]]&lt;&gt;"",bargiri[[#This Row],[مانده مبلغ]]-bargiri[[#This Row],[مبلغ واریزی]],bargiri[[#This Row],[مانده مبلغ]])</f>
        <v>#N/A</v>
      </c>
      <c r="O2364" s="159"/>
      <c r="P2364" s="159" t="e">
        <f>VLOOKUP(bargiri[[#This Row],[شماره سند مبنا]],invoice[[شماره پیش فاکتور]:[پیش دریافت به ازای هر کیلوگرم]],14,0)</f>
        <v>#N/A</v>
      </c>
      <c r="Q2364" s="159" t="e">
        <f>IF(bargiri[[#This Row],[مبلغ ناخالص]]-(bargiri[[#This Row],[نرخ استهلاک]]*bargiri[[#This Row],[مقدار]])&lt;0,0,bargiri[[#This Row],[مبلغ ناخالص]]-(bargiri[[#This Row],[نرخ استهلاک]]*bargiri[[#This Row],[مقدار]]))</f>
        <v>#N/A</v>
      </c>
    </row>
    <row r="2365" spans="1:17" s="22" customFormat="1" ht="13.8" x14ac:dyDescent="0.25">
      <c r="A2365" s="22">
        <v>475</v>
      </c>
      <c r="B2365" s="22" t="s">
        <v>556</v>
      </c>
      <c r="C2365" s="22" t="s">
        <v>66</v>
      </c>
      <c r="D2365" s="22" t="s">
        <v>67</v>
      </c>
      <c r="E2365" s="158">
        <v>19130</v>
      </c>
      <c r="F2365" s="159">
        <v>68500</v>
      </c>
      <c r="G2365" s="159">
        <v>1310405000</v>
      </c>
      <c r="H2365" s="159">
        <v>117936450</v>
      </c>
      <c r="I2365" s="159">
        <v>1428341450</v>
      </c>
      <c r="J2365" s="159" t="e">
        <f>bargiri[[#This Row],[مقدار]]*INDEX(invoice[پیش دریافت به ازای هر کیلوگرم],MATCH(bargiri[[#This Row],[شماره سند مبنا]],invoice[شماره پیش فاکتور],0))</f>
        <v>#N/A</v>
      </c>
      <c r="K2365" s="159" t="e">
        <f>bargiri[[#This Row],[مبلغ خالص]]-bargiri[[#This Row],[میزان استهلاک پیش دریافتی]]</f>
        <v>#N/A</v>
      </c>
      <c r="L2365" s="160"/>
      <c r="M2365" s="159"/>
      <c r="N2365" s="159" t="e">
        <f>IF(bargiri[[#This Row],[مبلغ واریزی]]&lt;&gt;"",bargiri[[#This Row],[مانده مبلغ]]-bargiri[[#This Row],[مبلغ واریزی]],bargiri[[#This Row],[مانده مبلغ]])</f>
        <v>#N/A</v>
      </c>
      <c r="O2365" s="159"/>
      <c r="P2365" s="159" t="e">
        <f>VLOOKUP(bargiri[[#This Row],[شماره سند مبنا]],invoice[[شماره پیش فاکتور]:[پیش دریافت به ازای هر کیلوگرم]],14,0)</f>
        <v>#N/A</v>
      </c>
      <c r="Q2365" s="159" t="e">
        <f>IF(bargiri[[#This Row],[مبلغ ناخالص]]-(bargiri[[#This Row],[نرخ استهلاک]]*bargiri[[#This Row],[مقدار]])&lt;0,0,bargiri[[#This Row],[مبلغ ناخالص]]-(bargiri[[#This Row],[نرخ استهلاک]]*bargiri[[#This Row],[مقدار]]))</f>
        <v>#N/A</v>
      </c>
    </row>
    <row r="2366" spans="1:17" s="22" customFormat="1" ht="13.8" x14ac:dyDescent="0.25">
      <c r="A2366" s="22">
        <v>474</v>
      </c>
      <c r="B2366" s="22" t="s">
        <v>556</v>
      </c>
      <c r="C2366" s="22" t="s">
        <v>19</v>
      </c>
      <c r="D2366" s="22" t="s">
        <v>20</v>
      </c>
      <c r="E2366" s="158">
        <v>18050</v>
      </c>
      <c r="F2366" s="159">
        <v>65000</v>
      </c>
      <c r="G2366" s="159">
        <v>1173250000</v>
      </c>
      <c r="H2366" s="159">
        <v>105592500</v>
      </c>
      <c r="I2366" s="159">
        <v>1278842500</v>
      </c>
      <c r="J2366" s="159" t="e">
        <f>bargiri[[#This Row],[مقدار]]*INDEX(invoice[پیش دریافت به ازای هر کیلوگرم],MATCH(bargiri[[#This Row],[شماره سند مبنا]],invoice[شماره پیش فاکتور],0))</f>
        <v>#N/A</v>
      </c>
      <c r="K2366" s="159" t="e">
        <f>bargiri[[#This Row],[مبلغ خالص]]-bargiri[[#This Row],[میزان استهلاک پیش دریافتی]]</f>
        <v>#N/A</v>
      </c>
      <c r="L2366" s="160"/>
      <c r="M2366" s="159"/>
      <c r="N2366" s="159" t="e">
        <f>IF(bargiri[[#This Row],[مبلغ واریزی]]&lt;&gt;"",bargiri[[#This Row],[مانده مبلغ]]-bargiri[[#This Row],[مبلغ واریزی]],bargiri[[#This Row],[مانده مبلغ]])</f>
        <v>#N/A</v>
      </c>
      <c r="O2366" s="159"/>
      <c r="P2366" s="159" t="e">
        <f>VLOOKUP(bargiri[[#This Row],[شماره سند مبنا]],invoice[[شماره پیش فاکتور]:[پیش دریافت به ازای هر کیلوگرم]],14,0)</f>
        <v>#N/A</v>
      </c>
      <c r="Q2366" s="159" t="e">
        <f>IF(bargiri[[#This Row],[مبلغ ناخالص]]-(bargiri[[#This Row],[نرخ استهلاک]]*bargiri[[#This Row],[مقدار]])&lt;0,0,bargiri[[#This Row],[مبلغ ناخالص]]-(bargiri[[#This Row],[نرخ استهلاک]]*bargiri[[#This Row],[مقدار]]))</f>
        <v>#N/A</v>
      </c>
    </row>
    <row r="2367" spans="1:17" s="22" customFormat="1" ht="13.8" x14ac:dyDescent="0.25">
      <c r="A2367" s="22">
        <v>473</v>
      </c>
      <c r="B2367" s="22" t="s">
        <v>105</v>
      </c>
      <c r="C2367" s="22" t="s">
        <v>19</v>
      </c>
      <c r="D2367" s="22" t="s">
        <v>20</v>
      </c>
      <c r="E2367" s="158">
        <v>18380</v>
      </c>
      <c r="F2367" s="159">
        <v>65000</v>
      </c>
      <c r="G2367" s="159">
        <v>1194700000</v>
      </c>
      <c r="H2367" s="159">
        <v>107523000</v>
      </c>
      <c r="I2367" s="159">
        <v>1302223000</v>
      </c>
      <c r="J2367" s="159" t="e">
        <f>bargiri[[#This Row],[مقدار]]*INDEX(invoice[پیش دریافت به ازای هر کیلوگرم],MATCH(bargiri[[#This Row],[شماره سند مبنا]],invoice[شماره پیش فاکتور],0))</f>
        <v>#N/A</v>
      </c>
      <c r="K2367" s="159" t="e">
        <f>bargiri[[#This Row],[مبلغ خالص]]-bargiri[[#This Row],[میزان استهلاک پیش دریافتی]]</f>
        <v>#N/A</v>
      </c>
      <c r="L2367" s="160"/>
      <c r="M2367" s="159"/>
      <c r="N2367" s="159" t="e">
        <f>IF(bargiri[[#This Row],[مبلغ واریزی]]&lt;&gt;"",bargiri[[#This Row],[مانده مبلغ]]-bargiri[[#This Row],[مبلغ واریزی]],bargiri[[#This Row],[مانده مبلغ]])</f>
        <v>#N/A</v>
      </c>
      <c r="O2367" s="159"/>
      <c r="P2367" s="159" t="e">
        <f>VLOOKUP(bargiri[[#This Row],[شماره سند مبنا]],invoice[[شماره پیش فاکتور]:[پیش دریافت به ازای هر کیلوگرم]],14,0)</f>
        <v>#N/A</v>
      </c>
      <c r="Q2367" s="159" t="e">
        <f>IF(bargiri[[#This Row],[مبلغ ناخالص]]-(bargiri[[#This Row],[نرخ استهلاک]]*bargiri[[#This Row],[مقدار]])&lt;0,0,bargiri[[#This Row],[مبلغ ناخالص]]-(bargiri[[#This Row],[نرخ استهلاک]]*bargiri[[#This Row],[مقدار]]))</f>
        <v>#N/A</v>
      </c>
    </row>
    <row r="2368" spans="1:17" s="22" customFormat="1" ht="13.8" x14ac:dyDescent="0.25">
      <c r="A2368" s="22">
        <v>472</v>
      </c>
      <c r="B2368" s="22" t="s">
        <v>557</v>
      </c>
      <c r="C2368" s="22" t="s">
        <v>97</v>
      </c>
      <c r="D2368" s="22" t="s">
        <v>40</v>
      </c>
      <c r="E2368" s="158">
        <v>17060</v>
      </c>
      <c r="F2368" s="159">
        <v>85000</v>
      </c>
      <c r="G2368" s="159">
        <v>1450100000</v>
      </c>
      <c r="H2368" s="159">
        <v>145010000</v>
      </c>
      <c r="I2368" s="159">
        <v>1595110000</v>
      </c>
      <c r="J2368" s="159" t="e">
        <f>bargiri[[#This Row],[مقدار]]*INDEX(invoice[پیش دریافت به ازای هر کیلوگرم],MATCH(bargiri[[#This Row],[شماره سند مبنا]],invoice[شماره پیش فاکتور],0))</f>
        <v>#N/A</v>
      </c>
      <c r="K2368" s="159" t="e">
        <f>bargiri[[#This Row],[مبلغ خالص]]-bargiri[[#This Row],[میزان استهلاک پیش دریافتی]]</f>
        <v>#N/A</v>
      </c>
      <c r="L2368" s="160"/>
      <c r="M2368" s="159"/>
      <c r="N2368" s="159" t="e">
        <f>IF(bargiri[[#This Row],[مبلغ واریزی]]&lt;&gt;"",bargiri[[#This Row],[مانده مبلغ]]-bargiri[[#This Row],[مبلغ واریزی]],bargiri[[#This Row],[مانده مبلغ]])</f>
        <v>#N/A</v>
      </c>
      <c r="O2368" s="159"/>
      <c r="P2368" s="159" t="e">
        <f>VLOOKUP(bargiri[[#This Row],[شماره سند مبنا]],invoice[[شماره پیش فاکتور]:[پیش دریافت به ازای هر کیلوگرم]],14,0)</f>
        <v>#N/A</v>
      </c>
      <c r="Q2368" s="159" t="e">
        <f>IF(bargiri[[#This Row],[مبلغ ناخالص]]-(bargiri[[#This Row],[نرخ استهلاک]]*bargiri[[#This Row],[مقدار]])&lt;0,0,bargiri[[#This Row],[مبلغ ناخالص]]-(bargiri[[#This Row],[نرخ استهلاک]]*bargiri[[#This Row],[مقدار]]))</f>
        <v>#N/A</v>
      </c>
    </row>
    <row r="2369" spans="1:17" s="22" customFormat="1" ht="13.8" x14ac:dyDescent="0.25">
      <c r="A2369" s="22">
        <v>471</v>
      </c>
      <c r="B2369" s="22" t="s">
        <v>557</v>
      </c>
      <c r="C2369" s="22" t="s">
        <v>29</v>
      </c>
      <c r="D2369" s="22" t="s">
        <v>30</v>
      </c>
      <c r="E2369" s="158">
        <v>10080</v>
      </c>
      <c r="F2369" s="159">
        <v>70000</v>
      </c>
      <c r="G2369" s="159">
        <v>705600000</v>
      </c>
      <c r="H2369" s="159">
        <v>70560000</v>
      </c>
      <c r="I2369" s="159">
        <v>776160000</v>
      </c>
      <c r="J2369" s="159" t="e">
        <f>bargiri[[#This Row],[مقدار]]*INDEX(invoice[پیش دریافت به ازای هر کیلوگرم],MATCH(bargiri[[#This Row],[شماره سند مبنا]],invoice[شماره پیش فاکتور],0))</f>
        <v>#N/A</v>
      </c>
      <c r="K2369" s="159" t="e">
        <f>bargiri[[#This Row],[مبلغ خالص]]-bargiri[[#This Row],[میزان استهلاک پیش دریافتی]]</f>
        <v>#N/A</v>
      </c>
      <c r="L2369" s="160"/>
      <c r="M2369" s="159"/>
      <c r="N2369" s="159" t="e">
        <f>IF(bargiri[[#This Row],[مبلغ واریزی]]&lt;&gt;"",bargiri[[#This Row],[مانده مبلغ]]-bargiri[[#This Row],[مبلغ واریزی]],bargiri[[#This Row],[مانده مبلغ]])</f>
        <v>#N/A</v>
      </c>
      <c r="O2369" s="159"/>
      <c r="P2369" s="159" t="e">
        <f>VLOOKUP(bargiri[[#This Row],[شماره سند مبنا]],invoice[[شماره پیش فاکتور]:[پیش دریافت به ازای هر کیلوگرم]],14,0)</f>
        <v>#N/A</v>
      </c>
      <c r="Q2369" s="159" t="e">
        <f>IF(bargiri[[#This Row],[مبلغ ناخالص]]-(bargiri[[#This Row],[نرخ استهلاک]]*bargiri[[#This Row],[مقدار]])&lt;0,0,bargiri[[#This Row],[مبلغ ناخالص]]-(bargiri[[#This Row],[نرخ استهلاک]]*bargiri[[#This Row],[مقدار]]))</f>
        <v>#N/A</v>
      </c>
    </row>
    <row r="2370" spans="1:17" s="22" customFormat="1" ht="13.8" x14ac:dyDescent="0.25">
      <c r="A2370" s="22">
        <v>470</v>
      </c>
      <c r="B2370" s="22" t="s">
        <v>557</v>
      </c>
      <c r="C2370" s="22" t="s">
        <v>84</v>
      </c>
      <c r="D2370" s="22" t="s">
        <v>51</v>
      </c>
      <c r="E2370" s="158">
        <v>11910</v>
      </c>
      <c r="F2370" s="159">
        <v>70000</v>
      </c>
      <c r="G2370" s="159">
        <v>833700000</v>
      </c>
      <c r="H2370" s="159">
        <v>83370000</v>
      </c>
      <c r="I2370" s="159">
        <v>917070000</v>
      </c>
      <c r="J2370" s="159" t="e">
        <f>bargiri[[#This Row],[مقدار]]*INDEX(invoice[پیش دریافت به ازای هر کیلوگرم],MATCH(bargiri[[#This Row],[شماره سند مبنا]],invoice[شماره پیش فاکتور],0))</f>
        <v>#N/A</v>
      </c>
      <c r="K2370" s="159" t="e">
        <f>bargiri[[#This Row],[مبلغ خالص]]-bargiri[[#This Row],[میزان استهلاک پیش دریافتی]]</f>
        <v>#N/A</v>
      </c>
      <c r="L2370" s="160"/>
      <c r="M2370" s="159"/>
      <c r="N2370" s="159" t="e">
        <f>IF(bargiri[[#This Row],[مبلغ واریزی]]&lt;&gt;"",bargiri[[#This Row],[مانده مبلغ]]-bargiri[[#This Row],[مبلغ واریزی]],bargiri[[#This Row],[مانده مبلغ]])</f>
        <v>#N/A</v>
      </c>
      <c r="O2370" s="159"/>
      <c r="P2370" s="159" t="e">
        <f>VLOOKUP(bargiri[[#This Row],[شماره سند مبنا]],invoice[[شماره پیش فاکتور]:[پیش دریافت به ازای هر کیلوگرم]],14,0)</f>
        <v>#N/A</v>
      </c>
      <c r="Q2370" s="159" t="e">
        <f>IF(bargiri[[#This Row],[مبلغ ناخالص]]-(bargiri[[#This Row],[نرخ استهلاک]]*bargiri[[#This Row],[مقدار]])&lt;0,0,bargiri[[#This Row],[مبلغ ناخالص]]-(bargiri[[#This Row],[نرخ استهلاک]]*bargiri[[#This Row],[مقدار]]))</f>
        <v>#N/A</v>
      </c>
    </row>
    <row r="2371" spans="1:17" s="22" customFormat="1" ht="13.8" x14ac:dyDescent="0.25">
      <c r="A2371" s="22">
        <v>469</v>
      </c>
      <c r="B2371" s="22" t="s">
        <v>557</v>
      </c>
      <c r="C2371" s="22" t="s">
        <v>99</v>
      </c>
      <c r="D2371" s="22" t="s">
        <v>64</v>
      </c>
      <c r="E2371" s="158">
        <v>21250</v>
      </c>
      <c r="F2371" s="159">
        <v>75000</v>
      </c>
      <c r="G2371" s="159">
        <v>1593750000</v>
      </c>
      <c r="H2371" s="159">
        <v>159375000</v>
      </c>
      <c r="I2371" s="159">
        <v>1753125000</v>
      </c>
      <c r="J2371" s="159" t="e">
        <f>bargiri[[#This Row],[مقدار]]*INDEX(invoice[پیش دریافت به ازای هر کیلوگرم],MATCH(bargiri[[#This Row],[شماره سند مبنا]],invoice[شماره پیش فاکتور],0))</f>
        <v>#N/A</v>
      </c>
      <c r="K2371" s="159" t="e">
        <f>bargiri[[#This Row],[مبلغ خالص]]-bargiri[[#This Row],[میزان استهلاک پیش دریافتی]]</f>
        <v>#N/A</v>
      </c>
      <c r="L2371" s="160"/>
      <c r="M2371" s="159"/>
      <c r="N2371" s="159" t="e">
        <f>IF(bargiri[[#This Row],[مبلغ واریزی]]&lt;&gt;"",bargiri[[#This Row],[مانده مبلغ]]-bargiri[[#This Row],[مبلغ واریزی]],bargiri[[#This Row],[مانده مبلغ]])</f>
        <v>#N/A</v>
      </c>
      <c r="O2371" s="159"/>
      <c r="P2371" s="159" t="e">
        <f>VLOOKUP(bargiri[[#This Row],[شماره سند مبنا]],invoice[[شماره پیش فاکتور]:[پیش دریافت به ازای هر کیلوگرم]],14,0)</f>
        <v>#N/A</v>
      </c>
      <c r="Q2371" s="159" t="e">
        <f>IF(bargiri[[#This Row],[مبلغ ناخالص]]-(bargiri[[#This Row],[نرخ استهلاک]]*bargiri[[#This Row],[مقدار]])&lt;0,0,bargiri[[#This Row],[مبلغ ناخالص]]-(bargiri[[#This Row],[نرخ استهلاک]]*bargiri[[#This Row],[مقدار]]))</f>
        <v>#N/A</v>
      </c>
    </row>
    <row r="2372" spans="1:17" s="22" customFormat="1" ht="13.8" x14ac:dyDescent="0.25">
      <c r="A2372" s="22">
        <v>468</v>
      </c>
      <c r="B2372" s="22" t="s">
        <v>558</v>
      </c>
      <c r="C2372" s="22" t="s">
        <v>93</v>
      </c>
      <c r="D2372" s="22" t="s">
        <v>78</v>
      </c>
      <c r="E2372" s="158">
        <v>18180</v>
      </c>
      <c r="F2372" s="159">
        <v>70000</v>
      </c>
      <c r="G2372" s="159">
        <v>1272600000</v>
      </c>
      <c r="H2372" s="159">
        <v>127260000</v>
      </c>
      <c r="I2372" s="159">
        <v>1399860000</v>
      </c>
      <c r="J2372" s="159" t="e">
        <f>bargiri[[#This Row],[مقدار]]*INDEX(invoice[پیش دریافت به ازای هر کیلوگرم],MATCH(bargiri[[#This Row],[شماره سند مبنا]],invoice[شماره پیش فاکتور],0))</f>
        <v>#N/A</v>
      </c>
      <c r="K2372" s="159" t="e">
        <f>bargiri[[#This Row],[مبلغ خالص]]-bargiri[[#This Row],[میزان استهلاک پیش دریافتی]]</f>
        <v>#N/A</v>
      </c>
      <c r="L2372" s="160"/>
      <c r="M2372" s="159"/>
      <c r="N2372" s="159" t="e">
        <f>IF(bargiri[[#This Row],[مبلغ واریزی]]&lt;&gt;"",bargiri[[#This Row],[مانده مبلغ]]-bargiri[[#This Row],[مبلغ واریزی]],bargiri[[#This Row],[مانده مبلغ]])</f>
        <v>#N/A</v>
      </c>
      <c r="O2372" s="159"/>
      <c r="P2372" s="159" t="e">
        <f>VLOOKUP(bargiri[[#This Row],[شماره سند مبنا]],invoice[[شماره پیش فاکتور]:[پیش دریافت به ازای هر کیلوگرم]],14,0)</f>
        <v>#N/A</v>
      </c>
      <c r="Q2372" s="159" t="e">
        <f>IF(bargiri[[#This Row],[مبلغ ناخالص]]-(bargiri[[#This Row],[نرخ استهلاک]]*bargiri[[#This Row],[مقدار]])&lt;0,0,bargiri[[#This Row],[مبلغ ناخالص]]-(bargiri[[#This Row],[نرخ استهلاک]]*bargiri[[#This Row],[مقدار]]))</f>
        <v>#N/A</v>
      </c>
    </row>
    <row r="2373" spans="1:17" s="22" customFormat="1" ht="13.8" x14ac:dyDescent="0.25">
      <c r="A2373" s="22">
        <v>467</v>
      </c>
      <c r="B2373" s="22" t="s">
        <v>558</v>
      </c>
      <c r="C2373" s="22" t="s">
        <v>29</v>
      </c>
      <c r="D2373" s="22" t="s">
        <v>30</v>
      </c>
      <c r="E2373" s="158">
        <v>10140</v>
      </c>
      <c r="F2373" s="159">
        <v>70000</v>
      </c>
      <c r="G2373" s="159">
        <v>709800000</v>
      </c>
      <c r="H2373" s="159">
        <v>70980000</v>
      </c>
      <c r="I2373" s="159">
        <v>780780000</v>
      </c>
      <c r="J2373" s="159" t="e">
        <f>bargiri[[#This Row],[مقدار]]*INDEX(invoice[پیش دریافت به ازای هر کیلوگرم],MATCH(bargiri[[#This Row],[شماره سند مبنا]],invoice[شماره پیش فاکتور],0))</f>
        <v>#N/A</v>
      </c>
      <c r="K2373" s="159" t="e">
        <f>bargiri[[#This Row],[مبلغ خالص]]-bargiri[[#This Row],[میزان استهلاک پیش دریافتی]]</f>
        <v>#N/A</v>
      </c>
      <c r="L2373" s="160"/>
      <c r="M2373" s="159"/>
      <c r="N2373" s="159" t="e">
        <f>IF(bargiri[[#This Row],[مبلغ واریزی]]&lt;&gt;"",bargiri[[#This Row],[مانده مبلغ]]-bargiri[[#This Row],[مبلغ واریزی]],bargiri[[#This Row],[مانده مبلغ]])</f>
        <v>#N/A</v>
      </c>
      <c r="O2373" s="159"/>
      <c r="P2373" s="159" t="e">
        <f>VLOOKUP(bargiri[[#This Row],[شماره سند مبنا]],invoice[[شماره پیش فاکتور]:[پیش دریافت به ازای هر کیلوگرم]],14,0)</f>
        <v>#N/A</v>
      </c>
      <c r="Q2373" s="159" t="e">
        <f>IF(bargiri[[#This Row],[مبلغ ناخالص]]-(bargiri[[#This Row],[نرخ استهلاک]]*bargiri[[#This Row],[مقدار]])&lt;0,0,bargiri[[#This Row],[مبلغ ناخالص]]-(bargiri[[#This Row],[نرخ استهلاک]]*bargiri[[#This Row],[مقدار]]))</f>
        <v>#N/A</v>
      </c>
    </row>
    <row r="2374" spans="1:17" s="22" customFormat="1" ht="13.8" x14ac:dyDescent="0.25">
      <c r="A2374" s="22">
        <v>466</v>
      </c>
      <c r="B2374" s="22" t="s">
        <v>558</v>
      </c>
      <c r="C2374" s="22" t="s">
        <v>66</v>
      </c>
      <c r="D2374" s="22" t="s">
        <v>67</v>
      </c>
      <c r="E2374" s="158">
        <v>19720</v>
      </c>
      <c r="F2374" s="159">
        <v>68500</v>
      </c>
      <c r="G2374" s="159">
        <v>1350820000</v>
      </c>
      <c r="H2374" s="159">
        <v>121573800</v>
      </c>
      <c r="I2374" s="159">
        <v>1472393800</v>
      </c>
      <c r="J2374" s="159" t="e">
        <f>bargiri[[#This Row],[مقدار]]*INDEX(invoice[پیش دریافت به ازای هر کیلوگرم],MATCH(bargiri[[#This Row],[شماره سند مبنا]],invoice[شماره پیش فاکتور],0))</f>
        <v>#N/A</v>
      </c>
      <c r="K2374" s="159" t="e">
        <f>bargiri[[#This Row],[مبلغ خالص]]-bargiri[[#This Row],[میزان استهلاک پیش دریافتی]]</f>
        <v>#N/A</v>
      </c>
      <c r="L2374" s="160"/>
      <c r="M2374" s="159"/>
      <c r="N2374" s="159" t="e">
        <f>IF(bargiri[[#This Row],[مبلغ واریزی]]&lt;&gt;"",bargiri[[#This Row],[مانده مبلغ]]-bargiri[[#This Row],[مبلغ واریزی]],bargiri[[#This Row],[مانده مبلغ]])</f>
        <v>#N/A</v>
      </c>
      <c r="O2374" s="159"/>
      <c r="P2374" s="159" t="e">
        <f>VLOOKUP(bargiri[[#This Row],[شماره سند مبنا]],invoice[[شماره پیش فاکتور]:[پیش دریافت به ازای هر کیلوگرم]],14,0)</f>
        <v>#N/A</v>
      </c>
      <c r="Q2374" s="159" t="e">
        <f>IF(bargiri[[#This Row],[مبلغ ناخالص]]-(bargiri[[#This Row],[نرخ استهلاک]]*bargiri[[#This Row],[مقدار]])&lt;0,0,bargiri[[#This Row],[مبلغ ناخالص]]-(bargiri[[#This Row],[نرخ استهلاک]]*bargiri[[#This Row],[مقدار]]))</f>
        <v>#N/A</v>
      </c>
    </row>
    <row r="2375" spans="1:17" s="22" customFormat="1" ht="13.8" x14ac:dyDescent="0.25">
      <c r="A2375" s="22">
        <v>465</v>
      </c>
      <c r="B2375" s="22" t="s">
        <v>558</v>
      </c>
      <c r="C2375" s="22" t="s">
        <v>97</v>
      </c>
      <c r="D2375" s="22" t="s">
        <v>40</v>
      </c>
      <c r="E2375" s="158">
        <v>7870</v>
      </c>
      <c r="F2375" s="159">
        <v>85000</v>
      </c>
      <c r="G2375" s="159">
        <v>668950000</v>
      </c>
      <c r="H2375" s="159">
        <v>66895000</v>
      </c>
      <c r="I2375" s="159">
        <v>735845000</v>
      </c>
      <c r="J2375" s="159" t="e">
        <f>bargiri[[#This Row],[مقدار]]*INDEX(invoice[پیش دریافت به ازای هر کیلوگرم],MATCH(bargiri[[#This Row],[شماره سند مبنا]],invoice[شماره پیش فاکتور],0))</f>
        <v>#N/A</v>
      </c>
      <c r="K2375" s="159" t="e">
        <f>bargiri[[#This Row],[مبلغ خالص]]-bargiri[[#This Row],[میزان استهلاک پیش دریافتی]]</f>
        <v>#N/A</v>
      </c>
      <c r="L2375" s="160"/>
      <c r="M2375" s="159"/>
      <c r="N2375" s="159" t="e">
        <f>IF(bargiri[[#This Row],[مبلغ واریزی]]&lt;&gt;"",bargiri[[#This Row],[مانده مبلغ]]-bargiri[[#This Row],[مبلغ واریزی]],bargiri[[#This Row],[مانده مبلغ]])</f>
        <v>#N/A</v>
      </c>
      <c r="O2375" s="159"/>
      <c r="P2375" s="159" t="e">
        <f>VLOOKUP(bargiri[[#This Row],[شماره سند مبنا]],invoice[[شماره پیش فاکتور]:[پیش دریافت به ازای هر کیلوگرم]],14,0)</f>
        <v>#N/A</v>
      </c>
      <c r="Q2375" s="159" t="e">
        <f>IF(bargiri[[#This Row],[مبلغ ناخالص]]-(bargiri[[#This Row],[نرخ استهلاک]]*bargiri[[#This Row],[مقدار]])&lt;0,0,bargiri[[#This Row],[مبلغ ناخالص]]-(bargiri[[#This Row],[نرخ استهلاک]]*bargiri[[#This Row],[مقدار]]))</f>
        <v>#N/A</v>
      </c>
    </row>
    <row r="2376" spans="1:17" s="22" customFormat="1" ht="13.8" x14ac:dyDescent="0.25">
      <c r="A2376" s="22">
        <v>464</v>
      </c>
      <c r="B2376" s="22" t="s">
        <v>558</v>
      </c>
      <c r="C2376" s="22" t="s">
        <v>75</v>
      </c>
      <c r="D2376" s="22" t="s">
        <v>73</v>
      </c>
      <c r="E2376" s="158">
        <v>21060</v>
      </c>
      <c r="F2376" s="159">
        <v>56881</v>
      </c>
      <c r="G2376" s="159">
        <v>1197913860</v>
      </c>
      <c r="H2376" s="159">
        <v>107812247</v>
      </c>
      <c r="I2376" s="159">
        <v>1305726107</v>
      </c>
      <c r="J2376" s="159" t="e">
        <f>bargiri[[#This Row],[مقدار]]*INDEX(invoice[پیش دریافت به ازای هر کیلوگرم],MATCH(bargiri[[#This Row],[شماره سند مبنا]],invoice[شماره پیش فاکتور],0))</f>
        <v>#N/A</v>
      </c>
      <c r="K2376" s="159" t="e">
        <f>bargiri[[#This Row],[مبلغ خالص]]-bargiri[[#This Row],[میزان استهلاک پیش دریافتی]]</f>
        <v>#N/A</v>
      </c>
      <c r="L2376" s="160"/>
      <c r="M2376" s="159"/>
      <c r="N2376" s="159" t="e">
        <f>IF(bargiri[[#This Row],[مبلغ واریزی]]&lt;&gt;"",bargiri[[#This Row],[مانده مبلغ]]-bargiri[[#This Row],[مبلغ واریزی]],bargiri[[#This Row],[مانده مبلغ]])</f>
        <v>#N/A</v>
      </c>
      <c r="O2376" s="159"/>
      <c r="P2376" s="159" t="e">
        <f>VLOOKUP(bargiri[[#This Row],[شماره سند مبنا]],invoice[[شماره پیش فاکتور]:[پیش دریافت به ازای هر کیلوگرم]],14,0)</f>
        <v>#N/A</v>
      </c>
      <c r="Q2376" s="159" t="e">
        <f>IF(bargiri[[#This Row],[مبلغ ناخالص]]-(bargiri[[#This Row],[نرخ استهلاک]]*bargiri[[#This Row],[مقدار]])&lt;0,0,bargiri[[#This Row],[مبلغ ناخالص]]-(bargiri[[#This Row],[نرخ استهلاک]]*bargiri[[#This Row],[مقدار]]))</f>
        <v>#N/A</v>
      </c>
    </row>
    <row r="2377" spans="1:17" s="22" customFormat="1" ht="13.8" x14ac:dyDescent="0.25">
      <c r="A2377" s="22">
        <v>463</v>
      </c>
      <c r="B2377" s="22" t="s">
        <v>558</v>
      </c>
      <c r="C2377" s="22" t="s">
        <v>75</v>
      </c>
      <c r="D2377" s="22" t="s">
        <v>73</v>
      </c>
      <c r="E2377" s="158">
        <v>20350</v>
      </c>
      <c r="F2377" s="159">
        <v>56881</v>
      </c>
      <c r="G2377" s="159">
        <v>1157528350</v>
      </c>
      <c r="H2377" s="159">
        <v>104177552</v>
      </c>
      <c r="I2377" s="159">
        <v>1261705902</v>
      </c>
      <c r="J2377" s="159" t="e">
        <f>bargiri[[#This Row],[مقدار]]*INDEX(invoice[پیش دریافت به ازای هر کیلوگرم],MATCH(bargiri[[#This Row],[شماره سند مبنا]],invoice[شماره پیش فاکتور],0))</f>
        <v>#N/A</v>
      </c>
      <c r="K2377" s="159" t="e">
        <f>bargiri[[#This Row],[مبلغ خالص]]-bargiri[[#This Row],[میزان استهلاک پیش دریافتی]]</f>
        <v>#N/A</v>
      </c>
      <c r="L2377" s="160"/>
      <c r="M2377" s="159"/>
      <c r="N2377" s="159" t="e">
        <f>IF(bargiri[[#This Row],[مبلغ واریزی]]&lt;&gt;"",bargiri[[#This Row],[مانده مبلغ]]-bargiri[[#This Row],[مبلغ واریزی]],bargiri[[#This Row],[مانده مبلغ]])</f>
        <v>#N/A</v>
      </c>
      <c r="O2377" s="159"/>
      <c r="P2377" s="159" t="e">
        <f>VLOOKUP(bargiri[[#This Row],[شماره سند مبنا]],invoice[[شماره پیش فاکتور]:[پیش دریافت به ازای هر کیلوگرم]],14,0)</f>
        <v>#N/A</v>
      </c>
      <c r="Q2377" s="159" t="e">
        <f>IF(bargiri[[#This Row],[مبلغ ناخالص]]-(bargiri[[#This Row],[نرخ استهلاک]]*bargiri[[#This Row],[مقدار]])&lt;0,0,bargiri[[#This Row],[مبلغ ناخالص]]-(bargiri[[#This Row],[نرخ استهلاک]]*bargiri[[#This Row],[مقدار]]))</f>
        <v>#N/A</v>
      </c>
    </row>
    <row r="2378" spans="1:17" s="22" customFormat="1" ht="13.8" x14ac:dyDescent="0.25">
      <c r="A2378" s="22">
        <v>462</v>
      </c>
      <c r="B2378" s="22" t="s">
        <v>558</v>
      </c>
      <c r="C2378" s="22" t="s">
        <v>19</v>
      </c>
      <c r="D2378" s="22" t="s">
        <v>20</v>
      </c>
      <c r="E2378" s="158">
        <v>18400</v>
      </c>
      <c r="F2378" s="159">
        <v>65000</v>
      </c>
      <c r="G2378" s="159">
        <v>1196000000</v>
      </c>
      <c r="H2378" s="159">
        <v>107640000</v>
      </c>
      <c r="I2378" s="159">
        <v>1303640000</v>
      </c>
      <c r="J2378" s="159" t="e">
        <f>bargiri[[#This Row],[مقدار]]*INDEX(invoice[پیش دریافت به ازای هر کیلوگرم],MATCH(bargiri[[#This Row],[شماره سند مبنا]],invoice[شماره پیش فاکتور],0))</f>
        <v>#N/A</v>
      </c>
      <c r="K2378" s="159" t="e">
        <f>bargiri[[#This Row],[مبلغ خالص]]-bargiri[[#This Row],[میزان استهلاک پیش دریافتی]]</f>
        <v>#N/A</v>
      </c>
      <c r="L2378" s="160"/>
      <c r="M2378" s="159"/>
      <c r="N2378" s="159" t="e">
        <f>IF(bargiri[[#This Row],[مبلغ واریزی]]&lt;&gt;"",bargiri[[#This Row],[مانده مبلغ]]-bargiri[[#This Row],[مبلغ واریزی]],bargiri[[#This Row],[مانده مبلغ]])</f>
        <v>#N/A</v>
      </c>
      <c r="O2378" s="159"/>
      <c r="P2378" s="159" t="e">
        <f>VLOOKUP(bargiri[[#This Row],[شماره سند مبنا]],invoice[[شماره پیش فاکتور]:[پیش دریافت به ازای هر کیلوگرم]],14,0)</f>
        <v>#N/A</v>
      </c>
      <c r="Q2378" s="159" t="e">
        <f>IF(bargiri[[#This Row],[مبلغ ناخالص]]-(bargiri[[#This Row],[نرخ استهلاک]]*bargiri[[#This Row],[مقدار]])&lt;0,0,bargiri[[#This Row],[مبلغ ناخالص]]-(bargiri[[#This Row],[نرخ استهلاک]]*bargiri[[#This Row],[مقدار]]))</f>
        <v>#N/A</v>
      </c>
    </row>
    <row r="2379" spans="1:17" s="22" customFormat="1" ht="13.8" x14ac:dyDescent="0.25">
      <c r="A2379" s="22">
        <v>461</v>
      </c>
      <c r="B2379" s="22" t="s">
        <v>103</v>
      </c>
      <c r="C2379" s="22" t="s">
        <v>101</v>
      </c>
      <c r="D2379" s="22" t="s">
        <v>102</v>
      </c>
      <c r="E2379" s="158">
        <v>9720</v>
      </c>
      <c r="F2379" s="159">
        <v>110000</v>
      </c>
      <c r="G2379" s="159">
        <v>1069200000</v>
      </c>
      <c r="H2379" s="159">
        <v>106920000</v>
      </c>
      <c r="I2379" s="159">
        <v>1176120000</v>
      </c>
      <c r="J2379" s="159" t="e">
        <f>bargiri[[#This Row],[مقدار]]*INDEX(invoice[پیش دریافت به ازای هر کیلوگرم],MATCH(bargiri[[#This Row],[شماره سند مبنا]],invoice[شماره پیش فاکتور],0))</f>
        <v>#N/A</v>
      </c>
      <c r="K2379" s="159" t="e">
        <f>bargiri[[#This Row],[مبلغ خالص]]-bargiri[[#This Row],[میزان استهلاک پیش دریافتی]]</f>
        <v>#N/A</v>
      </c>
      <c r="L2379" s="160"/>
      <c r="M2379" s="159"/>
      <c r="N2379" s="159" t="e">
        <f>IF(bargiri[[#This Row],[مبلغ واریزی]]&lt;&gt;"",bargiri[[#This Row],[مانده مبلغ]]-bargiri[[#This Row],[مبلغ واریزی]],bargiri[[#This Row],[مانده مبلغ]])</f>
        <v>#N/A</v>
      </c>
      <c r="O2379" s="159"/>
      <c r="P2379" s="159" t="e">
        <f>VLOOKUP(bargiri[[#This Row],[شماره سند مبنا]],invoice[[شماره پیش فاکتور]:[پیش دریافت به ازای هر کیلوگرم]],14,0)</f>
        <v>#N/A</v>
      </c>
      <c r="Q2379" s="159" t="e">
        <f>IF(bargiri[[#This Row],[مبلغ ناخالص]]-(bargiri[[#This Row],[نرخ استهلاک]]*bargiri[[#This Row],[مقدار]])&lt;0,0,bargiri[[#This Row],[مبلغ ناخالص]]-(bargiri[[#This Row],[نرخ استهلاک]]*bargiri[[#This Row],[مقدار]]))</f>
        <v>#N/A</v>
      </c>
    </row>
    <row r="2380" spans="1:17" s="22" customFormat="1" ht="13.8" x14ac:dyDescent="0.25">
      <c r="A2380" s="22">
        <v>460</v>
      </c>
      <c r="B2380" s="22" t="s">
        <v>103</v>
      </c>
      <c r="C2380" s="22" t="s">
        <v>97</v>
      </c>
      <c r="D2380" s="22" t="s">
        <v>40</v>
      </c>
      <c r="E2380" s="158">
        <v>7070</v>
      </c>
      <c r="F2380" s="159">
        <v>85000</v>
      </c>
      <c r="G2380" s="159">
        <v>600950000</v>
      </c>
      <c r="H2380" s="159">
        <v>60095000</v>
      </c>
      <c r="I2380" s="159">
        <v>661045000</v>
      </c>
      <c r="J2380" s="159" t="e">
        <f>bargiri[[#This Row],[مقدار]]*INDEX(invoice[پیش دریافت به ازای هر کیلوگرم],MATCH(bargiri[[#This Row],[شماره سند مبنا]],invoice[شماره پیش فاکتور],0))</f>
        <v>#N/A</v>
      </c>
      <c r="K2380" s="159" t="e">
        <f>bargiri[[#This Row],[مبلغ خالص]]-bargiri[[#This Row],[میزان استهلاک پیش دریافتی]]</f>
        <v>#N/A</v>
      </c>
      <c r="L2380" s="160"/>
      <c r="M2380" s="159"/>
      <c r="N2380" s="159" t="e">
        <f>IF(bargiri[[#This Row],[مبلغ واریزی]]&lt;&gt;"",bargiri[[#This Row],[مانده مبلغ]]-bargiri[[#This Row],[مبلغ واریزی]],bargiri[[#This Row],[مانده مبلغ]])</f>
        <v>#N/A</v>
      </c>
      <c r="O2380" s="159"/>
      <c r="P2380" s="159" t="e">
        <f>VLOOKUP(bargiri[[#This Row],[شماره سند مبنا]],invoice[[شماره پیش فاکتور]:[پیش دریافت به ازای هر کیلوگرم]],14,0)</f>
        <v>#N/A</v>
      </c>
      <c r="Q2380" s="159" t="e">
        <f>IF(bargiri[[#This Row],[مبلغ ناخالص]]-(bargiri[[#This Row],[نرخ استهلاک]]*bargiri[[#This Row],[مقدار]])&lt;0,0,bargiri[[#This Row],[مبلغ ناخالص]]-(bargiri[[#This Row],[نرخ استهلاک]]*bargiri[[#This Row],[مقدار]]))</f>
        <v>#N/A</v>
      </c>
    </row>
    <row r="2381" spans="1:17" s="22" customFormat="1" ht="13.8" x14ac:dyDescent="0.25">
      <c r="A2381" s="22">
        <v>459</v>
      </c>
      <c r="B2381" s="22" t="s">
        <v>103</v>
      </c>
      <c r="C2381" s="22" t="s">
        <v>75</v>
      </c>
      <c r="D2381" s="22" t="s">
        <v>73</v>
      </c>
      <c r="E2381" s="158">
        <v>21020</v>
      </c>
      <c r="F2381" s="159">
        <v>56881</v>
      </c>
      <c r="G2381" s="159">
        <v>1195638620</v>
      </c>
      <c r="H2381" s="159">
        <v>107607476</v>
      </c>
      <c r="I2381" s="159">
        <v>1303246096</v>
      </c>
      <c r="J2381" s="159" t="e">
        <f>bargiri[[#This Row],[مقدار]]*INDEX(invoice[پیش دریافت به ازای هر کیلوگرم],MATCH(bargiri[[#This Row],[شماره سند مبنا]],invoice[شماره پیش فاکتور],0))</f>
        <v>#N/A</v>
      </c>
      <c r="K2381" s="159" t="e">
        <f>bargiri[[#This Row],[مبلغ خالص]]-bargiri[[#This Row],[میزان استهلاک پیش دریافتی]]</f>
        <v>#N/A</v>
      </c>
      <c r="L2381" s="160"/>
      <c r="M2381" s="159"/>
      <c r="N2381" s="159" t="e">
        <f>IF(bargiri[[#This Row],[مبلغ واریزی]]&lt;&gt;"",bargiri[[#This Row],[مانده مبلغ]]-bargiri[[#This Row],[مبلغ واریزی]],bargiri[[#This Row],[مانده مبلغ]])</f>
        <v>#N/A</v>
      </c>
      <c r="O2381" s="159"/>
      <c r="P2381" s="159" t="e">
        <f>VLOOKUP(bargiri[[#This Row],[شماره سند مبنا]],invoice[[شماره پیش فاکتور]:[پیش دریافت به ازای هر کیلوگرم]],14,0)</f>
        <v>#N/A</v>
      </c>
      <c r="Q2381" s="159" t="e">
        <f>IF(bargiri[[#This Row],[مبلغ ناخالص]]-(bargiri[[#This Row],[نرخ استهلاک]]*bargiri[[#This Row],[مقدار]])&lt;0,0,bargiri[[#This Row],[مبلغ ناخالص]]-(bargiri[[#This Row],[نرخ استهلاک]]*bargiri[[#This Row],[مقدار]]))</f>
        <v>#N/A</v>
      </c>
    </row>
    <row r="2382" spans="1:17" s="22" customFormat="1" ht="13.8" x14ac:dyDescent="0.25">
      <c r="A2382" s="22">
        <v>458</v>
      </c>
      <c r="B2382" s="22" t="s">
        <v>103</v>
      </c>
      <c r="C2382" s="22" t="s">
        <v>75</v>
      </c>
      <c r="D2382" s="22" t="s">
        <v>73</v>
      </c>
      <c r="E2382" s="158">
        <v>21160</v>
      </c>
      <c r="F2382" s="159">
        <v>56881</v>
      </c>
      <c r="G2382" s="159">
        <v>1203601960</v>
      </c>
      <c r="H2382" s="159">
        <v>108324176</v>
      </c>
      <c r="I2382" s="159">
        <v>1311926136</v>
      </c>
      <c r="J2382" s="159" t="e">
        <f>bargiri[[#This Row],[مقدار]]*INDEX(invoice[پیش دریافت به ازای هر کیلوگرم],MATCH(bargiri[[#This Row],[شماره سند مبنا]],invoice[شماره پیش فاکتور],0))</f>
        <v>#N/A</v>
      </c>
      <c r="K2382" s="159" t="e">
        <f>bargiri[[#This Row],[مبلغ خالص]]-bargiri[[#This Row],[میزان استهلاک پیش دریافتی]]</f>
        <v>#N/A</v>
      </c>
      <c r="L2382" s="160"/>
      <c r="M2382" s="159"/>
      <c r="N2382" s="159" t="e">
        <f>IF(bargiri[[#This Row],[مبلغ واریزی]]&lt;&gt;"",bargiri[[#This Row],[مانده مبلغ]]-bargiri[[#This Row],[مبلغ واریزی]],bargiri[[#This Row],[مانده مبلغ]])</f>
        <v>#N/A</v>
      </c>
      <c r="O2382" s="159"/>
      <c r="P2382" s="159" t="e">
        <f>VLOOKUP(bargiri[[#This Row],[شماره سند مبنا]],invoice[[شماره پیش فاکتور]:[پیش دریافت به ازای هر کیلوگرم]],14,0)</f>
        <v>#N/A</v>
      </c>
      <c r="Q2382" s="159" t="e">
        <f>IF(bargiri[[#This Row],[مبلغ ناخالص]]-(bargiri[[#This Row],[نرخ استهلاک]]*bargiri[[#This Row],[مقدار]])&lt;0,0,bargiri[[#This Row],[مبلغ ناخالص]]-(bargiri[[#This Row],[نرخ استهلاک]]*bargiri[[#This Row],[مقدار]]))</f>
        <v>#N/A</v>
      </c>
    </row>
    <row r="2383" spans="1:17" s="22" customFormat="1" ht="13.8" x14ac:dyDescent="0.25">
      <c r="A2383" s="22">
        <v>457</v>
      </c>
      <c r="B2383" s="22" t="s">
        <v>103</v>
      </c>
      <c r="C2383" s="22" t="s">
        <v>66</v>
      </c>
      <c r="D2383" s="22" t="s">
        <v>67</v>
      </c>
      <c r="E2383" s="158">
        <v>7920</v>
      </c>
      <c r="F2383" s="159">
        <v>68500</v>
      </c>
      <c r="G2383" s="159">
        <v>542520000</v>
      </c>
      <c r="H2383" s="159">
        <v>48826800</v>
      </c>
      <c r="I2383" s="159">
        <v>591346800</v>
      </c>
      <c r="J2383" s="159" t="e">
        <f>bargiri[[#This Row],[مقدار]]*INDEX(invoice[پیش دریافت به ازای هر کیلوگرم],MATCH(bargiri[[#This Row],[شماره سند مبنا]],invoice[شماره پیش فاکتور],0))</f>
        <v>#N/A</v>
      </c>
      <c r="K2383" s="159" t="e">
        <f>bargiri[[#This Row],[مبلغ خالص]]-bargiri[[#This Row],[میزان استهلاک پیش دریافتی]]</f>
        <v>#N/A</v>
      </c>
      <c r="L2383" s="160"/>
      <c r="M2383" s="159"/>
      <c r="N2383" s="159" t="e">
        <f>IF(bargiri[[#This Row],[مبلغ واریزی]]&lt;&gt;"",bargiri[[#This Row],[مانده مبلغ]]-bargiri[[#This Row],[مبلغ واریزی]],bargiri[[#This Row],[مانده مبلغ]])</f>
        <v>#N/A</v>
      </c>
      <c r="O2383" s="159"/>
      <c r="P2383" s="159" t="e">
        <f>VLOOKUP(bargiri[[#This Row],[شماره سند مبنا]],invoice[[شماره پیش فاکتور]:[پیش دریافت به ازای هر کیلوگرم]],14,0)</f>
        <v>#N/A</v>
      </c>
      <c r="Q2383" s="159" t="e">
        <f>IF(bargiri[[#This Row],[مبلغ ناخالص]]-(bargiri[[#This Row],[نرخ استهلاک]]*bargiri[[#This Row],[مقدار]])&lt;0,0,bargiri[[#This Row],[مبلغ ناخالص]]-(bargiri[[#This Row],[نرخ استهلاک]]*bargiri[[#This Row],[مقدار]]))</f>
        <v>#N/A</v>
      </c>
    </row>
    <row r="2384" spans="1:17" s="22" customFormat="1" ht="13.8" x14ac:dyDescent="0.25">
      <c r="A2384" s="22">
        <v>456</v>
      </c>
      <c r="B2384" s="22" t="s">
        <v>103</v>
      </c>
      <c r="C2384" s="22" t="s">
        <v>16</v>
      </c>
      <c r="D2384" s="22" t="s">
        <v>17</v>
      </c>
      <c r="E2384" s="158">
        <v>19860</v>
      </c>
      <c r="F2384" s="159">
        <v>77000</v>
      </c>
      <c r="G2384" s="159">
        <v>1529220000</v>
      </c>
      <c r="H2384" s="159">
        <v>137629800</v>
      </c>
      <c r="I2384" s="159">
        <v>1666849800</v>
      </c>
      <c r="J2384" s="159" t="e">
        <f>bargiri[[#This Row],[مقدار]]*INDEX(invoice[پیش دریافت به ازای هر کیلوگرم],MATCH(bargiri[[#This Row],[شماره سند مبنا]],invoice[شماره پیش فاکتور],0))</f>
        <v>#N/A</v>
      </c>
      <c r="K2384" s="159" t="e">
        <f>bargiri[[#This Row],[مبلغ خالص]]-bargiri[[#This Row],[میزان استهلاک پیش دریافتی]]</f>
        <v>#N/A</v>
      </c>
      <c r="L2384" s="160"/>
      <c r="M2384" s="159"/>
      <c r="N2384" s="159" t="e">
        <f>IF(bargiri[[#This Row],[مبلغ واریزی]]&lt;&gt;"",bargiri[[#This Row],[مانده مبلغ]]-bargiri[[#This Row],[مبلغ واریزی]],bargiri[[#This Row],[مانده مبلغ]])</f>
        <v>#N/A</v>
      </c>
      <c r="O2384" s="159"/>
      <c r="P2384" s="159" t="e">
        <f>VLOOKUP(bargiri[[#This Row],[شماره سند مبنا]],invoice[[شماره پیش فاکتور]:[پیش دریافت به ازای هر کیلوگرم]],14,0)</f>
        <v>#N/A</v>
      </c>
      <c r="Q2384" s="159" t="e">
        <f>IF(bargiri[[#This Row],[مبلغ ناخالص]]-(bargiri[[#This Row],[نرخ استهلاک]]*bargiri[[#This Row],[مقدار]])&lt;0,0,bargiri[[#This Row],[مبلغ ناخالص]]-(bargiri[[#This Row],[نرخ استهلاک]]*bargiri[[#This Row],[مقدار]]))</f>
        <v>#N/A</v>
      </c>
    </row>
    <row r="2385" spans="1:17" s="22" customFormat="1" ht="13.8" x14ac:dyDescent="0.25">
      <c r="A2385" s="22">
        <v>455</v>
      </c>
      <c r="B2385" s="22" t="s">
        <v>103</v>
      </c>
      <c r="C2385" s="22" t="s">
        <v>66</v>
      </c>
      <c r="D2385" s="22" t="s">
        <v>67</v>
      </c>
      <c r="E2385" s="158">
        <v>20980</v>
      </c>
      <c r="F2385" s="159">
        <v>68500</v>
      </c>
      <c r="G2385" s="159">
        <v>1437130000</v>
      </c>
      <c r="H2385" s="159">
        <v>129341700</v>
      </c>
      <c r="I2385" s="159">
        <v>1566471700</v>
      </c>
      <c r="J2385" s="159" t="e">
        <f>bargiri[[#This Row],[مقدار]]*INDEX(invoice[پیش دریافت به ازای هر کیلوگرم],MATCH(bargiri[[#This Row],[شماره سند مبنا]],invoice[شماره پیش فاکتور],0))</f>
        <v>#N/A</v>
      </c>
      <c r="K2385" s="159" t="e">
        <f>bargiri[[#This Row],[مبلغ خالص]]-bargiri[[#This Row],[میزان استهلاک پیش دریافتی]]</f>
        <v>#N/A</v>
      </c>
      <c r="L2385" s="160"/>
      <c r="M2385" s="159"/>
      <c r="N2385" s="159" t="e">
        <f>IF(bargiri[[#This Row],[مبلغ واریزی]]&lt;&gt;"",bargiri[[#This Row],[مانده مبلغ]]-bargiri[[#This Row],[مبلغ واریزی]],bargiri[[#This Row],[مانده مبلغ]])</f>
        <v>#N/A</v>
      </c>
      <c r="O2385" s="159"/>
      <c r="P2385" s="159" t="e">
        <f>VLOOKUP(bargiri[[#This Row],[شماره سند مبنا]],invoice[[شماره پیش فاکتور]:[پیش دریافت به ازای هر کیلوگرم]],14,0)</f>
        <v>#N/A</v>
      </c>
      <c r="Q2385" s="159" t="e">
        <f>IF(bargiri[[#This Row],[مبلغ ناخالص]]-(bargiri[[#This Row],[نرخ استهلاک]]*bargiri[[#This Row],[مقدار]])&lt;0,0,bargiri[[#This Row],[مبلغ ناخالص]]-(bargiri[[#This Row],[نرخ استهلاک]]*bargiri[[#This Row],[مقدار]]))</f>
        <v>#N/A</v>
      </c>
    </row>
    <row r="2386" spans="1:17" s="22" customFormat="1" ht="13.8" x14ac:dyDescent="0.25">
      <c r="A2386" s="22">
        <v>454</v>
      </c>
      <c r="B2386" s="22" t="s">
        <v>103</v>
      </c>
      <c r="C2386" s="22" t="s">
        <v>19</v>
      </c>
      <c r="D2386" s="22" t="s">
        <v>20</v>
      </c>
      <c r="E2386" s="158">
        <v>18160</v>
      </c>
      <c r="F2386" s="159">
        <v>65000</v>
      </c>
      <c r="G2386" s="159">
        <v>1180400000</v>
      </c>
      <c r="H2386" s="159">
        <v>106236000</v>
      </c>
      <c r="I2386" s="159">
        <v>1286636000</v>
      </c>
      <c r="J2386" s="159" t="e">
        <f>bargiri[[#This Row],[مقدار]]*INDEX(invoice[پیش دریافت به ازای هر کیلوگرم],MATCH(bargiri[[#This Row],[شماره سند مبنا]],invoice[شماره پیش فاکتور],0))</f>
        <v>#N/A</v>
      </c>
      <c r="K2386" s="159" t="e">
        <f>bargiri[[#This Row],[مبلغ خالص]]-bargiri[[#This Row],[میزان استهلاک پیش دریافتی]]</f>
        <v>#N/A</v>
      </c>
      <c r="L2386" s="160"/>
      <c r="M2386" s="159"/>
      <c r="N2386" s="159" t="e">
        <f>IF(bargiri[[#This Row],[مبلغ واریزی]]&lt;&gt;"",bargiri[[#This Row],[مانده مبلغ]]-bargiri[[#This Row],[مبلغ واریزی]],bargiri[[#This Row],[مانده مبلغ]])</f>
        <v>#N/A</v>
      </c>
      <c r="O2386" s="159"/>
      <c r="P2386" s="159" t="e">
        <f>VLOOKUP(bargiri[[#This Row],[شماره سند مبنا]],invoice[[شماره پیش فاکتور]:[پیش دریافت به ازای هر کیلوگرم]],14,0)</f>
        <v>#N/A</v>
      </c>
      <c r="Q2386" s="159" t="e">
        <f>IF(bargiri[[#This Row],[مبلغ ناخالص]]-(bargiri[[#This Row],[نرخ استهلاک]]*bargiri[[#This Row],[مقدار]])&lt;0,0,bargiri[[#This Row],[مبلغ ناخالص]]-(bargiri[[#This Row],[نرخ استهلاک]]*bargiri[[#This Row],[مقدار]]))</f>
        <v>#N/A</v>
      </c>
    </row>
    <row r="2387" spans="1:17" s="22" customFormat="1" ht="13.8" x14ac:dyDescent="0.25">
      <c r="A2387" s="22">
        <v>453</v>
      </c>
      <c r="B2387" s="22" t="s">
        <v>551</v>
      </c>
      <c r="C2387" s="22" t="s">
        <v>99</v>
      </c>
      <c r="D2387" s="22" t="s">
        <v>64</v>
      </c>
      <c r="E2387" s="158">
        <v>22660</v>
      </c>
      <c r="F2387" s="159">
        <v>75000</v>
      </c>
      <c r="G2387" s="159">
        <v>1699500000</v>
      </c>
      <c r="H2387" s="159">
        <v>169950000</v>
      </c>
      <c r="I2387" s="159">
        <v>1869450000</v>
      </c>
      <c r="J2387" s="159" t="e">
        <f>bargiri[[#This Row],[مقدار]]*INDEX(invoice[پیش دریافت به ازای هر کیلوگرم],MATCH(bargiri[[#This Row],[شماره سند مبنا]],invoice[شماره پیش فاکتور],0))</f>
        <v>#N/A</v>
      </c>
      <c r="K2387" s="159" t="e">
        <f>bargiri[[#This Row],[مبلغ خالص]]-bargiri[[#This Row],[میزان استهلاک پیش دریافتی]]</f>
        <v>#N/A</v>
      </c>
      <c r="L2387" s="160"/>
      <c r="M2387" s="159"/>
      <c r="N2387" s="159" t="e">
        <f>IF(bargiri[[#This Row],[مبلغ واریزی]]&lt;&gt;"",bargiri[[#This Row],[مانده مبلغ]]-bargiri[[#This Row],[مبلغ واریزی]],bargiri[[#This Row],[مانده مبلغ]])</f>
        <v>#N/A</v>
      </c>
      <c r="O2387" s="159"/>
      <c r="P2387" s="159" t="e">
        <f>VLOOKUP(bargiri[[#This Row],[شماره سند مبنا]],invoice[[شماره پیش فاکتور]:[پیش دریافت به ازای هر کیلوگرم]],14,0)</f>
        <v>#N/A</v>
      </c>
      <c r="Q2387" s="159" t="e">
        <f>IF(bargiri[[#This Row],[مبلغ ناخالص]]-(bargiri[[#This Row],[نرخ استهلاک]]*bargiri[[#This Row],[مقدار]])&lt;0,0,bargiri[[#This Row],[مبلغ ناخالص]]-(bargiri[[#This Row],[نرخ استهلاک]]*bargiri[[#This Row],[مقدار]]))</f>
        <v>#N/A</v>
      </c>
    </row>
    <row r="2388" spans="1:17" s="22" customFormat="1" ht="13.8" x14ac:dyDescent="0.25">
      <c r="A2388" s="22">
        <v>452</v>
      </c>
      <c r="B2388" s="22" t="s">
        <v>551</v>
      </c>
      <c r="C2388" s="22" t="s">
        <v>29</v>
      </c>
      <c r="D2388" s="22" t="s">
        <v>30</v>
      </c>
      <c r="E2388" s="158">
        <v>12680</v>
      </c>
      <c r="F2388" s="159">
        <v>70000</v>
      </c>
      <c r="G2388" s="159">
        <v>887600000</v>
      </c>
      <c r="H2388" s="159">
        <v>88760000</v>
      </c>
      <c r="I2388" s="159">
        <v>976360000</v>
      </c>
      <c r="J2388" s="159" t="e">
        <f>bargiri[[#This Row],[مقدار]]*INDEX(invoice[پیش دریافت به ازای هر کیلوگرم],MATCH(bargiri[[#This Row],[شماره سند مبنا]],invoice[شماره پیش فاکتور],0))</f>
        <v>#N/A</v>
      </c>
      <c r="K2388" s="159" t="e">
        <f>bargiri[[#This Row],[مبلغ خالص]]-bargiri[[#This Row],[میزان استهلاک پیش دریافتی]]</f>
        <v>#N/A</v>
      </c>
      <c r="L2388" s="160"/>
      <c r="M2388" s="159"/>
      <c r="N2388" s="159" t="e">
        <f>IF(bargiri[[#This Row],[مبلغ واریزی]]&lt;&gt;"",bargiri[[#This Row],[مانده مبلغ]]-bargiri[[#This Row],[مبلغ واریزی]],bargiri[[#This Row],[مانده مبلغ]])</f>
        <v>#N/A</v>
      </c>
      <c r="O2388" s="159"/>
      <c r="P2388" s="159" t="e">
        <f>VLOOKUP(bargiri[[#This Row],[شماره سند مبنا]],invoice[[شماره پیش فاکتور]:[پیش دریافت به ازای هر کیلوگرم]],14,0)</f>
        <v>#N/A</v>
      </c>
      <c r="Q2388" s="159" t="e">
        <f>IF(bargiri[[#This Row],[مبلغ ناخالص]]-(bargiri[[#This Row],[نرخ استهلاک]]*bargiri[[#This Row],[مقدار]])&lt;0,0,bargiri[[#This Row],[مبلغ ناخالص]]-(bargiri[[#This Row],[نرخ استهلاک]]*bargiri[[#This Row],[مقدار]]))</f>
        <v>#N/A</v>
      </c>
    </row>
    <row r="2389" spans="1:17" s="22" customFormat="1" ht="13.8" x14ac:dyDescent="0.25">
      <c r="A2389" s="22">
        <v>451</v>
      </c>
      <c r="B2389" s="22" t="s">
        <v>551</v>
      </c>
      <c r="C2389" s="22" t="s">
        <v>66</v>
      </c>
      <c r="D2389" s="22" t="s">
        <v>67</v>
      </c>
      <c r="E2389" s="158">
        <v>20840</v>
      </c>
      <c r="F2389" s="159">
        <v>68500</v>
      </c>
      <c r="G2389" s="159">
        <v>1427540000</v>
      </c>
      <c r="H2389" s="159">
        <v>128478600</v>
      </c>
      <c r="I2389" s="159">
        <v>1556018600</v>
      </c>
      <c r="J2389" s="159" t="e">
        <f>bargiri[[#This Row],[مقدار]]*INDEX(invoice[پیش دریافت به ازای هر کیلوگرم],MATCH(bargiri[[#This Row],[شماره سند مبنا]],invoice[شماره پیش فاکتور],0))</f>
        <v>#N/A</v>
      </c>
      <c r="K2389" s="159" t="e">
        <f>bargiri[[#This Row],[مبلغ خالص]]-bargiri[[#This Row],[میزان استهلاک پیش دریافتی]]</f>
        <v>#N/A</v>
      </c>
      <c r="L2389" s="160"/>
      <c r="M2389" s="159"/>
      <c r="N2389" s="159" t="e">
        <f>IF(bargiri[[#This Row],[مبلغ واریزی]]&lt;&gt;"",bargiri[[#This Row],[مانده مبلغ]]-bargiri[[#This Row],[مبلغ واریزی]],bargiri[[#This Row],[مانده مبلغ]])</f>
        <v>#N/A</v>
      </c>
      <c r="O2389" s="159"/>
      <c r="P2389" s="159" t="e">
        <f>VLOOKUP(bargiri[[#This Row],[شماره سند مبنا]],invoice[[شماره پیش فاکتور]:[پیش دریافت به ازای هر کیلوگرم]],14,0)</f>
        <v>#N/A</v>
      </c>
      <c r="Q2389" s="159" t="e">
        <f>IF(bargiri[[#This Row],[مبلغ ناخالص]]-(bargiri[[#This Row],[نرخ استهلاک]]*bargiri[[#This Row],[مقدار]])&lt;0,0,bargiri[[#This Row],[مبلغ ناخالص]]-(bargiri[[#This Row],[نرخ استهلاک]]*bargiri[[#This Row],[مقدار]]))</f>
        <v>#N/A</v>
      </c>
    </row>
    <row r="2390" spans="1:17" s="22" customFormat="1" ht="13.8" x14ac:dyDescent="0.25">
      <c r="A2390" s="22">
        <v>450</v>
      </c>
      <c r="B2390" s="22" t="s">
        <v>551</v>
      </c>
      <c r="C2390" s="22" t="s">
        <v>69</v>
      </c>
      <c r="D2390" s="22" t="s">
        <v>70</v>
      </c>
      <c r="E2390" s="158">
        <v>19100</v>
      </c>
      <c r="F2390" s="159">
        <v>70000</v>
      </c>
      <c r="G2390" s="159">
        <v>1337000000</v>
      </c>
      <c r="H2390" s="159">
        <v>120330000</v>
      </c>
      <c r="I2390" s="159">
        <v>1457330000</v>
      </c>
      <c r="J2390" s="159" t="e">
        <f>bargiri[[#This Row],[مقدار]]*INDEX(invoice[پیش دریافت به ازای هر کیلوگرم],MATCH(bargiri[[#This Row],[شماره سند مبنا]],invoice[شماره پیش فاکتور],0))</f>
        <v>#N/A</v>
      </c>
      <c r="K2390" s="159" t="e">
        <f>bargiri[[#This Row],[مبلغ خالص]]-bargiri[[#This Row],[میزان استهلاک پیش دریافتی]]</f>
        <v>#N/A</v>
      </c>
      <c r="L2390" s="160"/>
      <c r="M2390" s="159"/>
      <c r="N2390" s="159" t="e">
        <f>IF(bargiri[[#This Row],[مبلغ واریزی]]&lt;&gt;"",bargiri[[#This Row],[مانده مبلغ]]-bargiri[[#This Row],[مبلغ واریزی]],bargiri[[#This Row],[مانده مبلغ]])</f>
        <v>#N/A</v>
      </c>
      <c r="O2390" s="159"/>
      <c r="P2390" s="159" t="e">
        <f>VLOOKUP(bargiri[[#This Row],[شماره سند مبنا]],invoice[[شماره پیش فاکتور]:[پیش دریافت به ازای هر کیلوگرم]],14,0)</f>
        <v>#N/A</v>
      </c>
      <c r="Q2390" s="159" t="e">
        <f>IF(bargiri[[#This Row],[مبلغ ناخالص]]-(bargiri[[#This Row],[نرخ استهلاک]]*bargiri[[#This Row],[مقدار]])&lt;0,0,bargiri[[#This Row],[مبلغ ناخالص]]-(bargiri[[#This Row],[نرخ استهلاک]]*bargiri[[#This Row],[مقدار]]))</f>
        <v>#N/A</v>
      </c>
    </row>
    <row r="2391" spans="1:17" s="22" customFormat="1" ht="13.8" x14ac:dyDescent="0.25">
      <c r="A2391" s="22">
        <v>449</v>
      </c>
      <c r="B2391" s="22" t="s">
        <v>551</v>
      </c>
      <c r="C2391" s="22" t="s">
        <v>19</v>
      </c>
      <c r="D2391" s="22" t="s">
        <v>20</v>
      </c>
      <c r="E2391" s="158">
        <v>18450</v>
      </c>
      <c r="F2391" s="159">
        <v>65000</v>
      </c>
      <c r="G2391" s="159">
        <v>1199250000</v>
      </c>
      <c r="H2391" s="159">
        <v>107932500</v>
      </c>
      <c r="I2391" s="159">
        <v>1307182500</v>
      </c>
      <c r="J2391" s="159" t="e">
        <f>bargiri[[#This Row],[مقدار]]*INDEX(invoice[پیش دریافت به ازای هر کیلوگرم],MATCH(bargiri[[#This Row],[شماره سند مبنا]],invoice[شماره پیش فاکتور],0))</f>
        <v>#N/A</v>
      </c>
      <c r="K2391" s="159" t="e">
        <f>bargiri[[#This Row],[مبلغ خالص]]-bargiri[[#This Row],[میزان استهلاک پیش دریافتی]]</f>
        <v>#N/A</v>
      </c>
      <c r="L2391" s="160"/>
      <c r="M2391" s="159"/>
      <c r="N2391" s="159" t="e">
        <f>IF(bargiri[[#This Row],[مبلغ واریزی]]&lt;&gt;"",bargiri[[#This Row],[مانده مبلغ]]-bargiri[[#This Row],[مبلغ واریزی]],bargiri[[#This Row],[مانده مبلغ]])</f>
        <v>#N/A</v>
      </c>
      <c r="O2391" s="159"/>
      <c r="P2391" s="159" t="e">
        <f>VLOOKUP(bargiri[[#This Row],[شماره سند مبنا]],invoice[[شماره پیش فاکتور]:[پیش دریافت به ازای هر کیلوگرم]],14,0)</f>
        <v>#N/A</v>
      </c>
      <c r="Q2391" s="159" t="e">
        <f>IF(bargiri[[#This Row],[مبلغ ناخالص]]-(bargiri[[#This Row],[نرخ استهلاک]]*bargiri[[#This Row],[مقدار]])&lt;0,0,bargiri[[#This Row],[مبلغ ناخالص]]-(bargiri[[#This Row],[نرخ استهلاک]]*bargiri[[#This Row],[مقدار]]))</f>
        <v>#N/A</v>
      </c>
    </row>
    <row r="2392" spans="1:17" s="22" customFormat="1" ht="13.8" x14ac:dyDescent="0.25">
      <c r="A2392" s="22">
        <v>448</v>
      </c>
      <c r="B2392" s="22" t="s">
        <v>551</v>
      </c>
      <c r="C2392" s="22" t="s">
        <v>97</v>
      </c>
      <c r="D2392" s="22" t="s">
        <v>40</v>
      </c>
      <c r="E2392" s="158">
        <v>18670</v>
      </c>
      <c r="F2392" s="159">
        <v>85000</v>
      </c>
      <c r="G2392" s="159">
        <v>1586950000</v>
      </c>
      <c r="H2392" s="159">
        <v>158695000</v>
      </c>
      <c r="I2392" s="159">
        <v>1745645000</v>
      </c>
      <c r="J2392" s="159" t="e">
        <f>bargiri[[#This Row],[مقدار]]*INDEX(invoice[پیش دریافت به ازای هر کیلوگرم],MATCH(bargiri[[#This Row],[شماره سند مبنا]],invoice[شماره پیش فاکتور],0))</f>
        <v>#N/A</v>
      </c>
      <c r="K2392" s="159" t="e">
        <f>bargiri[[#This Row],[مبلغ خالص]]-bargiri[[#This Row],[میزان استهلاک پیش دریافتی]]</f>
        <v>#N/A</v>
      </c>
      <c r="L2392" s="160"/>
      <c r="M2392" s="159"/>
      <c r="N2392" s="159" t="e">
        <f>IF(bargiri[[#This Row],[مبلغ واریزی]]&lt;&gt;"",bargiri[[#This Row],[مانده مبلغ]]-bargiri[[#This Row],[مبلغ واریزی]],bargiri[[#This Row],[مانده مبلغ]])</f>
        <v>#N/A</v>
      </c>
      <c r="O2392" s="159"/>
      <c r="P2392" s="159" t="e">
        <f>VLOOKUP(bargiri[[#This Row],[شماره سند مبنا]],invoice[[شماره پیش فاکتور]:[پیش دریافت به ازای هر کیلوگرم]],14,0)</f>
        <v>#N/A</v>
      </c>
      <c r="Q2392" s="159" t="e">
        <f>IF(bargiri[[#This Row],[مبلغ ناخالص]]-(bargiri[[#This Row],[نرخ استهلاک]]*bargiri[[#This Row],[مقدار]])&lt;0,0,bargiri[[#This Row],[مبلغ ناخالص]]-(bargiri[[#This Row],[نرخ استهلاک]]*bargiri[[#This Row],[مقدار]]))</f>
        <v>#N/A</v>
      </c>
    </row>
    <row r="2393" spans="1:17" s="22" customFormat="1" ht="13.8" x14ac:dyDescent="0.25">
      <c r="A2393" s="22">
        <v>447</v>
      </c>
      <c r="B2393" s="22" t="s">
        <v>559</v>
      </c>
      <c r="C2393" s="22" t="s">
        <v>29</v>
      </c>
      <c r="D2393" s="22" t="s">
        <v>30</v>
      </c>
      <c r="E2393" s="158">
        <v>9810</v>
      </c>
      <c r="F2393" s="159">
        <v>70000</v>
      </c>
      <c r="G2393" s="159">
        <v>686700000</v>
      </c>
      <c r="H2393" s="159">
        <v>68670000</v>
      </c>
      <c r="I2393" s="159">
        <v>755370000</v>
      </c>
      <c r="J2393" s="159" t="e">
        <f>bargiri[[#This Row],[مقدار]]*INDEX(invoice[پیش دریافت به ازای هر کیلوگرم],MATCH(bargiri[[#This Row],[شماره سند مبنا]],invoice[شماره پیش فاکتور],0))</f>
        <v>#N/A</v>
      </c>
      <c r="K2393" s="159" t="e">
        <f>bargiri[[#This Row],[مبلغ خالص]]-bargiri[[#This Row],[میزان استهلاک پیش دریافتی]]</f>
        <v>#N/A</v>
      </c>
      <c r="L2393" s="160"/>
      <c r="M2393" s="159"/>
      <c r="N2393" s="159" t="e">
        <f>IF(bargiri[[#This Row],[مبلغ واریزی]]&lt;&gt;"",bargiri[[#This Row],[مانده مبلغ]]-bargiri[[#This Row],[مبلغ واریزی]],bargiri[[#This Row],[مانده مبلغ]])</f>
        <v>#N/A</v>
      </c>
      <c r="O2393" s="159"/>
      <c r="P2393" s="159" t="e">
        <f>VLOOKUP(bargiri[[#This Row],[شماره سند مبنا]],invoice[[شماره پیش فاکتور]:[پیش دریافت به ازای هر کیلوگرم]],14,0)</f>
        <v>#N/A</v>
      </c>
      <c r="Q2393" s="159" t="e">
        <f>IF(bargiri[[#This Row],[مبلغ ناخالص]]-(bargiri[[#This Row],[نرخ استهلاک]]*bargiri[[#This Row],[مقدار]])&lt;0,0,bargiri[[#This Row],[مبلغ ناخالص]]-(bargiri[[#This Row],[نرخ استهلاک]]*bargiri[[#This Row],[مقدار]]))</f>
        <v>#N/A</v>
      </c>
    </row>
    <row r="2394" spans="1:17" s="22" customFormat="1" ht="13.8" x14ac:dyDescent="0.25">
      <c r="A2394" s="22">
        <v>446</v>
      </c>
      <c r="B2394" s="22" t="s">
        <v>559</v>
      </c>
      <c r="C2394" s="22" t="s">
        <v>29</v>
      </c>
      <c r="D2394" s="22" t="s">
        <v>30</v>
      </c>
      <c r="E2394" s="158">
        <v>8290</v>
      </c>
      <c r="F2394" s="159">
        <v>70000</v>
      </c>
      <c r="G2394" s="159">
        <v>580300000</v>
      </c>
      <c r="H2394" s="159">
        <v>58030000</v>
      </c>
      <c r="I2394" s="159">
        <v>638330000</v>
      </c>
      <c r="J2394" s="159" t="e">
        <f>bargiri[[#This Row],[مقدار]]*INDEX(invoice[پیش دریافت به ازای هر کیلوگرم],MATCH(bargiri[[#This Row],[شماره سند مبنا]],invoice[شماره پیش فاکتور],0))</f>
        <v>#N/A</v>
      </c>
      <c r="K2394" s="159" t="e">
        <f>bargiri[[#This Row],[مبلغ خالص]]-bargiri[[#This Row],[میزان استهلاک پیش دریافتی]]</f>
        <v>#N/A</v>
      </c>
      <c r="L2394" s="160"/>
      <c r="M2394" s="159"/>
      <c r="N2394" s="159" t="e">
        <f>IF(bargiri[[#This Row],[مبلغ واریزی]]&lt;&gt;"",bargiri[[#This Row],[مانده مبلغ]]-bargiri[[#This Row],[مبلغ واریزی]],bargiri[[#This Row],[مانده مبلغ]])</f>
        <v>#N/A</v>
      </c>
      <c r="O2394" s="159"/>
      <c r="P2394" s="159" t="e">
        <f>VLOOKUP(bargiri[[#This Row],[شماره سند مبنا]],invoice[[شماره پیش فاکتور]:[پیش دریافت به ازای هر کیلوگرم]],14,0)</f>
        <v>#N/A</v>
      </c>
      <c r="Q2394" s="159" t="e">
        <f>IF(bargiri[[#This Row],[مبلغ ناخالص]]-(bargiri[[#This Row],[نرخ استهلاک]]*bargiri[[#This Row],[مقدار]])&lt;0,0,bargiri[[#This Row],[مبلغ ناخالص]]-(bargiri[[#This Row],[نرخ استهلاک]]*bargiri[[#This Row],[مقدار]]))</f>
        <v>#N/A</v>
      </c>
    </row>
    <row r="2395" spans="1:17" s="22" customFormat="1" ht="13.8" x14ac:dyDescent="0.25">
      <c r="A2395" s="22">
        <v>445</v>
      </c>
      <c r="B2395" s="22" t="s">
        <v>559</v>
      </c>
      <c r="C2395" s="22" t="s">
        <v>19</v>
      </c>
      <c r="D2395" s="22" t="s">
        <v>20</v>
      </c>
      <c r="E2395" s="158">
        <v>17700</v>
      </c>
      <c r="F2395" s="159">
        <v>65000</v>
      </c>
      <c r="G2395" s="159">
        <v>1150500000</v>
      </c>
      <c r="H2395" s="159">
        <v>103545000</v>
      </c>
      <c r="I2395" s="159">
        <v>1254045000</v>
      </c>
      <c r="J2395" s="159" t="e">
        <f>bargiri[[#This Row],[مقدار]]*INDEX(invoice[پیش دریافت به ازای هر کیلوگرم],MATCH(bargiri[[#This Row],[شماره سند مبنا]],invoice[شماره پیش فاکتور],0))</f>
        <v>#N/A</v>
      </c>
      <c r="K2395" s="159" t="e">
        <f>bargiri[[#This Row],[مبلغ خالص]]-bargiri[[#This Row],[میزان استهلاک پیش دریافتی]]</f>
        <v>#N/A</v>
      </c>
      <c r="L2395" s="160"/>
      <c r="M2395" s="159"/>
      <c r="N2395" s="159" t="e">
        <f>IF(bargiri[[#This Row],[مبلغ واریزی]]&lt;&gt;"",bargiri[[#This Row],[مانده مبلغ]]-bargiri[[#This Row],[مبلغ واریزی]],bargiri[[#This Row],[مانده مبلغ]])</f>
        <v>#N/A</v>
      </c>
      <c r="O2395" s="159"/>
      <c r="P2395" s="159" t="e">
        <f>VLOOKUP(bargiri[[#This Row],[شماره سند مبنا]],invoice[[شماره پیش فاکتور]:[پیش دریافت به ازای هر کیلوگرم]],14,0)</f>
        <v>#N/A</v>
      </c>
      <c r="Q2395" s="159" t="e">
        <f>IF(bargiri[[#This Row],[مبلغ ناخالص]]-(bargiri[[#This Row],[نرخ استهلاک]]*bargiri[[#This Row],[مقدار]])&lt;0,0,bargiri[[#This Row],[مبلغ ناخالص]]-(bargiri[[#This Row],[نرخ استهلاک]]*bargiri[[#This Row],[مقدار]]))</f>
        <v>#N/A</v>
      </c>
    </row>
    <row r="2396" spans="1:17" s="22" customFormat="1" ht="13.8" x14ac:dyDescent="0.25">
      <c r="A2396" s="22">
        <v>444</v>
      </c>
      <c r="B2396" s="22" t="s">
        <v>560</v>
      </c>
      <c r="C2396" s="22" t="s">
        <v>75</v>
      </c>
      <c r="D2396" s="22" t="s">
        <v>73</v>
      </c>
      <c r="E2396" s="158">
        <v>20120</v>
      </c>
      <c r="F2396" s="159">
        <v>56881</v>
      </c>
      <c r="G2396" s="159">
        <v>1144445720</v>
      </c>
      <c r="H2396" s="159">
        <v>103000115</v>
      </c>
      <c r="I2396" s="159">
        <v>1247445835</v>
      </c>
      <c r="J2396" s="159" t="e">
        <f>bargiri[[#This Row],[مقدار]]*INDEX(invoice[پیش دریافت به ازای هر کیلوگرم],MATCH(bargiri[[#This Row],[شماره سند مبنا]],invoice[شماره پیش فاکتور],0))</f>
        <v>#N/A</v>
      </c>
      <c r="K2396" s="159" t="e">
        <f>bargiri[[#This Row],[مبلغ خالص]]-bargiri[[#This Row],[میزان استهلاک پیش دریافتی]]</f>
        <v>#N/A</v>
      </c>
      <c r="L2396" s="160"/>
      <c r="M2396" s="159"/>
      <c r="N2396" s="159" t="e">
        <f>IF(bargiri[[#This Row],[مبلغ واریزی]]&lt;&gt;"",bargiri[[#This Row],[مانده مبلغ]]-bargiri[[#This Row],[مبلغ واریزی]],bargiri[[#This Row],[مانده مبلغ]])</f>
        <v>#N/A</v>
      </c>
      <c r="O2396" s="159"/>
      <c r="P2396" s="159" t="e">
        <f>VLOOKUP(bargiri[[#This Row],[شماره سند مبنا]],invoice[[شماره پیش فاکتور]:[پیش دریافت به ازای هر کیلوگرم]],14,0)</f>
        <v>#N/A</v>
      </c>
      <c r="Q2396" s="159" t="e">
        <f>IF(bargiri[[#This Row],[مبلغ ناخالص]]-(bargiri[[#This Row],[نرخ استهلاک]]*bargiri[[#This Row],[مقدار]])&lt;0,0,bargiri[[#This Row],[مبلغ ناخالص]]-(bargiri[[#This Row],[نرخ استهلاک]]*bargiri[[#This Row],[مقدار]]))</f>
        <v>#N/A</v>
      </c>
    </row>
    <row r="2397" spans="1:17" s="22" customFormat="1" ht="13.8" x14ac:dyDescent="0.25">
      <c r="A2397" s="22">
        <v>443</v>
      </c>
      <c r="B2397" s="22" t="s">
        <v>560</v>
      </c>
      <c r="C2397" s="22" t="s">
        <v>75</v>
      </c>
      <c r="D2397" s="22" t="s">
        <v>73</v>
      </c>
      <c r="E2397" s="158">
        <v>19810</v>
      </c>
      <c r="F2397" s="159">
        <v>56881</v>
      </c>
      <c r="G2397" s="159">
        <v>1126812610</v>
      </c>
      <c r="H2397" s="159">
        <v>101413135</v>
      </c>
      <c r="I2397" s="159">
        <v>1228225745</v>
      </c>
      <c r="J2397" s="159" t="e">
        <f>bargiri[[#This Row],[مقدار]]*INDEX(invoice[پیش دریافت به ازای هر کیلوگرم],MATCH(bargiri[[#This Row],[شماره سند مبنا]],invoice[شماره پیش فاکتور],0))</f>
        <v>#N/A</v>
      </c>
      <c r="K2397" s="159" t="e">
        <f>bargiri[[#This Row],[مبلغ خالص]]-bargiri[[#This Row],[میزان استهلاک پیش دریافتی]]</f>
        <v>#N/A</v>
      </c>
      <c r="L2397" s="160"/>
      <c r="M2397" s="159"/>
      <c r="N2397" s="159" t="e">
        <f>IF(bargiri[[#This Row],[مبلغ واریزی]]&lt;&gt;"",bargiri[[#This Row],[مانده مبلغ]]-bargiri[[#This Row],[مبلغ واریزی]],bargiri[[#This Row],[مانده مبلغ]])</f>
        <v>#N/A</v>
      </c>
      <c r="O2397" s="159"/>
      <c r="P2397" s="159" t="e">
        <f>VLOOKUP(bargiri[[#This Row],[شماره سند مبنا]],invoice[[شماره پیش فاکتور]:[پیش دریافت به ازای هر کیلوگرم]],14,0)</f>
        <v>#N/A</v>
      </c>
      <c r="Q2397" s="159" t="e">
        <f>IF(bargiri[[#This Row],[مبلغ ناخالص]]-(bargiri[[#This Row],[نرخ استهلاک]]*bargiri[[#This Row],[مقدار]])&lt;0,0,bargiri[[#This Row],[مبلغ ناخالص]]-(bargiri[[#This Row],[نرخ استهلاک]]*bargiri[[#This Row],[مقدار]]))</f>
        <v>#N/A</v>
      </c>
    </row>
    <row r="2398" spans="1:17" s="22" customFormat="1" ht="13.8" x14ac:dyDescent="0.25">
      <c r="A2398" s="22">
        <v>442</v>
      </c>
      <c r="B2398" s="22" t="s">
        <v>560</v>
      </c>
      <c r="C2398" s="22" t="s">
        <v>75</v>
      </c>
      <c r="D2398" s="22" t="s">
        <v>73</v>
      </c>
      <c r="E2398" s="158">
        <v>19870</v>
      </c>
      <c r="F2398" s="159">
        <v>56881</v>
      </c>
      <c r="G2398" s="159">
        <v>1130225470</v>
      </c>
      <c r="H2398" s="159">
        <v>101720292</v>
      </c>
      <c r="I2398" s="159">
        <v>1231945762</v>
      </c>
      <c r="J2398" s="159" t="e">
        <f>bargiri[[#This Row],[مقدار]]*INDEX(invoice[پیش دریافت به ازای هر کیلوگرم],MATCH(bargiri[[#This Row],[شماره سند مبنا]],invoice[شماره پیش فاکتور],0))</f>
        <v>#N/A</v>
      </c>
      <c r="K2398" s="159" t="e">
        <f>bargiri[[#This Row],[مبلغ خالص]]-bargiri[[#This Row],[میزان استهلاک پیش دریافتی]]</f>
        <v>#N/A</v>
      </c>
      <c r="L2398" s="160"/>
      <c r="M2398" s="159"/>
      <c r="N2398" s="159" t="e">
        <f>IF(bargiri[[#This Row],[مبلغ واریزی]]&lt;&gt;"",bargiri[[#This Row],[مانده مبلغ]]-bargiri[[#This Row],[مبلغ واریزی]],bargiri[[#This Row],[مانده مبلغ]])</f>
        <v>#N/A</v>
      </c>
      <c r="O2398" s="159"/>
      <c r="P2398" s="159" t="e">
        <f>VLOOKUP(bargiri[[#This Row],[شماره سند مبنا]],invoice[[شماره پیش فاکتور]:[پیش دریافت به ازای هر کیلوگرم]],14,0)</f>
        <v>#N/A</v>
      </c>
      <c r="Q2398" s="159" t="e">
        <f>IF(bargiri[[#This Row],[مبلغ ناخالص]]-(bargiri[[#This Row],[نرخ استهلاک]]*bargiri[[#This Row],[مقدار]])&lt;0,0,bargiri[[#This Row],[مبلغ ناخالص]]-(bargiri[[#This Row],[نرخ استهلاک]]*bargiri[[#This Row],[مقدار]]))</f>
        <v>#N/A</v>
      </c>
    </row>
    <row r="2399" spans="1:17" s="22" customFormat="1" ht="13.8" x14ac:dyDescent="0.25">
      <c r="A2399" s="22">
        <v>441</v>
      </c>
      <c r="B2399" s="22" t="s">
        <v>560</v>
      </c>
      <c r="C2399" s="22" t="s">
        <v>66</v>
      </c>
      <c r="D2399" s="22" t="s">
        <v>67</v>
      </c>
      <c r="E2399" s="158">
        <v>12120</v>
      </c>
      <c r="F2399" s="159">
        <v>68500</v>
      </c>
      <c r="G2399" s="159">
        <v>830220000</v>
      </c>
      <c r="H2399" s="159">
        <v>74719800</v>
      </c>
      <c r="I2399" s="159">
        <v>904939800</v>
      </c>
      <c r="J2399" s="159" t="e">
        <f>bargiri[[#This Row],[مقدار]]*INDEX(invoice[پیش دریافت به ازای هر کیلوگرم],MATCH(bargiri[[#This Row],[شماره سند مبنا]],invoice[شماره پیش فاکتور],0))</f>
        <v>#N/A</v>
      </c>
      <c r="K2399" s="159" t="e">
        <f>bargiri[[#This Row],[مبلغ خالص]]-bargiri[[#This Row],[میزان استهلاک پیش دریافتی]]</f>
        <v>#N/A</v>
      </c>
      <c r="L2399" s="160"/>
      <c r="M2399" s="159"/>
      <c r="N2399" s="159" t="e">
        <f>IF(bargiri[[#This Row],[مبلغ واریزی]]&lt;&gt;"",bargiri[[#This Row],[مانده مبلغ]]-bargiri[[#This Row],[مبلغ واریزی]],bargiri[[#This Row],[مانده مبلغ]])</f>
        <v>#N/A</v>
      </c>
      <c r="O2399" s="159"/>
      <c r="P2399" s="159" t="e">
        <f>VLOOKUP(bargiri[[#This Row],[شماره سند مبنا]],invoice[[شماره پیش فاکتور]:[پیش دریافت به ازای هر کیلوگرم]],14,0)</f>
        <v>#N/A</v>
      </c>
      <c r="Q2399" s="159" t="e">
        <f>IF(bargiri[[#This Row],[مبلغ ناخالص]]-(bargiri[[#This Row],[نرخ استهلاک]]*bargiri[[#This Row],[مقدار]])&lt;0,0,bargiri[[#This Row],[مبلغ ناخالص]]-(bargiri[[#This Row],[نرخ استهلاک]]*bargiri[[#This Row],[مقدار]]))</f>
        <v>#N/A</v>
      </c>
    </row>
    <row r="2400" spans="1:17" s="22" customFormat="1" ht="13.8" x14ac:dyDescent="0.25">
      <c r="A2400" s="22">
        <v>440</v>
      </c>
      <c r="B2400" s="22" t="s">
        <v>560</v>
      </c>
      <c r="C2400" s="22" t="s">
        <v>24</v>
      </c>
      <c r="D2400" s="22" t="s">
        <v>25</v>
      </c>
      <c r="E2400" s="158">
        <v>18160</v>
      </c>
      <c r="F2400" s="159">
        <v>68000</v>
      </c>
      <c r="G2400" s="159">
        <v>1234880000</v>
      </c>
      <c r="H2400" s="159">
        <v>111139200</v>
      </c>
      <c r="I2400" s="159">
        <v>1346019200</v>
      </c>
      <c r="J2400" s="159" t="e">
        <f>bargiri[[#This Row],[مقدار]]*INDEX(invoice[پیش دریافت به ازای هر کیلوگرم],MATCH(bargiri[[#This Row],[شماره سند مبنا]],invoice[شماره پیش فاکتور],0))</f>
        <v>#N/A</v>
      </c>
      <c r="K2400" s="159" t="e">
        <f>bargiri[[#This Row],[مبلغ خالص]]-bargiri[[#This Row],[میزان استهلاک پیش دریافتی]]</f>
        <v>#N/A</v>
      </c>
      <c r="L2400" s="160"/>
      <c r="M2400" s="159"/>
      <c r="N2400" s="159" t="e">
        <f>IF(bargiri[[#This Row],[مبلغ واریزی]]&lt;&gt;"",bargiri[[#This Row],[مانده مبلغ]]-bargiri[[#This Row],[مبلغ واریزی]],bargiri[[#This Row],[مانده مبلغ]])</f>
        <v>#N/A</v>
      </c>
      <c r="O2400" s="159"/>
      <c r="P2400" s="159" t="e">
        <f>VLOOKUP(bargiri[[#This Row],[شماره سند مبنا]],invoice[[شماره پیش فاکتور]:[پیش دریافت به ازای هر کیلوگرم]],14,0)</f>
        <v>#N/A</v>
      </c>
      <c r="Q2400" s="159" t="e">
        <f>IF(bargiri[[#This Row],[مبلغ ناخالص]]-(bargiri[[#This Row],[نرخ استهلاک]]*bargiri[[#This Row],[مقدار]])&lt;0,0,bargiri[[#This Row],[مبلغ ناخالص]]-(bargiri[[#This Row],[نرخ استهلاک]]*bargiri[[#This Row],[مقدار]]))</f>
        <v>#N/A</v>
      </c>
    </row>
    <row r="2401" spans="1:17" s="22" customFormat="1" ht="13.8" x14ac:dyDescent="0.25">
      <c r="A2401" s="22">
        <v>439</v>
      </c>
      <c r="B2401" s="22" t="s">
        <v>560</v>
      </c>
      <c r="C2401" s="22" t="s">
        <v>97</v>
      </c>
      <c r="D2401" s="22" t="s">
        <v>40</v>
      </c>
      <c r="E2401" s="158">
        <v>18070</v>
      </c>
      <c r="F2401" s="159">
        <v>85000</v>
      </c>
      <c r="G2401" s="159">
        <v>1535950000</v>
      </c>
      <c r="H2401" s="159">
        <v>153595000</v>
      </c>
      <c r="I2401" s="159">
        <v>1689545000</v>
      </c>
      <c r="J2401" s="159" t="e">
        <f>bargiri[[#This Row],[مقدار]]*INDEX(invoice[پیش دریافت به ازای هر کیلوگرم],MATCH(bargiri[[#This Row],[شماره سند مبنا]],invoice[شماره پیش فاکتور],0))</f>
        <v>#N/A</v>
      </c>
      <c r="K2401" s="159" t="e">
        <f>bargiri[[#This Row],[مبلغ خالص]]-bargiri[[#This Row],[میزان استهلاک پیش دریافتی]]</f>
        <v>#N/A</v>
      </c>
      <c r="L2401" s="160"/>
      <c r="M2401" s="159"/>
      <c r="N2401" s="159" t="e">
        <f>IF(bargiri[[#This Row],[مبلغ واریزی]]&lt;&gt;"",bargiri[[#This Row],[مانده مبلغ]]-bargiri[[#This Row],[مبلغ واریزی]],bargiri[[#This Row],[مانده مبلغ]])</f>
        <v>#N/A</v>
      </c>
      <c r="O2401" s="159"/>
      <c r="P2401" s="159" t="e">
        <f>VLOOKUP(bargiri[[#This Row],[شماره سند مبنا]],invoice[[شماره پیش فاکتور]:[پیش دریافت به ازای هر کیلوگرم]],14,0)</f>
        <v>#N/A</v>
      </c>
      <c r="Q2401" s="159" t="e">
        <f>IF(bargiri[[#This Row],[مبلغ ناخالص]]-(bargiri[[#This Row],[نرخ استهلاک]]*bargiri[[#This Row],[مقدار]])&lt;0,0,bargiri[[#This Row],[مبلغ ناخالص]]-(bargiri[[#This Row],[نرخ استهلاک]]*bargiri[[#This Row],[مقدار]]))</f>
        <v>#N/A</v>
      </c>
    </row>
    <row r="2402" spans="1:17" s="22" customFormat="1" ht="13.8" x14ac:dyDescent="0.25">
      <c r="A2402" s="22">
        <v>438</v>
      </c>
      <c r="B2402" s="22" t="s">
        <v>560</v>
      </c>
      <c r="C2402" s="22" t="s">
        <v>69</v>
      </c>
      <c r="D2402" s="22" t="s">
        <v>70</v>
      </c>
      <c r="E2402" s="158">
        <v>19970</v>
      </c>
      <c r="F2402" s="159">
        <v>70000</v>
      </c>
      <c r="G2402" s="159">
        <v>1397900000</v>
      </c>
      <c r="H2402" s="159">
        <v>125811000</v>
      </c>
      <c r="I2402" s="159">
        <v>1523711000</v>
      </c>
      <c r="J2402" s="159" t="e">
        <f>bargiri[[#This Row],[مقدار]]*INDEX(invoice[پیش دریافت به ازای هر کیلوگرم],MATCH(bargiri[[#This Row],[شماره سند مبنا]],invoice[شماره پیش فاکتور],0))</f>
        <v>#N/A</v>
      </c>
      <c r="K2402" s="159" t="e">
        <f>bargiri[[#This Row],[مبلغ خالص]]-bargiri[[#This Row],[میزان استهلاک پیش دریافتی]]</f>
        <v>#N/A</v>
      </c>
      <c r="L2402" s="160"/>
      <c r="M2402" s="159"/>
      <c r="N2402" s="159" t="e">
        <f>IF(bargiri[[#This Row],[مبلغ واریزی]]&lt;&gt;"",bargiri[[#This Row],[مانده مبلغ]]-bargiri[[#This Row],[مبلغ واریزی]],bargiri[[#This Row],[مانده مبلغ]])</f>
        <v>#N/A</v>
      </c>
      <c r="O2402" s="159"/>
      <c r="P2402" s="159" t="e">
        <f>VLOOKUP(bargiri[[#This Row],[شماره سند مبنا]],invoice[[شماره پیش فاکتور]:[پیش دریافت به ازای هر کیلوگرم]],14,0)</f>
        <v>#N/A</v>
      </c>
      <c r="Q2402" s="159" t="e">
        <f>IF(bargiri[[#This Row],[مبلغ ناخالص]]-(bargiri[[#This Row],[نرخ استهلاک]]*bargiri[[#This Row],[مقدار]])&lt;0,0,bargiri[[#This Row],[مبلغ ناخالص]]-(bargiri[[#This Row],[نرخ استهلاک]]*bargiri[[#This Row],[مقدار]]))</f>
        <v>#N/A</v>
      </c>
    </row>
    <row r="2403" spans="1:17" s="22" customFormat="1" ht="13.8" x14ac:dyDescent="0.25">
      <c r="A2403" s="22">
        <v>437</v>
      </c>
      <c r="B2403" s="22" t="s">
        <v>68</v>
      </c>
      <c r="C2403" s="22" t="s">
        <v>63</v>
      </c>
      <c r="D2403" s="22" t="s">
        <v>64</v>
      </c>
      <c r="E2403" s="158">
        <v>24080</v>
      </c>
      <c r="F2403" s="159">
        <v>45000</v>
      </c>
      <c r="G2403" s="159">
        <v>1083600000</v>
      </c>
      <c r="H2403" s="159">
        <v>97524000</v>
      </c>
      <c r="I2403" s="159">
        <v>1181124000</v>
      </c>
      <c r="J2403" s="159" t="e">
        <f>bargiri[[#This Row],[مقدار]]*INDEX(invoice[پیش دریافت به ازای هر کیلوگرم],MATCH(bargiri[[#This Row],[شماره سند مبنا]],invoice[شماره پیش فاکتور],0))</f>
        <v>#N/A</v>
      </c>
      <c r="K2403" s="159" t="e">
        <f>bargiri[[#This Row],[مبلغ خالص]]-bargiri[[#This Row],[میزان استهلاک پیش دریافتی]]</f>
        <v>#N/A</v>
      </c>
      <c r="L2403" s="160"/>
      <c r="M2403" s="159"/>
      <c r="N2403" s="159" t="e">
        <f>IF(bargiri[[#This Row],[مبلغ واریزی]]&lt;&gt;"",bargiri[[#This Row],[مانده مبلغ]]-bargiri[[#This Row],[مبلغ واریزی]],bargiri[[#This Row],[مانده مبلغ]])</f>
        <v>#N/A</v>
      </c>
      <c r="O2403" s="159"/>
      <c r="P2403" s="159" t="e">
        <f>VLOOKUP(bargiri[[#This Row],[شماره سند مبنا]],invoice[[شماره پیش فاکتور]:[پیش دریافت به ازای هر کیلوگرم]],14,0)</f>
        <v>#N/A</v>
      </c>
      <c r="Q2403" s="159" t="e">
        <f>IF(bargiri[[#This Row],[مبلغ ناخالص]]-(bargiri[[#This Row],[نرخ استهلاک]]*bargiri[[#This Row],[مقدار]])&lt;0,0,bargiri[[#This Row],[مبلغ ناخالص]]-(bargiri[[#This Row],[نرخ استهلاک]]*bargiri[[#This Row],[مقدار]]))</f>
        <v>#N/A</v>
      </c>
    </row>
    <row r="2404" spans="1:17" s="22" customFormat="1" ht="13.8" x14ac:dyDescent="0.25">
      <c r="A2404" s="22">
        <v>435</v>
      </c>
      <c r="B2404" s="22" t="s">
        <v>98</v>
      </c>
      <c r="C2404" s="22" t="s">
        <v>93</v>
      </c>
      <c r="D2404" s="22" t="s">
        <v>78</v>
      </c>
      <c r="E2404" s="158">
        <v>21100</v>
      </c>
      <c r="F2404" s="159">
        <v>70000</v>
      </c>
      <c r="G2404" s="159">
        <v>1477000000</v>
      </c>
      <c r="H2404" s="159">
        <v>147700000</v>
      </c>
      <c r="I2404" s="159">
        <v>1624700000</v>
      </c>
      <c r="J2404" s="159" t="e">
        <f>bargiri[[#This Row],[مقدار]]*INDEX(invoice[پیش دریافت به ازای هر کیلوگرم],MATCH(bargiri[[#This Row],[شماره سند مبنا]],invoice[شماره پیش فاکتور],0))</f>
        <v>#N/A</v>
      </c>
      <c r="K2404" s="159" t="e">
        <f>bargiri[[#This Row],[مبلغ خالص]]-bargiri[[#This Row],[میزان استهلاک پیش دریافتی]]</f>
        <v>#N/A</v>
      </c>
      <c r="L2404" s="160"/>
      <c r="M2404" s="159"/>
      <c r="N2404" s="159" t="e">
        <f>IF(bargiri[[#This Row],[مبلغ واریزی]]&lt;&gt;"",bargiri[[#This Row],[مانده مبلغ]]-bargiri[[#This Row],[مبلغ واریزی]],bargiri[[#This Row],[مانده مبلغ]])</f>
        <v>#N/A</v>
      </c>
      <c r="O2404" s="159"/>
      <c r="P2404" s="159" t="e">
        <f>VLOOKUP(bargiri[[#This Row],[شماره سند مبنا]],invoice[[شماره پیش فاکتور]:[پیش دریافت به ازای هر کیلوگرم]],14,0)</f>
        <v>#N/A</v>
      </c>
      <c r="Q2404" s="159" t="e">
        <f>IF(bargiri[[#This Row],[مبلغ ناخالص]]-(bargiri[[#This Row],[نرخ استهلاک]]*bargiri[[#This Row],[مقدار]])&lt;0,0,bargiri[[#This Row],[مبلغ ناخالص]]-(bargiri[[#This Row],[نرخ استهلاک]]*bargiri[[#This Row],[مقدار]]))</f>
        <v>#N/A</v>
      </c>
    </row>
    <row r="2405" spans="1:17" s="22" customFormat="1" ht="13.8" x14ac:dyDescent="0.25">
      <c r="A2405" s="22">
        <v>434</v>
      </c>
      <c r="B2405" s="22" t="s">
        <v>49</v>
      </c>
      <c r="C2405" s="22" t="s">
        <v>93</v>
      </c>
      <c r="D2405" s="22" t="s">
        <v>78</v>
      </c>
      <c r="E2405" s="158">
        <v>22080</v>
      </c>
      <c r="F2405" s="159">
        <v>70000</v>
      </c>
      <c r="G2405" s="159">
        <v>1545600000</v>
      </c>
      <c r="H2405" s="159">
        <v>154560000</v>
      </c>
      <c r="I2405" s="159">
        <v>1700160000</v>
      </c>
      <c r="J2405" s="159" t="e">
        <f>bargiri[[#This Row],[مقدار]]*INDEX(invoice[پیش دریافت به ازای هر کیلوگرم],MATCH(bargiri[[#This Row],[شماره سند مبنا]],invoice[شماره پیش فاکتور],0))</f>
        <v>#N/A</v>
      </c>
      <c r="K2405" s="159" t="e">
        <f>bargiri[[#This Row],[مبلغ خالص]]-bargiri[[#This Row],[میزان استهلاک پیش دریافتی]]</f>
        <v>#N/A</v>
      </c>
      <c r="L2405" s="160"/>
      <c r="M2405" s="159"/>
      <c r="N2405" s="159" t="e">
        <f>IF(bargiri[[#This Row],[مبلغ واریزی]]&lt;&gt;"",bargiri[[#This Row],[مانده مبلغ]]-bargiri[[#This Row],[مبلغ واریزی]],bargiri[[#This Row],[مانده مبلغ]])</f>
        <v>#N/A</v>
      </c>
      <c r="O2405" s="159"/>
      <c r="P2405" s="159" t="e">
        <f>VLOOKUP(bargiri[[#This Row],[شماره سند مبنا]],invoice[[شماره پیش فاکتور]:[پیش دریافت به ازای هر کیلوگرم]],14,0)</f>
        <v>#N/A</v>
      </c>
      <c r="Q2405" s="159" t="e">
        <f>IF(bargiri[[#This Row],[مبلغ ناخالص]]-(bargiri[[#This Row],[نرخ استهلاک]]*bargiri[[#This Row],[مقدار]])&lt;0,0,bargiri[[#This Row],[مبلغ ناخالص]]-(bargiri[[#This Row],[نرخ استهلاک]]*bargiri[[#This Row],[مقدار]]))</f>
        <v>#N/A</v>
      </c>
    </row>
    <row r="2406" spans="1:17" s="22" customFormat="1" ht="13.8" x14ac:dyDescent="0.25">
      <c r="A2406" s="22">
        <v>433</v>
      </c>
      <c r="B2406" s="22" t="s">
        <v>82</v>
      </c>
      <c r="C2406" s="22" t="s">
        <v>93</v>
      </c>
      <c r="D2406" s="22" t="s">
        <v>78</v>
      </c>
      <c r="E2406" s="158">
        <v>21950</v>
      </c>
      <c r="F2406" s="159">
        <v>70000</v>
      </c>
      <c r="G2406" s="159">
        <v>1536500000</v>
      </c>
      <c r="H2406" s="159">
        <v>153650000</v>
      </c>
      <c r="I2406" s="159">
        <v>1690150000</v>
      </c>
      <c r="J2406" s="159" t="e">
        <f>bargiri[[#This Row],[مقدار]]*INDEX(invoice[پیش دریافت به ازای هر کیلوگرم],MATCH(bargiri[[#This Row],[شماره سند مبنا]],invoice[شماره پیش فاکتور],0))</f>
        <v>#N/A</v>
      </c>
      <c r="K2406" s="159" t="e">
        <f>bargiri[[#This Row],[مبلغ خالص]]-bargiri[[#This Row],[میزان استهلاک پیش دریافتی]]</f>
        <v>#N/A</v>
      </c>
      <c r="L2406" s="160"/>
      <c r="M2406" s="159"/>
      <c r="N2406" s="159" t="e">
        <f>IF(bargiri[[#This Row],[مبلغ واریزی]]&lt;&gt;"",bargiri[[#This Row],[مانده مبلغ]]-bargiri[[#This Row],[مبلغ واریزی]],bargiri[[#This Row],[مانده مبلغ]])</f>
        <v>#N/A</v>
      </c>
      <c r="O2406" s="159"/>
      <c r="P2406" s="159" t="e">
        <f>VLOOKUP(bargiri[[#This Row],[شماره سند مبنا]],invoice[[شماره پیش فاکتور]:[پیش دریافت به ازای هر کیلوگرم]],14,0)</f>
        <v>#N/A</v>
      </c>
      <c r="Q2406" s="159" t="e">
        <f>IF(bargiri[[#This Row],[مبلغ ناخالص]]-(bargiri[[#This Row],[نرخ استهلاک]]*bargiri[[#This Row],[مقدار]])&lt;0,0,bargiri[[#This Row],[مبلغ ناخالص]]-(bargiri[[#This Row],[نرخ استهلاک]]*bargiri[[#This Row],[مقدار]]))</f>
        <v>#N/A</v>
      </c>
    </row>
    <row r="2407" spans="1:17" s="22" customFormat="1" ht="13.8" x14ac:dyDescent="0.25">
      <c r="A2407" s="22">
        <v>432</v>
      </c>
      <c r="B2407" s="22" t="s">
        <v>555</v>
      </c>
      <c r="C2407" s="22" t="s">
        <v>63</v>
      </c>
      <c r="D2407" s="22" t="s">
        <v>64</v>
      </c>
      <c r="E2407" s="158">
        <v>24050</v>
      </c>
      <c r="F2407" s="159">
        <v>45000</v>
      </c>
      <c r="G2407" s="159">
        <v>1082250000</v>
      </c>
      <c r="H2407" s="159">
        <v>97402500</v>
      </c>
      <c r="I2407" s="159">
        <v>1179652500</v>
      </c>
      <c r="J2407" s="159" t="e">
        <f>bargiri[[#This Row],[مقدار]]*INDEX(invoice[پیش دریافت به ازای هر کیلوگرم],MATCH(bargiri[[#This Row],[شماره سند مبنا]],invoice[شماره پیش فاکتور],0))</f>
        <v>#N/A</v>
      </c>
      <c r="K2407" s="159" t="e">
        <f>bargiri[[#This Row],[مبلغ خالص]]-bargiri[[#This Row],[میزان استهلاک پیش دریافتی]]</f>
        <v>#N/A</v>
      </c>
      <c r="L2407" s="160"/>
      <c r="M2407" s="159"/>
      <c r="N2407" s="159" t="e">
        <f>IF(bargiri[[#This Row],[مبلغ واریزی]]&lt;&gt;"",bargiri[[#This Row],[مانده مبلغ]]-bargiri[[#This Row],[مبلغ واریزی]],bargiri[[#This Row],[مانده مبلغ]])</f>
        <v>#N/A</v>
      </c>
      <c r="O2407" s="159"/>
      <c r="P2407" s="159" t="e">
        <f>VLOOKUP(bargiri[[#This Row],[شماره سند مبنا]],invoice[[شماره پیش فاکتور]:[پیش دریافت به ازای هر کیلوگرم]],14,0)</f>
        <v>#N/A</v>
      </c>
      <c r="Q2407" s="159" t="e">
        <f>IF(bargiri[[#This Row],[مبلغ ناخالص]]-(bargiri[[#This Row],[نرخ استهلاک]]*bargiri[[#This Row],[مقدار]])&lt;0,0,bargiri[[#This Row],[مبلغ ناخالص]]-(bargiri[[#This Row],[نرخ استهلاک]]*bargiri[[#This Row],[مقدار]]))</f>
        <v>#N/A</v>
      </c>
    </row>
    <row r="2408" spans="1:17" s="22" customFormat="1" ht="13.8" x14ac:dyDescent="0.25">
      <c r="A2408" s="22">
        <v>430</v>
      </c>
      <c r="B2408" s="22" t="s">
        <v>561</v>
      </c>
      <c r="C2408" s="22" t="s">
        <v>93</v>
      </c>
      <c r="D2408" s="22" t="s">
        <v>78</v>
      </c>
      <c r="E2408" s="158">
        <v>20130</v>
      </c>
      <c r="F2408" s="159">
        <v>70000</v>
      </c>
      <c r="G2408" s="159">
        <v>1409100000</v>
      </c>
      <c r="H2408" s="159">
        <v>140910000</v>
      </c>
      <c r="I2408" s="159">
        <v>1550010000</v>
      </c>
      <c r="J2408" s="159" t="e">
        <f>bargiri[[#This Row],[مقدار]]*INDEX(invoice[پیش دریافت به ازای هر کیلوگرم],MATCH(bargiri[[#This Row],[شماره سند مبنا]],invoice[شماره پیش فاکتور],0))</f>
        <v>#N/A</v>
      </c>
      <c r="K2408" s="159" t="e">
        <f>bargiri[[#This Row],[مبلغ خالص]]-bargiri[[#This Row],[میزان استهلاک پیش دریافتی]]</f>
        <v>#N/A</v>
      </c>
      <c r="L2408" s="160"/>
      <c r="M2408" s="159"/>
      <c r="N2408" s="159" t="e">
        <f>IF(bargiri[[#This Row],[مبلغ واریزی]]&lt;&gt;"",bargiri[[#This Row],[مانده مبلغ]]-bargiri[[#This Row],[مبلغ واریزی]],bargiri[[#This Row],[مانده مبلغ]])</f>
        <v>#N/A</v>
      </c>
      <c r="O2408" s="159"/>
      <c r="P2408" s="159" t="e">
        <f>VLOOKUP(bargiri[[#This Row],[شماره سند مبنا]],invoice[[شماره پیش فاکتور]:[پیش دریافت به ازای هر کیلوگرم]],14,0)</f>
        <v>#N/A</v>
      </c>
      <c r="Q2408" s="159" t="e">
        <f>IF(bargiri[[#This Row],[مبلغ ناخالص]]-(bargiri[[#This Row],[نرخ استهلاک]]*bargiri[[#This Row],[مقدار]])&lt;0,0,bargiri[[#This Row],[مبلغ ناخالص]]-(bargiri[[#This Row],[نرخ استهلاک]]*bargiri[[#This Row],[مقدار]]))</f>
        <v>#N/A</v>
      </c>
    </row>
    <row r="2409" spans="1:17" s="22" customFormat="1" ht="13.8" x14ac:dyDescent="0.25">
      <c r="A2409" s="22">
        <v>429</v>
      </c>
      <c r="B2409" s="22" t="s">
        <v>561</v>
      </c>
      <c r="C2409" s="22" t="s">
        <v>48</v>
      </c>
      <c r="D2409" s="22" t="s">
        <v>43</v>
      </c>
      <c r="E2409" s="158">
        <v>5410</v>
      </c>
      <c r="F2409" s="159">
        <v>50000</v>
      </c>
      <c r="G2409" s="159">
        <v>270500000</v>
      </c>
      <c r="H2409" s="159">
        <v>24345000</v>
      </c>
      <c r="I2409" s="159">
        <v>294845000</v>
      </c>
      <c r="J2409" s="159" t="e">
        <f>bargiri[[#This Row],[مقدار]]*INDEX(invoice[پیش دریافت به ازای هر کیلوگرم],MATCH(bargiri[[#This Row],[شماره سند مبنا]],invoice[شماره پیش فاکتور],0))</f>
        <v>#N/A</v>
      </c>
      <c r="K2409" s="159" t="e">
        <f>bargiri[[#This Row],[مبلغ خالص]]-bargiri[[#This Row],[میزان استهلاک پیش دریافتی]]</f>
        <v>#N/A</v>
      </c>
      <c r="L2409" s="160"/>
      <c r="M2409" s="159"/>
      <c r="N2409" s="159" t="e">
        <f>IF(bargiri[[#This Row],[مبلغ واریزی]]&lt;&gt;"",bargiri[[#This Row],[مانده مبلغ]]-bargiri[[#This Row],[مبلغ واریزی]],bargiri[[#This Row],[مانده مبلغ]])</f>
        <v>#N/A</v>
      </c>
      <c r="O2409" s="159"/>
      <c r="P2409" s="159" t="e">
        <f>VLOOKUP(bargiri[[#This Row],[شماره سند مبنا]],invoice[[شماره پیش فاکتور]:[پیش دریافت به ازای هر کیلوگرم]],14,0)</f>
        <v>#N/A</v>
      </c>
      <c r="Q2409" s="159" t="e">
        <f>IF(bargiri[[#This Row],[مبلغ ناخالص]]-(bargiri[[#This Row],[نرخ استهلاک]]*bargiri[[#This Row],[مقدار]])&lt;0,0,bargiri[[#This Row],[مبلغ ناخالص]]-(bargiri[[#This Row],[نرخ استهلاک]]*bargiri[[#This Row],[مقدار]]))</f>
        <v>#N/A</v>
      </c>
    </row>
    <row r="2410" spans="1:17" s="22" customFormat="1" ht="13.8" x14ac:dyDescent="0.25">
      <c r="A2410" s="22">
        <v>428</v>
      </c>
      <c r="B2410" s="22" t="s">
        <v>561</v>
      </c>
      <c r="C2410" s="22" t="s">
        <v>99</v>
      </c>
      <c r="D2410" s="22" t="s">
        <v>64</v>
      </c>
      <c r="E2410" s="158">
        <v>20180</v>
      </c>
      <c r="F2410" s="159">
        <v>75000</v>
      </c>
      <c r="G2410" s="159">
        <v>1513500000</v>
      </c>
      <c r="H2410" s="159">
        <v>151350000</v>
      </c>
      <c r="I2410" s="159">
        <v>1664850000</v>
      </c>
      <c r="J2410" s="159" t="e">
        <f>bargiri[[#This Row],[مقدار]]*INDEX(invoice[پیش دریافت به ازای هر کیلوگرم],MATCH(bargiri[[#This Row],[شماره سند مبنا]],invoice[شماره پیش فاکتور],0))</f>
        <v>#N/A</v>
      </c>
      <c r="K2410" s="159" t="e">
        <f>bargiri[[#This Row],[مبلغ خالص]]-bargiri[[#This Row],[میزان استهلاک پیش دریافتی]]</f>
        <v>#N/A</v>
      </c>
      <c r="L2410" s="160"/>
      <c r="M2410" s="159"/>
      <c r="N2410" s="159" t="e">
        <f>IF(bargiri[[#This Row],[مبلغ واریزی]]&lt;&gt;"",bargiri[[#This Row],[مانده مبلغ]]-bargiri[[#This Row],[مبلغ واریزی]],bargiri[[#This Row],[مانده مبلغ]])</f>
        <v>#N/A</v>
      </c>
      <c r="O2410" s="159"/>
      <c r="P2410" s="159" t="e">
        <f>VLOOKUP(bargiri[[#This Row],[شماره سند مبنا]],invoice[[شماره پیش فاکتور]:[پیش دریافت به ازای هر کیلوگرم]],14,0)</f>
        <v>#N/A</v>
      </c>
      <c r="Q2410" s="159" t="e">
        <f>IF(bargiri[[#This Row],[مبلغ ناخالص]]-(bargiri[[#This Row],[نرخ استهلاک]]*bargiri[[#This Row],[مقدار]])&lt;0,0,bargiri[[#This Row],[مبلغ ناخالص]]-(bargiri[[#This Row],[نرخ استهلاک]]*bargiri[[#This Row],[مقدار]]))</f>
        <v>#N/A</v>
      </c>
    </row>
    <row r="2411" spans="1:17" s="22" customFormat="1" ht="13.8" x14ac:dyDescent="0.25">
      <c r="A2411" s="22">
        <v>426</v>
      </c>
      <c r="B2411" s="22" t="s">
        <v>478</v>
      </c>
      <c r="C2411" s="22" t="s">
        <v>97</v>
      </c>
      <c r="D2411" s="22" t="s">
        <v>40</v>
      </c>
      <c r="E2411" s="158">
        <v>18290</v>
      </c>
      <c r="F2411" s="159">
        <v>85000</v>
      </c>
      <c r="G2411" s="159">
        <v>1554650000</v>
      </c>
      <c r="H2411" s="159">
        <v>155465000</v>
      </c>
      <c r="I2411" s="159">
        <v>1710115000</v>
      </c>
      <c r="J2411" s="159" t="e">
        <f>bargiri[[#This Row],[مقدار]]*INDEX(invoice[پیش دریافت به ازای هر کیلوگرم],MATCH(bargiri[[#This Row],[شماره سند مبنا]],invoice[شماره پیش فاکتور],0))</f>
        <v>#N/A</v>
      </c>
      <c r="K2411" s="159" t="e">
        <f>bargiri[[#This Row],[مبلغ خالص]]-bargiri[[#This Row],[میزان استهلاک پیش دریافتی]]</f>
        <v>#N/A</v>
      </c>
      <c r="L2411" s="160"/>
      <c r="M2411" s="159"/>
      <c r="N2411" s="159" t="e">
        <f>IF(bargiri[[#This Row],[مبلغ واریزی]]&lt;&gt;"",bargiri[[#This Row],[مانده مبلغ]]-bargiri[[#This Row],[مبلغ واریزی]],bargiri[[#This Row],[مانده مبلغ]])</f>
        <v>#N/A</v>
      </c>
      <c r="O2411" s="159"/>
      <c r="P2411" s="159" t="e">
        <f>VLOOKUP(bargiri[[#This Row],[شماره سند مبنا]],invoice[[شماره پیش فاکتور]:[پیش دریافت به ازای هر کیلوگرم]],14,0)</f>
        <v>#N/A</v>
      </c>
      <c r="Q2411" s="159" t="e">
        <f>IF(bargiri[[#This Row],[مبلغ ناخالص]]-(bargiri[[#This Row],[نرخ استهلاک]]*bargiri[[#This Row],[مقدار]])&lt;0,0,bargiri[[#This Row],[مبلغ ناخالص]]-(bargiri[[#This Row],[نرخ استهلاک]]*bargiri[[#This Row],[مقدار]]))</f>
        <v>#N/A</v>
      </c>
    </row>
    <row r="2412" spans="1:17" s="22" customFormat="1" ht="13.8" x14ac:dyDescent="0.25">
      <c r="A2412" s="22">
        <v>425</v>
      </c>
      <c r="B2412" s="22" t="s">
        <v>478</v>
      </c>
      <c r="C2412" s="22" t="s">
        <v>66</v>
      </c>
      <c r="D2412" s="22" t="s">
        <v>67</v>
      </c>
      <c r="E2412" s="158">
        <v>20960</v>
      </c>
      <c r="F2412" s="159">
        <v>68500</v>
      </c>
      <c r="G2412" s="159">
        <v>1435760000</v>
      </c>
      <c r="H2412" s="159">
        <v>129218400</v>
      </c>
      <c r="I2412" s="159">
        <v>1564978400</v>
      </c>
      <c r="J2412" s="159" t="e">
        <f>bargiri[[#This Row],[مقدار]]*INDEX(invoice[پیش دریافت به ازای هر کیلوگرم],MATCH(bargiri[[#This Row],[شماره سند مبنا]],invoice[شماره پیش فاکتور],0))</f>
        <v>#N/A</v>
      </c>
      <c r="K2412" s="159" t="e">
        <f>bargiri[[#This Row],[مبلغ خالص]]-bargiri[[#This Row],[میزان استهلاک پیش دریافتی]]</f>
        <v>#N/A</v>
      </c>
      <c r="L2412" s="160"/>
      <c r="M2412" s="159"/>
      <c r="N2412" s="159" t="e">
        <f>IF(bargiri[[#This Row],[مبلغ واریزی]]&lt;&gt;"",bargiri[[#This Row],[مانده مبلغ]]-bargiri[[#This Row],[مبلغ واریزی]],bargiri[[#This Row],[مانده مبلغ]])</f>
        <v>#N/A</v>
      </c>
      <c r="O2412" s="159"/>
      <c r="P2412" s="159" t="e">
        <f>VLOOKUP(bargiri[[#This Row],[شماره سند مبنا]],invoice[[شماره پیش فاکتور]:[پیش دریافت به ازای هر کیلوگرم]],14,0)</f>
        <v>#N/A</v>
      </c>
      <c r="Q2412" s="159" t="e">
        <f>IF(bargiri[[#This Row],[مبلغ ناخالص]]-(bargiri[[#This Row],[نرخ استهلاک]]*bargiri[[#This Row],[مقدار]])&lt;0,0,bargiri[[#This Row],[مبلغ ناخالص]]-(bargiri[[#This Row],[نرخ استهلاک]]*bargiri[[#This Row],[مقدار]]))</f>
        <v>#N/A</v>
      </c>
    </row>
    <row r="2413" spans="1:17" s="22" customFormat="1" ht="13.8" x14ac:dyDescent="0.25">
      <c r="A2413" s="22">
        <v>423</v>
      </c>
      <c r="B2413" s="22" t="s">
        <v>478</v>
      </c>
      <c r="C2413" s="22" t="s">
        <v>48</v>
      </c>
      <c r="D2413" s="22" t="s">
        <v>43</v>
      </c>
      <c r="E2413" s="158">
        <v>19080</v>
      </c>
      <c r="F2413" s="159">
        <v>50000</v>
      </c>
      <c r="G2413" s="159">
        <v>954000000</v>
      </c>
      <c r="H2413" s="159">
        <v>85860000</v>
      </c>
      <c r="I2413" s="159">
        <v>1039860000</v>
      </c>
      <c r="J2413" s="159" t="e">
        <f>bargiri[[#This Row],[مقدار]]*INDEX(invoice[پیش دریافت به ازای هر کیلوگرم],MATCH(bargiri[[#This Row],[شماره سند مبنا]],invoice[شماره پیش فاکتور],0))</f>
        <v>#N/A</v>
      </c>
      <c r="K2413" s="159" t="e">
        <f>bargiri[[#This Row],[مبلغ خالص]]-bargiri[[#This Row],[میزان استهلاک پیش دریافتی]]</f>
        <v>#N/A</v>
      </c>
      <c r="L2413" s="160"/>
      <c r="M2413" s="159"/>
      <c r="N2413" s="159" t="e">
        <f>IF(bargiri[[#This Row],[مبلغ واریزی]]&lt;&gt;"",bargiri[[#This Row],[مانده مبلغ]]-bargiri[[#This Row],[مبلغ واریزی]],bargiri[[#This Row],[مانده مبلغ]])</f>
        <v>#N/A</v>
      </c>
      <c r="O2413" s="159"/>
      <c r="P2413" s="159" t="e">
        <f>VLOOKUP(bargiri[[#This Row],[شماره سند مبنا]],invoice[[شماره پیش فاکتور]:[پیش دریافت به ازای هر کیلوگرم]],14,0)</f>
        <v>#N/A</v>
      </c>
      <c r="Q2413" s="159" t="e">
        <f>IF(bargiri[[#This Row],[مبلغ ناخالص]]-(bargiri[[#This Row],[نرخ استهلاک]]*bargiri[[#This Row],[مقدار]])&lt;0,0,bargiri[[#This Row],[مبلغ ناخالص]]-(bargiri[[#This Row],[نرخ استهلاک]]*bargiri[[#This Row],[مقدار]]))</f>
        <v>#N/A</v>
      </c>
    </row>
    <row r="2414" spans="1:17" s="22" customFormat="1" ht="13.8" x14ac:dyDescent="0.25">
      <c r="A2414" s="22">
        <v>422</v>
      </c>
      <c r="B2414" s="22" t="s">
        <v>478</v>
      </c>
      <c r="C2414" s="22" t="s">
        <v>19</v>
      </c>
      <c r="D2414" s="22" t="s">
        <v>20</v>
      </c>
      <c r="E2414" s="158">
        <v>18510</v>
      </c>
      <c r="F2414" s="159">
        <v>65000</v>
      </c>
      <c r="G2414" s="159">
        <v>1203150000</v>
      </c>
      <c r="H2414" s="159">
        <v>108283500</v>
      </c>
      <c r="I2414" s="159">
        <v>1311433500</v>
      </c>
      <c r="J2414" s="159" t="e">
        <f>bargiri[[#This Row],[مقدار]]*INDEX(invoice[پیش دریافت به ازای هر کیلوگرم],MATCH(bargiri[[#This Row],[شماره سند مبنا]],invoice[شماره پیش فاکتور],0))</f>
        <v>#N/A</v>
      </c>
      <c r="K2414" s="159" t="e">
        <f>bargiri[[#This Row],[مبلغ خالص]]-bargiri[[#This Row],[میزان استهلاک پیش دریافتی]]</f>
        <v>#N/A</v>
      </c>
      <c r="L2414" s="160"/>
      <c r="M2414" s="159"/>
      <c r="N2414" s="159" t="e">
        <f>IF(bargiri[[#This Row],[مبلغ واریزی]]&lt;&gt;"",bargiri[[#This Row],[مانده مبلغ]]-bargiri[[#This Row],[مبلغ واریزی]],bargiri[[#This Row],[مانده مبلغ]])</f>
        <v>#N/A</v>
      </c>
      <c r="O2414" s="159"/>
      <c r="P2414" s="159" t="e">
        <f>VLOOKUP(bargiri[[#This Row],[شماره سند مبنا]],invoice[[شماره پیش فاکتور]:[پیش دریافت به ازای هر کیلوگرم]],14,0)</f>
        <v>#N/A</v>
      </c>
      <c r="Q2414" s="159" t="e">
        <f>IF(bargiri[[#This Row],[مبلغ ناخالص]]-(bargiri[[#This Row],[نرخ استهلاک]]*bargiri[[#This Row],[مقدار]])&lt;0,0,bargiri[[#This Row],[مبلغ ناخالص]]-(bargiri[[#This Row],[نرخ استهلاک]]*bargiri[[#This Row],[مقدار]]))</f>
        <v>#N/A</v>
      </c>
    </row>
    <row r="2415" spans="1:17" s="22" customFormat="1" ht="13.8" x14ac:dyDescent="0.25">
      <c r="A2415" s="22">
        <v>421</v>
      </c>
      <c r="B2415" s="22" t="s">
        <v>100</v>
      </c>
      <c r="C2415" s="22" t="s">
        <v>29</v>
      </c>
      <c r="D2415" s="22" t="s">
        <v>30</v>
      </c>
      <c r="E2415" s="158">
        <v>11900</v>
      </c>
      <c r="F2415" s="159">
        <v>70000</v>
      </c>
      <c r="G2415" s="159">
        <v>833000000</v>
      </c>
      <c r="H2415" s="159">
        <v>83300000</v>
      </c>
      <c r="I2415" s="159">
        <v>916300000</v>
      </c>
      <c r="J2415" s="159" t="e">
        <f>bargiri[[#This Row],[مقدار]]*INDEX(invoice[پیش دریافت به ازای هر کیلوگرم],MATCH(bargiri[[#This Row],[شماره سند مبنا]],invoice[شماره پیش فاکتور],0))</f>
        <v>#N/A</v>
      </c>
      <c r="K2415" s="159" t="e">
        <f>bargiri[[#This Row],[مبلغ خالص]]-bargiri[[#This Row],[میزان استهلاک پیش دریافتی]]</f>
        <v>#N/A</v>
      </c>
      <c r="L2415" s="160"/>
      <c r="M2415" s="159"/>
      <c r="N2415" s="159" t="e">
        <f>IF(bargiri[[#This Row],[مبلغ واریزی]]&lt;&gt;"",bargiri[[#This Row],[مانده مبلغ]]-bargiri[[#This Row],[مبلغ واریزی]],bargiri[[#This Row],[مانده مبلغ]])</f>
        <v>#N/A</v>
      </c>
      <c r="O2415" s="159"/>
      <c r="P2415" s="159" t="e">
        <f>VLOOKUP(bargiri[[#This Row],[شماره سند مبنا]],invoice[[شماره پیش فاکتور]:[پیش دریافت به ازای هر کیلوگرم]],14,0)</f>
        <v>#N/A</v>
      </c>
      <c r="Q2415" s="159" t="e">
        <f>IF(bargiri[[#This Row],[مبلغ ناخالص]]-(bargiri[[#This Row],[نرخ استهلاک]]*bargiri[[#This Row],[مقدار]])&lt;0,0,bargiri[[#This Row],[مبلغ ناخالص]]-(bargiri[[#This Row],[نرخ استهلاک]]*bargiri[[#This Row],[مقدار]]))</f>
        <v>#N/A</v>
      </c>
    </row>
    <row r="2416" spans="1:17" s="22" customFormat="1" ht="13.8" x14ac:dyDescent="0.25">
      <c r="A2416" s="22">
        <v>419</v>
      </c>
      <c r="B2416" s="22" t="s">
        <v>100</v>
      </c>
      <c r="C2416" s="22" t="s">
        <v>66</v>
      </c>
      <c r="D2416" s="22" t="s">
        <v>67</v>
      </c>
      <c r="E2416" s="158">
        <v>19930</v>
      </c>
      <c r="F2416" s="159">
        <v>68500</v>
      </c>
      <c r="G2416" s="159">
        <v>1365205000</v>
      </c>
      <c r="H2416" s="159">
        <v>122868450</v>
      </c>
      <c r="I2416" s="159">
        <v>1488073450</v>
      </c>
      <c r="J2416" s="159" t="e">
        <f>bargiri[[#This Row],[مقدار]]*INDEX(invoice[پیش دریافت به ازای هر کیلوگرم],MATCH(bargiri[[#This Row],[شماره سند مبنا]],invoice[شماره پیش فاکتور],0))</f>
        <v>#N/A</v>
      </c>
      <c r="K2416" s="159" t="e">
        <f>bargiri[[#This Row],[مبلغ خالص]]-bargiri[[#This Row],[میزان استهلاک پیش دریافتی]]</f>
        <v>#N/A</v>
      </c>
      <c r="L2416" s="160"/>
      <c r="M2416" s="159"/>
      <c r="N2416" s="159" t="e">
        <f>IF(bargiri[[#This Row],[مبلغ واریزی]]&lt;&gt;"",bargiri[[#This Row],[مانده مبلغ]]-bargiri[[#This Row],[مبلغ واریزی]],bargiri[[#This Row],[مانده مبلغ]])</f>
        <v>#N/A</v>
      </c>
      <c r="O2416" s="159"/>
      <c r="P2416" s="159" t="e">
        <f>VLOOKUP(bargiri[[#This Row],[شماره سند مبنا]],invoice[[شماره پیش فاکتور]:[پیش دریافت به ازای هر کیلوگرم]],14,0)</f>
        <v>#N/A</v>
      </c>
      <c r="Q2416" s="159" t="e">
        <f>IF(bargiri[[#This Row],[مبلغ ناخالص]]-(bargiri[[#This Row],[نرخ استهلاک]]*bargiri[[#This Row],[مقدار]])&lt;0,0,bargiri[[#This Row],[مبلغ ناخالص]]-(bargiri[[#This Row],[نرخ استهلاک]]*bargiri[[#This Row],[مقدار]]))</f>
        <v>#N/A</v>
      </c>
    </row>
    <row r="2417" spans="1:17" s="22" customFormat="1" ht="13.8" x14ac:dyDescent="0.25">
      <c r="A2417" s="22">
        <v>418</v>
      </c>
      <c r="B2417" s="22" t="s">
        <v>100</v>
      </c>
      <c r="C2417" s="22" t="s">
        <v>66</v>
      </c>
      <c r="D2417" s="22" t="s">
        <v>67</v>
      </c>
      <c r="E2417" s="158">
        <v>12100</v>
      </c>
      <c r="F2417" s="159">
        <v>68500</v>
      </c>
      <c r="G2417" s="159">
        <v>828850000</v>
      </c>
      <c r="H2417" s="159">
        <v>74596500</v>
      </c>
      <c r="I2417" s="159">
        <v>903446500</v>
      </c>
      <c r="J2417" s="159" t="e">
        <f>bargiri[[#This Row],[مقدار]]*INDEX(invoice[پیش دریافت به ازای هر کیلوگرم],MATCH(bargiri[[#This Row],[شماره سند مبنا]],invoice[شماره پیش فاکتور],0))</f>
        <v>#N/A</v>
      </c>
      <c r="K2417" s="159" t="e">
        <f>bargiri[[#This Row],[مبلغ خالص]]-bargiri[[#This Row],[میزان استهلاک پیش دریافتی]]</f>
        <v>#N/A</v>
      </c>
      <c r="L2417" s="160"/>
      <c r="M2417" s="159"/>
      <c r="N2417" s="159" t="e">
        <f>IF(bargiri[[#This Row],[مبلغ واریزی]]&lt;&gt;"",bargiri[[#This Row],[مانده مبلغ]]-bargiri[[#This Row],[مبلغ واریزی]],bargiri[[#This Row],[مانده مبلغ]])</f>
        <v>#N/A</v>
      </c>
      <c r="O2417" s="159"/>
      <c r="P2417" s="159" t="e">
        <f>VLOOKUP(bargiri[[#This Row],[شماره سند مبنا]],invoice[[شماره پیش فاکتور]:[پیش دریافت به ازای هر کیلوگرم]],14,0)</f>
        <v>#N/A</v>
      </c>
      <c r="Q2417" s="159" t="e">
        <f>IF(bargiri[[#This Row],[مبلغ ناخالص]]-(bargiri[[#This Row],[نرخ استهلاک]]*bargiri[[#This Row],[مقدار]])&lt;0,0,bargiri[[#This Row],[مبلغ ناخالص]]-(bargiri[[#This Row],[نرخ استهلاک]]*bargiri[[#This Row],[مقدار]]))</f>
        <v>#N/A</v>
      </c>
    </row>
    <row r="2418" spans="1:17" s="22" customFormat="1" ht="13.8" x14ac:dyDescent="0.25">
      <c r="A2418" s="22">
        <v>417</v>
      </c>
      <c r="B2418" s="22" t="s">
        <v>100</v>
      </c>
      <c r="C2418" s="22" t="s">
        <v>16</v>
      </c>
      <c r="D2418" s="22" t="s">
        <v>17</v>
      </c>
      <c r="E2418" s="158">
        <v>20250</v>
      </c>
      <c r="F2418" s="159">
        <v>77000</v>
      </c>
      <c r="G2418" s="159">
        <v>1559250000</v>
      </c>
      <c r="H2418" s="159">
        <v>140332500</v>
      </c>
      <c r="I2418" s="159">
        <v>1699582500</v>
      </c>
      <c r="J2418" s="159" t="e">
        <f>bargiri[[#This Row],[مقدار]]*INDEX(invoice[پیش دریافت به ازای هر کیلوگرم],MATCH(bargiri[[#This Row],[شماره سند مبنا]],invoice[شماره پیش فاکتور],0))</f>
        <v>#N/A</v>
      </c>
      <c r="K2418" s="159" t="e">
        <f>bargiri[[#This Row],[مبلغ خالص]]-bargiri[[#This Row],[میزان استهلاک پیش دریافتی]]</f>
        <v>#N/A</v>
      </c>
      <c r="L2418" s="160"/>
      <c r="M2418" s="159"/>
      <c r="N2418" s="159" t="e">
        <f>IF(bargiri[[#This Row],[مبلغ واریزی]]&lt;&gt;"",bargiri[[#This Row],[مانده مبلغ]]-bargiri[[#This Row],[مبلغ واریزی]],bargiri[[#This Row],[مانده مبلغ]])</f>
        <v>#N/A</v>
      </c>
      <c r="O2418" s="159"/>
      <c r="P2418" s="159" t="e">
        <f>VLOOKUP(bargiri[[#This Row],[شماره سند مبنا]],invoice[[شماره پیش فاکتور]:[پیش دریافت به ازای هر کیلوگرم]],14,0)</f>
        <v>#N/A</v>
      </c>
      <c r="Q2418" s="159" t="e">
        <f>IF(bargiri[[#This Row],[مبلغ ناخالص]]-(bargiri[[#This Row],[نرخ استهلاک]]*bargiri[[#This Row],[مقدار]])&lt;0,0,bargiri[[#This Row],[مبلغ ناخالص]]-(bargiri[[#This Row],[نرخ استهلاک]]*bargiri[[#This Row],[مقدار]]))</f>
        <v>#N/A</v>
      </c>
    </row>
    <row r="2419" spans="1:17" s="22" customFormat="1" ht="13.8" x14ac:dyDescent="0.25">
      <c r="A2419" s="22">
        <v>415</v>
      </c>
      <c r="B2419" s="22" t="s">
        <v>100</v>
      </c>
      <c r="C2419" s="22" t="s">
        <v>84</v>
      </c>
      <c r="D2419" s="22" t="s">
        <v>51</v>
      </c>
      <c r="E2419" s="158">
        <v>20070</v>
      </c>
      <c r="F2419" s="159">
        <v>70000</v>
      </c>
      <c r="G2419" s="159">
        <v>1404900000</v>
      </c>
      <c r="H2419" s="159">
        <v>140490000</v>
      </c>
      <c r="I2419" s="159">
        <v>1545390000</v>
      </c>
      <c r="J2419" s="159" t="e">
        <f>bargiri[[#This Row],[مقدار]]*INDEX(invoice[پیش دریافت به ازای هر کیلوگرم],MATCH(bargiri[[#This Row],[شماره سند مبنا]],invoice[شماره پیش فاکتور],0))</f>
        <v>#N/A</v>
      </c>
      <c r="K2419" s="159" t="e">
        <f>bargiri[[#This Row],[مبلغ خالص]]-bargiri[[#This Row],[میزان استهلاک پیش دریافتی]]</f>
        <v>#N/A</v>
      </c>
      <c r="L2419" s="160"/>
      <c r="M2419" s="159"/>
      <c r="N2419" s="159" t="e">
        <f>IF(bargiri[[#This Row],[مبلغ واریزی]]&lt;&gt;"",bargiri[[#This Row],[مانده مبلغ]]-bargiri[[#This Row],[مبلغ واریزی]],bargiri[[#This Row],[مانده مبلغ]])</f>
        <v>#N/A</v>
      </c>
      <c r="O2419" s="159"/>
      <c r="P2419" s="159" t="e">
        <f>VLOOKUP(bargiri[[#This Row],[شماره سند مبنا]],invoice[[شماره پیش فاکتور]:[پیش دریافت به ازای هر کیلوگرم]],14,0)</f>
        <v>#N/A</v>
      </c>
      <c r="Q2419" s="159" t="e">
        <f>IF(bargiri[[#This Row],[مبلغ ناخالص]]-(bargiri[[#This Row],[نرخ استهلاک]]*bargiri[[#This Row],[مقدار]])&lt;0,0,bargiri[[#This Row],[مبلغ ناخالص]]-(bargiri[[#This Row],[نرخ استهلاک]]*bargiri[[#This Row],[مقدار]]))</f>
        <v>#N/A</v>
      </c>
    </row>
    <row r="2420" spans="1:17" s="22" customFormat="1" ht="13.8" x14ac:dyDescent="0.25">
      <c r="A2420" s="22">
        <v>414</v>
      </c>
      <c r="B2420" s="22" t="s">
        <v>100</v>
      </c>
      <c r="C2420" s="22" t="s">
        <v>97</v>
      </c>
      <c r="D2420" s="22" t="s">
        <v>40</v>
      </c>
      <c r="E2420" s="158">
        <v>18120</v>
      </c>
      <c r="F2420" s="159">
        <v>85000</v>
      </c>
      <c r="G2420" s="159">
        <v>1540200000</v>
      </c>
      <c r="H2420" s="159">
        <v>154020000</v>
      </c>
      <c r="I2420" s="159">
        <v>1694220000</v>
      </c>
      <c r="J2420" s="159" t="e">
        <f>bargiri[[#This Row],[مقدار]]*INDEX(invoice[پیش دریافت به ازای هر کیلوگرم],MATCH(bargiri[[#This Row],[شماره سند مبنا]],invoice[شماره پیش فاکتور],0))</f>
        <v>#N/A</v>
      </c>
      <c r="K2420" s="159" t="e">
        <f>bargiri[[#This Row],[مبلغ خالص]]-bargiri[[#This Row],[میزان استهلاک پیش دریافتی]]</f>
        <v>#N/A</v>
      </c>
      <c r="L2420" s="160"/>
      <c r="M2420" s="159"/>
      <c r="N2420" s="159" t="e">
        <f>IF(bargiri[[#This Row],[مبلغ واریزی]]&lt;&gt;"",bargiri[[#This Row],[مانده مبلغ]]-bargiri[[#This Row],[مبلغ واریزی]],bargiri[[#This Row],[مانده مبلغ]])</f>
        <v>#N/A</v>
      </c>
      <c r="O2420" s="159"/>
      <c r="P2420" s="159" t="e">
        <f>VLOOKUP(bargiri[[#This Row],[شماره سند مبنا]],invoice[[شماره پیش فاکتور]:[پیش دریافت به ازای هر کیلوگرم]],14,0)</f>
        <v>#N/A</v>
      </c>
      <c r="Q2420" s="159" t="e">
        <f>IF(bargiri[[#This Row],[مبلغ ناخالص]]-(bargiri[[#This Row],[نرخ استهلاک]]*bargiri[[#This Row],[مقدار]])&lt;0,0,bargiri[[#This Row],[مبلغ ناخالص]]-(bargiri[[#This Row],[نرخ استهلاک]]*bargiri[[#This Row],[مقدار]]))</f>
        <v>#N/A</v>
      </c>
    </row>
    <row r="2421" spans="1:17" s="22" customFormat="1" ht="13.8" x14ac:dyDescent="0.25">
      <c r="A2421" s="22">
        <v>413</v>
      </c>
      <c r="B2421" s="22" t="s">
        <v>100</v>
      </c>
      <c r="C2421" s="22" t="s">
        <v>19</v>
      </c>
      <c r="D2421" s="22" t="s">
        <v>20</v>
      </c>
      <c r="E2421" s="158">
        <v>18540</v>
      </c>
      <c r="F2421" s="159">
        <v>65000</v>
      </c>
      <c r="G2421" s="159">
        <v>1205100000</v>
      </c>
      <c r="H2421" s="159">
        <v>108459000</v>
      </c>
      <c r="I2421" s="159">
        <v>1313559000</v>
      </c>
      <c r="J2421" s="159" t="e">
        <f>bargiri[[#This Row],[مقدار]]*INDEX(invoice[پیش دریافت به ازای هر کیلوگرم],MATCH(bargiri[[#This Row],[شماره سند مبنا]],invoice[شماره پیش فاکتور],0))</f>
        <v>#N/A</v>
      </c>
      <c r="K2421" s="159" t="e">
        <f>bargiri[[#This Row],[مبلغ خالص]]-bargiri[[#This Row],[میزان استهلاک پیش دریافتی]]</f>
        <v>#N/A</v>
      </c>
      <c r="L2421" s="160"/>
      <c r="M2421" s="159"/>
      <c r="N2421" s="159" t="e">
        <f>IF(bargiri[[#This Row],[مبلغ واریزی]]&lt;&gt;"",bargiri[[#This Row],[مانده مبلغ]]-bargiri[[#This Row],[مبلغ واریزی]],bargiri[[#This Row],[مانده مبلغ]])</f>
        <v>#N/A</v>
      </c>
      <c r="O2421" s="159"/>
      <c r="P2421" s="159" t="e">
        <f>VLOOKUP(bargiri[[#This Row],[شماره سند مبنا]],invoice[[شماره پیش فاکتور]:[پیش دریافت به ازای هر کیلوگرم]],14,0)</f>
        <v>#N/A</v>
      </c>
      <c r="Q2421" s="159" t="e">
        <f>IF(bargiri[[#This Row],[مبلغ ناخالص]]-(bargiri[[#This Row],[نرخ استهلاک]]*bargiri[[#This Row],[مقدار]])&lt;0,0,bargiri[[#This Row],[مبلغ ناخالص]]-(bargiri[[#This Row],[نرخ استهلاک]]*bargiri[[#This Row],[مقدار]]))</f>
        <v>#N/A</v>
      </c>
    </row>
    <row r="2422" spans="1:17" s="22" customFormat="1" ht="13.8" x14ac:dyDescent="0.25">
      <c r="A2422" s="22">
        <v>412</v>
      </c>
      <c r="B2422" s="22" t="s">
        <v>26</v>
      </c>
      <c r="C2422" s="22" t="s">
        <v>19</v>
      </c>
      <c r="D2422" s="22" t="s">
        <v>20</v>
      </c>
      <c r="E2422" s="158">
        <v>17730</v>
      </c>
      <c r="F2422" s="159">
        <v>65000</v>
      </c>
      <c r="G2422" s="159">
        <v>1152450000</v>
      </c>
      <c r="H2422" s="159">
        <v>103720500</v>
      </c>
      <c r="I2422" s="159">
        <v>1256170500</v>
      </c>
      <c r="J2422" s="159" t="e">
        <f>bargiri[[#This Row],[مقدار]]*INDEX(invoice[پیش دریافت به ازای هر کیلوگرم],MATCH(bargiri[[#This Row],[شماره سند مبنا]],invoice[شماره پیش فاکتور],0))</f>
        <v>#N/A</v>
      </c>
      <c r="K2422" s="159" t="e">
        <f>bargiri[[#This Row],[مبلغ خالص]]-bargiri[[#This Row],[میزان استهلاک پیش دریافتی]]</f>
        <v>#N/A</v>
      </c>
      <c r="L2422" s="160"/>
      <c r="M2422" s="159"/>
      <c r="N2422" s="159" t="e">
        <f>IF(bargiri[[#This Row],[مبلغ واریزی]]&lt;&gt;"",bargiri[[#This Row],[مانده مبلغ]]-bargiri[[#This Row],[مبلغ واریزی]],bargiri[[#This Row],[مانده مبلغ]])</f>
        <v>#N/A</v>
      </c>
      <c r="O2422" s="159"/>
      <c r="P2422" s="159" t="e">
        <f>VLOOKUP(bargiri[[#This Row],[شماره سند مبنا]],invoice[[شماره پیش فاکتور]:[پیش دریافت به ازای هر کیلوگرم]],14,0)</f>
        <v>#N/A</v>
      </c>
      <c r="Q2422" s="159" t="e">
        <f>IF(bargiri[[#This Row],[مبلغ ناخالص]]-(bargiri[[#This Row],[نرخ استهلاک]]*bargiri[[#This Row],[مقدار]])&lt;0,0,bargiri[[#This Row],[مبلغ ناخالص]]-(bargiri[[#This Row],[نرخ استهلاک]]*bargiri[[#This Row],[مقدار]]))</f>
        <v>#N/A</v>
      </c>
    </row>
    <row r="2423" spans="1:17" s="22" customFormat="1" ht="13.8" x14ac:dyDescent="0.25">
      <c r="A2423" s="22">
        <v>411</v>
      </c>
      <c r="B2423" s="22" t="s">
        <v>26</v>
      </c>
      <c r="C2423" s="22" t="s">
        <v>66</v>
      </c>
      <c r="D2423" s="22" t="s">
        <v>67</v>
      </c>
      <c r="E2423" s="158">
        <v>21020</v>
      </c>
      <c r="F2423" s="159">
        <v>68500</v>
      </c>
      <c r="G2423" s="159">
        <v>1439870000</v>
      </c>
      <c r="H2423" s="159">
        <v>129588300</v>
      </c>
      <c r="I2423" s="159">
        <v>1569458300</v>
      </c>
      <c r="J2423" s="159" t="e">
        <f>bargiri[[#This Row],[مقدار]]*INDEX(invoice[پیش دریافت به ازای هر کیلوگرم],MATCH(bargiri[[#This Row],[شماره سند مبنا]],invoice[شماره پیش فاکتور],0))</f>
        <v>#N/A</v>
      </c>
      <c r="K2423" s="159" t="e">
        <f>bargiri[[#This Row],[مبلغ خالص]]-bargiri[[#This Row],[میزان استهلاک پیش دریافتی]]</f>
        <v>#N/A</v>
      </c>
      <c r="L2423" s="160"/>
      <c r="M2423" s="159"/>
      <c r="N2423" s="159" t="e">
        <f>IF(bargiri[[#This Row],[مبلغ واریزی]]&lt;&gt;"",bargiri[[#This Row],[مانده مبلغ]]-bargiri[[#This Row],[مبلغ واریزی]],bargiri[[#This Row],[مانده مبلغ]])</f>
        <v>#N/A</v>
      </c>
      <c r="O2423" s="159"/>
      <c r="P2423" s="159" t="e">
        <f>VLOOKUP(bargiri[[#This Row],[شماره سند مبنا]],invoice[[شماره پیش فاکتور]:[پیش دریافت به ازای هر کیلوگرم]],14,0)</f>
        <v>#N/A</v>
      </c>
      <c r="Q2423" s="159" t="e">
        <f>IF(bargiri[[#This Row],[مبلغ ناخالص]]-(bargiri[[#This Row],[نرخ استهلاک]]*bargiri[[#This Row],[مقدار]])&lt;0,0,bargiri[[#This Row],[مبلغ ناخالص]]-(bargiri[[#This Row],[نرخ استهلاک]]*bargiri[[#This Row],[مقدار]]))</f>
        <v>#N/A</v>
      </c>
    </row>
    <row r="2424" spans="1:17" s="22" customFormat="1" ht="13.8" x14ac:dyDescent="0.25">
      <c r="A2424" s="22">
        <v>410</v>
      </c>
      <c r="B2424" s="22" t="s">
        <v>26</v>
      </c>
      <c r="C2424" s="22" t="s">
        <v>66</v>
      </c>
      <c r="D2424" s="22" t="s">
        <v>67</v>
      </c>
      <c r="E2424" s="158">
        <v>11950</v>
      </c>
      <c r="F2424" s="159">
        <v>68500</v>
      </c>
      <c r="G2424" s="159">
        <v>818575000</v>
      </c>
      <c r="H2424" s="159">
        <v>73671750</v>
      </c>
      <c r="I2424" s="159">
        <v>892246750</v>
      </c>
      <c r="J2424" s="159" t="e">
        <f>bargiri[[#This Row],[مقدار]]*INDEX(invoice[پیش دریافت به ازای هر کیلوگرم],MATCH(bargiri[[#This Row],[شماره سند مبنا]],invoice[شماره پیش فاکتور],0))</f>
        <v>#N/A</v>
      </c>
      <c r="K2424" s="159" t="e">
        <f>bargiri[[#This Row],[مبلغ خالص]]-bargiri[[#This Row],[میزان استهلاک پیش دریافتی]]</f>
        <v>#N/A</v>
      </c>
      <c r="L2424" s="160"/>
      <c r="M2424" s="159"/>
      <c r="N2424" s="159" t="e">
        <f>IF(bargiri[[#This Row],[مبلغ واریزی]]&lt;&gt;"",bargiri[[#This Row],[مانده مبلغ]]-bargiri[[#This Row],[مبلغ واریزی]],bargiri[[#This Row],[مانده مبلغ]])</f>
        <v>#N/A</v>
      </c>
      <c r="O2424" s="159"/>
      <c r="P2424" s="159" t="e">
        <f>VLOOKUP(bargiri[[#This Row],[شماره سند مبنا]],invoice[[شماره پیش فاکتور]:[پیش دریافت به ازای هر کیلوگرم]],14,0)</f>
        <v>#N/A</v>
      </c>
      <c r="Q2424" s="159" t="e">
        <f>IF(bargiri[[#This Row],[مبلغ ناخالص]]-(bargiri[[#This Row],[نرخ استهلاک]]*bargiri[[#This Row],[مقدار]])&lt;0,0,bargiri[[#This Row],[مبلغ ناخالص]]-(bargiri[[#This Row],[نرخ استهلاک]]*bargiri[[#This Row],[مقدار]]))</f>
        <v>#N/A</v>
      </c>
    </row>
    <row r="2425" spans="1:17" s="22" customFormat="1" ht="13.8" x14ac:dyDescent="0.25">
      <c r="A2425" s="22">
        <v>409</v>
      </c>
      <c r="B2425" s="22" t="s">
        <v>26</v>
      </c>
      <c r="C2425" s="22" t="s">
        <v>48</v>
      </c>
      <c r="D2425" s="22" t="s">
        <v>43</v>
      </c>
      <c r="E2425" s="158">
        <v>20950</v>
      </c>
      <c r="F2425" s="159">
        <v>50000</v>
      </c>
      <c r="G2425" s="159">
        <v>1047500000</v>
      </c>
      <c r="H2425" s="159">
        <v>94275000</v>
      </c>
      <c r="I2425" s="159">
        <v>1141775000</v>
      </c>
      <c r="J2425" s="159" t="e">
        <f>bargiri[[#This Row],[مقدار]]*INDEX(invoice[پیش دریافت به ازای هر کیلوگرم],MATCH(bargiri[[#This Row],[شماره سند مبنا]],invoice[شماره پیش فاکتور],0))</f>
        <v>#N/A</v>
      </c>
      <c r="K2425" s="159" t="e">
        <f>bargiri[[#This Row],[مبلغ خالص]]-bargiri[[#This Row],[میزان استهلاک پیش دریافتی]]</f>
        <v>#N/A</v>
      </c>
      <c r="L2425" s="160"/>
      <c r="M2425" s="159"/>
      <c r="N2425" s="159" t="e">
        <f>IF(bargiri[[#This Row],[مبلغ واریزی]]&lt;&gt;"",bargiri[[#This Row],[مانده مبلغ]]-bargiri[[#This Row],[مبلغ واریزی]],bargiri[[#This Row],[مانده مبلغ]])</f>
        <v>#N/A</v>
      </c>
      <c r="O2425" s="159"/>
      <c r="P2425" s="159" t="e">
        <f>VLOOKUP(bargiri[[#This Row],[شماره سند مبنا]],invoice[[شماره پیش فاکتور]:[پیش دریافت به ازای هر کیلوگرم]],14,0)</f>
        <v>#N/A</v>
      </c>
      <c r="Q2425" s="159" t="e">
        <f>IF(bargiri[[#This Row],[مبلغ ناخالص]]-(bargiri[[#This Row],[نرخ استهلاک]]*bargiri[[#This Row],[مقدار]])&lt;0,0,bargiri[[#This Row],[مبلغ ناخالص]]-(bargiri[[#This Row],[نرخ استهلاک]]*bargiri[[#This Row],[مقدار]]))</f>
        <v>#N/A</v>
      </c>
    </row>
    <row r="2426" spans="1:17" s="22" customFormat="1" ht="13.8" x14ac:dyDescent="0.25">
      <c r="A2426" s="22">
        <v>408</v>
      </c>
      <c r="B2426" s="22" t="s">
        <v>26</v>
      </c>
      <c r="C2426" s="22" t="s">
        <v>97</v>
      </c>
      <c r="D2426" s="22" t="s">
        <v>40</v>
      </c>
      <c r="E2426" s="158">
        <v>7990</v>
      </c>
      <c r="F2426" s="159">
        <v>85000</v>
      </c>
      <c r="G2426" s="159">
        <v>679150000</v>
      </c>
      <c r="H2426" s="159">
        <v>67915000</v>
      </c>
      <c r="I2426" s="159">
        <v>747065000</v>
      </c>
      <c r="J2426" s="159" t="e">
        <f>bargiri[[#This Row],[مقدار]]*INDEX(invoice[پیش دریافت به ازای هر کیلوگرم],MATCH(bargiri[[#This Row],[شماره سند مبنا]],invoice[شماره پیش فاکتور],0))</f>
        <v>#N/A</v>
      </c>
      <c r="K2426" s="159" t="e">
        <f>bargiri[[#This Row],[مبلغ خالص]]-bargiri[[#This Row],[میزان استهلاک پیش دریافتی]]</f>
        <v>#N/A</v>
      </c>
      <c r="L2426" s="160"/>
      <c r="M2426" s="159"/>
      <c r="N2426" s="159" t="e">
        <f>IF(bargiri[[#This Row],[مبلغ واریزی]]&lt;&gt;"",bargiri[[#This Row],[مانده مبلغ]]-bargiri[[#This Row],[مبلغ واریزی]],bargiri[[#This Row],[مانده مبلغ]])</f>
        <v>#N/A</v>
      </c>
      <c r="O2426" s="159"/>
      <c r="P2426" s="159" t="e">
        <f>VLOOKUP(bargiri[[#This Row],[شماره سند مبنا]],invoice[[شماره پیش فاکتور]:[پیش دریافت به ازای هر کیلوگرم]],14,0)</f>
        <v>#N/A</v>
      </c>
      <c r="Q2426" s="159" t="e">
        <f>IF(bargiri[[#This Row],[مبلغ ناخالص]]-(bargiri[[#This Row],[نرخ استهلاک]]*bargiri[[#This Row],[مقدار]])&lt;0,0,bargiri[[#This Row],[مبلغ ناخالص]]-(bargiri[[#This Row],[نرخ استهلاک]]*bargiri[[#This Row],[مقدار]]))</f>
        <v>#N/A</v>
      </c>
    </row>
    <row r="2427" spans="1:17" s="22" customFormat="1" ht="13.8" x14ac:dyDescent="0.25">
      <c r="A2427" s="22">
        <v>407</v>
      </c>
      <c r="B2427" s="22" t="s">
        <v>26</v>
      </c>
      <c r="C2427" s="22" t="s">
        <v>75</v>
      </c>
      <c r="D2427" s="22" t="s">
        <v>73</v>
      </c>
      <c r="E2427" s="158">
        <v>20950</v>
      </c>
      <c r="F2427" s="159">
        <v>56881</v>
      </c>
      <c r="G2427" s="159">
        <v>1191656950</v>
      </c>
      <c r="H2427" s="159">
        <v>107249126</v>
      </c>
      <c r="I2427" s="159">
        <v>1298906076</v>
      </c>
      <c r="J2427" s="159" t="e">
        <f>bargiri[[#This Row],[مقدار]]*INDEX(invoice[پیش دریافت به ازای هر کیلوگرم],MATCH(bargiri[[#This Row],[شماره سند مبنا]],invoice[شماره پیش فاکتور],0))</f>
        <v>#N/A</v>
      </c>
      <c r="K2427" s="159" t="e">
        <f>bargiri[[#This Row],[مبلغ خالص]]-bargiri[[#This Row],[میزان استهلاک پیش دریافتی]]</f>
        <v>#N/A</v>
      </c>
      <c r="L2427" s="160"/>
      <c r="M2427" s="159"/>
      <c r="N2427" s="159" t="e">
        <f>IF(bargiri[[#This Row],[مبلغ واریزی]]&lt;&gt;"",bargiri[[#This Row],[مانده مبلغ]]-bargiri[[#This Row],[مبلغ واریزی]],bargiri[[#This Row],[مانده مبلغ]])</f>
        <v>#N/A</v>
      </c>
      <c r="O2427" s="159"/>
      <c r="P2427" s="159" t="e">
        <f>VLOOKUP(bargiri[[#This Row],[شماره سند مبنا]],invoice[[شماره پیش فاکتور]:[پیش دریافت به ازای هر کیلوگرم]],14,0)</f>
        <v>#N/A</v>
      </c>
      <c r="Q2427" s="159" t="e">
        <f>IF(bargiri[[#This Row],[مبلغ ناخالص]]-(bargiri[[#This Row],[نرخ استهلاک]]*bargiri[[#This Row],[مقدار]])&lt;0,0,bargiri[[#This Row],[مبلغ ناخالص]]-(bargiri[[#This Row],[نرخ استهلاک]]*bargiri[[#This Row],[مقدار]]))</f>
        <v>#N/A</v>
      </c>
    </row>
    <row r="2428" spans="1:17" s="22" customFormat="1" ht="13.8" x14ac:dyDescent="0.25">
      <c r="A2428" s="22">
        <v>406</v>
      </c>
      <c r="B2428" s="22" t="s">
        <v>26</v>
      </c>
      <c r="C2428" s="22" t="s">
        <v>75</v>
      </c>
      <c r="D2428" s="22" t="s">
        <v>73</v>
      </c>
      <c r="E2428" s="158">
        <v>21310</v>
      </c>
      <c r="F2428" s="159">
        <v>56881</v>
      </c>
      <c r="G2428" s="159">
        <v>1212134110</v>
      </c>
      <c r="H2428" s="159">
        <v>109092070</v>
      </c>
      <c r="I2428" s="159">
        <v>1321226180</v>
      </c>
      <c r="J2428" s="159" t="e">
        <f>bargiri[[#This Row],[مقدار]]*INDEX(invoice[پیش دریافت به ازای هر کیلوگرم],MATCH(bargiri[[#This Row],[شماره سند مبنا]],invoice[شماره پیش فاکتور],0))</f>
        <v>#N/A</v>
      </c>
      <c r="K2428" s="159" t="e">
        <f>bargiri[[#This Row],[مبلغ خالص]]-bargiri[[#This Row],[میزان استهلاک پیش دریافتی]]</f>
        <v>#N/A</v>
      </c>
      <c r="L2428" s="160"/>
      <c r="M2428" s="159"/>
      <c r="N2428" s="159" t="e">
        <f>IF(bargiri[[#This Row],[مبلغ واریزی]]&lt;&gt;"",bargiri[[#This Row],[مانده مبلغ]]-bargiri[[#This Row],[مبلغ واریزی]],bargiri[[#This Row],[مانده مبلغ]])</f>
        <v>#N/A</v>
      </c>
      <c r="O2428" s="159"/>
      <c r="P2428" s="159" t="e">
        <f>VLOOKUP(bargiri[[#This Row],[شماره سند مبنا]],invoice[[شماره پیش فاکتور]:[پیش دریافت به ازای هر کیلوگرم]],14,0)</f>
        <v>#N/A</v>
      </c>
      <c r="Q2428" s="159" t="e">
        <f>IF(bargiri[[#This Row],[مبلغ ناخالص]]-(bargiri[[#This Row],[نرخ استهلاک]]*bargiri[[#This Row],[مقدار]])&lt;0,0,bargiri[[#This Row],[مبلغ ناخالص]]-(bargiri[[#This Row],[نرخ استهلاک]]*bargiri[[#This Row],[مقدار]]))</f>
        <v>#N/A</v>
      </c>
    </row>
    <row r="2429" spans="1:17" s="22" customFormat="1" ht="13.8" x14ac:dyDescent="0.25">
      <c r="A2429" s="22">
        <v>405</v>
      </c>
      <c r="B2429" s="22" t="s">
        <v>26</v>
      </c>
      <c r="C2429" s="22" t="s">
        <v>75</v>
      </c>
      <c r="D2429" s="22" t="s">
        <v>73</v>
      </c>
      <c r="E2429" s="158">
        <v>20910</v>
      </c>
      <c r="F2429" s="159">
        <v>56881</v>
      </c>
      <c r="G2429" s="159">
        <v>1189381710</v>
      </c>
      <c r="H2429" s="159">
        <v>107044354</v>
      </c>
      <c r="I2429" s="159">
        <v>1296426064</v>
      </c>
      <c r="J2429" s="159" t="e">
        <f>bargiri[[#This Row],[مقدار]]*INDEX(invoice[پیش دریافت به ازای هر کیلوگرم],MATCH(bargiri[[#This Row],[شماره سند مبنا]],invoice[شماره پیش فاکتور],0))</f>
        <v>#N/A</v>
      </c>
      <c r="K2429" s="159" t="e">
        <f>bargiri[[#This Row],[مبلغ خالص]]-bargiri[[#This Row],[میزان استهلاک پیش دریافتی]]</f>
        <v>#N/A</v>
      </c>
      <c r="L2429" s="160"/>
      <c r="M2429" s="159"/>
      <c r="N2429" s="159" t="e">
        <f>IF(bargiri[[#This Row],[مبلغ واریزی]]&lt;&gt;"",bargiri[[#This Row],[مانده مبلغ]]-bargiri[[#This Row],[مبلغ واریزی]],bargiri[[#This Row],[مانده مبلغ]])</f>
        <v>#N/A</v>
      </c>
      <c r="O2429" s="159"/>
      <c r="P2429" s="159" t="e">
        <f>VLOOKUP(bargiri[[#This Row],[شماره سند مبنا]],invoice[[شماره پیش فاکتور]:[پیش دریافت به ازای هر کیلوگرم]],14,0)</f>
        <v>#N/A</v>
      </c>
      <c r="Q2429" s="159" t="e">
        <f>IF(bargiri[[#This Row],[مبلغ ناخالص]]-(bargiri[[#This Row],[نرخ استهلاک]]*bargiri[[#This Row],[مقدار]])&lt;0,0,bargiri[[#This Row],[مبلغ ناخالص]]-(bargiri[[#This Row],[نرخ استهلاک]]*bargiri[[#This Row],[مقدار]]))</f>
        <v>#N/A</v>
      </c>
    </row>
    <row r="2430" spans="1:17" s="22" customFormat="1" ht="13.8" x14ac:dyDescent="0.25">
      <c r="A2430" s="22">
        <v>404</v>
      </c>
      <c r="B2430" s="22" t="s">
        <v>26</v>
      </c>
      <c r="C2430" s="22" t="s">
        <v>27</v>
      </c>
      <c r="D2430" s="22" t="s">
        <v>25</v>
      </c>
      <c r="E2430" s="158">
        <v>20330</v>
      </c>
      <c r="F2430" s="159">
        <v>68000</v>
      </c>
      <c r="G2430" s="159">
        <v>1382440000</v>
      </c>
      <c r="H2430" s="159">
        <v>124419600</v>
      </c>
      <c r="I2430" s="159">
        <v>1506859600</v>
      </c>
      <c r="J2430" s="159" t="e">
        <f>bargiri[[#This Row],[مقدار]]*INDEX(invoice[پیش دریافت به ازای هر کیلوگرم],MATCH(bargiri[[#This Row],[شماره سند مبنا]],invoice[شماره پیش فاکتور],0))</f>
        <v>#N/A</v>
      </c>
      <c r="K2430" s="159" t="e">
        <f>bargiri[[#This Row],[مبلغ خالص]]-bargiri[[#This Row],[میزان استهلاک پیش دریافتی]]</f>
        <v>#N/A</v>
      </c>
      <c r="L2430" s="160"/>
      <c r="M2430" s="159"/>
      <c r="N2430" s="159" t="e">
        <f>IF(bargiri[[#This Row],[مبلغ واریزی]]&lt;&gt;"",bargiri[[#This Row],[مانده مبلغ]]-bargiri[[#This Row],[مبلغ واریزی]],bargiri[[#This Row],[مانده مبلغ]])</f>
        <v>#N/A</v>
      </c>
      <c r="O2430" s="159"/>
      <c r="P2430" s="159" t="e">
        <f>VLOOKUP(bargiri[[#This Row],[شماره سند مبنا]],invoice[[شماره پیش فاکتور]:[پیش دریافت به ازای هر کیلوگرم]],14,0)</f>
        <v>#N/A</v>
      </c>
      <c r="Q2430" s="159" t="e">
        <f>IF(bargiri[[#This Row],[مبلغ ناخالص]]-(bargiri[[#This Row],[نرخ استهلاک]]*bargiri[[#This Row],[مقدار]])&lt;0,0,bargiri[[#This Row],[مبلغ ناخالص]]-(bargiri[[#This Row],[نرخ استهلاک]]*bargiri[[#This Row],[مقدار]]))</f>
        <v>#N/A</v>
      </c>
    </row>
    <row r="2431" spans="1:17" s="22" customFormat="1" ht="13.8" x14ac:dyDescent="0.25">
      <c r="A2431" s="22">
        <v>404</v>
      </c>
      <c r="B2431" s="22" t="s">
        <v>26</v>
      </c>
      <c r="C2431" s="22" t="s">
        <v>24</v>
      </c>
      <c r="D2431" s="22" t="s">
        <v>25</v>
      </c>
      <c r="E2431" s="158">
        <v>1890</v>
      </c>
      <c r="F2431" s="159">
        <v>68000</v>
      </c>
      <c r="G2431" s="159">
        <v>128520000</v>
      </c>
      <c r="H2431" s="159">
        <v>11566800</v>
      </c>
      <c r="I2431" s="159">
        <v>140086800</v>
      </c>
      <c r="J2431" s="159" t="e">
        <f>bargiri[[#This Row],[مقدار]]*INDEX(invoice[پیش دریافت به ازای هر کیلوگرم],MATCH(bargiri[[#This Row],[شماره سند مبنا]],invoice[شماره پیش فاکتور],0))</f>
        <v>#N/A</v>
      </c>
      <c r="K2431" s="159" t="e">
        <f>bargiri[[#This Row],[مبلغ خالص]]-bargiri[[#This Row],[میزان استهلاک پیش دریافتی]]</f>
        <v>#N/A</v>
      </c>
      <c r="L2431" s="160"/>
      <c r="M2431" s="159"/>
      <c r="N2431" s="159" t="e">
        <f>IF(bargiri[[#This Row],[مبلغ واریزی]]&lt;&gt;"",bargiri[[#This Row],[مانده مبلغ]]-bargiri[[#This Row],[مبلغ واریزی]],bargiri[[#This Row],[مانده مبلغ]])</f>
        <v>#N/A</v>
      </c>
      <c r="O2431" s="159"/>
      <c r="P2431" s="159" t="e">
        <f>VLOOKUP(bargiri[[#This Row],[شماره سند مبنا]],invoice[[شماره پیش فاکتور]:[پیش دریافت به ازای هر کیلوگرم]],14,0)</f>
        <v>#N/A</v>
      </c>
      <c r="Q2431" s="159" t="e">
        <f>IF(bargiri[[#This Row],[مبلغ ناخالص]]-(bargiri[[#This Row],[نرخ استهلاک]]*bargiri[[#This Row],[مقدار]])&lt;0,0,bargiri[[#This Row],[مبلغ ناخالص]]-(bargiri[[#This Row],[نرخ استهلاک]]*bargiri[[#This Row],[مقدار]]))</f>
        <v>#N/A</v>
      </c>
    </row>
    <row r="2432" spans="1:17" s="22" customFormat="1" ht="13.8" x14ac:dyDescent="0.25">
      <c r="A2432" s="22">
        <v>403</v>
      </c>
      <c r="B2432" s="22" t="s">
        <v>26</v>
      </c>
      <c r="C2432" s="22" t="s">
        <v>66</v>
      </c>
      <c r="D2432" s="22" t="s">
        <v>67</v>
      </c>
      <c r="E2432" s="158">
        <v>22140</v>
      </c>
      <c r="F2432" s="159">
        <v>68500</v>
      </c>
      <c r="G2432" s="159">
        <v>1516590000</v>
      </c>
      <c r="H2432" s="159">
        <v>136493100</v>
      </c>
      <c r="I2432" s="159">
        <v>1653083100</v>
      </c>
      <c r="J2432" s="159" t="e">
        <f>bargiri[[#This Row],[مقدار]]*INDEX(invoice[پیش دریافت به ازای هر کیلوگرم],MATCH(bargiri[[#This Row],[شماره سند مبنا]],invoice[شماره پیش فاکتور],0))</f>
        <v>#N/A</v>
      </c>
      <c r="K2432" s="159" t="e">
        <f>bargiri[[#This Row],[مبلغ خالص]]-bargiri[[#This Row],[میزان استهلاک پیش دریافتی]]</f>
        <v>#N/A</v>
      </c>
      <c r="L2432" s="160"/>
      <c r="M2432" s="159"/>
      <c r="N2432" s="159" t="e">
        <f>IF(bargiri[[#This Row],[مبلغ واریزی]]&lt;&gt;"",bargiri[[#This Row],[مانده مبلغ]]-bargiri[[#This Row],[مبلغ واریزی]],bargiri[[#This Row],[مانده مبلغ]])</f>
        <v>#N/A</v>
      </c>
      <c r="O2432" s="159"/>
      <c r="P2432" s="159" t="e">
        <f>VLOOKUP(bargiri[[#This Row],[شماره سند مبنا]],invoice[[شماره پیش فاکتور]:[پیش دریافت به ازای هر کیلوگرم]],14,0)</f>
        <v>#N/A</v>
      </c>
      <c r="Q2432" s="159" t="e">
        <f>IF(bargiri[[#This Row],[مبلغ ناخالص]]-(bargiri[[#This Row],[نرخ استهلاک]]*bargiri[[#This Row],[مقدار]])&lt;0,0,bargiri[[#This Row],[مبلغ ناخالص]]-(bargiri[[#This Row],[نرخ استهلاک]]*bargiri[[#This Row],[مقدار]]))</f>
        <v>#N/A</v>
      </c>
    </row>
    <row r="2433" spans="1:17" s="22" customFormat="1" ht="13.8" x14ac:dyDescent="0.25">
      <c r="A2433" s="22">
        <v>402</v>
      </c>
      <c r="B2433" s="22" t="s">
        <v>562</v>
      </c>
      <c r="C2433" s="22" t="s">
        <v>29</v>
      </c>
      <c r="D2433" s="22" t="s">
        <v>30</v>
      </c>
      <c r="E2433" s="158">
        <v>9100</v>
      </c>
      <c r="F2433" s="159">
        <v>70000</v>
      </c>
      <c r="G2433" s="159">
        <v>637000000</v>
      </c>
      <c r="H2433" s="159">
        <v>63700000</v>
      </c>
      <c r="I2433" s="159">
        <v>700700000</v>
      </c>
      <c r="J2433" s="159" t="e">
        <f>bargiri[[#This Row],[مقدار]]*INDEX(invoice[پیش دریافت به ازای هر کیلوگرم],MATCH(bargiri[[#This Row],[شماره سند مبنا]],invoice[شماره پیش فاکتور],0))</f>
        <v>#N/A</v>
      </c>
      <c r="K2433" s="159" t="e">
        <f>bargiri[[#This Row],[مبلغ خالص]]-bargiri[[#This Row],[میزان استهلاک پیش دریافتی]]</f>
        <v>#N/A</v>
      </c>
      <c r="L2433" s="160"/>
      <c r="M2433" s="159"/>
      <c r="N2433" s="159" t="e">
        <f>IF(bargiri[[#This Row],[مبلغ واریزی]]&lt;&gt;"",bargiri[[#This Row],[مانده مبلغ]]-bargiri[[#This Row],[مبلغ واریزی]],bargiri[[#This Row],[مانده مبلغ]])</f>
        <v>#N/A</v>
      </c>
      <c r="O2433" s="159"/>
      <c r="P2433" s="159" t="e">
        <f>VLOOKUP(bargiri[[#This Row],[شماره سند مبنا]],invoice[[شماره پیش فاکتور]:[پیش دریافت به ازای هر کیلوگرم]],14,0)</f>
        <v>#N/A</v>
      </c>
      <c r="Q2433" s="159" t="e">
        <f>IF(bargiri[[#This Row],[مبلغ ناخالص]]-(bargiri[[#This Row],[نرخ استهلاک]]*bargiri[[#This Row],[مقدار]])&lt;0,0,bargiri[[#This Row],[مبلغ ناخالص]]-(bargiri[[#This Row],[نرخ استهلاک]]*bargiri[[#This Row],[مقدار]]))</f>
        <v>#N/A</v>
      </c>
    </row>
    <row r="2434" spans="1:17" s="22" customFormat="1" ht="13.8" x14ac:dyDescent="0.25">
      <c r="A2434" s="22">
        <v>401</v>
      </c>
      <c r="B2434" s="22" t="s">
        <v>562</v>
      </c>
      <c r="C2434" s="22" t="s">
        <v>69</v>
      </c>
      <c r="D2434" s="22" t="s">
        <v>70</v>
      </c>
      <c r="E2434" s="158">
        <v>19960</v>
      </c>
      <c r="F2434" s="159">
        <v>70000</v>
      </c>
      <c r="G2434" s="159">
        <v>1397200000</v>
      </c>
      <c r="H2434" s="159">
        <v>125748000</v>
      </c>
      <c r="I2434" s="159">
        <v>1522948000</v>
      </c>
      <c r="J2434" s="159" t="e">
        <f>bargiri[[#This Row],[مقدار]]*INDEX(invoice[پیش دریافت به ازای هر کیلوگرم],MATCH(bargiri[[#This Row],[شماره سند مبنا]],invoice[شماره پیش فاکتور],0))</f>
        <v>#N/A</v>
      </c>
      <c r="K2434" s="159" t="e">
        <f>bargiri[[#This Row],[مبلغ خالص]]-bargiri[[#This Row],[میزان استهلاک پیش دریافتی]]</f>
        <v>#N/A</v>
      </c>
      <c r="L2434" s="160"/>
      <c r="M2434" s="159"/>
      <c r="N2434" s="159" t="e">
        <f>IF(bargiri[[#This Row],[مبلغ واریزی]]&lt;&gt;"",bargiri[[#This Row],[مانده مبلغ]]-bargiri[[#This Row],[مبلغ واریزی]],bargiri[[#This Row],[مانده مبلغ]])</f>
        <v>#N/A</v>
      </c>
      <c r="O2434" s="159"/>
      <c r="P2434" s="159" t="e">
        <f>VLOOKUP(bargiri[[#This Row],[شماره سند مبنا]],invoice[[شماره پیش فاکتور]:[پیش دریافت به ازای هر کیلوگرم]],14,0)</f>
        <v>#N/A</v>
      </c>
      <c r="Q2434" s="159" t="e">
        <f>IF(bargiri[[#This Row],[مبلغ ناخالص]]-(bargiri[[#This Row],[نرخ استهلاک]]*bargiri[[#This Row],[مقدار]])&lt;0,0,bargiri[[#This Row],[مبلغ ناخالص]]-(bargiri[[#This Row],[نرخ استهلاک]]*bargiri[[#This Row],[مقدار]]))</f>
        <v>#N/A</v>
      </c>
    </row>
    <row r="2435" spans="1:17" s="22" customFormat="1" ht="13.8" x14ac:dyDescent="0.25">
      <c r="A2435" s="22">
        <v>400</v>
      </c>
      <c r="B2435" s="22" t="s">
        <v>553</v>
      </c>
      <c r="C2435" s="22" t="s">
        <v>97</v>
      </c>
      <c r="D2435" s="22" t="s">
        <v>40</v>
      </c>
      <c r="E2435" s="158">
        <v>18180</v>
      </c>
      <c r="F2435" s="159">
        <v>85000</v>
      </c>
      <c r="G2435" s="159">
        <v>1545300000</v>
      </c>
      <c r="H2435" s="159">
        <v>154530000</v>
      </c>
      <c r="I2435" s="159">
        <v>1699830000</v>
      </c>
      <c r="J2435" s="159" t="e">
        <f>bargiri[[#This Row],[مقدار]]*INDEX(invoice[پیش دریافت به ازای هر کیلوگرم],MATCH(bargiri[[#This Row],[شماره سند مبنا]],invoice[شماره پیش فاکتور],0))</f>
        <v>#N/A</v>
      </c>
      <c r="K2435" s="159" t="e">
        <f>bargiri[[#This Row],[مبلغ خالص]]-bargiri[[#This Row],[میزان استهلاک پیش دریافتی]]</f>
        <v>#N/A</v>
      </c>
      <c r="L2435" s="160"/>
      <c r="M2435" s="159"/>
      <c r="N2435" s="159" t="e">
        <f>IF(bargiri[[#This Row],[مبلغ واریزی]]&lt;&gt;"",bargiri[[#This Row],[مانده مبلغ]]-bargiri[[#This Row],[مبلغ واریزی]],bargiri[[#This Row],[مانده مبلغ]])</f>
        <v>#N/A</v>
      </c>
      <c r="O2435" s="159"/>
      <c r="P2435" s="159" t="e">
        <f>VLOOKUP(bargiri[[#This Row],[شماره سند مبنا]],invoice[[شماره پیش فاکتور]:[پیش دریافت به ازای هر کیلوگرم]],14,0)</f>
        <v>#N/A</v>
      </c>
      <c r="Q2435" s="159" t="e">
        <f>IF(bargiri[[#This Row],[مبلغ ناخالص]]-(bargiri[[#This Row],[نرخ استهلاک]]*bargiri[[#This Row],[مقدار]])&lt;0,0,bargiri[[#This Row],[مبلغ ناخالص]]-(bargiri[[#This Row],[نرخ استهلاک]]*bargiri[[#This Row],[مقدار]]))</f>
        <v>#N/A</v>
      </c>
    </row>
    <row r="2436" spans="1:17" s="22" customFormat="1" ht="13.8" x14ac:dyDescent="0.25">
      <c r="A2436" s="22">
        <v>398</v>
      </c>
      <c r="B2436" s="22" t="s">
        <v>90</v>
      </c>
      <c r="C2436" s="22" t="s">
        <v>39</v>
      </c>
      <c r="D2436" s="22" t="s">
        <v>40</v>
      </c>
      <c r="E2436" s="158">
        <v>19890</v>
      </c>
      <c r="F2436" s="159">
        <v>75000</v>
      </c>
      <c r="G2436" s="159">
        <v>1491750000</v>
      </c>
      <c r="H2436" s="159">
        <v>134257500</v>
      </c>
      <c r="I2436" s="159">
        <v>1626007500</v>
      </c>
      <c r="J2436" s="159" t="e">
        <f>bargiri[[#This Row],[مقدار]]*INDEX(invoice[پیش دریافت به ازای هر کیلوگرم],MATCH(bargiri[[#This Row],[شماره سند مبنا]],invoice[شماره پیش فاکتور],0))</f>
        <v>#N/A</v>
      </c>
      <c r="K2436" s="159" t="e">
        <f>bargiri[[#This Row],[مبلغ خالص]]-bargiri[[#This Row],[میزان استهلاک پیش دریافتی]]</f>
        <v>#N/A</v>
      </c>
      <c r="L2436" s="160"/>
      <c r="M2436" s="159"/>
      <c r="N2436" s="159" t="e">
        <f>IF(bargiri[[#This Row],[مبلغ واریزی]]&lt;&gt;"",bargiri[[#This Row],[مانده مبلغ]]-bargiri[[#This Row],[مبلغ واریزی]],bargiri[[#This Row],[مانده مبلغ]])</f>
        <v>#N/A</v>
      </c>
      <c r="O2436" s="159"/>
      <c r="P2436" s="159" t="e">
        <f>VLOOKUP(bargiri[[#This Row],[شماره سند مبنا]],invoice[[شماره پیش فاکتور]:[پیش دریافت به ازای هر کیلوگرم]],14,0)</f>
        <v>#N/A</v>
      </c>
      <c r="Q2436" s="159" t="e">
        <f>IF(bargiri[[#This Row],[مبلغ ناخالص]]-(bargiri[[#This Row],[نرخ استهلاک]]*bargiri[[#This Row],[مقدار]])&lt;0,0,bargiri[[#This Row],[مبلغ ناخالص]]-(bargiri[[#This Row],[نرخ استهلاک]]*bargiri[[#This Row],[مقدار]]))</f>
        <v>#N/A</v>
      </c>
    </row>
    <row r="2437" spans="1:17" s="22" customFormat="1" ht="13.8" x14ac:dyDescent="0.25">
      <c r="A2437" s="22">
        <v>397</v>
      </c>
      <c r="B2437" s="22" t="s">
        <v>76</v>
      </c>
      <c r="C2437" s="22" t="s">
        <v>39</v>
      </c>
      <c r="D2437" s="22" t="s">
        <v>40</v>
      </c>
      <c r="E2437" s="158">
        <v>18130</v>
      </c>
      <c r="F2437" s="159">
        <v>75000</v>
      </c>
      <c r="G2437" s="159">
        <v>1359750000</v>
      </c>
      <c r="H2437" s="159">
        <v>122377500</v>
      </c>
      <c r="I2437" s="159">
        <v>1482127500</v>
      </c>
      <c r="J2437" s="159" t="e">
        <f>bargiri[[#This Row],[مقدار]]*INDEX(invoice[پیش دریافت به ازای هر کیلوگرم],MATCH(bargiri[[#This Row],[شماره سند مبنا]],invoice[شماره پیش فاکتور],0))</f>
        <v>#N/A</v>
      </c>
      <c r="K2437" s="159" t="e">
        <f>bargiri[[#This Row],[مبلغ خالص]]-bargiri[[#This Row],[میزان استهلاک پیش دریافتی]]</f>
        <v>#N/A</v>
      </c>
      <c r="L2437" s="160"/>
      <c r="M2437" s="159"/>
      <c r="N2437" s="159" t="e">
        <f>IF(bargiri[[#This Row],[مبلغ واریزی]]&lt;&gt;"",bargiri[[#This Row],[مانده مبلغ]]-bargiri[[#This Row],[مبلغ واریزی]],bargiri[[#This Row],[مانده مبلغ]])</f>
        <v>#N/A</v>
      </c>
      <c r="O2437" s="159"/>
      <c r="P2437" s="159" t="e">
        <f>VLOOKUP(bargiri[[#This Row],[شماره سند مبنا]],invoice[[شماره پیش فاکتور]:[پیش دریافت به ازای هر کیلوگرم]],14,0)</f>
        <v>#N/A</v>
      </c>
      <c r="Q2437" s="159" t="e">
        <f>IF(bargiri[[#This Row],[مبلغ ناخالص]]-(bargiri[[#This Row],[نرخ استهلاک]]*bargiri[[#This Row],[مقدار]])&lt;0,0,bargiri[[#This Row],[مبلغ ناخالص]]-(bargiri[[#This Row],[نرخ استهلاک]]*bargiri[[#This Row],[مقدار]]))</f>
        <v>#N/A</v>
      </c>
    </row>
    <row r="2438" spans="1:17" s="22" customFormat="1" ht="13.8" x14ac:dyDescent="0.25">
      <c r="A2438" s="22">
        <v>396</v>
      </c>
      <c r="B2438" s="22" t="s">
        <v>28</v>
      </c>
      <c r="C2438" s="22" t="s">
        <v>39</v>
      </c>
      <c r="D2438" s="22" t="s">
        <v>40</v>
      </c>
      <c r="E2438" s="158">
        <v>19580</v>
      </c>
      <c r="F2438" s="159">
        <v>75000</v>
      </c>
      <c r="G2438" s="159">
        <v>1468500000</v>
      </c>
      <c r="H2438" s="159">
        <v>132165000</v>
      </c>
      <c r="I2438" s="159">
        <v>1600665000</v>
      </c>
      <c r="J2438" s="159" t="e">
        <f>bargiri[[#This Row],[مقدار]]*INDEX(invoice[پیش دریافت به ازای هر کیلوگرم],MATCH(bargiri[[#This Row],[شماره سند مبنا]],invoice[شماره پیش فاکتور],0))</f>
        <v>#N/A</v>
      </c>
      <c r="K2438" s="159" t="e">
        <f>bargiri[[#This Row],[مبلغ خالص]]-bargiri[[#This Row],[میزان استهلاک پیش دریافتی]]</f>
        <v>#N/A</v>
      </c>
      <c r="L2438" s="160"/>
      <c r="M2438" s="159"/>
      <c r="N2438" s="159" t="e">
        <f>IF(bargiri[[#This Row],[مبلغ واریزی]]&lt;&gt;"",bargiri[[#This Row],[مانده مبلغ]]-bargiri[[#This Row],[مبلغ واریزی]],bargiri[[#This Row],[مانده مبلغ]])</f>
        <v>#N/A</v>
      </c>
      <c r="O2438" s="159"/>
      <c r="P2438" s="159" t="e">
        <f>VLOOKUP(bargiri[[#This Row],[شماره سند مبنا]],invoice[[شماره پیش فاکتور]:[پیش دریافت به ازای هر کیلوگرم]],14,0)</f>
        <v>#N/A</v>
      </c>
      <c r="Q2438" s="159" t="e">
        <f>IF(bargiri[[#This Row],[مبلغ ناخالص]]-(bargiri[[#This Row],[نرخ استهلاک]]*bargiri[[#This Row],[مقدار]])&lt;0,0,bargiri[[#This Row],[مبلغ ناخالص]]-(bargiri[[#This Row],[نرخ استهلاک]]*bargiri[[#This Row],[مقدار]]))</f>
        <v>#N/A</v>
      </c>
    </row>
    <row r="2439" spans="1:17" s="22" customFormat="1" ht="13.8" x14ac:dyDescent="0.25">
      <c r="A2439" s="22">
        <v>395</v>
      </c>
      <c r="B2439" s="22" t="s">
        <v>82</v>
      </c>
      <c r="C2439" s="22" t="s">
        <v>39</v>
      </c>
      <c r="D2439" s="22" t="s">
        <v>40</v>
      </c>
      <c r="E2439" s="158">
        <v>18260</v>
      </c>
      <c r="F2439" s="159">
        <v>75000</v>
      </c>
      <c r="G2439" s="159">
        <v>1369500000</v>
      </c>
      <c r="H2439" s="159">
        <v>123255000</v>
      </c>
      <c r="I2439" s="159">
        <v>1492755000</v>
      </c>
      <c r="J2439" s="159" t="e">
        <f>bargiri[[#This Row],[مقدار]]*INDEX(invoice[پیش دریافت به ازای هر کیلوگرم],MATCH(bargiri[[#This Row],[شماره سند مبنا]],invoice[شماره پیش فاکتور],0))</f>
        <v>#N/A</v>
      </c>
      <c r="K2439" s="159" t="e">
        <f>bargiri[[#This Row],[مبلغ خالص]]-bargiri[[#This Row],[میزان استهلاک پیش دریافتی]]</f>
        <v>#N/A</v>
      </c>
      <c r="L2439" s="160"/>
      <c r="M2439" s="159"/>
      <c r="N2439" s="159" t="e">
        <f>IF(bargiri[[#This Row],[مبلغ واریزی]]&lt;&gt;"",bargiri[[#This Row],[مانده مبلغ]]-bargiri[[#This Row],[مبلغ واریزی]],bargiri[[#This Row],[مانده مبلغ]])</f>
        <v>#N/A</v>
      </c>
      <c r="O2439" s="159"/>
      <c r="P2439" s="159" t="e">
        <f>VLOOKUP(bargiri[[#This Row],[شماره سند مبنا]],invoice[[شماره پیش فاکتور]:[پیش دریافت به ازای هر کیلوگرم]],14,0)</f>
        <v>#N/A</v>
      </c>
      <c r="Q2439" s="159" t="e">
        <f>IF(bargiri[[#This Row],[مبلغ ناخالص]]-(bargiri[[#This Row],[نرخ استهلاک]]*bargiri[[#This Row],[مقدار]])&lt;0,0,bargiri[[#This Row],[مبلغ ناخالص]]-(bargiri[[#This Row],[نرخ استهلاک]]*bargiri[[#This Row],[مقدار]]))</f>
        <v>#N/A</v>
      </c>
    </row>
    <row r="2440" spans="1:17" s="22" customFormat="1" ht="13.8" x14ac:dyDescent="0.25">
      <c r="A2440" s="22">
        <v>394</v>
      </c>
      <c r="B2440" s="22" t="s">
        <v>41</v>
      </c>
      <c r="C2440" s="22" t="s">
        <v>39</v>
      </c>
      <c r="D2440" s="22" t="s">
        <v>40</v>
      </c>
      <c r="E2440" s="158">
        <v>18230</v>
      </c>
      <c r="F2440" s="159">
        <v>75000</v>
      </c>
      <c r="G2440" s="159">
        <v>1367250000</v>
      </c>
      <c r="H2440" s="159">
        <v>123052500</v>
      </c>
      <c r="I2440" s="159">
        <v>1490302500</v>
      </c>
      <c r="J2440" s="159" t="e">
        <f>bargiri[[#This Row],[مقدار]]*INDEX(invoice[پیش دریافت به ازای هر کیلوگرم],MATCH(bargiri[[#This Row],[شماره سند مبنا]],invoice[شماره پیش فاکتور],0))</f>
        <v>#N/A</v>
      </c>
      <c r="K2440" s="159" t="e">
        <f>bargiri[[#This Row],[مبلغ خالص]]-bargiri[[#This Row],[میزان استهلاک پیش دریافتی]]</f>
        <v>#N/A</v>
      </c>
      <c r="L2440" s="160"/>
      <c r="M2440" s="159"/>
      <c r="N2440" s="159" t="e">
        <f>IF(bargiri[[#This Row],[مبلغ واریزی]]&lt;&gt;"",bargiri[[#This Row],[مانده مبلغ]]-bargiri[[#This Row],[مبلغ واریزی]],bargiri[[#This Row],[مانده مبلغ]])</f>
        <v>#N/A</v>
      </c>
      <c r="O2440" s="159"/>
      <c r="P2440" s="159" t="e">
        <f>VLOOKUP(bargiri[[#This Row],[شماره سند مبنا]],invoice[[شماره پیش فاکتور]:[پیش دریافت به ازای هر کیلوگرم]],14,0)</f>
        <v>#N/A</v>
      </c>
      <c r="Q2440" s="159" t="e">
        <f>IF(bargiri[[#This Row],[مبلغ ناخالص]]-(bargiri[[#This Row],[نرخ استهلاک]]*bargiri[[#This Row],[مقدار]])&lt;0,0,bargiri[[#This Row],[مبلغ ناخالص]]-(bargiri[[#This Row],[نرخ استهلاک]]*bargiri[[#This Row],[مقدار]]))</f>
        <v>#N/A</v>
      </c>
    </row>
    <row r="2441" spans="1:17" s="22" customFormat="1" ht="13.8" x14ac:dyDescent="0.25">
      <c r="A2441" s="22">
        <v>393</v>
      </c>
      <c r="B2441" s="22" t="s">
        <v>562</v>
      </c>
      <c r="C2441" s="22" t="s">
        <v>93</v>
      </c>
      <c r="D2441" s="22" t="s">
        <v>78</v>
      </c>
      <c r="E2441" s="158">
        <v>21210</v>
      </c>
      <c r="F2441" s="159">
        <v>70000</v>
      </c>
      <c r="G2441" s="159">
        <v>1484700000</v>
      </c>
      <c r="H2441" s="159">
        <v>148470000</v>
      </c>
      <c r="I2441" s="159">
        <v>1633170000</v>
      </c>
      <c r="J2441" s="159" t="e">
        <f>bargiri[[#This Row],[مقدار]]*INDEX(invoice[پیش دریافت به ازای هر کیلوگرم],MATCH(bargiri[[#This Row],[شماره سند مبنا]],invoice[شماره پیش فاکتور],0))</f>
        <v>#N/A</v>
      </c>
      <c r="K2441" s="159" t="e">
        <f>bargiri[[#This Row],[مبلغ خالص]]-bargiri[[#This Row],[میزان استهلاک پیش دریافتی]]</f>
        <v>#N/A</v>
      </c>
      <c r="L2441" s="160"/>
      <c r="M2441" s="159"/>
      <c r="N2441" s="159" t="e">
        <f>IF(bargiri[[#This Row],[مبلغ واریزی]]&lt;&gt;"",bargiri[[#This Row],[مانده مبلغ]]-bargiri[[#This Row],[مبلغ واریزی]],bargiri[[#This Row],[مانده مبلغ]])</f>
        <v>#N/A</v>
      </c>
      <c r="O2441" s="159"/>
      <c r="P2441" s="159" t="e">
        <f>VLOOKUP(bargiri[[#This Row],[شماره سند مبنا]],invoice[[شماره پیش فاکتور]:[پیش دریافت به ازای هر کیلوگرم]],14,0)</f>
        <v>#N/A</v>
      </c>
      <c r="Q2441" s="159" t="e">
        <f>IF(bargiri[[#This Row],[مبلغ ناخالص]]-(bargiri[[#This Row],[نرخ استهلاک]]*bargiri[[#This Row],[مقدار]])&lt;0,0,bargiri[[#This Row],[مبلغ ناخالص]]-(bargiri[[#This Row],[نرخ استهلاک]]*bargiri[[#This Row],[مقدار]]))</f>
        <v>#N/A</v>
      </c>
    </row>
    <row r="2442" spans="1:17" s="22" customFormat="1" ht="13.8" x14ac:dyDescent="0.25">
      <c r="A2442" s="22">
        <v>392</v>
      </c>
      <c r="B2442" s="22" t="s">
        <v>562</v>
      </c>
      <c r="C2442" s="22" t="s">
        <v>66</v>
      </c>
      <c r="D2442" s="22" t="s">
        <v>67</v>
      </c>
      <c r="E2442" s="158">
        <v>21350</v>
      </c>
      <c r="F2442" s="159">
        <v>68500</v>
      </c>
      <c r="G2442" s="159">
        <v>1462475000</v>
      </c>
      <c r="H2442" s="159">
        <v>131622750</v>
      </c>
      <c r="I2442" s="159">
        <v>1594097750</v>
      </c>
      <c r="J2442" s="159" t="e">
        <f>bargiri[[#This Row],[مقدار]]*INDEX(invoice[پیش دریافت به ازای هر کیلوگرم],MATCH(bargiri[[#This Row],[شماره سند مبنا]],invoice[شماره پیش فاکتور],0))</f>
        <v>#N/A</v>
      </c>
      <c r="K2442" s="159" t="e">
        <f>bargiri[[#This Row],[مبلغ خالص]]-bargiri[[#This Row],[میزان استهلاک پیش دریافتی]]</f>
        <v>#N/A</v>
      </c>
      <c r="L2442" s="160"/>
      <c r="M2442" s="159"/>
      <c r="N2442" s="159" t="e">
        <f>IF(bargiri[[#This Row],[مبلغ واریزی]]&lt;&gt;"",bargiri[[#This Row],[مانده مبلغ]]-bargiri[[#This Row],[مبلغ واریزی]],bargiri[[#This Row],[مانده مبلغ]])</f>
        <v>#N/A</v>
      </c>
      <c r="O2442" s="159"/>
      <c r="P2442" s="159" t="e">
        <f>VLOOKUP(bargiri[[#This Row],[شماره سند مبنا]],invoice[[شماره پیش فاکتور]:[پیش دریافت به ازای هر کیلوگرم]],14,0)</f>
        <v>#N/A</v>
      </c>
      <c r="Q2442" s="159" t="e">
        <f>IF(bargiri[[#This Row],[مبلغ ناخالص]]-(bargiri[[#This Row],[نرخ استهلاک]]*bargiri[[#This Row],[مقدار]])&lt;0,0,bargiri[[#This Row],[مبلغ ناخالص]]-(bargiri[[#This Row],[نرخ استهلاک]]*bargiri[[#This Row],[مقدار]]))</f>
        <v>#N/A</v>
      </c>
    </row>
    <row r="2443" spans="1:17" s="22" customFormat="1" ht="13.8" x14ac:dyDescent="0.25">
      <c r="A2443" s="22">
        <v>391</v>
      </c>
      <c r="B2443" s="22" t="s">
        <v>553</v>
      </c>
      <c r="C2443" s="22" t="s">
        <v>19</v>
      </c>
      <c r="D2443" s="22" t="s">
        <v>20</v>
      </c>
      <c r="E2443" s="158">
        <v>18650</v>
      </c>
      <c r="F2443" s="159">
        <v>65000</v>
      </c>
      <c r="G2443" s="159">
        <v>1212250000</v>
      </c>
      <c r="H2443" s="159">
        <v>109102500</v>
      </c>
      <c r="I2443" s="159">
        <v>1321352500</v>
      </c>
      <c r="J2443" s="159" t="e">
        <f>bargiri[[#This Row],[مقدار]]*INDEX(invoice[پیش دریافت به ازای هر کیلوگرم],MATCH(bargiri[[#This Row],[شماره سند مبنا]],invoice[شماره پیش فاکتور],0))</f>
        <v>#N/A</v>
      </c>
      <c r="K2443" s="159" t="e">
        <f>bargiri[[#This Row],[مبلغ خالص]]-bargiri[[#This Row],[میزان استهلاک پیش دریافتی]]</f>
        <v>#N/A</v>
      </c>
      <c r="L2443" s="160"/>
      <c r="M2443" s="159"/>
      <c r="N2443" s="159" t="e">
        <f>IF(bargiri[[#This Row],[مبلغ واریزی]]&lt;&gt;"",bargiri[[#This Row],[مانده مبلغ]]-bargiri[[#This Row],[مبلغ واریزی]],bargiri[[#This Row],[مانده مبلغ]])</f>
        <v>#N/A</v>
      </c>
      <c r="O2443" s="159"/>
      <c r="P2443" s="159" t="e">
        <f>VLOOKUP(bargiri[[#This Row],[شماره سند مبنا]],invoice[[شماره پیش فاکتور]:[پیش دریافت به ازای هر کیلوگرم]],14,0)</f>
        <v>#N/A</v>
      </c>
      <c r="Q2443" s="159" t="e">
        <f>IF(bargiri[[#This Row],[مبلغ ناخالص]]-(bargiri[[#This Row],[نرخ استهلاک]]*bargiri[[#This Row],[مقدار]])&lt;0,0,bargiri[[#This Row],[مبلغ ناخالص]]-(bargiri[[#This Row],[نرخ استهلاک]]*bargiri[[#This Row],[مقدار]]))</f>
        <v>#N/A</v>
      </c>
    </row>
    <row r="2444" spans="1:17" s="22" customFormat="1" ht="13.8" x14ac:dyDescent="0.25">
      <c r="A2444" s="22">
        <v>390</v>
      </c>
      <c r="B2444" s="22" t="s">
        <v>553</v>
      </c>
      <c r="C2444" s="22" t="s">
        <v>16</v>
      </c>
      <c r="D2444" s="22" t="s">
        <v>17</v>
      </c>
      <c r="E2444" s="158">
        <v>21290</v>
      </c>
      <c r="F2444" s="159">
        <v>77000</v>
      </c>
      <c r="G2444" s="159">
        <v>1639330000</v>
      </c>
      <c r="H2444" s="159">
        <v>147539700</v>
      </c>
      <c r="I2444" s="159">
        <v>1786869700</v>
      </c>
      <c r="J2444" s="159" t="e">
        <f>bargiri[[#This Row],[مقدار]]*INDEX(invoice[پیش دریافت به ازای هر کیلوگرم],MATCH(bargiri[[#This Row],[شماره سند مبنا]],invoice[شماره پیش فاکتور],0))</f>
        <v>#N/A</v>
      </c>
      <c r="K2444" s="159" t="e">
        <f>bargiri[[#This Row],[مبلغ خالص]]-bargiri[[#This Row],[میزان استهلاک پیش دریافتی]]</f>
        <v>#N/A</v>
      </c>
      <c r="L2444" s="160"/>
      <c r="M2444" s="159"/>
      <c r="N2444" s="159" t="e">
        <f>IF(bargiri[[#This Row],[مبلغ واریزی]]&lt;&gt;"",bargiri[[#This Row],[مانده مبلغ]]-bargiri[[#This Row],[مبلغ واریزی]],bargiri[[#This Row],[مانده مبلغ]])</f>
        <v>#N/A</v>
      </c>
      <c r="O2444" s="159"/>
      <c r="P2444" s="159" t="e">
        <f>VLOOKUP(bargiri[[#This Row],[شماره سند مبنا]],invoice[[شماره پیش فاکتور]:[پیش دریافت به ازای هر کیلوگرم]],14,0)</f>
        <v>#N/A</v>
      </c>
      <c r="Q2444" s="159" t="e">
        <f>IF(bargiri[[#This Row],[مبلغ ناخالص]]-(bargiri[[#This Row],[نرخ استهلاک]]*bargiri[[#This Row],[مقدار]])&lt;0,0,bargiri[[#This Row],[مبلغ ناخالص]]-(bargiri[[#This Row],[نرخ استهلاک]]*bargiri[[#This Row],[مقدار]]))</f>
        <v>#N/A</v>
      </c>
    </row>
    <row r="2445" spans="1:17" s="22" customFormat="1" ht="13.8" x14ac:dyDescent="0.25">
      <c r="A2445" s="22">
        <v>389</v>
      </c>
      <c r="B2445" s="22" t="s">
        <v>553</v>
      </c>
      <c r="C2445" s="22" t="s">
        <v>63</v>
      </c>
      <c r="D2445" s="22" t="s">
        <v>64</v>
      </c>
      <c r="E2445" s="158">
        <v>21000</v>
      </c>
      <c r="F2445" s="159">
        <v>45000</v>
      </c>
      <c r="G2445" s="159">
        <v>945000000</v>
      </c>
      <c r="H2445" s="159">
        <v>85050000</v>
      </c>
      <c r="I2445" s="159">
        <v>1030050000</v>
      </c>
      <c r="J2445" s="159" t="e">
        <f>bargiri[[#This Row],[مقدار]]*INDEX(invoice[پیش دریافت به ازای هر کیلوگرم],MATCH(bargiri[[#This Row],[شماره سند مبنا]],invoice[شماره پیش فاکتور],0))</f>
        <v>#N/A</v>
      </c>
      <c r="K2445" s="159" t="e">
        <f>bargiri[[#This Row],[مبلغ خالص]]-bargiri[[#This Row],[میزان استهلاک پیش دریافتی]]</f>
        <v>#N/A</v>
      </c>
      <c r="L2445" s="160"/>
      <c r="M2445" s="159"/>
      <c r="N2445" s="159" t="e">
        <f>IF(bargiri[[#This Row],[مبلغ واریزی]]&lt;&gt;"",bargiri[[#This Row],[مانده مبلغ]]-bargiri[[#This Row],[مبلغ واریزی]],bargiri[[#This Row],[مانده مبلغ]])</f>
        <v>#N/A</v>
      </c>
      <c r="O2445" s="159"/>
      <c r="P2445" s="159" t="e">
        <f>VLOOKUP(bargiri[[#This Row],[شماره سند مبنا]],invoice[[شماره پیش فاکتور]:[پیش دریافت به ازای هر کیلوگرم]],14,0)</f>
        <v>#N/A</v>
      </c>
      <c r="Q2445" s="159" t="e">
        <f>IF(bargiri[[#This Row],[مبلغ ناخالص]]-(bargiri[[#This Row],[نرخ استهلاک]]*bargiri[[#This Row],[مقدار]])&lt;0,0,bargiri[[#This Row],[مبلغ ناخالص]]-(bargiri[[#This Row],[نرخ استهلاک]]*bargiri[[#This Row],[مقدار]]))</f>
        <v>#N/A</v>
      </c>
    </row>
    <row r="2446" spans="1:17" s="22" customFormat="1" ht="13.8" x14ac:dyDescent="0.25">
      <c r="A2446" s="22">
        <v>388</v>
      </c>
      <c r="B2446" s="22" t="s">
        <v>553</v>
      </c>
      <c r="C2446" s="22" t="s">
        <v>66</v>
      </c>
      <c r="D2446" s="22" t="s">
        <v>67</v>
      </c>
      <c r="E2446" s="158">
        <v>20400</v>
      </c>
      <c r="F2446" s="159">
        <v>68500</v>
      </c>
      <c r="G2446" s="159">
        <v>1397400000</v>
      </c>
      <c r="H2446" s="159">
        <v>125766000</v>
      </c>
      <c r="I2446" s="159">
        <v>1523166000</v>
      </c>
      <c r="J2446" s="159" t="e">
        <f>bargiri[[#This Row],[مقدار]]*INDEX(invoice[پیش دریافت به ازای هر کیلوگرم],MATCH(bargiri[[#This Row],[شماره سند مبنا]],invoice[شماره پیش فاکتور],0))</f>
        <v>#N/A</v>
      </c>
      <c r="K2446" s="159" t="e">
        <f>bargiri[[#This Row],[مبلغ خالص]]-bargiri[[#This Row],[میزان استهلاک پیش دریافتی]]</f>
        <v>#N/A</v>
      </c>
      <c r="L2446" s="160"/>
      <c r="M2446" s="159"/>
      <c r="N2446" s="159" t="e">
        <f>IF(bargiri[[#This Row],[مبلغ واریزی]]&lt;&gt;"",bargiri[[#This Row],[مانده مبلغ]]-bargiri[[#This Row],[مبلغ واریزی]],bargiri[[#This Row],[مانده مبلغ]])</f>
        <v>#N/A</v>
      </c>
      <c r="O2446" s="159"/>
      <c r="P2446" s="159" t="e">
        <f>VLOOKUP(bargiri[[#This Row],[شماره سند مبنا]],invoice[[شماره پیش فاکتور]:[پیش دریافت به ازای هر کیلوگرم]],14,0)</f>
        <v>#N/A</v>
      </c>
      <c r="Q2446" s="159" t="e">
        <f>IF(bargiri[[#This Row],[مبلغ ناخالص]]-(bargiri[[#This Row],[نرخ استهلاک]]*bargiri[[#This Row],[مقدار]])&lt;0,0,bargiri[[#This Row],[مبلغ ناخالص]]-(bargiri[[#This Row],[نرخ استهلاک]]*bargiri[[#This Row],[مقدار]]))</f>
        <v>#N/A</v>
      </c>
    </row>
    <row r="2447" spans="1:17" s="22" customFormat="1" ht="13.8" x14ac:dyDescent="0.25">
      <c r="A2447" s="22">
        <v>386</v>
      </c>
      <c r="B2447" s="22" t="s">
        <v>96</v>
      </c>
      <c r="C2447" s="22" t="s">
        <v>29</v>
      </c>
      <c r="D2447" s="22" t="s">
        <v>30</v>
      </c>
      <c r="E2447" s="158">
        <v>11580</v>
      </c>
      <c r="F2447" s="159">
        <v>70000</v>
      </c>
      <c r="G2447" s="159">
        <v>810600000</v>
      </c>
      <c r="H2447" s="159">
        <v>81060000</v>
      </c>
      <c r="I2447" s="159">
        <v>891660000</v>
      </c>
      <c r="J2447" s="159" t="e">
        <f>bargiri[[#This Row],[مقدار]]*INDEX(invoice[پیش دریافت به ازای هر کیلوگرم],MATCH(bargiri[[#This Row],[شماره سند مبنا]],invoice[شماره پیش فاکتور],0))</f>
        <v>#N/A</v>
      </c>
      <c r="K2447" s="159" t="e">
        <f>bargiri[[#This Row],[مبلغ خالص]]-bargiri[[#This Row],[میزان استهلاک پیش دریافتی]]</f>
        <v>#N/A</v>
      </c>
      <c r="L2447" s="160"/>
      <c r="M2447" s="159"/>
      <c r="N2447" s="159" t="e">
        <f>IF(bargiri[[#This Row],[مبلغ واریزی]]&lt;&gt;"",bargiri[[#This Row],[مانده مبلغ]]-bargiri[[#This Row],[مبلغ واریزی]],bargiri[[#This Row],[مانده مبلغ]])</f>
        <v>#N/A</v>
      </c>
      <c r="O2447" s="159"/>
      <c r="P2447" s="159" t="e">
        <f>VLOOKUP(bargiri[[#This Row],[شماره سند مبنا]],invoice[[شماره پیش فاکتور]:[پیش دریافت به ازای هر کیلوگرم]],14,0)</f>
        <v>#N/A</v>
      </c>
      <c r="Q2447" s="159" t="e">
        <f>IF(bargiri[[#This Row],[مبلغ ناخالص]]-(bargiri[[#This Row],[نرخ استهلاک]]*bargiri[[#This Row],[مقدار]])&lt;0,0,bargiri[[#This Row],[مبلغ ناخالص]]-(bargiri[[#This Row],[نرخ استهلاک]]*bargiri[[#This Row],[مقدار]]))</f>
        <v>#N/A</v>
      </c>
    </row>
    <row r="2448" spans="1:17" s="22" customFormat="1" ht="13.8" x14ac:dyDescent="0.25">
      <c r="A2448" s="22">
        <v>385</v>
      </c>
      <c r="B2448" s="22" t="s">
        <v>96</v>
      </c>
      <c r="C2448" s="22" t="s">
        <v>75</v>
      </c>
      <c r="D2448" s="22" t="s">
        <v>73</v>
      </c>
      <c r="E2448" s="158">
        <v>19850</v>
      </c>
      <c r="F2448" s="159">
        <v>56881</v>
      </c>
      <c r="G2448" s="159">
        <v>1129087850</v>
      </c>
      <c r="H2448" s="159">
        <v>101617907</v>
      </c>
      <c r="I2448" s="159">
        <v>1230705757</v>
      </c>
      <c r="J2448" s="159" t="e">
        <f>bargiri[[#This Row],[مقدار]]*INDEX(invoice[پیش دریافت به ازای هر کیلوگرم],MATCH(bargiri[[#This Row],[شماره سند مبنا]],invoice[شماره پیش فاکتور],0))</f>
        <v>#N/A</v>
      </c>
      <c r="K2448" s="159" t="e">
        <f>bargiri[[#This Row],[مبلغ خالص]]-bargiri[[#This Row],[میزان استهلاک پیش دریافتی]]</f>
        <v>#N/A</v>
      </c>
      <c r="L2448" s="160"/>
      <c r="M2448" s="159"/>
      <c r="N2448" s="159" t="e">
        <f>IF(bargiri[[#This Row],[مبلغ واریزی]]&lt;&gt;"",bargiri[[#This Row],[مانده مبلغ]]-bargiri[[#This Row],[مبلغ واریزی]],bargiri[[#This Row],[مانده مبلغ]])</f>
        <v>#N/A</v>
      </c>
      <c r="O2448" s="159"/>
      <c r="P2448" s="159" t="e">
        <f>VLOOKUP(bargiri[[#This Row],[شماره سند مبنا]],invoice[[شماره پیش فاکتور]:[پیش دریافت به ازای هر کیلوگرم]],14,0)</f>
        <v>#N/A</v>
      </c>
      <c r="Q2448" s="159" t="e">
        <f>IF(bargiri[[#This Row],[مبلغ ناخالص]]-(bargiri[[#This Row],[نرخ استهلاک]]*bargiri[[#This Row],[مقدار]])&lt;0,0,bargiri[[#This Row],[مبلغ ناخالص]]-(bargiri[[#This Row],[نرخ استهلاک]]*bargiri[[#This Row],[مقدار]]))</f>
        <v>#N/A</v>
      </c>
    </row>
    <row r="2449" spans="1:17" s="22" customFormat="1" ht="13.8" x14ac:dyDescent="0.25">
      <c r="A2449" s="22">
        <v>384</v>
      </c>
      <c r="B2449" s="22" t="s">
        <v>96</v>
      </c>
      <c r="C2449" s="22" t="s">
        <v>75</v>
      </c>
      <c r="D2449" s="22" t="s">
        <v>73</v>
      </c>
      <c r="E2449" s="158">
        <v>20300</v>
      </c>
      <c r="F2449" s="159">
        <v>56881</v>
      </c>
      <c r="G2449" s="159">
        <v>1154684300</v>
      </c>
      <c r="H2449" s="159">
        <v>103921587</v>
      </c>
      <c r="I2449" s="159">
        <v>1258605887</v>
      </c>
      <c r="J2449" s="159" t="e">
        <f>bargiri[[#This Row],[مقدار]]*INDEX(invoice[پیش دریافت به ازای هر کیلوگرم],MATCH(bargiri[[#This Row],[شماره سند مبنا]],invoice[شماره پیش فاکتور],0))</f>
        <v>#N/A</v>
      </c>
      <c r="K2449" s="159" t="e">
        <f>bargiri[[#This Row],[مبلغ خالص]]-bargiri[[#This Row],[میزان استهلاک پیش دریافتی]]</f>
        <v>#N/A</v>
      </c>
      <c r="L2449" s="160"/>
      <c r="M2449" s="159"/>
      <c r="N2449" s="159" t="e">
        <f>IF(bargiri[[#This Row],[مبلغ واریزی]]&lt;&gt;"",bargiri[[#This Row],[مانده مبلغ]]-bargiri[[#This Row],[مبلغ واریزی]],bargiri[[#This Row],[مانده مبلغ]])</f>
        <v>#N/A</v>
      </c>
      <c r="O2449" s="159"/>
      <c r="P2449" s="159" t="e">
        <f>VLOOKUP(bargiri[[#This Row],[شماره سند مبنا]],invoice[[شماره پیش فاکتور]:[پیش دریافت به ازای هر کیلوگرم]],14,0)</f>
        <v>#N/A</v>
      </c>
      <c r="Q2449" s="159" t="e">
        <f>IF(bargiri[[#This Row],[مبلغ ناخالص]]-(bargiri[[#This Row],[نرخ استهلاک]]*bargiri[[#This Row],[مقدار]])&lt;0,0,bargiri[[#This Row],[مبلغ ناخالص]]-(bargiri[[#This Row],[نرخ استهلاک]]*bargiri[[#This Row],[مقدار]]))</f>
        <v>#N/A</v>
      </c>
    </row>
    <row r="2450" spans="1:17" s="22" customFormat="1" ht="13.8" x14ac:dyDescent="0.25">
      <c r="A2450" s="22">
        <v>383</v>
      </c>
      <c r="B2450" s="22" t="s">
        <v>96</v>
      </c>
      <c r="C2450" s="22" t="s">
        <v>75</v>
      </c>
      <c r="D2450" s="22" t="s">
        <v>73</v>
      </c>
      <c r="E2450" s="158">
        <v>20400</v>
      </c>
      <c r="F2450" s="159">
        <v>56881</v>
      </c>
      <c r="G2450" s="159">
        <v>1160372400</v>
      </c>
      <c r="H2450" s="159">
        <v>104433516</v>
      </c>
      <c r="I2450" s="159">
        <v>1264805916</v>
      </c>
      <c r="J2450" s="159" t="e">
        <f>bargiri[[#This Row],[مقدار]]*INDEX(invoice[پیش دریافت به ازای هر کیلوگرم],MATCH(bargiri[[#This Row],[شماره سند مبنا]],invoice[شماره پیش فاکتور],0))</f>
        <v>#N/A</v>
      </c>
      <c r="K2450" s="159" t="e">
        <f>bargiri[[#This Row],[مبلغ خالص]]-bargiri[[#This Row],[میزان استهلاک پیش دریافتی]]</f>
        <v>#N/A</v>
      </c>
      <c r="L2450" s="160"/>
      <c r="M2450" s="159"/>
      <c r="N2450" s="159" t="e">
        <f>IF(bargiri[[#This Row],[مبلغ واریزی]]&lt;&gt;"",bargiri[[#This Row],[مانده مبلغ]]-bargiri[[#This Row],[مبلغ واریزی]],bargiri[[#This Row],[مانده مبلغ]])</f>
        <v>#N/A</v>
      </c>
      <c r="O2450" s="159"/>
      <c r="P2450" s="159" t="e">
        <f>VLOOKUP(bargiri[[#This Row],[شماره سند مبنا]],invoice[[شماره پیش فاکتور]:[پیش دریافت به ازای هر کیلوگرم]],14,0)</f>
        <v>#N/A</v>
      </c>
      <c r="Q2450" s="159" t="e">
        <f>IF(bargiri[[#This Row],[مبلغ ناخالص]]-(bargiri[[#This Row],[نرخ استهلاک]]*bargiri[[#This Row],[مقدار]])&lt;0,0,bargiri[[#This Row],[مبلغ ناخالص]]-(bargiri[[#This Row],[نرخ استهلاک]]*bargiri[[#This Row],[مقدار]]))</f>
        <v>#N/A</v>
      </c>
    </row>
    <row r="2451" spans="1:17" s="22" customFormat="1" ht="13.8" x14ac:dyDescent="0.25">
      <c r="A2451" s="22">
        <v>382</v>
      </c>
      <c r="B2451" s="22" t="s">
        <v>96</v>
      </c>
      <c r="C2451" s="22" t="s">
        <v>27</v>
      </c>
      <c r="D2451" s="22" t="s">
        <v>25</v>
      </c>
      <c r="E2451" s="158">
        <v>6120</v>
      </c>
      <c r="F2451" s="159">
        <v>68000</v>
      </c>
      <c r="G2451" s="159">
        <v>416160000</v>
      </c>
      <c r="H2451" s="159">
        <v>37454400</v>
      </c>
      <c r="I2451" s="159">
        <v>453614400</v>
      </c>
      <c r="J2451" s="159" t="e">
        <f>bargiri[[#This Row],[مقدار]]*INDEX(invoice[پیش دریافت به ازای هر کیلوگرم],MATCH(bargiri[[#This Row],[شماره سند مبنا]],invoice[شماره پیش فاکتور],0))</f>
        <v>#N/A</v>
      </c>
      <c r="K2451" s="159" t="e">
        <f>bargiri[[#This Row],[مبلغ خالص]]-bargiri[[#This Row],[میزان استهلاک پیش دریافتی]]</f>
        <v>#N/A</v>
      </c>
      <c r="L2451" s="160"/>
      <c r="M2451" s="159"/>
      <c r="N2451" s="159" t="e">
        <f>IF(bargiri[[#This Row],[مبلغ واریزی]]&lt;&gt;"",bargiri[[#This Row],[مانده مبلغ]]-bargiri[[#This Row],[مبلغ واریزی]],bargiri[[#This Row],[مانده مبلغ]])</f>
        <v>#N/A</v>
      </c>
      <c r="O2451" s="159"/>
      <c r="P2451" s="159" t="e">
        <f>VLOOKUP(bargiri[[#This Row],[شماره سند مبنا]],invoice[[شماره پیش فاکتور]:[پیش دریافت به ازای هر کیلوگرم]],14,0)</f>
        <v>#N/A</v>
      </c>
      <c r="Q2451" s="159" t="e">
        <f>IF(bargiri[[#This Row],[مبلغ ناخالص]]-(bargiri[[#This Row],[نرخ استهلاک]]*bargiri[[#This Row],[مقدار]])&lt;0,0,bargiri[[#This Row],[مبلغ ناخالص]]-(bargiri[[#This Row],[نرخ استهلاک]]*bargiri[[#This Row],[مقدار]]))</f>
        <v>#N/A</v>
      </c>
    </row>
    <row r="2452" spans="1:17" s="22" customFormat="1" ht="13.8" x14ac:dyDescent="0.25">
      <c r="A2452" s="22">
        <v>381</v>
      </c>
      <c r="B2452" s="22" t="s">
        <v>96</v>
      </c>
      <c r="C2452" s="22" t="s">
        <v>75</v>
      </c>
      <c r="D2452" s="22" t="s">
        <v>73</v>
      </c>
      <c r="E2452" s="158">
        <v>20430</v>
      </c>
      <c r="F2452" s="159">
        <v>56881</v>
      </c>
      <c r="G2452" s="159">
        <v>1162078830</v>
      </c>
      <c r="H2452" s="159">
        <v>104587095</v>
      </c>
      <c r="I2452" s="159">
        <v>1266665925</v>
      </c>
      <c r="J2452" s="159" t="e">
        <f>bargiri[[#This Row],[مقدار]]*INDEX(invoice[پیش دریافت به ازای هر کیلوگرم],MATCH(bargiri[[#This Row],[شماره سند مبنا]],invoice[شماره پیش فاکتور],0))</f>
        <v>#N/A</v>
      </c>
      <c r="K2452" s="159" t="e">
        <f>bargiri[[#This Row],[مبلغ خالص]]-bargiri[[#This Row],[میزان استهلاک پیش دریافتی]]</f>
        <v>#N/A</v>
      </c>
      <c r="L2452" s="160"/>
      <c r="M2452" s="159"/>
      <c r="N2452" s="159" t="e">
        <f>IF(bargiri[[#This Row],[مبلغ واریزی]]&lt;&gt;"",bargiri[[#This Row],[مانده مبلغ]]-bargiri[[#This Row],[مبلغ واریزی]],bargiri[[#This Row],[مانده مبلغ]])</f>
        <v>#N/A</v>
      </c>
      <c r="O2452" s="159"/>
      <c r="P2452" s="159" t="e">
        <f>VLOOKUP(bargiri[[#This Row],[شماره سند مبنا]],invoice[[شماره پیش فاکتور]:[پیش دریافت به ازای هر کیلوگرم]],14,0)</f>
        <v>#N/A</v>
      </c>
      <c r="Q2452" s="159" t="e">
        <f>IF(bargiri[[#This Row],[مبلغ ناخالص]]-(bargiri[[#This Row],[نرخ استهلاک]]*bargiri[[#This Row],[مقدار]])&lt;0,0,bargiri[[#This Row],[مبلغ ناخالص]]-(bargiri[[#This Row],[نرخ استهلاک]]*bargiri[[#This Row],[مقدار]]))</f>
        <v>#N/A</v>
      </c>
    </row>
    <row r="2453" spans="1:17" s="22" customFormat="1" ht="13.8" x14ac:dyDescent="0.25">
      <c r="A2453" s="22">
        <v>380</v>
      </c>
      <c r="B2453" s="22" t="s">
        <v>96</v>
      </c>
      <c r="C2453" s="22" t="s">
        <v>66</v>
      </c>
      <c r="D2453" s="22" t="s">
        <v>67</v>
      </c>
      <c r="E2453" s="158">
        <v>20020</v>
      </c>
      <c r="F2453" s="159">
        <v>68500</v>
      </c>
      <c r="G2453" s="159">
        <v>1371370000</v>
      </c>
      <c r="H2453" s="159">
        <v>123423300</v>
      </c>
      <c r="I2453" s="159">
        <v>1494793300</v>
      </c>
      <c r="J2453" s="159" t="e">
        <f>bargiri[[#This Row],[مقدار]]*INDEX(invoice[پیش دریافت به ازای هر کیلوگرم],MATCH(bargiri[[#This Row],[شماره سند مبنا]],invoice[شماره پیش فاکتور],0))</f>
        <v>#N/A</v>
      </c>
      <c r="K2453" s="159" t="e">
        <f>bargiri[[#This Row],[مبلغ خالص]]-bargiri[[#This Row],[میزان استهلاک پیش دریافتی]]</f>
        <v>#N/A</v>
      </c>
      <c r="L2453" s="160"/>
      <c r="M2453" s="159"/>
      <c r="N2453" s="159" t="e">
        <f>IF(bargiri[[#This Row],[مبلغ واریزی]]&lt;&gt;"",bargiri[[#This Row],[مانده مبلغ]]-bargiri[[#This Row],[مبلغ واریزی]],bargiri[[#This Row],[مانده مبلغ]])</f>
        <v>#N/A</v>
      </c>
      <c r="O2453" s="159"/>
      <c r="P2453" s="159" t="e">
        <f>VLOOKUP(bargiri[[#This Row],[شماره سند مبنا]],invoice[[شماره پیش فاکتور]:[پیش دریافت به ازای هر کیلوگرم]],14,0)</f>
        <v>#N/A</v>
      </c>
      <c r="Q2453" s="159" t="e">
        <f>IF(bargiri[[#This Row],[مبلغ ناخالص]]-(bargiri[[#This Row],[نرخ استهلاک]]*bargiri[[#This Row],[مقدار]])&lt;0,0,bargiri[[#This Row],[مبلغ ناخالص]]-(bargiri[[#This Row],[نرخ استهلاک]]*bargiri[[#This Row],[مقدار]]))</f>
        <v>#N/A</v>
      </c>
    </row>
    <row r="2454" spans="1:17" s="22" customFormat="1" ht="13.8" x14ac:dyDescent="0.25">
      <c r="A2454" s="22">
        <v>379</v>
      </c>
      <c r="B2454" s="22" t="s">
        <v>96</v>
      </c>
      <c r="C2454" s="22" t="s">
        <v>75</v>
      </c>
      <c r="D2454" s="22" t="s">
        <v>73</v>
      </c>
      <c r="E2454" s="158">
        <v>20550</v>
      </c>
      <c r="F2454" s="159">
        <v>56881</v>
      </c>
      <c r="G2454" s="159">
        <v>1168904550</v>
      </c>
      <c r="H2454" s="159">
        <v>105201410</v>
      </c>
      <c r="I2454" s="159">
        <v>1274105960</v>
      </c>
      <c r="J2454" s="159" t="e">
        <f>bargiri[[#This Row],[مقدار]]*INDEX(invoice[پیش دریافت به ازای هر کیلوگرم],MATCH(bargiri[[#This Row],[شماره سند مبنا]],invoice[شماره پیش فاکتور],0))</f>
        <v>#N/A</v>
      </c>
      <c r="K2454" s="159" t="e">
        <f>bargiri[[#This Row],[مبلغ خالص]]-bargiri[[#This Row],[میزان استهلاک پیش دریافتی]]</f>
        <v>#N/A</v>
      </c>
      <c r="L2454" s="160"/>
      <c r="M2454" s="159"/>
      <c r="N2454" s="159" t="e">
        <f>IF(bargiri[[#This Row],[مبلغ واریزی]]&lt;&gt;"",bargiri[[#This Row],[مانده مبلغ]]-bargiri[[#This Row],[مبلغ واریزی]],bargiri[[#This Row],[مانده مبلغ]])</f>
        <v>#N/A</v>
      </c>
      <c r="O2454" s="159"/>
      <c r="P2454" s="159" t="e">
        <f>VLOOKUP(bargiri[[#This Row],[شماره سند مبنا]],invoice[[شماره پیش فاکتور]:[پیش دریافت به ازای هر کیلوگرم]],14,0)</f>
        <v>#N/A</v>
      </c>
      <c r="Q2454" s="159" t="e">
        <f>IF(bargiri[[#This Row],[مبلغ ناخالص]]-(bargiri[[#This Row],[نرخ استهلاک]]*bargiri[[#This Row],[مقدار]])&lt;0,0,bargiri[[#This Row],[مبلغ ناخالص]]-(bargiri[[#This Row],[نرخ استهلاک]]*bargiri[[#This Row],[مقدار]]))</f>
        <v>#N/A</v>
      </c>
    </row>
    <row r="2455" spans="1:17" s="22" customFormat="1" ht="13.8" x14ac:dyDescent="0.25">
      <c r="A2455" s="22">
        <v>378</v>
      </c>
      <c r="B2455" s="22" t="s">
        <v>96</v>
      </c>
      <c r="C2455" s="22" t="s">
        <v>19</v>
      </c>
      <c r="D2455" s="22" t="s">
        <v>20</v>
      </c>
      <c r="E2455" s="158">
        <v>18430</v>
      </c>
      <c r="F2455" s="159">
        <v>65000</v>
      </c>
      <c r="G2455" s="159">
        <v>1197950000</v>
      </c>
      <c r="H2455" s="159">
        <v>107815500</v>
      </c>
      <c r="I2455" s="159">
        <v>1305765500</v>
      </c>
      <c r="J2455" s="159" t="e">
        <f>bargiri[[#This Row],[مقدار]]*INDEX(invoice[پیش دریافت به ازای هر کیلوگرم],MATCH(bargiri[[#This Row],[شماره سند مبنا]],invoice[شماره پیش فاکتور],0))</f>
        <v>#N/A</v>
      </c>
      <c r="K2455" s="159" t="e">
        <f>bargiri[[#This Row],[مبلغ خالص]]-bargiri[[#This Row],[میزان استهلاک پیش دریافتی]]</f>
        <v>#N/A</v>
      </c>
      <c r="L2455" s="160"/>
      <c r="M2455" s="159"/>
      <c r="N2455" s="159" t="e">
        <f>IF(bargiri[[#This Row],[مبلغ واریزی]]&lt;&gt;"",bargiri[[#This Row],[مانده مبلغ]]-bargiri[[#This Row],[مبلغ واریزی]],bargiri[[#This Row],[مانده مبلغ]])</f>
        <v>#N/A</v>
      </c>
      <c r="O2455" s="159"/>
      <c r="P2455" s="159" t="e">
        <f>VLOOKUP(bargiri[[#This Row],[شماره سند مبنا]],invoice[[شماره پیش فاکتور]:[پیش دریافت به ازای هر کیلوگرم]],14,0)</f>
        <v>#N/A</v>
      </c>
      <c r="Q2455" s="159" t="e">
        <f>IF(bargiri[[#This Row],[مبلغ ناخالص]]-(bargiri[[#This Row],[نرخ استهلاک]]*bargiri[[#This Row],[مقدار]])&lt;0,0,bargiri[[#This Row],[مبلغ ناخالص]]-(bargiri[[#This Row],[نرخ استهلاک]]*bargiri[[#This Row],[مقدار]]))</f>
        <v>#N/A</v>
      </c>
    </row>
    <row r="2456" spans="1:17" s="22" customFormat="1" ht="13.8" x14ac:dyDescent="0.25">
      <c r="A2456" s="22">
        <v>377</v>
      </c>
      <c r="B2456" s="22" t="s">
        <v>96</v>
      </c>
      <c r="C2456" s="22" t="s">
        <v>94</v>
      </c>
      <c r="D2456" s="22" t="s">
        <v>17</v>
      </c>
      <c r="E2456" s="158">
        <v>20000</v>
      </c>
      <c r="F2456" s="159">
        <v>105000</v>
      </c>
      <c r="G2456" s="159">
        <v>2100000000</v>
      </c>
      <c r="H2456" s="159">
        <v>210000000</v>
      </c>
      <c r="I2456" s="159">
        <v>2310000000</v>
      </c>
      <c r="J2456" s="159" t="e">
        <f>bargiri[[#This Row],[مقدار]]*INDEX(invoice[پیش دریافت به ازای هر کیلوگرم],MATCH(bargiri[[#This Row],[شماره سند مبنا]],invoice[شماره پیش فاکتور],0))</f>
        <v>#N/A</v>
      </c>
      <c r="K2456" s="159" t="e">
        <f>bargiri[[#This Row],[مبلغ خالص]]-bargiri[[#This Row],[میزان استهلاک پیش دریافتی]]</f>
        <v>#N/A</v>
      </c>
      <c r="L2456" s="160"/>
      <c r="M2456" s="159"/>
      <c r="N2456" s="159" t="e">
        <f>IF(bargiri[[#This Row],[مبلغ واریزی]]&lt;&gt;"",bargiri[[#This Row],[مانده مبلغ]]-bargiri[[#This Row],[مبلغ واریزی]],bargiri[[#This Row],[مانده مبلغ]])</f>
        <v>#N/A</v>
      </c>
      <c r="O2456" s="159"/>
      <c r="P2456" s="159" t="e">
        <f>VLOOKUP(bargiri[[#This Row],[شماره سند مبنا]],invoice[[شماره پیش فاکتور]:[پیش دریافت به ازای هر کیلوگرم]],14,0)</f>
        <v>#N/A</v>
      </c>
      <c r="Q2456" s="159" t="e">
        <f>IF(bargiri[[#This Row],[مبلغ ناخالص]]-(bargiri[[#This Row],[نرخ استهلاک]]*bargiri[[#This Row],[مقدار]])&lt;0,0,bargiri[[#This Row],[مبلغ ناخالص]]-(bargiri[[#This Row],[نرخ استهلاک]]*bargiri[[#This Row],[مقدار]]))</f>
        <v>#N/A</v>
      </c>
    </row>
    <row r="2457" spans="1:17" s="22" customFormat="1" ht="13.8" x14ac:dyDescent="0.25">
      <c r="A2457" s="22">
        <v>376</v>
      </c>
      <c r="B2457" s="22" t="s">
        <v>95</v>
      </c>
      <c r="C2457" s="22" t="s">
        <v>66</v>
      </c>
      <c r="D2457" s="22" t="s">
        <v>67</v>
      </c>
      <c r="E2457" s="158">
        <v>20120</v>
      </c>
      <c r="F2457" s="159">
        <v>68500</v>
      </c>
      <c r="G2457" s="159">
        <v>1378220000</v>
      </c>
      <c r="H2457" s="159">
        <v>124039800</v>
      </c>
      <c r="I2457" s="159">
        <v>1502259800</v>
      </c>
      <c r="J2457" s="159" t="e">
        <f>bargiri[[#This Row],[مقدار]]*INDEX(invoice[پیش دریافت به ازای هر کیلوگرم],MATCH(bargiri[[#This Row],[شماره سند مبنا]],invoice[شماره پیش فاکتور],0))</f>
        <v>#N/A</v>
      </c>
      <c r="K2457" s="159" t="e">
        <f>bargiri[[#This Row],[مبلغ خالص]]-bargiri[[#This Row],[میزان استهلاک پیش دریافتی]]</f>
        <v>#N/A</v>
      </c>
      <c r="L2457" s="160"/>
      <c r="M2457" s="159"/>
      <c r="N2457" s="159" t="e">
        <f>IF(bargiri[[#This Row],[مبلغ واریزی]]&lt;&gt;"",bargiri[[#This Row],[مانده مبلغ]]-bargiri[[#This Row],[مبلغ واریزی]],bargiri[[#This Row],[مانده مبلغ]])</f>
        <v>#N/A</v>
      </c>
      <c r="O2457" s="159"/>
      <c r="P2457" s="159" t="e">
        <f>VLOOKUP(bargiri[[#This Row],[شماره سند مبنا]],invoice[[شماره پیش فاکتور]:[پیش دریافت به ازای هر کیلوگرم]],14,0)</f>
        <v>#N/A</v>
      </c>
      <c r="Q2457" s="159" t="e">
        <f>IF(bargiri[[#This Row],[مبلغ ناخالص]]-(bargiri[[#This Row],[نرخ استهلاک]]*bargiri[[#This Row],[مقدار]])&lt;0,0,bargiri[[#This Row],[مبلغ ناخالص]]-(bargiri[[#This Row],[نرخ استهلاک]]*bargiri[[#This Row],[مقدار]]))</f>
        <v>#N/A</v>
      </c>
    </row>
    <row r="2458" spans="1:17" s="22" customFormat="1" ht="13.8" x14ac:dyDescent="0.25">
      <c r="A2458" s="22">
        <v>375</v>
      </c>
      <c r="B2458" s="22" t="s">
        <v>95</v>
      </c>
      <c r="C2458" s="22" t="s">
        <v>19</v>
      </c>
      <c r="D2458" s="22" t="s">
        <v>20</v>
      </c>
      <c r="E2458" s="158">
        <v>18370</v>
      </c>
      <c r="F2458" s="159">
        <v>65000</v>
      </c>
      <c r="G2458" s="159">
        <v>1194050000</v>
      </c>
      <c r="H2458" s="159">
        <v>107464500</v>
      </c>
      <c r="I2458" s="159">
        <v>1301514500</v>
      </c>
      <c r="J2458" s="159" t="e">
        <f>bargiri[[#This Row],[مقدار]]*INDEX(invoice[پیش دریافت به ازای هر کیلوگرم],MATCH(bargiri[[#This Row],[شماره سند مبنا]],invoice[شماره پیش فاکتور],0))</f>
        <v>#N/A</v>
      </c>
      <c r="K2458" s="159" t="e">
        <f>bargiri[[#This Row],[مبلغ خالص]]-bargiri[[#This Row],[میزان استهلاک پیش دریافتی]]</f>
        <v>#N/A</v>
      </c>
      <c r="L2458" s="160"/>
      <c r="M2458" s="159"/>
      <c r="N2458" s="159" t="e">
        <f>IF(bargiri[[#This Row],[مبلغ واریزی]]&lt;&gt;"",bargiri[[#This Row],[مانده مبلغ]]-bargiri[[#This Row],[مبلغ واریزی]],bargiri[[#This Row],[مانده مبلغ]])</f>
        <v>#N/A</v>
      </c>
      <c r="O2458" s="159"/>
      <c r="P2458" s="159" t="e">
        <f>VLOOKUP(bargiri[[#This Row],[شماره سند مبنا]],invoice[[شماره پیش فاکتور]:[پیش دریافت به ازای هر کیلوگرم]],14,0)</f>
        <v>#N/A</v>
      </c>
      <c r="Q2458" s="159" t="e">
        <f>IF(bargiri[[#This Row],[مبلغ ناخالص]]-(bargiri[[#This Row],[نرخ استهلاک]]*bargiri[[#This Row],[مقدار]])&lt;0,0,bargiri[[#This Row],[مبلغ ناخالص]]-(bargiri[[#This Row],[نرخ استهلاک]]*bargiri[[#This Row],[مقدار]]))</f>
        <v>#N/A</v>
      </c>
    </row>
    <row r="2459" spans="1:17" s="22" customFormat="1" ht="13.8" x14ac:dyDescent="0.25">
      <c r="A2459" s="22">
        <v>374</v>
      </c>
      <c r="B2459" s="22" t="s">
        <v>98</v>
      </c>
      <c r="C2459" s="22" t="s">
        <v>29</v>
      </c>
      <c r="D2459" s="22" t="s">
        <v>30</v>
      </c>
      <c r="E2459" s="158">
        <v>10130</v>
      </c>
      <c r="F2459" s="159">
        <v>70000</v>
      </c>
      <c r="G2459" s="159">
        <v>709100000</v>
      </c>
      <c r="H2459" s="159">
        <v>70910000</v>
      </c>
      <c r="I2459" s="159">
        <v>780010000</v>
      </c>
      <c r="J2459" s="159" t="e">
        <f>bargiri[[#This Row],[مقدار]]*INDEX(invoice[پیش دریافت به ازای هر کیلوگرم],MATCH(bargiri[[#This Row],[شماره سند مبنا]],invoice[شماره پیش فاکتور],0))</f>
        <v>#N/A</v>
      </c>
      <c r="K2459" s="159" t="e">
        <f>bargiri[[#This Row],[مبلغ خالص]]-bargiri[[#This Row],[میزان استهلاک پیش دریافتی]]</f>
        <v>#N/A</v>
      </c>
      <c r="L2459" s="160"/>
      <c r="M2459" s="159"/>
      <c r="N2459" s="159" t="e">
        <f>IF(bargiri[[#This Row],[مبلغ واریزی]]&lt;&gt;"",bargiri[[#This Row],[مانده مبلغ]]-bargiri[[#This Row],[مبلغ واریزی]],bargiri[[#This Row],[مانده مبلغ]])</f>
        <v>#N/A</v>
      </c>
      <c r="O2459" s="159"/>
      <c r="P2459" s="159" t="e">
        <f>VLOOKUP(bargiri[[#This Row],[شماره سند مبنا]],invoice[[شماره پیش فاکتور]:[پیش دریافت به ازای هر کیلوگرم]],14,0)</f>
        <v>#N/A</v>
      </c>
      <c r="Q2459" s="159" t="e">
        <f>IF(bargiri[[#This Row],[مبلغ ناخالص]]-(bargiri[[#This Row],[نرخ استهلاک]]*bargiri[[#This Row],[مقدار]])&lt;0,0,bargiri[[#This Row],[مبلغ ناخالص]]-(bargiri[[#This Row],[نرخ استهلاک]]*bargiri[[#This Row],[مقدار]]))</f>
        <v>#N/A</v>
      </c>
    </row>
    <row r="2460" spans="1:17" s="22" customFormat="1" ht="13.8" x14ac:dyDescent="0.25">
      <c r="A2460" s="22">
        <v>372</v>
      </c>
      <c r="B2460" s="22" t="s">
        <v>98</v>
      </c>
      <c r="C2460" s="22" t="s">
        <v>66</v>
      </c>
      <c r="D2460" s="22" t="s">
        <v>67</v>
      </c>
      <c r="E2460" s="158">
        <v>20630</v>
      </c>
      <c r="F2460" s="159">
        <v>68500</v>
      </c>
      <c r="G2460" s="159">
        <v>1413155000</v>
      </c>
      <c r="H2460" s="159">
        <v>127183950</v>
      </c>
      <c r="I2460" s="159">
        <v>1540338950</v>
      </c>
      <c r="J2460" s="159" t="e">
        <f>bargiri[[#This Row],[مقدار]]*INDEX(invoice[پیش دریافت به ازای هر کیلوگرم],MATCH(bargiri[[#This Row],[شماره سند مبنا]],invoice[شماره پیش فاکتور],0))</f>
        <v>#N/A</v>
      </c>
      <c r="K2460" s="159" t="e">
        <f>bargiri[[#This Row],[مبلغ خالص]]-bargiri[[#This Row],[میزان استهلاک پیش دریافتی]]</f>
        <v>#N/A</v>
      </c>
      <c r="L2460" s="160"/>
      <c r="M2460" s="159"/>
      <c r="N2460" s="159" t="e">
        <f>IF(bargiri[[#This Row],[مبلغ واریزی]]&lt;&gt;"",bargiri[[#This Row],[مانده مبلغ]]-bargiri[[#This Row],[مبلغ واریزی]],bargiri[[#This Row],[مانده مبلغ]])</f>
        <v>#N/A</v>
      </c>
      <c r="O2460" s="159"/>
      <c r="P2460" s="159" t="e">
        <f>VLOOKUP(bargiri[[#This Row],[شماره سند مبنا]],invoice[[شماره پیش فاکتور]:[پیش دریافت به ازای هر کیلوگرم]],14,0)</f>
        <v>#N/A</v>
      </c>
      <c r="Q2460" s="159" t="e">
        <f>IF(bargiri[[#This Row],[مبلغ ناخالص]]-(bargiri[[#This Row],[نرخ استهلاک]]*bargiri[[#This Row],[مقدار]])&lt;0,0,bargiri[[#This Row],[مبلغ ناخالص]]-(bargiri[[#This Row],[نرخ استهلاک]]*bargiri[[#This Row],[مقدار]]))</f>
        <v>#N/A</v>
      </c>
    </row>
    <row r="2461" spans="1:17" s="22" customFormat="1" ht="13.8" x14ac:dyDescent="0.25">
      <c r="A2461" s="22">
        <v>371</v>
      </c>
      <c r="B2461" s="22" t="s">
        <v>563</v>
      </c>
      <c r="C2461" s="22" t="s">
        <v>66</v>
      </c>
      <c r="D2461" s="22" t="s">
        <v>67</v>
      </c>
      <c r="E2461" s="158">
        <v>20270</v>
      </c>
      <c r="F2461" s="159">
        <v>68500</v>
      </c>
      <c r="G2461" s="159">
        <v>1388495000</v>
      </c>
      <c r="H2461" s="159">
        <v>124964550</v>
      </c>
      <c r="I2461" s="159">
        <v>1513459550</v>
      </c>
      <c r="J2461" s="159" t="e">
        <f>bargiri[[#This Row],[مقدار]]*INDEX(invoice[پیش دریافت به ازای هر کیلوگرم],MATCH(bargiri[[#This Row],[شماره سند مبنا]],invoice[شماره پیش فاکتور],0))</f>
        <v>#N/A</v>
      </c>
      <c r="K2461" s="159" t="e">
        <f>bargiri[[#This Row],[مبلغ خالص]]-bargiri[[#This Row],[میزان استهلاک پیش دریافتی]]</f>
        <v>#N/A</v>
      </c>
      <c r="L2461" s="160"/>
      <c r="M2461" s="159"/>
      <c r="N2461" s="159" t="e">
        <f>IF(bargiri[[#This Row],[مبلغ واریزی]]&lt;&gt;"",bargiri[[#This Row],[مانده مبلغ]]-bargiri[[#This Row],[مبلغ واریزی]],bargiri[[#This Row],[مانده مبلغ]])</f>
        <v>#N/A</v>
      </c>
      <c r="O2461" s="159"/>
      <c r="P2461" s="159" t="e">
        <f>VLOOKUP(bargiri[[#This Row],[شماره سند مبنا]],invoice[[شماره پیش فاکتور]:[پیش دریافت به ازای هر کیلوگرم]],14,0)</f>
        <v>#N/A</v>
      </c>
      <c r="Q2461" s="159" t="e">
        <f>IF(bargiri[[#This Row],[مبلغ ناخالص]]-(bargiri[[#This Row],[نرخ استهلاک]]*bargiri[[#This Row],[مقدار]])&lt;0,0,bargiri[[#This Row],[مبلغ ناخالص]]-(bargiri[[#This Row],[نرخ استهلاک]]*bargiri[[#This Row],[مقدار]]))</f>
        <v>#N/A</v>
      </c>
    </row>
    <row r="2462" spans="1:17" s="22" customFormat="1" ht="13.8" x14ac:dyDescent="0.25">
      <c r="A2462" s="22">
        <v>370</v>
      </c>
      <c r="B2462" s="22" t="s">
        <v>563</v>
      </c>
      <c r="C2462" s="22" t="s">
        <v>19</v>
      </c>
      <c r="D2462" s="22" t="s">
        <v>20</v>
      </c>
      <c r="E2462" s="158">
        <v>18320</v>
      </c>
      <c r="F2462" s="159">
        <v>65000</v>
      </c>
      <c r="G2462" s="159">
        <v>1190800000</v>
      </c>
      <c r="H2462" s="159">
        <v>107172000</v>
      </c>
      <c r="I2462" s="159">
        <v>1297972000</v>
      </c>
      <c r="J2462" s="159" t="e">
        <f>bargiri[[#This Row],[مقدار]]*INDEX(invoice[پیش دریافت به ازای هر کیلوگرم],MATCH(bargiri[[#This Row],[شماره سند مبنا]],invoice[شماره پیش فاکتور],0))</f>
        <v>#N/A</v>
      </c>
      <c r="K2462" s="159" t="e">
        <f>bargiri[[#This Row],[مبلغ خالص]]-bargiri[[#This Row],[میزان استهلاک پیش دریافتی]]</f>
        <v>#N/A</v>
      </c>
      <c r="L2462" s="160"/>
      <c r="M2462" s="159"/>
      <c r="N2462" s="159" t="e">
        <f>IF(bargiri[[#This Row],[مبلغ واریزی]]&lt;&gt;"",bargiri[[#This Row],[مانده مبلغ]]-bargiri[[#This Row],[مبلغ واریزی]],bargiri[[#This Row],[مانده مبلغ]])</f>
        <v>#N/A</v>
      </c>
      <c r="O2462" s="159"/>
      <c r="P2462" s="159" t="e">
        <f>VLOOKUP(bargiri[[#This Row],[شماره سند مبنا]],invoice[[شماره پیش فاکتور]:[پیش دریافت به ازای هر کیلوگرم]],14,0)</f>
        <v>#N/A</v>
      </c>
      <c r="Q2462" s="159" t="e">
        <f>IF(bargiri[[#This Row],[مبلغ ناخالص]]-(bargiri[[#This Row],[نرخ استهلاک]]*bargiri[[#This Row],[مقدار]])&lt;0,0,bargiri[[#This Row],[مبلغ ناخالص]]-(bargiri[[#This Row],[نرخ استهلاک]]*bargiri[[#This Row],[مقدار]]))</f>
        <v>#N/A</v>
      </c>
    </row>
    <row r="2463" spans="1:17" s="22" customFormat="1" ht="13.8" x14ac:dyDescent="0.25">
      <c r="A2463" s="22">
        <v>369</v>
      </c>
      <c r="B2463" s="22" t="s">
        <v>563</v>
      </c>
      <c r="C2463" s="22" t="s">
        <v>69</v>
      </c>
      <c r="D2463" s="22" t="s">
        <v>70</v>
      </c>
      <c r="E2463" s="158">
        <v>19050</v>
      </c>
      <c r="F2463" s="159">
        <v>70000</v>
      </c>
      <c r="G2463" s="159">
        <v>1333500000</v>
      </c>
      <c r="H2463" s="159">
        <v>120015000</v>
      </c>
      <c r="I2463" s="159">
        <v>1453515000</v>
      </c>
      <c r="J2463" s="159" t="e">
        <f>bargiri[[#This Row],[مقدار]]*INDEX(invoice[پیش دریافت به ازای هر کیلوگرم],MATCH(bargiri[[#This Row],[شماره سند مبنا]],invoice[شماره پیش فاکتور],0))</f>
        <v>#N/A</v>
      </c>
      <c r="K2463" s="159" t="e">
        <f>bargiri[[#This Row],[مبلغ خالص]]-bargiri[[#This Row],[میزان استهلاک پیش دریافتی]]</f>
        <v>#N/A</v>
      </c>
      <c r="L2463" s="160"/>
      <c r="M2463" s="159"/>
      <c r="N2463" s="159" t="e">
        <f>IF(bargiri[[#This Row],[مبلغ واریزی]]&lt;&gt;"",bargiri[[#This Row],[مانده مبلغ]]-bargiri[[#This Row],[مبلغ واریزی]],bargiri[[#This Row],[مانده مبلغ]])</f>
        <v>#N/A</v>
      </c>
      <c r="O2463" s="159"/>
      <c r="P2463" s="159" t="e">
        <f>VLOOKUP(bargiri[[#This Row],[شماره سند مبنا]],invoice[[شماره پیش فاکتور]:[پیش دریافت به ازای هر کیلوگرم]],14,0)</f>
        <v>#N/A</v>
      </c>
      <c r="Q2463" s="159" t="e">
        <f>IF(bargiri[[#This Row],[مبلغ ناخالص]]-(bargiri[[#This Row],[نرخ استهلاک]]*bargiri[[#This Row],[مقدار]])&lt;0,0,bargiri[[#This Row],[مبلغ ناخالص]]-(bargiri[[#This Row],[نرخ استهلاک]]*bargiri[[#This Row],[مقدار]]))</f>
        <v>#N/A</v>
      </c>
    </row>
    <row r="2464" spans="1:17" s="22" customFormat="1" ht="13.8" x14ac:dyDescent="0.25">
      <c r="A2464" s="22">
        <v>368</v>
      </c>
      <c r="B2464" s="22" t="s">
        <v>563</v>
      </c>
      <c r="C2464" s="22" t="s">
        <v>63</v>
      </c>
      <c r="D2464" s="22" t="s">
        <v>64</v>
      </c>
      <c r="E2464" s="158">
        <v>22040</v>
      </c>
      <c r="F2464" s="159">
        <v>45000</v>
      </c>
      <c r="G2464" s="159">
        <v>991800000</v>
      </c>
      <c r="H2464" s="159">
        <v>89262000</v>
      </c>
      <c r="I2464" s="159">
        <v>1081062000</v>
      </c>
      <c r="J2464" s="159" t="e">
        <f>bargiri[[#This Row],[مقدار]]*INDEX(invoice[پیش دریافت به ازای هر کیلوگرم],MATCH(bargiri[[#This Row],[شماره سند مبنا]],invoice[شماره پیش فاکتور],0))</f>
        <v>#N/A</v>
      </c>
      <c r="K2464" s="159" t="e">
        <f>bargiri[[#This Row],[مبلغ خالص]]-bargiri[[#This Row],[میزان استهلاک پیش دریافتی]]</f>
        <v>#N/A</v>
      </c>
      <c r="L2464" s="160"/>
      <c r="M2464" s="159"/>
      <c r="N2464" s="159" t="e">
        <f>IF(bargiri[[#This Row],[مبلغ واریزی]]&lt;&gt;"",bargiri[[#This Row],[مانده مبلغ]]-bargiri[[#This Row],[مبلغ واریزی]],bargiri[[#This Row],[مانده مبلغ]])</f>
        <v>#N/A</v>
      </c>
      <c r="O2464" s="159"/>
      <c r="P2464" s="159" t="e">
        <f>VLOOKUP(bargiri[[#This Row],[شماره سند مبنا]],invoice[[شماره پیش فاکتور]:[پیش دریافت به ازای هر کیلوگرم]],14,0)</f>
        <v>#N/A</v>
      </c>
      <c r="Q2464" s="159" t="e">
        <f>IF(bargiri[[#This Row],[مبلغ ناخالص]]-(bargiri[[#This Row],[نرخ استهلاک]]*bargiri[[#This Row],[مقدار]])&lt;0,0,bargiri[[#This Row],[مبلغ ناخالص]]-(bargiri[[#This Row],[نرخ استهلاک]]*bargiri[[#This Row],[مقدار]]))</f>
        <v>#N/A</v>
      </c>
    </row>
    <row r="2465" spans="1:17" s="22" customFormat="1" ht="13.8" x14ac:dyDescent="0.25">
      <c r="A2465" s="22">
        <v>367</v>
      </c>
      <c r="B2465" s="22" t="s">
        <v>90</v>
      </c>
      <c r="C2465" s="22" t="s">
        <v>16</v>
      </c>
      <c r="D2465" s="22" t="s">
        <v>17</v>
      </c>
      <c r="E2465" s="158">
        <v>22090</v>
      </c>
      <c r="F2465" s="159">
        <v>77000</v>
      </c>
      <c r="G2465" s="159">
        <v>1700930000</v>
      </c>
      <c r="H2465" s="159">
        <v>153083700</v>
      </c>
      <c r="I2465" s="159">
        <v>1854013700</v>
      </c>
      <c r="J2465" s="159" t="e">
        <f>bargiri[[#This Row],[مقدار]]*INDEX(invoice[پیش دریافت به ازای هر کیلوگرم],MATCH(bargiri[[#This Row],[شماره سند مبنا]],invoice[شماره پیش فاکتور],0))</f>
        <v>#N/A</v>
      </c>
      <c r="K2465" s="159" t="e">
        <f>bargiri[[#This Row],[مبلغ خالص]]-bargiri[[#This Row],[میزان استهلاک پیش دریافتی]]</f>
        <v>#N/A</v>
      </c>
      <c r="L2465" s="160"/>
      <c r="M2465" s="159"/>
      <c r="N2465" s="159" t="e">
        <f>IF(bargiri[[#This Row],[مبلغ واریزی]]&lt;&gt;"",bargiri[[#This Row],[مانده مبلغ]]-bargiri[[#This Row],[مبلغ واریزی]],bargiri[[#This Row],[مانده مبلغ]])</f>
        <v>#N/A</v>
      </c>
      <c r="O2465" s="159"/>
      <c r="P2465" s="159" t="e">
        <f>VLOOKUP(bargiri[[#This Row],[شماره سند مبنا]],invoice[[شماره پیش فاکتور]:[پیش دریافت به ازای هر کیلوگرم]],14,0)</f>
        <v>#N/A</v>
      </c>
      <c r="Q2465" s="159" t="e">
        <f>IF(bargiri[[#This Row],[مبلغ ناخالص]]-(bargiri[[#This Row],[نرخ استهلاک]]*bargiri[[#This Row],[مقدار]])&lt;0,0,bargiri[[#This Row],[مبلغ ناخالص]]-(bargiri[[#This Row],[نرخ استهلاک]]*bargiri[[#This Row],[مقدار]]))</f>
        <v>#N/A</v>
      </c>
    </row>
    <row r="2466" spans="1:17" s="22" customFormat="1" ht="13.8" x14ac:dyDescent="0.25">
      <c r="A2466" s="22">
        <v>366</v>
      </c>
      <c r="B2466" s="22" t="s">
        <v>90</v>
      </c>
      <c r="C2466" s="22" t="s">
        <v>88</v>
      </c>
      <c r="D2466" s="22" t="s">
        <v>89</v>
      </c>
      <c r="E2466" s="158">
        <v>19830</v>
      </c>
      <c r="F2466" s="159">
        <v>78000</v>
      </c>
      <c r="G2466" s="159">
        <v>1546740000</v>
      </c>
      <c r="H2466" s="159">
        <v>154674000</v>
      </c>
      <c r="I2466" s="159">
        <v>1701414000</v>
      </c>
      <c r="J2466" s="159" t="e">
        <f>bargiri[[#This Row],[مقدار]]*INDEX(invoice[پیش دریافت به ازای هر کیلوگرم],MATCH(bargiri[[#This Row],[شماره سند مبنا]],invoice[شماره پیش فاکتور],0))</f>
        <v>#N/A</v>
      </c>
      <c r="K2466" s="159" t="e">
        <f>bargiri[[#This Row],[مبلغ خالص]]-bargiri[[#This Row],[میزان استهلاک پیش دریافتی]]</f>
        <v>#N/A</v>
      </c>
      <c r="L2466" s="160"/>
      <c r="M2466" s="159"/>
      <c r="N2466" s="159" t="e">
        <f>IF(bargiri[[#This Row],[مبلغ واریزی]]&lt;&gt;"",bargiri[[#This Row],[مانده مبلغ]]-bargiri[[#This Row],[مبلغ واریزی]],bargiri[[#This Row],[مانده مبلغ]])</f>
        <v>#N/A</v>
      </c>
      <c r="O2466" s="159"/>
      <c r="P2466" s="159" t="e">
        <f>VLOOKUP(bargiri[[#This Row],[شماره سند مبنا]],invoice[[شماره پیش فاکتور]:[پیش دریافت به ازای هر کیلوگرم]],14,0)</f>
        <v>#N/A</v>
      </c>
      <c r="Q2466" s="159" t="e">
        <f>IF(bargiri[[#This Row],[مبلغ ناخالص]]-(bargiri[[#This Row],[نرخ استهلاک]]*bargiri[[#This Row],[مقدار]])&lt;0,0,bargiri[[#This Row],[مبلغ ناخالص]]-(bargiri[[#This Row],[نرخ استهلاک]]*bargiri[[#This Row],[مقدار]]))</f>
        <v>#N/A</v>
      </c>
    </row>
    <row r="2467" spans="1:17" s="22" customFormat="1" ht="13.8" x14ac:dyDescent="0.25">
      <c r="A2467" s="22">
        <v>364</v>
      </c>
      <c r="B2467" s="22" t="s">
        <v>90</v>
      </c>
      <c r="C2467" s="22" t="s">
        <v>66</v>
      </c>
      <c r="D2467" s="22" t="s">
        <v>67</v>
      </c>
      <c r="E2467" s="158">
        <v>20190</v>
      </c>
      <c r="F2467" s="159">
        <v>68500</v>
      </c>
      <c r="G2467" s="159">
        <v>1383015000</v>
      </c>
      <c r="H2467" s="159">
        <v>124471350</v>
      </c>
      <c r="I2467" s="159">
        <v>1507486350</v>
      </c>
      <c r="J2467" s="159" t="e">
        <f>bargiri[[#This Row],[مقدار]]*INDEX(invoice[پیش دریافت به ازای هر کیلوگرم],MATCH(bargiri[[#This Row],[شماره سند مبنا]],invoice[شماره پیش فاکتور],0))</f>
        <v>#N/A</v>
      </c>
      <c r="K2467" s="159" t="e">
        <f>bargiri[[#This Row],[مبلغ خالص]]-bargiri[[#This Row],[میزان استهلاک پیش دریافتی]]</f>
        <v>#N/A</v>
      </c>
      <c r="L2467" s="160"/>
      <c r="M2467" s="159"/>
      <c r="N2467" s="159" t="e">
        <f>IF(bargiri[[#This Row],[مبلغ واریزی]]&lt;&gt;"",bargiri[[#This Row],[مانده مبلغ]]-bargiri[[#This Row],[مبلغ واریزی]],bargiri[[#This Row],[مانده مبلغ]])</f>
        <v>#N/A</v>
      </c>
      <c r="O2467" s="159"/>
      <c r="P2467" s="159" t="e">
        <f>VLOOKUP(bargiri[[#This Row],[شماره سند مبنا]],invoice[[شماره پیش فاکتور]:[پیش دریافت به ازای هر کیلوگرم]],14,0)</f>
        <v>#N/A</v>
      </c>
      <c r="Q2467" s="159" t="e">
        <f>IF(bargiri[[#This Row],[مبلغ ناخالص]]-(bargiri[[#This Row],[نرخ استهلاک]]*bargiri[[#This Row],[مقدار]])&lt;0,0,bargiri[[#This Row],[مبلغ ناخالص]]-(bargiri[[#This Row],[نرخ استهلاک]]*bargiri[[#This Row],[مقدار]]))</f>
        <v>#N/A</v>
      </c>
    </row>
    <row r="2468" spans="1:17" s="22" customFormat="1" ht="13.8" x14ac:dyDescent="0.25">
      <c r="A2468" s="22">
        <v>363</v>
      </c>
      <c r="B2468" s="22" t="s">
        <v>90</v>
      </c>
      <c r="C2468" s="22" t="s">
        <v>75</v>
      </c>
      <c r="D2468" s="22" t="s">
        <v>73</v>
      </c>
      <c r="E2468" s="158">
        <v>21070</v>
      </c>
      <c r="F2468" s="159">
        <v>56881</v>
      </c>
      <c r="G2468" s="159">
        <v>1198482670</v>
      </c>
      <c r="H2468" s="159">
        <v>107863440</v>
      </c>
      <c r="I2468" s="159">
        <v>1306346110</v>
      </c>
      <c r="J2468" s="159" t="e">
        <f>bargiri[[#This Row],[مقدار]]*INDEX(invoice[پیش دریافت به ازای هر کیلوگرم],MATCH(bargiri[[#This Row],[شماره سند مبنا]],invoice[شماره پیش فاکتور],0))</f>
        <v>#N/A</v>
      </c>
      <c r="K2468" s="159" t="e">
        <f>bargiri[[#This Row],[مبلغ خالص]]-bargiri[[#This Row],[میزان استهلاک پیش دریافتی]]</f>
        <v>#N/A</v>
      </c>
      <c r="L2468" s="160"/>
      <c r="M2468" s="159"/>
      <c r="N2468" s="159" t="e">
        <f>IF(bargiri[[#This Row],[مبلغ واریزی]]&lt;&gt;"",bargiri[[#This Row],[مانده مبلغ]]-bargiri[[#This Row],[مبلغ واریزی]],bargiri[[#This Row],[مانده مبلغ]])</f>
        <v>#N/A</v>
      </c>
      <c r="O2468" s="159"/>
      <c r="P2468" s="159" t="e">
        <f>VLOOKUP(bargiri[[#This Row],[شماره سند مبنا]],invoice[[شماره پیش فاکتور]:[پیش دریافت به ازای هر کیلوگرم]],14,0)</f>
        <v>#N/A</v>
      </c>
      <c r="Q2468" s="159" t="e">
        <f>IF(bargiri[[#This Row],[مبلغ ناخالص]]-(bargiri[[#This Row],[نرخ استهلاک]]*bargiri[[#This Row],[مقدار]])&lt;0,0,bargiri[[#This Row],[مبلغ ناخالص]]-(bargiri[[#This Row],[نرخ استهلاک]]*bargiri[[#This Row],[مقدار]]))</f>
        <v>#N/A</v>
      </c>
    </row>
    <row r="2469" spans="1:17" s="22" customFormat="1" ht="13.8" x14ac:dyDescent="0.25">
      <c r="A2469" s="22">
        <v>362</v>
      </c>
      <c r="B2469" s="22" t="s">
        <v>90</v>
      </c>
      <c r="C2469" s="22" t="s">
        <v>75</v>
      </c>
      <c r="D2469" s="22" t="s">
        <v>73</v>
      </c>
      <c r="E2469" s="158">
        <v>21060</v>
      </c>
      <c r="F2469" s="159">
        <v>56881</v>
      </c>
      <c r="G2469" s="159">
        <v>1197913860</v>
      </c>
      <c r="H2469" s="159">
        <v>107812247</v>
      </c>
      <c r="I2469" s="159">
        <v>1305726107</v>
      </c>
      <c r="J2469" s="159" t="e">
        <f>bargiri[[#This Row],[مقدار]]*INDEX(invoice[پیش دریافت به ازای هر کیلوگرم],MATCH(bargiri[[#This Row],[شماره سند مبنا]],invoice[شماره پیش فاکتور],0))</f>
        <v>#N/A</v>
      </c>
      <c r="K2469" s="159" t="e">
        <f>bargiri[[#This Row],[مبلغ خالص]]-bargiri[[#This Row],[میزان استهلاک پیش دریافتی]]</f>
        <v>#N/A</v>
      </c>
      <c r="L2469" s="160"/>
      <c r="M2469" s="159"/>
      <c r="N2469" s="159" t="e">
        <f>IF(bargiri[[#This Row],[مبلغ واریزی]]&lt;&gt;"",bargiri[[#This Row],[مانده مبلغ]]-bargiri[[#This Row],[مبلغ واریزی]],bargiri[[#This Row],[مانده مبلغ]])</f>
        <v>#N/A</v>
      </c>
      <c r="O2469" s="159"/>
      <c r="P2469" s="159" t="e">
        <f>VLOOKUP(bargiri[[#This Row],[شماره سند مبنا]],invoice[[شماره پیش فاکتور]:[پیش دریافت به ازای هر کیلوگرم]],14,0)</f>
        <v>#N/A</v>
      </c>
      <c r="Q2469" s="159" t="e">
        <f>IF(bargiri[[#This Row],[مبلغ ناخالص]]-(bargiri[[#This Row],[نرخ استهلاک]]*bargiri[[#This Row],[مقدار]])&lt;0,0,bargiri[[#This Row],[مبلغ ناخالص]]-(bargiri[[#This Row],[نرخ استهلاک]]*bargiri[[#This Row],[مقدار]]))</f>
        <v>#N/A</v>
      </c>
    </row>
    <row r="2470" spans="1:17" s="22" customFormat="1" ht="13.8" x14ac:dyDescent="0.25">
      <c r="A2470" s="22">
        <v>361</v>
      </c>
      <c r="B2470" s="22" t="s">
        <v>90</v>
      </c>
      <c r="C2470" s="22" t="s">
        <v>75</v>
      </c>
      <c r="D2470" s="22" t="s">
        <v>73</v>
      </c>
      <c r="E2470" s="158">
        <v>21000</v>
      </c>
      <c r="F2470" s="159">
        <v>56881</v>
      </c>
      <c r="G2470" s="159">
        <v>1194501000</v>
      </c>
      <c r="H2470" s="159">
        <v>107505090</v>
      </c>
      <c r="I2470" s="159">
        <v>1302006090</v>
      </c>
      <c r="J2470" s="159" t="e">
        <f>bargiri[[#This Row],[مقدار]]*INDEX(invoice[پیش دریافت به ازای هر کیلوگرم],MATCH(bargiri[[#This Row],[شماره سند مبنا]],invoice[شماره پیش فاکتور],0))</f>
        <v>#N/A</v>
      </c>
      <c r="K2470" s="159" t="e">
        <f>bargiri[[#This Row],[مبلغ خالص]]-bargiri[[#This Row],[میزان استهلاک پیش دریافتی]]</f>
        <v>#N/A</v>
      </c>
      <c r="L2470" s="160"/>
      <c r="M2470" s="159"/>
      <c r="N2470" s="159" t="e">
        <f>IF(bargiri[[#This Row],[مبلغ واریزی]]&lt;&gt;"",bargiri[[#This Row],[مانده مبلغ]]-bargiri[[#This Row],[مبلغ واریزی]],bargiri[[#This Row],[مانده مبلغ]])</f>
        <v>#N/A</v>
      </c>
      <c r="O2470" s="159"/>
      <c r="P2470" s="159" t="e">
        <f>VLOOKUP(bargiri[[#This Row],[شماره سند مبنا]],invoice[[شماره پیش فاکتور]:[پیش دریافت به ازای هر کیلوگرم]],14,0)</f>
        <v>#N/A</v>
      </c>
      <c r="Q2470" s="159" t="e">
        <f>IF(bargiri[[#This Row],[مبلغ ناخالص]]-(bargiri[[#This Row],[نرخ استهلاک]]*bargiri[[#This Row],[مقدار]])&lt;0,0,bargiri[[#This Row],[مبلغ ناخالص]]-(bargiri[[#This Row],[نرخ استهلاک]]*bargiri[[#This Row],[مقدار]]))</f>
        <v>#N/A</v>
      </c>
    </row>
    <row r="2471" spans="1:17" s="22" customFormat="1" ht="13.8" x14ac:dyDescent="0.25">
      <c r="A2471" s="22">
        <v>360</v>
      </c>
      <c r="B2471" s="22" t="s">
        <v>564</v>
      </c>
      <c r="C2471" s="22" t="s">
        <v>29</v>
      </c>
      <c r="D2471" s="22" t="s">
        <v>30</v>
      </c>
      <c r="E2471" s="158">
        <v>10400</v>
      </c>
      <c r="F2471" s="159">
        <v>70000</v>
      </c>
      <c r="G2471" s="159">
        <v>728000000</v>
      </c>
      <c r="H2471" s="159">
        <v>72800000</v>
      </c>
      <c r="I2471" s="159">
        <v>800800000</v>
      </c>
      <c r="J2471" s="159" t="e">
        <f>bargiri[[#This Row],[مقدار]]*INDEX(invoice[پیش دریافت به ازای هر کیلوگرم],MATCH(bargiri[[#This Row],[شماره سند مبنا]],invoice[شماره پیش فاکتور],0))</f>
        <v>#N/A</v>
      </c>
      <c r="K2471" s="159" t="e">
        <f>bargiri[[#This Row],[مبلغ خالص]]-bargiri[[#This Row],[میزان استهلاک پیش دریافتی]]</f>
        <v>#N/A</v>
      </c>
      <c r="L2471" s="160"/>
      <c r="M2471" s="159"/>
      <c r="N2471" s="159" t="e">
        <f>IF(bargiri[[#This Row],[مبلغ واریزی]]&lt;&gt;"",bargiri[[#This Row],[مانده مبلغ]]-bargiri[[#This Row],[مبلغ واریزی]],bargiri[[#This Row],[مانده مبلغ]])</f>
        <v>#N/A</v>
      </c>
      <c r="O2471" s="159"/>
      <c r="P2471" s="159" t="e">
        <f>VLOOKUP(bargiri[[#This Row],[شماره سند مبنا]],invoice[[شماره پیش فاکتور]:[پیش دریافت به ازای هر کیلوگرم]],14,0)</f>
        <v>#N/A</v>
      </c>
      <c r="Q2471" s="159" t="e">
        <f>IF(bargiri[[#This Row],[مبلغ ناخالص]]-(bargiri[[#This Row],[نرخ استهلاک]]*bargiri[[#This Row],[مقدار]])&lt;0,0,bargiri[[#This Row],[مبلغ ناخالص]]-(bargiri[[#This Row],[نرخ استهلاک]]*bargiri[[#This Row],[مقدار]]))</f>
        <v>#N/A</v>
      </c>
    </row>
    <row r="2472" spans="1:17" s="22" customFormat="1" ht="13.8" x14ac:dyDescent="0.25">
      <c r="A2472" s="22">
        <v>359</v>
      </c>
      <c r="B2472" s="22" t="s">
        <v>564</v>
      </c>
      <c r="C2472" s="22" t="s">
        <v>66</v>
      </c>
      <c r="D2472" s="22" t="s">
        <v>67</v>
      </c>
      <c r="E2472" s="158">
        <v>9910</v>
      </c>
      <c r="F2472" s="159">
        <v>68500</v>
      </c>
      <c r="G2472" s="159">
        <v>678835000</v>
      </c>
      <c r="H2472" s="159">
        <v>61095150</v>
      </c>
      <c r="I2472" s="159">
        <v>739930150</v>
      </c>
      <c r="J2472" s="159" t="e">
        <f>bargiri[[#This Row],[مقدار]]*INDEX(invoice[پیش دریافت به ازای هر کیلوگرم],MATCH(bargiri[[#This Row],[شماره سند مبنا]],invoice[شماره پیش فاکتور],0))</f>
        <v>#N/A</v>
      </c>
      <c r="K2472" s="159" t="e">
        <f>bargiri[[#This Row],[مبلغ خالص]]-bargiri[[#This Row],[میزان استهلاک پیش دریافتی]]</f>
        <v>#N/A</v>
      </c>
      <c r="L2472" s="160"/>
      <c r="M2472" s="159"/>
      <c r="N2472" s="159" t="e">
        <f>IF(bargiri[[#This Row],[مبلغ واریزی]]&lt;&gt;"",bargiri[[#This Row],[مانده مبلغ]]-bargiri[[#This Row],[مبلغ واریزی]],bargiri[[#This Row],[مانده مبلغ]])</f>
        <v>#N/A</v>
      </c>
      <c r="O2472" s="159"/>
      <c r="P2472" s="159" t="e">
        <f>VLOOKUP(bargiri[[#This Row],[شماره سند مبنا]],invoice[[شماره پیش فاکتور]:[پیش دریافت به ازای هر کیلوگرم]],14,0)</f>
        <v>#N/A</v>
      </c>
      <c r="Q2472" s="159" t="e">
        <f>IF(bargiri[[#This Row],[مبلغ ناخالص]]-(bargiri[[#This Row],[نرخ استهلاک]]*bargiri[[#This Row],[مقدار]])&lt;0,0,bargiri[[#This Row],[مبلغ ناخالص]]-(bargiri[[#This Row],[نرخ استهلاک]]*bargiri[[#This Row],[مقدار]]))</f>
        <v>#N/A</v>
      </c>
    </row>
    <row r="2473" spans="1:17" s="22" customFormat="1" ht="13.8" x14ac:dyDescent="0.25">
      <c r="A2473" s="22">
        <v>358</v>
      </c>
      <c r="B2473" s="22" t="s">
        <v>564</v>
      </c>
      <c r="C2473" s="22" t="s">
        <v>19</v>
      </c>
      <c r="D2473" s="22" t="s">
        <v>20</v>
      </c>
      <c r="E2473" s="158">
        <v>18550</v>
      </c>
      <c r="F2473" s="159">
        <v>65000</v>
      </c>
      <c r="G2473" s="159">
        <v>1205750000</v>
      </c>
      <c r="H2473" s="159">
        <v>108517500</v>
      </c>
      <c r="I2473" s="159">
        <v>1314267500</v>
      </c>
      <c r="J2473" s="159" t="e">
        <f>bargiri[[#This Row],[مقدار]]*INDEX(invoice[پیش دریافت به ازای هر کیلوگرم],MATCH(bargiri[[#This Row],[شماره سند مبنا]],invoice[شماره پیش فاکتور],0))</f>
        <v>#N/A</v>
      </c>
      <c r="K2473" s="159" t="e">
        <f>bargiri[[#This Row],[مبلغ خالص]]-bargiri[[#This Row],[میزان استهلاک پیش دریافتی]]</f>
        <v>#N/A</v>
      </c>
      <c r="L2473" s="160"/>
      <c r="M2473" s="159"/>
      <c r="N2473" s="159" t="e">
        <f>IF(bargiri[[#This Row],[مبلغ واریزی]]&lt;&gt;"",bargiri[[#This Row],[مانده مبلغ]]-bargiri[[#This Row],[مبلغ واریزی]],bargiri[[#This Row],[مانده مبلغ]])</f>
        <v>#N/A</v>
      </c>
      <c r="O2473" s="159"/>
      <c r="P2473" s="159" t="e">
        <f>VLOOKUP(bargiri[[#This Row],[شماره سند مبنا]],invoice[[شماره پیش فاکتور]:[پیش دریافت به ازای هر کیلوگرم]],14,0)</f>
        <v>#N/A</v>
      </c>
      <c r="Q2473" s="159" t="e">
        <f>IF(bargiri[[#This Row],[مبلغ ناخالص]]-(bargiri[[#This Row],[نرخ استهلاک]]*bargiri[[#This Row],[مقدار]])&lt;0,0,bargiri[[#This Row],[مبلغ ناخالص]]-(bargiri[[#This Row],[نرخ استهلاک]]*bargiri[[#This Row],[مقدار]]))</f>
        <v>#N/A</v>
      </c>
    </row>
    <row r="2474" spans="1:17" s="22" customFormat="1" ht="13.8" x14ac:dyDescent="0.25">
      <c r="A2474" s="22">
        <v>357</v>
      </c>
      <c r="B2474" s="22" t="s">
        <v>554</v>
      </c>
      <c r="C2474" s="22" t="s">
        <v>63</v>
      </c>
      <c r="D2474" s="22" t="s">
        <v>64</v>
      </c>
      <c r="E2474" s="158">
        <v>23120</v>
      </c>
      <c r="F2474" s="159">
        <v>45000</v>
      </c>
      <c r="G2474" s="159">
        <v>1040400000</v>
      </c>
      <c r="H2474" s="159">
        <v>93636000</v>
      </c>
      <c r="I2474" s="159">
        <v>1134036000</v>
      </c>
      <c r="J2474" s="159" t="e">
        <f>bargiri[[#This Row],[مقدار]]*INDEX(invoice[پیش دریافت به ازای هر کیلوگرم],MATCH(bargiri[[#This Row],[شماره سند مبنا]],invoice[شماره پیش فاکتور],0))</f>
        <v>#N/A</v>
      </c>
      <c r="K2474" s="159" t="e">
        <f>bargiri[[#This Row],[مبلغ خالص]]-bargiri[[#This Row],[میزان استهلاک پیش دریافتی]]</f>
        <v>#N/A</v>
      </c>
      <c r="L2474" s="160"/>
      <c r="M2474" s="159"/>
      <c r="N2474" s="159" t="e">
        <f>IF(bargiri[[#This Row],[مبلغ واریزی]]&lt;&gt;"",bargiri[[#This Row],[مانده مبلغ]]-bargiri[[#This Row],[مبلغ واریزی]],bargiri[[#This Row],[مانده مبلغ]])</f>
        <v>#N/A</v>
      </c>
      <c r="O2474" s="159"/>
      <c r="P2474" s="159" t="e">
        <f>VLOOKUP(bargiri[[#This Row],[شماره سند مبنا]],invoice[[شماره پیش فاکتور]:[پیش دریافت به ازای هر کیلوگرم]],14,0)</f>
        <v>#N/A</v>
      </c>
      <c r="Q2474" s="159" t="e">
        <f>IF(bargiri[[#This Row],[مبلغ ناخالص]]-(bargiri[[#This Row],[نرخ استهلاک]]*bargiri[[#This Row],[مقدار]])&lt;0,0,bargiri[[#This Row],[مبلغ ناخالص]]-(bargiri[[#This Row],[نرخ استهلاک]]*bargiri[[#This Row],[مقدار]]))</f>
        <v>#N/A</v>
      </c>
    </row>
    <row r="2475" spans="1:17" s="22" customFormat="1" ht="13.8" x14ac:dyDescent="0.25">
      <c r="A2475" s="22">
        <v>356</v>
      </c>
      <c r="B2475" s="22" t="s">
        <v>565</v>
      </c>
      <c r="C2475" s="22" t="s">
        <v>63</v>
      </c>
      <c r="D2475" s="22" t="s">
        <v>64</v>
      </c>
      <c r="E2475" s="158">
        <v>20130</v>
      </c>
      <c r="F2475" s="159">
        <v>45000</v>
      </c>
      <c r="G2475" s="159">
        <v>905850000</v>
      </c>
      <c r="H2475" s="159">
        <v>81526500</v>
      </c>
      <c r="I2475" s="159">
        <v>987376500</v>
      </c>
      <c r="J2475" s="159" t="e">
        <f>bargiri[[#This Row],[مقدار]]*INDEX(invoice[پیش دریافت به ازای هر کیلوگرم],MATCH(bargiri[[#This Row],[شماره سند مبنا]],invoice[شماره پیش فاکتور],0))</f>
        <v>#N/A</v>
      </c>
      <c r="K2475" s="159" t="e">
        <f>bargiri[[#This Row],[مبلغ خالص]]-bargiri[[#This Row],[میزان استهلاک پیش دریافتی]]</f>
        <v>#N/A</v>
      </c>
      <c r="L2475" s="160"/>
      <c r="M2475" s="159"/>
      <c r="N2475" s="159" t="e">
        <f>IF(bargiri[[#This Row],[مبلغ واریزی]]&lt;&gt;"",bargiri[[#This Row],[مانده مبلغ]]-bargiri[[#This Row],[مبلغ واریزی]],bargiri[[#This Row],[مانده مبلغ]])</f>
        <v>#N/A</v>
      </c>
      <c r="O2475" s="159"/>
      <c r="P2475" s="159" t="e">
        <f>VLOOKUP(bargiri[[#This Row],[شماره سند مبنا]],invoice[[شماره پیش فاکتور]:[پیش دریافت به ازای هر کیلوگرم]],14,0)</f>
        <v>#N/A</v>
      </c>
      <c r="Q2475" s="159" t="e">
        <f>IF(bargiri[[#This Row],[مبلغ ناخالص]]-(bargiri[[#This Row],[نرخ استهلاک]]*bargiri[[#This Row],[مقدار]])&lt;0,0,bargiri[[#This Row],[مبلغ ناخالص]]-(bargiri[[#This Row],[نرخ استهلاک]]*bargiri[[#This Row],[مقدار]]))</f>
        <v>#N/A</v>
      </c>
    </row>
    <row r="2476" spans="1:17" s="22" customFormat="1" ht="13.8" x14ac:dyDescent="0.25">
      <c r="A2476" s="22">
        <v>355</v>
      </c>
      <c r="B2476" s="22" t="s">
        <v>566</v>
      </c>
      <c r="C2476" s="22" t="s">
        <v>63</v>
      </c>
      <c r="D2476" s="22" t="s">
        <v>64</v>
      </c>
      <c r="E2476" s="158">
        <v>22740</v>
      </c>
      <c r="F2476" s="159">
        <v>45000</v>
      </c>
      <c r="G2476" s="159">
        <v>1023300000</v>
      </c>
      <c r="H2476" s="159">
        <v>92097000</v>
      </c>
      <c r="I2476" s="159">
        <v>1115397000</v>
      </c>
      <c r="J2476" s="159" t="e">
        <f>bargiri[[#This Row],[مقدار]]*INDEX(invoice[پیش دریافت به ازای هر کیلوگرم],MATCH(bargiri[[#This Row],[شماره سند مبنا]],invoice[شماره پیش فاکتور],0))</f>
        <v>#N/A</v>
      </c>
      <c r="K2476" s="159" t="e">
        <f>bargiri[[#This Row],[مبلغ خالص]]-bargiri[[#This Row],[میزان استهلاک پیش دریافتی]]</f>
        <v>#N/A</v>
      </c>
      <c r="L2476" s="160"/>
      <c r="M2476" s="159"/>
      <c r="N2476" s="159" t="e">
        <f>IF(bargiri[[#This Row],[مبلغ واریزی]]&lt;&gt;"",bargiri[[#This Row],[مانده مبلغ]]-bargiri[[#This Row],[مبلغ واریزی]],bargiri[[#This Row],[مانده مبلغ]])</f>
        <v>#N/A</v>
      </c>
      <c r="O2476" s="159"/>
      <c r="P2476" s="159" t="e">
        <f>VLOOKUP(bargiri[[#This Row],[شماره سند مبنا]],invoice[[شماره پیش فاکتور]:[پیش دریافت به ازای هر کیلوگرم]],14,0)</f>
        <v>#N/A</v>
      </c>
      <c r="Q2476" s="159" t="e">
        <f>IF(bargiri[[#This Row],[مبلغ ناخالص]]-(bargiri[[#This Row],[نرخ استهلاک]]*bargiri[[#This Row],[مقدار]])&lt;0,0,bargiri[[#This Row],[مبلغ ناخالص]]-(bargiri[[#This Row],[نرخ استهلاک]]*bargiri[[#This Row],[مقدار]]))</f>
        <v>#N/A</v>
      </c>
    </row>
    <row r="2477" spans="1:17" s="22" customFormat="1" ht="13.8" x14ac:dyDescent="0.25">
      <c r="A2477" s="22">
        <v>354</v>
      </c>
      <c r="B2477" s="22" t="s">
        <v>567</v>
      </c>
      <c r="C2477" s="22" t="s">
        <v>63</v>
      </c>
      <c r="D2477" s="22" t="s">
        <v>64</v>
      </c>
      <c r="E2477" s="158">
        <v>22800</v>
      </c>
      <c r="F2477" s="159">
        <v>45000</v>
      </c>
      <c r="G2477" s="159">
        <v>1026000000</v>
      </c>
      <c r="H2477" s="159">
        <v>92340000</v>
      </c>
      <c r="I2477" s="159">
        <v>1118340000</v>
      </c>
      <c r="J2477" s="159" t="e">
        <f>bargiri[[#This Row],[مقدار]]*INDEX(invoice[پیش دریافت به ازای هر کیلوگرم],MATCH(bargiri[[#This Row],[شماره سند مبنا]],invoice[شماره پیش فاکتور],0))</f>
        <v>#N/A</v>
      </c>
      <c r="K2477" s="159" t="e">
        <f>bargiri[[#This Row],[مبلغ خالص]]-bargiri[[#This Row],[میزان استهلاک پیش دریافتی]]</f>
        <v>#N/A</v>
      </c>
      <c r="L2477" s="160"/>
      <c r="M2477" s="159"/>
      <c r="N2477" s="159" t="e">
        <f>IF(bargiri[[#This Row],[مبلغ واریزی]]&lt;&gt;"",bargiri[[#This Row],[مانده مبلغ]]-bargiri[[#This Row],[مبلغ واریزی]],bargiri[[#This Row],[مانده مبلغ]])</f>
        <v>#N/A</v>
      </c>
      <c r="O2477" s="159"/>
      <c r="P2477" s="159" t="e">
        <f>VLOOKUP(bargiri[[#This Row],[شماره سند مبنا]],invoice[[شماره پیش فاکتور]:[پیش دریافت به ازای هر کیلوگرم]],14,0)</f>
        <v>#N/A</v>
      </c>
      <c r="Q2477" s="159" t="e">
        <f>IF(bargiri[[#This Row],[مبلغ ناخالص]]-(bargiri[[#This Row],[نرخ استهلاک]]*bargiri[[#This Row],[مقدار]])&lt;0,0,bargiri[[#This Row],[مبلغ ناخالص]]-(bargiri[[#This Row],[نرخ استهلاک]]*bargiri[[#This Row],[مقدار]]))</f>
        <v>#N/A</v>
      </c>
    </row>
    <row r="2478" spans="1:17" s="22" customFormat="1" ht="13.8" x14ac:dyDescent="0.25">
      <c r="A2478" s="22">
        <v>353</v>
      </c>
      <c r="B2478" s="22" t="s">
        <v>36</v>
      </c>
      <c r="C2478" s="22" t="s">
        <v>63</v>
      </c>
      <c r="D2478" s="22" t="s">
        <v>64</v>
      </c>
      <c r="E2478" s="158">
        <v>22520</v>
      </c>
      <c r="F2478" s="159">
        <v>45000</v>
      </c>
      <c r="G2478" s="159">
        <v>1013400000</v>
      </c>
      <c r="H2478" s="159">
        <v>91206000</v>
      </c>
      <c r="I2478" s="159">
        <v>1104606000</v>
      </c>
      <c r="J2478" s="159" t="e">
        <f>bargiri[[#This Row],[مقدار]]*INDEX(invoice[پیش دریافت به ازای هر کیلوگرم],MATCH(bargiri[[#This Row],[شماره سند مبنا]],invoice[شماره پیش فاکتور],0))</f>
        <v>#N/A</v>
      </c>
      <c r="K2478" s="159" t="e">
        <f>bargiri[[#This Row],[مبلغ خالص]]-bargiri[[#This Row],[میزان استهلاک پیش دریافتی]]</f>
        <v>#N/A</v>
      </c>
      <c r="L2478" s="160"/>
      <c r="M2478" s="159"/>
      <c r="N2478" s="159" t="e">
        <f>IF(bargiri[[#This Row],[مبلغ واریزی]]&lt;&gt;"",bargiri[[#This Row],[مانده مبلغ]]-bargiri[[#This Row],[مبلغ واریزی]],bargiri[[#This Row],[مانده مبلغ]])</f>
        <v>#N/A</v>
      </c>
      <c r="O2478" s="159"/>
      <c r="P2478" s="159" t="e">
        <f>VLOOKUP(bargiri[[#This Row],[شماره سند مبنا]],invoice[[شماره پیش فاکتور]:[پیش دریافت به ازای هر کیلوگرم]],14,0)</f>
        <v>#N/A</v>
      </c>
      <c r="Q2478" s="159" t="e">
        <f>IF(bargiri[[#This Row],[مبلغ ناخالص]]-(bargiri[[#This Row],[نرخ استهلاک]]*bargiri[[#This Row],[مقدار]])&lt;0,0,bargiri[[#This Row],[مبلغ ناخالص]]-(bargiri[[#This Row],[نرخ استهلاک]]*bargiri[[#This Row],[مقدار]]))</f>
        <v>#N/A</v>
      </c>
    </row>
    <row r="2479" spans="1:17" s="22" customFormat="1" ht="13.8" x14ac:dyDescent="0.25">
      <c r="A2479" s="22">
        <v>352</v>
      </c>
      <c r="B2479" s="22" t="s">
        <v>44</v>
      </c>
      <c r="C2479" s="22" t="s">
        <v>63</v>
      </c>
      <c r="D2479" s="22" t="s">
        <v>64</v>
      </c>
      <c r="E2479" s="158">
        <v>22370</v>
      </c>
      <c r="F2479" s="159">
        <v>45000</v>
      </c>
      <c r="G2479" s="159">
        <v>1006650000</v>
      </c>
      <c r="H2479" s="159">
        <v>90598500</v>
      </c>
      <c r="I2479" s="159">
        <v>1097248500</v>
      </c>
      <c r="J2479" s="159" t="e">
        <f>bargiri[[#This Row],[مقدار]]*INDEX(invoice[پیش دریافت به ازای هر کیلوگرم],MATCH(bargiri[[#This Row],[شماره سند مبنا]],invoice[شماره پیش فاکتور],0))</f>
        <v>#N/A</v>
      </c>
      <c r="K2479" s="159" t="e">
        <f>bargiri[[#This Row],[مبلغ خالص]]-bargiri[[#This Row],[میزان استهلاک پیش دریافتی]]</f>
        <v>#N/A</v>
      </c>
      <c r="L2479" s="160"/>
      <c r="M2479" s="159"/>
      <c r="N2479" s="159" t="e">
        <f>IF(bargiri[[#This Row],[مبلغ واریزی]]&lt;&gt;"",bargiri[[#This Row],[مانده مبلغ]]-bargiri[[#This Row],[مبلغ واریزی]],bargiri[[#This Row],[مانده مبلغ]])</f>
        <v>#N/A</v>
      </c>
      <c r="O2479" s="159"/>
      <c r="P2479" s="159" t="e">
        <f>VLOOKUP(bargiri[[#This Row],[شماره سند مبنا]],invoice[[شماره پیش فاکتور]:[پیش دریافت به ازای هر کیلوگرم]],14,0)</f>
        <v>#N/A</v>
      </c>
      <c r="Q2479" s="159" t="e">
        <f>IF(bargiri[[#This Row],[مبلغ ناخالص]]-(bargiri[[#This Row],[نرخ استهلاک]]*bargiri[[#This Row],[مقدار]])&lt;0,0,bargiri[[#This Row],[مبلغ ناخالص]]-(bargiri[[#This Row],[نرخ استهلاک]]*bargiri[[#This Row],[مقدار]]))</f>
        <v>#N/A</v>
      </c>
    </row>
    <row r="2480" spans="1:17" s="22" customFormat="1" ht="13.8" x14ac:dyDescent="0.25">
      <c r="A2480" s="22">
        <v>351</v>
      </c>
      <c r="B2480" s="22" t="s">
        <v>44</v>
      </c>
      <c r="C2480" s="22" t="s">
        <v>63</v>
      </c>
      <c r="D2480" s="22" t="s">
        <v>64</v>
      </c>
      <c r="E2480" s="158">
        <v>22690</v>
      </c>
      <c r="F2480" s="159">
        <v>45000</v>
      </c>
      <c r="G2480" s="159">
        <v>1021050000</v>
      </c>
      <c r="H2480" s="159">
        <v>91894500</v>
      </c>
      <c r="I2480" s="159">
        <v>1112944500</v>
      </c>
      <c r="J2480" s="159" t="e">
        <f>bargiri[[#This Row],[مقدار]]*INDEX(invoice[پیش دریافت به ازای هر کیلوگرم],MATCH(bargiri[[#This Row],[شماره سند مبنا]],invoice[شماره پیش فاکتور],0))</f>
        <v>#N/A</v>
      </c>
      <c r="K2480" s="159" t="e">
        <f>bargiri[[#This Row],[مبلغ خالص]]-bargiri[[#This Row],[میزان استهلاک پیش دریافتی]]</f>
        <v>#N/A</v>
      </c>
      <c r="L2480" s="160"/>
      <c r="M2480" s="159"/>
      <c r="N2480" s="159" t="e">
        <f>IF(bargiri[[#This Row],[مبلغ واریزی]]&lt;&gt;"",bargiri[[#This Row],[مانده مبلغ]]-bargiri[[#This Row],[مبلغ واریزی]],bargiri[[#This Row],[مانده مبلغ]])</f>
        <v>#N/A</v>
      </c>
      <c r="O2480" s="159"/>
      <c r="P2480" s="159" t="e">
        <f>VLOOKUP(bargiri[[#This Row],[شماره سند مبنا]],invoice[[شماره پیش فاکتور]:[پیش دریافت به ازای هر کیلوگرم]],14,0)</f>
        <v>#N/A</v>
      </c>
      <c r="Q2480" s="159" t="e">
        <f>IF(bargiri[[#This Row],[مبلغ ناخالص]]-(bargiri[[#This Row],[نرخ استهلاک]]*bargiri[[#This Row],[مقدار]])&lt;0,0,bargiri[[#This Row],[مبلغ ناخالص]]-(bargiri[[#This Row],[نرخ استهلاک]]*bargiri[[#This Row],[مقدار]]))</f>
        <v>#N/A</v>
      </c>
    </row>
    <row r="2481" spans="1:17" s="22" customFormat="1" ht="13.8" x14ac:dyDescent="0.25">
      <c r="A2481" s="22">
        <v>350</v>
      </c>
      <c r="B2481" s="22" t="s">
        <v>568</v>
      </c>
      <c r="C2481" s="22" t="s">
        <v>63</v>
      </c>
      <c r="D2481" s="22" t="s">
        <v>64</v>
      </c>
      <c r="E2481" s="158">
        <v>22560</v>
      </c>
      <c r="F2481" s="159">
        <v>45000</v>
      </c>
      <c r="G2481" s="159">
        <v>1015200000</v>
      </c>
      <c r="H2481" s="159">
        <v>91368000</v>
      </c>
      <c r="I2481" s="159">
        <v>1106568000</v>
      </c>
      <c r="J2481" s="159" t="e">
        <f>bargiri[[#This Row],[مقدار]]*INDEX(invoice[پیش دریافت به ازای هر کیلوگرم],MATCH(bargiri[[#This Row],[شماره سند مبنا]],invoice[شماره پیش فاکتور],0))</f>
        <v>#N/A</v>
      </c>
      <c r="K2481" s="159" t="e">
        <f>bargiri[[#This Row],[مبلغ خالص]]-bargiri[[#This Row],[میزان استهلاک پیش دریافتی]]</f>
        <v>#N/A</v>
      </c>
      <c r="L2481" s="160"/>
      <c r="M2481" s="159"/>
      <c r="N2481" s="159" t="e">
        <f>IF(bargiri[[#This Row],[مبلغ واریزی]]&lt;&gt;"",bargiri[[#This Row],[مانده مبلغ]]-bargiri[[#This Row],[مبلغ واریزی]],bargiri[[#This Row],[مانده مبلغ]])</f>
        <v>#N/A</v>
      </c>
      <c r="O2481" s="159"/>
      <c r="P2481" s="159" t="e">
        <f>VLOOKUP(bargiri[[#This Row],[شماره سند مبنا]],invoice[[شماره پیش فاکتور]:[پیش دریافت به ازای هر کیلوگرم]],14,0)</f>
        <v>#N/A</v>
      </c>
      <c r="Q2481" s="159" t="e">
        <f>IF(bargiri[[#This Row],[مبلغ ناخالص]]-(bargiri[[#This Row],[نرخ استهلاک]]*bargiri[[#This Row],[مقدار]])&lt;0,0,bargiri[[#This Row],[مبلغ ناخالص]]-(bargiri[[#This Row],[نرخ استهلاک]]*bargiri[[#This Row],[مقدار]]))</f>
        <v>#N/A</v>
      </c>
    </row>
    <row r="2482" spans="1:17" s="22" customFormat="1" ht="13.8" x14ac:dyDescent="0.25">
      <c r="A2482" s="22">
        <v>349</v>
      </c>
      <c r="B2482" s="22" t="s">
        <v>569</v>
      </c>
      <c r="C2482" s="22" t="s">
        <v>63</v>
      </c>
      <c r="D2482" s="22" t="s">
        <v>64</v>
      </c>
      <c r="E2482" s="158">
        <v>22520</v>
      </c>
      <c r="F2482" s="159">
        <v>45000</v>
      </c>
      <c r="G2482" s="159">
        <v>1013400000</v>
      </c>
      <c r="H2482" s="159">
        <v>91206000</v>
      </c>
      <c r="I2482" s="159">
        <v>1104606000</v>
      </c>
      <c r="J2482" s="159" t="e">
        <f>bargiri[[#This Row],[مقدار]]*INDEX(invoice[پیش دریافت به ازای هر کیلوگرم],MATCH(bargiri[[#This Row],[شماره سند مبنا]],invoice[شماره پیش فاکتور],0))</f>
        <v>#N/A</v>
      </c>
      <c r="K2482" s="159" t="e">
        <f>bargiri[[#This Row],[مبلغ خالص]]-bargiri[[#This Row],[میزان استهلاک پیش دریافتی]]</f>
        <v>#N/A</v>
      </c>
      <c r="L2482" s="160"/>
      <c r="M2482" s="159"/>
      <c r="N2482" s="159" t="e">
        <f>IF(bargiri[[#This Row],[مبلغ واریزی]]&lt;&gt;"",bargiri[[#This Row],[مانده مبلغ]]-bargiri[[#This Row],[مبلغ واریزی]],bargiri[[#This Row],[مانده مبلغ]])</f>
        <v>#N/A</v>
      </c>
      <c r="O2482" s="159"/>
      <c r="P2482" s="159" t="e">
        <f>VLOOKUP(bargiri[[#This Row],[شماره سند مبنا]],invoice[[شماره پیش فاکتور]:[پیش دریافت به ازای هر کیلوگرم]],14,0)</f>
        <v>#N/A</v>
      </c>
      <c r="Q2482" s="159" t="e">
        <f>IF(bargiri[[#This Row],[مبلغ ناخالص]]-(bargiri[[#This Row],[نرخ استهلاک]]*bargiri[[#This Row],[مقدار]])&lt;0,0,bargiri[[#This Row],[مبلغ ناخالص]]-(bargiri[[#This Row],[نرخ استهلاک]]*bargiri[[#This Row],[مقدار]]))</f>
        <v>#N/A</v>
      </c>
    </row>
    <row r="2483" spans="1:17" s="22" customFormat="1" ht="13.8" x14ac:dyDescent="0.25">
      <c r="A2483" s="22">
        <v>348</v>
      </c>
      <c r="B2483" s="22" t="s">
        <v>65</v>
      </c>
      <c r="C2483" s="22" t="s">
        <v>63</v>
      </c>
      <c r="D2483" s="22" t="s">
        <v>64</v>
      </c>
      <c r="E2483" s="158">
        <v>22550</v>
      </c>
      <c r="F2483" s="159">
        <v>45000</v>
      </c>
      <c r="G2483" s="159">
        <v>1014750000</v>
      </c>
      <c r="H2483" s="159">
        <v>91327500</v>
      </c>
      <c r="I2483" s="159">
        <v>1106077500</v>
      </c>
      <c r="J2483" s="159" t="e">
        <f>bargiri[[#This Row],[مقدار]]*INDEX(invoice[پیش دریافت به ازای هر کیلوگرم],MATCH(bargiri[[#This Row],[شماره سند مبنا]],invoice[شماره پیش فاکتور],0))</f>
        <v>#N/A</v>
      </c>
      <c r="K2483" s="159" t="e">
        <f>bargiri[[#This Row],[مبلغ خالص]]-bargiri[[#This Row],[میزان استهلاک پیش دریافتی]]</f>
        <v>#N/A</v>
      </c>
      <c r="L2483" s="160"/>
      <c r="M2483" s="159"/>
      <c r="N2483" s="159" t="e">
        <f>IF(bargiri[[#This Row],[مبلغ واریزی]]&lt;&gt;"",bargiri[[#This Row],[مانده مبلغ]]-bargiri[[#This Row],[مبلغ واریزی]],bargiri[[#This Row],[مانده مبلغ]])</f>
        <v>#N/A</v>
      </c>
      <c r="O2483" s="159"/>
      <c r="P2483" s="159" t="e">
        <f>VLOOKUP(bargiri[[#This Row],[شماره سند مبنا]],invoice[[شماره پیش فاکتور]:[پیش دریافت به ازای هر کیلوگرم]],14,0)</f>
        <v>#N/A</v>
      </c>
      <c r="Q2483" s="159" t="e">
        <f>IF(bargiri[[#This Row],[مبلغ ناخالص]]-(bargiri[[#This Row],[نرخ استهلاک]]*bargiri[[#This Row],[مقدار]])&lt;0,0,bargiri[[#This Row],[مبلغ ناخالص]]-(bargiri[[#This Row],[نرخ استهلاک]]*bargiri[[#This Row],[مقدار]]))</f>
        <v>#N/A</v>
      </c>
    </row>
    <row r="2484" spans="1:17" s="22" customFormat="1" ht="13.8" x14ac:dyDescent="0.25">
      <c r="A2484" s="22">
        <v>347</v>
      </c>
      <c r="B2484" s="22" t="s">
        <v>76</v>
      </c>
      <c r="C2484" s="22" t="s">
        <v>48</v>
      </c>
      <c r="D2484" s="22" t="s">
        <v>43</v>
      </c>
      <c r="E2484" s="158">
        <v>10060</v>
      </c>
      <c r="F2484" s="159">
        <v>50000</v>
      </c>
      <c r="G2484" s="159">
        <v>503000000</v>
      </c>
      <c r="H2484" s="159">
        <v>45270000</v>
      </c>
      <c r="I2484" s="159">
        <v>548270000</v>
      </c>
      <c r="J2484" s="159" t="e">
        <f>bargiri[[#This Row],[مقدار]]*INDEX(invoice[پیش دریافت به ازای هر کیلوگرم],MATCH(bargiri[[#This Row],[شماره سند مبنا]],invoice[شماره پیش فاکتور],0))</f>
        <v>#N/A</v>
      </c>
      <c r="K2484" s="159" t="e">
        <f>bargiri[[#This Row],[مبلغ خالص]]-bargiri[[#This Row],[میزان استهلاک پیش دریافتی]]</f>
        <v>#N/A</v>
      </c>
      <c r="L2484" s="160"/>
      <c r="M2484" s="159"/>
      <c r="N2484" s="159" t="e">
        <f>IF(bargiri[[#This Row],[مبلغ واریزی]]&lt;&gt;"",bargiri[[#This Row],[مانده مبلغ]]-bargiri[[#This Row],[مبلغ واریزی]],bargiri[[#This Row],[مانده مبلغ]])</f>
        <v>#N/A</v>
      </c>
      <c r="O2484" s="159"/>
      <c r="P2484" s="159" t="e">
        <f>VLOOKUP(bargiri[[#This Row],[شماره سند مبنا]],invoice[[شماره پیش فاکتور]:[پیش دریافت به ازای هر کیلوگرم]],14,0)</f>
        <v>#N/A</v>
      </c>
      <c r="Q2484" s="159" t="e">
        <f>IF(bargiri[[#This Row],[مبلغ ناخالص]]-(bargiri[[#This Row],[نرخ استهلاک]]*bargiri[[#This Row],[مقدار]])&lt;0,0,bargiri[[#This Row],[مبلغ ناخالص]]-(bargiri[[#This Row],[نرخ استهلاک]]*bargiri[[#This Row],[مقدار]]))</f>
        <v>#N/A</v>
      </c>
    </row>
    <row r="2485" spans="1:17" s="22" customFormat="1" ht="13.8" x14ac:dyDescent="0.25">
      <c r="A2485" s="22">
        <v>344</v>
      </c>
      <c r="B2485" s="22" t="s">
        <v>76</v>
      </c>
      <c r="C2485" s="22" t="s">
        <v>75</v>
      </c>
      <c r="D2485" s="22" t="s">
        <v>73</v>
      </c>
      <c r="E2485" s="158">
        <v>21460</v>
      </c>
      <c r="F2485" s="159">
        <v>56881</v>
      </c>
      <c r="G2485" s="159">
        <v>1220666260</v>
      </c>
      <c r="H2485" s="159">
        <v>109859963</v>
      </c>
      <c r="I2485" s="159">
        <v>1330526223</v>
      </c>
      <c r="J2485" s="159" t="e">
        <f>bargiri[[#This Row],[مقدار]]*INDEX(invoice[پیش دریافت به ازای هر کیلوگرم],MATCH(bargiri[[#This Row],[شماره سند مبنا]],invoice[شماره پیش فاکتور],0))</f>
        <v>#N/A</v>
      </c>
      <c r="K2485" s="159" t="e">
        <f>bargiri[[#This Row],[مبلغ خالص]]-bargiri[[#This Row],[میزان استهلاک پیش دریافتی]]</f>
        <v>#N/A</v>
      </c>
      <c r="L2485" s="160"/>
      <c r="M2485" s="159"/>
      <c r="N2485" s="159" t="e">
        <f>IF(bargiri[[#This Row],[مبلغ واریزی]]&lt;&gt;"",bargiri[[#This Row],[مانده مبلغ]]-bargiri[[#This Row],[مبلغ واریزی]],bargiri[[#This Row],[مانده مبلغ]])</f>
        <v>#N/A</v>
      </c>
      <c r="O2485" s="159"/>
      <c r="P2485" s="159" t="e">
        <f>VLOOKUP(bargiri[[#This Row],[شماره سند مبنا]],invoice[[شماره پیش فاکتور]:[پیش دریافت به ازای هر کیلوگرم]],14,0)</f>
        <v>#N/A</v>
      </c>
      <c r="Q2485" s="159" t="e">
        <f>IF(bargiri[[#This Row],[مبلغ ناخالص]]-(bargiri[[#This Row],[نرخ استهلاک]]*bargiri[[#This Row],[مقدار]])&lt;0,0,bargiri[[#This Row],[مبلغ ناخالص]]-(bargiri[[#This Row],[نرخ استهلاک]]*bargiri[[#This Row],[مقدار]]))</f>
        <v>#N/A</v>
      </c>
    </row>
    <row r="2486" spans="1:17" s="22" customFormat="1" ht="13.8" x14ac:dyDescent="0.25">
      <c r="A2486" s="22">
        <v>343</v>
      </c>
      <c r="B2486" s="22" t="s">
        <v>76</v>
      </c>
      <c r="C2486" s="22" t="s">
        <v>75</v>
      </c>
      <c r="D2486" s="22" t="s">
        <v>73</v>
      </c>
      <c r="E2486" s="158">
        <v>20770</v>
      </c>
      <c r="F2486" s="159">
        <v>56881</v>
      </c>
      <c r="G2486" s="159">
        <v>1181418370</v>
      </c>
      <c r="H2486" s="159">
        <v>106327653</v>
      </c>
      <c r="I2486" s="159">
        <v>1287746023</v>
      </c>
      <c r="J2486" s="159" t="e">
        <f>bargiri[[#This Row],[مقدار]]*INDEX(invoice[پیش دریافت به ازای هر کیلوگرم],MATCH(bargiri[[#This Row],[شماره سند مبنا]],invoice[شماره پیش فاکتور],0))</f>
        <v>#N/A</v>
      </c>
      <c r="K2486" s="159" t="e">
        <f>bargiri[[#This Row],[مبلغ خالص]]-bargiri[[#This Row],[میزان استهلاک پیش دریافتی]]</f>
        <v>#N/A</v>
      </c>
      <c r="L2486" s="160"/>
      <c r="M2486" s="159"/>
      <c r="N2486" s="159" t="e">
        <f>IF(bargiri[[#This Row],[مبلغ واریزی]]&lt;&gt;"",bargiri[[#This Row],[مانده مبلغ]]-bargiri[[#This Row],[مبلغ واریزی]],bargiri[[#This Row],[مانده مبلغ]])</f>
        <v>#N/A</v>
      </c>
      <c r="O2486" s="159"/>
      <c r="P2486" s="159" t="e">
        <f>VLOOKUP(bargiri[[#This Row],[شماره سند مبنا]],invoice[[شماره پیش فاکتور]:[پیش دریافت به ازای هر کیلوگرم]],14,0)</f>
        <v>#N/A</v>
      </c>
      <c r="Q2486" s="159" t="e">
        <f>IF(bargiri[[#This Row],[مبلغ ناخالص]]-(bargiri[[#This Row],[نرخ استهلاک]]*bargiri[[#This Row],[مقدار]])&lt;0,0,bargiri[[#This Row],[مبلغ ناخالص]]-(bargiri[[#This Row],[نرخ استهلاک]]*bargiri[[#This Row],[مقدار]]))</f>
        <v>#N/A</v>
      </c>
    </row>
    <row r="2487" spans="1:17" s="22" customFormat="1" ht="13.8" x14ac:dyDescent="0.25">
      <c r="A2487" s="22">
        <v>342</v>
      </c>
      <c r="B2487" s="22" t="s">
        <v>76</v>
      </c>
      <c r="C2487" s="22" t="s">
        <v>75</v>
      </c>
      <c r="D2487" s="22" t="s">
        <v>73</v>
      </c>
      <c r="E2487" s="158">
        <v>21090</v>
      </c>
      <c r="F2487" s="159">
        <v>56881</v>
      </c>
      <c r="G2487" s="159">
        <v>1199620290</v>
      </c>
      <c r="H2487" s="159">
        <v>107965826</v>
      </c>
      <c r="I2487" s="159">
        <v>1307586116</v>
      </c>
      <c r="J2487" s="159" t="e">
        <f>bargiri[[#This Row],[مقدار]]*INDEX(invoice[پیش دریافت به ازای هر کیلوگرم],MATCH(bargiri[[#This Row],[شماره سند مبنا]],invoice[شماره پیش فاکتور],0))</f>
        <v>#N/A</v>
      </c>
      <c r="K2487" s="159" t="e">
        <f>bargiri[[#This Row],[مبلغ خالص]]-bargiri[[#This Row],[میزان استهلاک پیش دریافتی]]</f>
        <v>#N/A</v>
      </c>
      <c r="L2487" s="160"/>
      <c r="M2487" s="159"/>
      <c r="N2487" s="159" t="e">
        <f>IF(bargiri[[#This Row],[مبلغ واریزی]]&lt;&gt;"",bargiri[[#This Row],[مانده مبلغ]]-bargiri[[#This Row],[مبلغ واریزی]],bargiri[[#This Row],[مانده مبلغ]])</f>
        <v>#N/A</v>
      </c>
      <c r="O2487" s="159"/>
      <c r="P2487" s="159" t="e">
        <f>VLOOKUP(bargiri[[#This Row],[شماره سند مبنا]],invoice[[شماره پیش فاکتور]:[پیش دریافت به ازای هر کیلوگرم]],14,0)</f>
        <v>#N/A</v>
      </c>
      <c r="Q2487" s="159" t="e">
        <f>IF(bargiri[[#This Row],[مبلغ ناخالص]]-(bargiri[[#This Row],[نرخ استهلاک]]*bargiri[[#This Row],[مقدار]])&lt;0,0,bargiri[[#This Row],[مبلغ ناخالص]]-(bargiri[[#This Row],[نرخ استهلاک]]*bargiri[[#This Row],[مقدار]]))</f>
        <v>#N/A</v>
      </c>
    </row>
    <row r="2488" spans="1:17" s="22" customFormat="1" ht="13.8" x14ac:dyDescent="0.25">
      <c r="A2488" s="22">
        <v>340</v>
      </c>
      <c r="B2488" s="22" t="s">
        <v>554</v>
      </c>
      <c r="C2488" s="22" t="s">
        <v>69</v>
      </c>
      <c r="D2488" s="22" t="s">
        <v>70</v>
      </c>
      <c r="E2488" s="158">
        <v>20950</v>
      </c>
      <c r="F2488" s="159">
        <v>70000</v>
      </c>
      <c r="G2488" s="159">
        <v>1466500000</v>
      </c>
      <c r="H2488" s="159">
        <v>131985000</v>
      </c>
      <c r="I2488" s="159">
        <v>1598485000</v>
      </c>
      <c r="J2488" s="159" t="e">
        <f>bargiri[[#This Row],[مقدار]]*INDEX(invoice[پیش دریافت به ازای هر کیلوگرم],MATCH(bargiri[[#This Row],[شماره سند مبنا]],invoice[شماره پیش فاکتور],0))</f>
        <v>#N/A</v>
      </c>
      <c r="K2488" s="159" t="e">
        <f>bargiri[[#This Row],[مبلغ خالص]]-bargiri[[#This Row],[میزان استهلاک پیش دریافتی]]</f>
        <v>#N/A</v>
      </c>
      <c r="L2488" s="160"/>
      <c r="M2488" s="159"/>
      <c r="N2488" s="159" t="e">
        <f>IF(bargiri[[#This Row],[مبلغ واریزی]]&lt;&gt;"",bargiri[[#This Row],[مانده مبلغ]]-bargiri[[#This Row],[مبلغ واریزی]],bargiri[[#This Row],[مانده مبلغ]])</f>
        <v>#N/A</v>
      </c>
      <c r="O2488" s="159"/>
      <c r="P2488" s="159" t="e">
        <f>VLOOKUP(bargiri[[#This Row],[شماره سند مبنا]],invoice[[شماره پیش فاکتور]:[پیش دریافت به ازای هر کیلوگرم]],14,0)</f>
        <v>#N/A</v>
      </c>
      <c r="Q2488" s="159" t="e">
        <f>IF(bargiri[[#This Row],[مبلغ ناخالص]]-(bargiri[[#This Row],[نرخ استهلاک]]*bargiri[[#This Row],[مقدار]])&lt;0,0,bargiri[[#This Row],[مبلغ ناخالص]]-(bargiri[[#This Row],[نرخ استهلاک]]*bargiri[[#This Row],[مقدار]]))</f>
        <v>#N/A</v>
      </c>
    </row>
    <row r="2489" spans="1:17" s="22" customFormat="1" ht="13.8" x14ac:dyDescent="0.25">
      <c r="A2489" s="22">
        <v>338</v>
      </c>
      <c r="B2489" s="22" t="s">
        <v>554</v>
      </c>
      <c r="C2489" s="22" t="s">
        <v>66</v>
      </c>
      <c r="D2489" s="22" t="s">
        <v>67</v>
      </c>
      <c r="E2489" s="158">
        <v>19870</v>
      </c>
      <c r="F2489" s="159">
        <v>68500</v>
      </c>
      <c r="G2489" s="159">
        <v>1361095000</v>
      </c>
      <c r="H2489" s="159">
        <v>122498550</v>
      </c>
      <c r="I2489" s="159">
        <v>1483593550</v>
      </c>
      <c r="J2489" s="159" t="e">
        <f>bargiri[[#This Row],[مقدار]]*INDEX(invoice[پیش دریافت به ازای هر کیلوگرم],MATCH(bargiri[[#This Row],[شماره سند مبنا]],invoice[شماره پیش فاکتور],0))</f>
        <v>#N/A</v>
      </c>
      <c r="K2489" s="159" t="e">
        <f>bargiri[[#This Row],[مبلغ خالص]]-bargiri[[#This Row],[میزان استهلاک پیش دریافتی]]</f>
        <v>#N/A</v>
      </c>
      <c r="L2489" s="160"/>
      <c r="M2489" s="159"/>
      <c r="N2489" s="159" t="e">
        <f>IF(bargiri[[#This Row],[مبلغ واریزی]]&lt;&gt;"",bargiri[[#This Row],[مانده مبلغ]]-bargiri[[#This Row],[مبلغ واریزی]],bargiri[[#This Row],[مانده مبلغ]])</f>
        <v>#N/A</v>
      </c>
      <c r="O2489" s="159"/>
      <c r="P2489" s="159" t="e">
        <f>VLOOKUP(bargiri[[#This Row],[شماره سند مبنا]],invoice[[شماره پیش فاکتور]:[پیش دریافت به ازای هر کیلوگرم]],14,0)</f>
        <v>#N/A</v>
      </c>
      <c r="Q2489" s="159" t="e">
        <f>IF(bargiri[[#This Row],[مبلغ ناخالص]]-(bargiri[[#This Row],[نرخ استهلاک]]*bargiri[[#This Row],[مقدار]])&lt;0,0,bargiri[[#This Row],[مبلغ ناخالص]]-(bargiri[[#This Row],[نرخ استهلاک]]*bargiri[[#This Row],[مقدار]]))</f>
        <v>#N/A</v>
      </c>
    </row>
    <row r="2490" spans="1:17" s="22" customFormat="1" ht="13.8" x14ac:dyDescent="0.25">
      <c r="A2490" s="22">
        <v>337</v>
      </c>
      <c r="B2490" s="22" t="s">
        <v>28</v>
      </c>
      <c r="C2490" s="22" t="s">
        <v>27</v>
      </c>
      <c r="D2490" s="22" t="s">
        <v>25</v>
      </c>
      <c r="E2490" s="158">
        <v>21130</v>
      </c>
      <c r="F2490" s="159">
        <v>68000</v>
      </c>
      <c r="G2490" s="159">
        <v>1436840000</v>
      </c>
      <c r="H2490" s="159">
        <v>129315600</v>
      </c>
      <c r="I2490" s="159">
        <v>1566155600</v>
      </c>
      <c r="J2490" s="159" t="e">
        <f>bargiri[[#This Row],[مقدار]]*INDEX(invoice[پیش دریافت به ازای هر کیلوگرم],MATCH(bargiri[[#This Row],[شماره سند مبنا]],invoice[شماره پیش فاکتور],0))</f>
        <v>#N/A</v>
      </c>
      <c r="K2490" s="159" t="e">
        <f>bargiri[[#This Row],[مبلغ خالص]]-bargiri[[#This Row],[میزان استهلاک پیش دریافتی]]</f>
        <v>#N/A</v>
      </c>
      <c r="L2490" s="160"/>
      <c r="M2490" s="159"/>
      <c r="N2490" s="159" t="e">
        <f>IF(bargiri[[#This Row],[مبلغ واریزی]]&lt;&gt;"",bargiri[[#This Row],[مانده مبلغ]]-bargiri[[#This Row],[مبلغ واریزی]],bargiri[[#This Row],[مانده مبلغ]])</f>
        <v>#N/A</v>
      </c>
      <c r="O2490" s="159"/>
      <c r="P2490" s="159" t="e">
        <f>VLOOKUP(bargiri[[#This Row],[شماره سند مبنا]],invoice[[شماره پیش فاکتور]:[پیش دریافت به ازای هر کیلوگرم]],14,0)</f>
        <v>#N/A</v>
      </c>
      <c r="Q2490" s="159" t="e">
        <f>IF(bargiri[[#This Row],[مبلغ ناخالص]]-(bargiri[[#This Row],[نرخ استهلاک]]*bargiri[[#This Row],[مقدار]])&lt;0,0,bargiri[[#This Row],[مبلغ ناخالص]]-(bargiri[[#This Row],[نرخ استهلاک]]*bargiri[[#This Row],[مقدار]]))</f>
        <v>#N/A</v>
      </c>
    </row>
    <row r="2491" spans="1:17" s="22" customFormat="1" ht="13.8" x14ac:dyDescent="0.25">
      <c r="A2491" s="22">
        <v>336</v>
      </c>
      <c r="B2491" s="22" t="s">
        <v>21</v>
      </c>
      <c r="C2491" s="22" t="s">
        <v>19</v>
      </c>
      <c r="D2491" s="22" t="s">
        <v>20</v>
      </c>
      <c r="E2491" s="158">
        <v>12940</v>
      </c>
      <c r="F2491" s="159">
        <v>65000</v>
      </c>
      <c r="G2491" s="159">
        <v>841100000</v>
      </c>
      <c r="H2491" s="159">
        <v>75699000</v>
      </c>
      <c r="I2491" s="159">
        <v>916799000</v>
      </c>
      <c r="J2491" s="159" t="e">
        <f>bargiri[[#This Row],[مقدار]]*INDEX(invoice[پیش دریافت به ازای هر کیلوگرم],MATCH(bargiri[[#This Row],[شماره سند مبنا]],invoice[شماره پیش فاکتور],0))</f>
        <v>#N/A</v>
      </c>
      <c r="K2491" s="159" t="e">
        <f>bargiri[[#This Row],[مبلغ خالص]]-bargiri[[#This Row],[میزان استهلاک پیش دریافتی]]</f>
        <v>#N/A</v>
      </c>
      <c r="L2491" s="160"/>
      <c r="M2491" s="159"/>
      <c r="N2491" s="159" t="e">
        <f>IF(bargiri[[#This Row],[مبلغ واریزی]]&lt;&gt;"",bargiri[[#This Row],[مانده مبلغ]]-bargiri[[#This Row],[مبلغ واریزی]],bargiri[[#This Row],[مانده مبلغ]])</f>
        <v>#N/A</v>
      </c>
      <c r="O2491" s="159"/>
      <c r="P2491" s="159" t="e">
        <f>VLOOKUP(bargiri[[#This Row],[شماره سند مبنا]],invoice[[شماره پیش فاکتور]:[پیش دریافت به ازای هر کیلوگرم]],14,0)</f>
        <v>#N/A</v>
      </c>
      <c r="Q2491" s="159" t="e">
        <f>IF(bargiri[[#This Row],[مبلغ ناخالص]]-(bargiri[[#This Row],[نرخ استهلاک]]*bargiri[[#This Row],[مقدار]])&lt;0,0,bargiri[[#This Row],[مبلغ ناخالص]]-(bargiri[[#This Row],[نرخ استهلاک]]*bargiri[[#This Row],[مقدار]]))</f>
        <v>#N/A</v>
      </c>
    </row>
    <row r="2492" spans="1:17" s="22" customFormat="1" ht="13.8" x14ac:dyDescent="0.25">
      <c r="A2492" s="22">
        <v>335</v>
      </c>
      <c r="B2492" s="22" t="s">
        <v>21</v>
      </c>
      <c r="C2492" s="22" t="s">
        <v>22</v>
      </c>
      <c r="D2492" s="22" t="s">
        <v>20</v>
      </c>
      <c r="E2492" s="158">
        <v>5580</v>
      </c>
      <c r="F2492" s="159">
        <v>50000</v>
      </c>
      <c r="G2492" s="159">
        <v>279000000</v>
      </c>
      <c r="H2492" s="159">
        <v>25110000</v>
      </c>
      <c r="I2492" s="159">
        <v>304110000</v>
      </c>
      <c r="J2492" s="159" t="e">
        <f>bargiri[[#This Row],[مقدار]]*INDEX(invoice[پیش دریافت به ازای هر کیلوگرم],MATCH(bargiri[[#This Row],[شماره سند مبنا]],invoice[شماره پیش فاکتور],0))</f>
        <v>#N/A</v>
      </c>
      <c r="K2492" s="159" t="e">
        <f>bargiri[[#This Row],[مبلغ خالص]]-bargiri[[#This Row],[میزان استهلاک پیش دریافتی]]</f>
        <v>#N/A</v>
      </c>
      <c r="L2492" s="160"/>
      <c r="M2492" s="159"/>
      <c r="N2492" s="159" t="e">
        <f>IF(bargiri[[#This Row],[مبلغ واریزی]]&lt;&gt;"",bargiri[[#This Row],[مانده مبلغ]]-bargiri[[#This Row],[مبلغ واریزی]],bargiri[[#This Row],[مانده مبلغ]])</f>
        <v>#N/A</v>
      </c>
      <c r="O2492" s="159"/>
      <c r="P2492" s="159" t="e">
        <f>VLOOKUP(bargiri[[#This Row],[شماره سند مبنا]],invoice[[شماره پیش فاکتور]:[پیش دریافت به ازای هر کیلوگرم]],14,0)</f>
        <v>#N/A</v>
      </c>
      <c r="Q2492" s="159" t="e">
        <f>IF(bargiri[[#This Row],[مبلغ ناخالص]]-(bargiri[[#This Row],[نرخ استهلاک]]*bargiri[[#This Row],[مقدار]])&lt;0,0,bargiri[[#This Row],[مبلغ ناخالص]]-(bargiri[[#This Row],[نرخ استهلاک]]*bargiri[[#This Row],[مقدار]]))</f>
        <v>#N/A</v>
      </c>
    </row>
    <row r="2493" spans="1:17" s="22" customFormat="1" ht="13.8" x14ac:dyDescent="0.25">
      <c r="A2493" s="22">
        <v>332</v>
      </c>
      <c r="B2493" s="22" t="s">
        <v>82</v>
      </c>
      <c r="C2493" s="22" t="s">
        <v>83</v>
      </c>
      <c r="D2493" s="22" t="s">
        <v>35</v>
      </c>
      <c r="E2493" s="158">
        <v>11170</v>
      </c>
      <c r="F2493" s="159">
        <v>90000</v>
      </c>
      <c r="G2493" s="159">
        <v>1005300000</v>
      </c>
      <c r="H2493" s="159">
        <v>100530000</v>
      </c>
      <c r="I2493" s="159">
        <v>1105830000</v>
      </c>
      <c r="J2493" s="159" t="e">
        <f>bargiri[[#This Row],[مقدار]]*INDEX(invoice[پیش دریافت به ازای هر کیلوگرم],MATCH(bargiri[[#This Row],[شماره سند مبنا]],invoice[شماره پیش فاکتور],0))</f>
        <v>#N/A</v>
      </c>
      <c r="K2493" s="159" t="e">
        <f>bargiri[[#This Row],[مبلغ خالص]]-bargiri[[#This Row],[میزان استهلاک پیش دریافتی]]</f>
        <v>#N/A</v>
      </c>
      <c r="L2493" s="160"/>
      <c r="M2493" s="159"/>
      <c r="N2493" s="159" t="e">
        <f>IF(bargiri[[#This Row],[مبلغ واریزی]]&lt;&gt;"",bargiri[[#This Row],[مانده مبلغ]]-bargiri[[#This Row],[مبلغ واریزی]],bargiri[[#This Row],[مانده مبلغ]])</f>
        <v>#N/A</v>
      </c>
      <c r="O2493" s="159"/>
      <c r="P2493" s="159" t="e">
        <f>VLOOKUP(bargiri[[#This Row],[شماره سند مبنا]],invoice[[شماره پیش فاکتور]:[پیش دریافت به ازای هر کیلوگرم]],14,0)</f>
        <v>#N/A</v>
      </c>
      <c r="Q2493" s="159" t="e">
        <f>IF(bargiri[[#This Row],[مبلغ ناخالص]]-(bargiri[[#This Row],[نرخ استهلاک]]*bargiri[[#This Row],[مقدار]])&lt;0,0,bargiri[[#This Row],[مبلغ ناخالص]]-(bargiri[[#This Row],[نرخ استهلاک]]*bargiri[[#This Row],[مقدار]]))</f>
        <v>#N/A</v>
      </c>
    </row>
    <row r="2494" spans="1:17" s="22" customFormat="1" ht="13.8" x14ac:dyDescent="0.25">
      <c r="A2494" s="22">
        <v>331</v>
      </c>
      <c r="B2494" s="22" t="s">
        <v>18</v>
      </c>
      <c r="C2494" s="22" t="s">
        <v>29</v>
      </c>
      <c r="D2494" s="22" t="s">
        <v>30</v>
      </c>
      <c r="E2494" s="158">
        <v>4160</v>
      </c>
      <c r="F2494" s="159">
        <v>70000</v>
      </c>
      <c r="G2494" s="159">
        <v>291200000</v>
      </c>
      <c r="H2494" s="159">
        <v>29120000</v>
      </c>
      <c r="I2494" s="159">
        <v>320320000</v>
      </c>
      <c r="J2494" s="159" t="e">
        <f>bargiri[[#This Row],[مقدار]]*INDEX(invoice[پیش دریافت به ازای هر کیلوگرم],MATCH(bargiri[[#This Row],[شماره سند مبنا]],invoice[شماره پیش فاکتور],0))</f>
        <v>#N/A</v>
      </c>
      <c r="K2494" s="159" t="e">
        <f>bargiri[[#This Row],[مبلغ خالص]]-bargiri[[#This Row],[میزان استهلاک پیش دریافتی]]</f>
        <v>#N/A</v>
      </c>
      <c r="L2494" s="160"/>
      <c r="M2494" s="159"/>
      <c r="N2494" s="159" t="e">
        <f>IF(bargiri[[#This Row],[مبلغ واریزی]]&lt;&gt;"",bargiri[[#This Row],[مانده مبلغ]]-bargiri[[#This Row],[مبلغ واریزی]],bargiri[[#This Row],[مانده مبلغ]])</f>
        <v>#N/A</v>
      </c>
      <c r="O2494" s="159"/>
      <c r="P2494" s="159" t="e">
        <f>VLOOKUP(bargiri[[#This Row],[شماره سند مبنا]],invoice[[شماره پیش فاکتور]:[پیش دریافت به ازای هر کیلوگرم]],14,0)</f>
        <v>#N/A</v>
      </c>
      <c r="Q2494" s="159" t="e">
        <f>IF(bargiri[[#This Row],[مبلغ ناخالص]]-(bargiri[[#This Row],[نرخ استهلاک]]*bargiri[[#This Row],[مقدار]])&lt;0,0,bargiri[[#This Row],[مبلغ ناخالص]]-(bargiri[[#This Row],[نرخ استهلاک]]*bargiri[[#This Row],[مقدار]]))</f>
        <v>#N/A</v>
      </c>
    </row>
    <row r="2495" spans="1:17" s="22" customFormat="1" ht="13.8" x14ac:dyDescent="0.25">
      <c r="A2495" s="22">
        <v>330</v>
      </c>
      <c r="B2495" s="22" t="s">
        <v>18</v>
      </c>
      <c r="C2495" s="22" t="s">
        <v>32</v>
      </c>
      <c r="D2495" s="22" t="s">
        <v>30</v>
      </c>
      <c r="E2495" s="158">
        <v>7360</v>
      </c>
      <c r="F2495" s="159">
        <v>56000</v>
      </c>
      <c r="G2495" s="159">
        <v>412160000</v>
      </c>
      <c r="H2495" s="159">
        <v>37094400</v>
      </c>
      <c r="I2495" s="159">
        <v>449254400</v>
      </c>
      <c r="J2495" s="159" t="e">
        <f>bargiri[[#This Row],[مقدار]]*INDEX(invoice[پیش دریافت به ازای هر کیلوگرم],MATCH(bargiri[[#This Row],[شماره سند مبنا]],invoice[شماره پیش فاکتور],0))</f>
        <v>#N/A</v>
      </c>
      <c r="K2495" s="159" t="e">
        <f>bargiri[[#This Row],[مبلغ خالص]]-bargiri[[#This Row],[میزان استهلاک پیش دریافتی]]</f>
        <v>#N/A</v>
      </c>
      <c r="L2495" s="160"/>
      <c r="M2495" s="159"/>
      <c r="N2495" s="159" t="e">
        <f>IF(bargiri[[#This Row],[مبلغ واریزی]]&lt;&gt;"",bargiri[[#This Row],[مانده مبلغ]]-bargiri[[#This Row],[مبلغ واریزی]],bargiri[[#This Row],[مانده مبلغ]])</f>
        <v>#N/A</v>
      </c>
      <c r="O2495" s="159"/>
      <c r="P2495" s="159" t="e">
        <f>VLOOKUP(bargiri[[#This Row],[شماره سند مبنا]],invoice[[شماره پیش فاکتور]:[پیش دریافت به ازای هر کیلوگرم]],14,0)</f>
        <v>#N/A</v>
      </c>
      <c r="Q2495" s="159" t="e">
        <f>IF(bargiri[[#This Row],[مبلغ ناخالص]]-(bargiri[[#This Row],[نرخ استهلاک]]*bargiri[[#This Row],[مقدار]])&lt;0,0,bargiri[[#This Row],[مبلغ ناخالص]]-(bargiri[[#This Row],[نرخ استهلاک]]*bargiri[[#This Row],[مقدار]]))</f>
        <v>#N/A</v>
      </c>
    </row>
    <row r="2496" spans="1:17" s="22" customFormat="1" ht="13.8" x14ac:dyDescent="0.25">
      <c r="A2496" s="22">
        <v>328</v>
      </c>
      <c r="B2496" s="22" t="s">
        <v>21</v>
      </c>
      <c r="C2496" s="22" t="s">
        <v>22</v>
      </c>
      <c r="D2496" s="22" t="s">
        <v>20</v>
      </c>
      <c r="E2496" s="158">
        <v>18160</v>
      </c>
      <c r="F2496" s="159">
        <v>50000</v>
      </c>
      <c r="G2496" s="159">
        <v>908000000</v>
      </c>
      <c r="H2496" s="159">
        <v>81720000</v>
      </c>
      <c r="I2496" s="159">
        <v>989720000</v>
      </c>
      <c r="J2496" s="159" t="e">
        <f>bargiri[[#This Row],[مقدار]]*INDEX(invoice[پیش دریافت به ازای هر کیلوگرم],MATCH(bargiri[[#This Row],[شماره سند مبنا]],invoice[شماره پیش فاکتور],0))</f>
        <v>#N/A</v>
      </c>
      <c r="K2496" s="159" t="e">
        <f>bargiri[[#This Row],[مبلغ خالص]]-bargiri[[#This Row],[میزان استهلاک پیش دریافتی]]</f>
        <v>#N/A</v>
      </c>
      <c r="L2496" s="160"/>
      <c r="M2496" s="159"/>
      <c r="N2496" s="159" t="e">
        <f>IF(bargiri[[#This Row],[مبلغ واریزی]]&lt;&gt;"",bargiri[[#This Row],[مانده مبلغ]]-bargiri[[#This Row],[مبلغ واریزی]],bargiri[[#This Row],[مانده مبلغ]])</f>
        <v>#N/A</v>
      </c>
      <c r="O2496" s="159"/>
      <c r="P2496" s="159" t="e">
        <f>VLOOKUP(bargiri[[#This Row],[شماره سند مبنا]],invoice[[شماره پیش فاکتور]:[پیش دریافت به ازای هر کیلوگرم]],14,0)</f>
        <v>#N/A</v>
      </c>
      <c r="Q2496" s="159" t="e">
        <f>IF(bargiri[[#This Row],[مبلغ ناخالص]]-(bargiri[[#This Row],[نرخ استهلاک]]*bargiri[[#This Row],[مقدار]])&lt;0,0,bargiri[[#This Row],[مبلغ ناخالص]]-(bargiri[[#This Row],[نرخ استهلاک]]*bargiri[[#This Row],[مقدار]]))</f>
        <v>#N/A</v>
      </c>
    </row>
    <row r="2497" spans="1:17" s="22" customFormat="1" ht="13.8" x14ac:dyDescent="0.25">
      <c r="A2497" s="22">
        <v>327</v>
      </c>
      <c r="B2497" s="22" t="s">
        <v>21</v>
      </c>
      <c r="C2497" s="22" t="s">
        <v>66</v>
      </c>
      <c r="D2497" s="22" t="s">
        <v>67</v>
      </c>
      <c r="E2497" s="158">
        <v>20170</v>
      </c>
      <c r="F2497" s="159">
        <v>68500</v>
      </c>
      <c r="G2497" s="159">
        <v>1381645000</v>
      </c>
      <c r="H2497" s="159">
        <v>124348050</v>
      </c>
      <c r="I2497" s="159">
        <v>1505993050</v>
      </c>
      <c r="J2497" s="159" t="e">
        <f>bargiri[[#This Row],[مقدار]]*INDEX(invoice[پیش دریافت به ازای هر کیلوگرم],MATCH(bargiri[[#This Row],[شماره سند مبنا]],invoice[شماره پیش فاکتور],0))</f>
        <v>#N/A</v>
      </c>
      <c r="K2497" s="159" t="e">
        <f>bargiri[[#This Row],[مبلغ خالص]]-bargiri[[#This Row],[میزان استهلاک پیش دریافتی]]</f>
        <v>#N/A</v>
      </c>
      <c r="L2497" s="160"/>
      <c r="M2497" s="159"/>
      <c r="N2497" s="159" t="e">
        <f>IF(bargiri[[#This Row],[مبلغ واریزی]]&lt;&gt;"",bargiri[[#This Row],[مانده مبلغ]]-bargiri[[#This Row],[مبلغ واریزی]],bargiri[[#This Row],[مانده مبلغ]])</f>
        <v>#N/A</v>
      </c>
      <c r="O2497" s="159"/>
      <c r="P2497" s="159" t="e">
        <f>VLOOKUP(bargiri[[#This Row],[شماره سند مبنا]],invoice[[شماره پیش فاکتور]:[پیش دریافت به ازای هر کیلوگرم]],14,0)</f>
        <v>#N/A</v>
      </c>
      <c r="Q2497" s="159" t="e">
        <f>IF(bargiri[[#This Row],[مبلغ ناخالص]]-(bargiri[[#This Row],[نرخ استهلاک]]*bargiri[[#This Row],[مقدار]])&lt;0,0,bargiri[[#This Row],[مبلغ ناخالص]]-(bargiri[[#This Row],[نرخ استهلاک]]*bargiri[[#This Row],[مقدار]]))</f>
        <v>#N/A</v>
      </c>
    </row>
    <row r="2498" spans="1:17" s="22" customFormat="1" ht="13.8" x14ac:dyDescent="0.25">
      <c r="A2498" s="22">
        <v>326</v>
      </c>
      <c r="B2498" s="22" t="s">
        <v>21</v>
      </c>
      <c r="C2498" s="22" t="s">
        <v>16</v>
      </c>
      <c r="D2498" s="22" t="s">
        <v>17</v>
      </c>
      <c r="E2498" s="158">
        <v>22140</v>
      </c>
      <c r="F2498" s="159">
        <v>77000</v>
      </c>
      <c r="G2498" s="159">
        <v>1704780000</v>
      </c>
      <c r="H2498" s="159">
        <v>153430200</v>
      </c>
      <c r="I2498" s="159">
        <v>1858210200</v>
      </c>
      <c r="J2498" s="159" t="e">
        <f>bargiri[[#This Row],[مقدار]]*INDEX(invoice[پیش دریافت به ازای هر کیلوگرم],MATCH(bargiri[[#This Row],[شماره سند مبنا]],invoice[شماره پیش فاکتور],0))</f>
        <v>#N/A</v>
      </c>
      <c r="K2498" s="159" t="e">
        <f>bargiri[[#This Row],[مبلغ خالص]]-bargiri[[#This Row],[میزان استهلاک پیش دریافتی]]</f>
        <v>#N/A</v>
      </c>
      <c r="L2498" s="160"/>
      <c r="M2498" s="159"/>
      <c r="N2498" s="159" t="e">
        <f>IF(bargiri[[#This Row],[مبلغ واریزی]]&lt;&gt;"",bargiri[[#This Row],[مانده مبلغ]]-bargiri[[#This Row],[مبلغ واریزی]],bargiri[[#This Row],[مانده مبلغ]])</f>
        <v>#N/A</v>
      </c>
      <c r="O2498" s="159"/>
      <c r="P2498" s="159" t="e">
        <f>VLOOKUP(bargiri[[#This Row],[شماره سند مبنا]],invoice[[شماره پیش فاکتور]:[پیش دریافت به ازای هر کیلوگرم]],14,0)</f>
        <v>#N/A</v>
      </c>
      <c r="Q2498" s="159" t="e">
        <f>IF(bargiri[[#This Row],[مبلغ ناخالص]]-(bargiri[[#This Row],[نرخ استهلاک]]*bargiri[[#This Row],[مقدار]])&lt;0,0,bargiri[[#This Row],[مبلغ ناخالص]]-(bargiri[[#This Row],[نرخ استهلاک]]*bargiri[[#This Row],[مقدار]]))</f>
        <v>#N/A</v>
      </c>
    </row>
    <row r="2499" spans="1:17" s="22" customFormat="1" ht="13.8" x14ac:dyDescent="0.25">
      <c r="A2499" s="22">
        <v>324</v>
      </c>
      <c r="B2499" s="22" t="s">
        <v>28</v>
      </c>
      <c r="C2499" s="22" t="s">
        <v>84</v>
      </c>
      <c r="D2499" s="22" t="s">
        <v>51</v>
      </c>
      <c r="E2499" s="158">
        <v>20010</v>
      </c>
      <c r="F2499" s="159">
        <v>70000</v>
      </c>
      <c r="G2499" s="159">
        <v>1400700000</v>
      </c>
      <c r="H2499" s="159">
        <v>140070000</v>
      </c>
      <c r="I2499" s="159">
        <v>1540770000</v>
      </c>
      <c r="J2499" s="159" t="e">
        <f>bargiri[[#This Row],[مقدار]]*INDEX(invoice[پیش دریافت به ازای هر کیلوگرم],MATCH(bargiri[[#This Row],[شماره سند مبنا]],invoice[شماره پیش فاکتور],0))</f>
        <v>#N/A</v>
      </c>
      <c r="K2499" s="159" t="e">
        <f>bargiri[[#This Row],[مبلغ خالص]]-bargiri[[#This Row],[میزان استهلاک پیش دریافتی]]</f>
        <v>#N/A</v>
      </c>
      <c r="L2499" s="160"/>
      <c r="M2499" s="159"/>
      <c r="N2499" s="159" t="e">
        <f>IF(bargiri[[#This Row],[مبلغ واریزی]]&lt;&gt;"",bargiri[[#This Row],[مانده مبلغ]]-bargiri[[#This Row],[مبلغ واریزی]],bargiri[[#This Row],[مانده مبلغ]])</f>
        <v>#N/A</v>
      </c>
      <c r="O2499" s="159"/>
      <c r="P2499" s="159" t="e">
        <f>VLOOKUP(bargiri[[#This Row],[شماره سند مبنا]],invoice[[شماره پیش فاکتور]:[پیش دریافت به ازای هر کیلوگرم]],14,0)</f>
        <v>#N/A</v>
      </c>
      <c r="Q2499" s="159" t="e">
        <f>IF(bargiri[[#This Row],[مبلغ ناخالص]]-(bargiri[[#This Row],[نرخ استهلاک]]*bargiri[[#This Row],[مقدار]])&lt;0,0,bargiri[[#This Row],[مبلغ ناخالص]]-(bargiri[[#This Row],[نرخ استهلاک]]*bargiri[[#This Row],[مقدار]]))</f>
        <v>#N/A</v>
      </c>
    </row>
    <row r="2500" spans="1:17" s="22" customFormat="1" ht="13.8" x14ac:dyDescent="0.25">
      <c r="A2500" s="22">
        <v>323</v>
      </c>
      <c r="B2500" s="22" t="s">
        <v>28</v>
      </c>
      <c r="C2500" s="22" t="s">
        <v>69</v>
      </c>
      <c r="D2500" s="22" t="s">
        <v>70</v>
      </c>
      <c r="E2500" s="158">
        <v>6280</v>
      </c>
      <c r="F2500" s="159">
        <v>70000</v>
      </c>
      <c r="G2500" s="159">
        <v>439600000</v>
      </c>
      <c r="H2500" s="159">
        <v>39564000</v>
      </c>
      <c r="I2500" s="159">
        <v>479164000</v>
      </c>
      <c r="J2500" s="159" t="e">
        <f>bargiri[[#This Row],[مقدار]]*INDEX(invoice[پیش دریافت به ازای هر کیلوگرم],MATCH(bargiri[[#This Row],[شماره سند مبنا]],invoice[شماره پیش فاکتور],0))</f>
        <v>#N/A</v>
      </c>
      <c r="K2500" s="159" t="e">
        <f>bargiri[[#This Row],[مبلغ خالص]]-bargiri[[#This Row],[میزان استهلاک پیش دریافتی]]</f>
        <v>#N/A</v>
      </c>
      <c r="L2500" s="160"/>
      <c r="M2500" s="159"/>
      <c r="N2500" s="159" t="e">
        <f>IF(bargiri[[#This Row],[مبلغ واریزی]]&lt;&gt;"",bargiri[[#This Row],[مانده مبلغ]]-bargiri[[#This Row],[مبلغ واریزی]],bargiri[[#This Row],[مانده مبلغ]])</f>
        <v>#N/A</v>
      </c>
      <c r="O2500" s="159"/>
      <c r="P2500" s="159" t="e">
        <f>VLOOKUP(bargiri[[#This Row],[شماره سند مبنا]],invoice[[شماره پیش فاکتور]:[پیش دریافت به ازای هر کیلوگرم]],14,0)</f>
        <v>#N/A</v>
      </c>
      <c r="Q2500" s="159" t="e">
        <f>IF(bargiri[[#This Row],[مبلغ ناخالص]]-(bargiri[[#This Row],[نرخ استهلاک]]*bargiri[[#This Row],[مقدار]])&lt;0,0,bargiri[[#This Row],[مبلغ ناخالص]]-(bargiri[[#This Row],[نرخ استهلاک]]*bargiri[[#This Row],[مقدار]]))</f>
        <v>#N/A</v>
      </c>
    </row>
    <row r="2501" spans="1:17" s="22" customFormat="1" ht="13.8" x14ac:dyDescent="0.25">
      <c r="A2501" s="22">
        <v>322</v>
      </c>
      <c r="B2501" s="22" t="s">
        <v>18</v>
      </c>
      <c r="C2501" s="22" t="s">
        <v>69</v>
      </c>
      <c r="D2501" s="22" t="s">
        <v>70</v>
      </c>
      <c r="E2501" s="158">
        <v>23060</v>
      </c>
      <c r="F2501" s="159">
        <v>70000</v>
      </c>
      <c r="G2501" s="159">
        <v>1614200000</v>
      </c>
      <c r="H2501" s="159">
        <v>145278000</v>
      </c>
      <c r="I2501" s="159">
        <v>1759478000</v>
      </c>
      <c r="J2501" s="159" t="e">
        <f>bargiri[[#This Row],[مقدار]]*INDEX(invoice[پیش دریافت به ازای هر کیلوگرم],MATCH(bargiri[[#This Row],[شماره سند مبنا]],invoice[شماره پیش فاکتور],0))</f>
        <v>#N/A</v>
      </c>
      <c r="K2501" s="159" t="e">
        <f>bargiri[[#This Row],[مبلغ خالص]]-bargiri[[#This Row],[میزان استهلاک پیش دریافتی]]</f>
        <v>#N/A</v>
      </c>
      <c r="L2501" s="160"/>
      <c r="M2501" s="159"/>
      <c r="N2501" s="159" t="e">
        <f>IF(bargiri[[#This Row],[مبلغ واریزی]]&lt;&gt;"",bargiri[[#This Row],[مانده مبلغ]]-bargiri[[#This Row],[مبلغ واریزی]],bargiri[[#This Row],[مانده مبلغ]])</f>
        <v>#N/A</v>
      </c>
      <c r="O2501" s="159"/>
      <c r="P2501" s="159" t="e">
        <f>VLOOKUP(bargiri[[#This Row],[شماره سند مبنا]],invoice[[شماره پیش فاکتور]:[پیش دریافت به ازای هر کیلوگرم]],14,0)</f>
        <v>#N/A</v>
      </c>
      <c r="Q2501" s="159" t="e">
        <f>IF(bargiri[[#This Row],[مبلغ ناخالص]]-(bargiri[[#This Row],[نرخ استهلاک]]*bargiri[[#This Row],[مقدار]])&lt;0,0,bargiri[[#This Row],[مبلغ ناخالص]]-(bargiri[[#This Row],[نرخ استهلاک]]*bargiri[[#This Row],[مقدار]]))</f>
        <v>#N/A</v>
      </c>
    </row>
    <row r="2502" spans="1:17" s="22" customFormat="1" ht="13.8" x14ac:dyDescent="0.25">
      <c r="A2502" s="22">
        <v>321</v>
      </c>
      <c r="B2502" s="22" t="s">
        <v>49</v>
      </c>
      <c r="C2502" s="22" t="s">
        <v>91</v>
      </c>
      <c r="D2502" s="22" t="s">
        <v>70</v>
      </c>
      <c r="E2502" s="158">
        <v>6140</v>
      </c>
      <c r="F2502" s="159">
        <v>70000</v>
      </c>
      <c r="G2502" s="159">
        <v>429800000</v>
      </c>
      <c r="H2502" s="159">
        <v>42980000</v>
      </c>
      <c r="I2502" s="159">
        <v>472780000</v>
      </c>
      <c r="J2502" s="159" t="e">
        <f>bargiri[[#This Row],[مقدار]]*INDEX(invoice[پیش دریافت به ازای هر کیلوگرم],MATCH(bargiri[[#This Row],[شماره سند مبنا]],invoice[شماره پیش فاکتور],0))</f>
        <v>#N/A</v>
      </c>
      <c r="K2502" s="159" t="e">
        <f>bargiri[[#This Row],[مبلغ خالص]]-bargiri[[#This Row],[میزان استهلاک پیش دریافتی]]</f>
        <v>#N/A</v>
      </c>
      <c r="L2502" s="160"/>
      <c r="M2502" s="159"/>
      <c r="N2502" s="159" t="e">
        <f>IF(bargiri[[#This Row],[مبلغ واریزی]]&lt;&gt;"",bargiri[[#This Row],[مانده مبلغ]]-bargiri[[#This Row],[مبلغ واریزی]],bargiri[[#This Row],[مانده مبلغ]])</f>
        <v>#N/A</v>
      </c>
      <c r="O2502" s="159"/>
      <c r="P2502" s="159" t="e">
        <f>VLOOKUP(bargiri[[#This Row],[شماره سند مبنا]],invoice[[شماره پیش فاکتور]:[پیش دریافت به ازای هر کیلوگرم]],14,0)</f>
        <v>#N/A</v>
      </c>
      <c r="Q2502" s="159" t="e">
        <f>IF(bargiri[[#This Row],[مبلغ ناخالص]]-(bargiri[[#This Row],[نرخ استهلاک]]*bargiri[[#This Row],[مقدار]])&lt;0,0,bargiri[[#This Row],[مبلغ ناخالص]]-(bargiri[[#This Row],[نرخ استهلاک]]*bargiri[[#This Row],[مقدار]]))</f>
        <v>#N/A</v>
      </c>
    </row>
    <row r="2503" spans="1:17" s="22" customFormat="1" ht="13.8" x14ac:dyDescent="0.25">
      <c r="A2503" s="22">
        <v>320</v>
      </c>
      <c r="B2503" s="22" t="s">
        <v>82</v>
      </c>
      <c r="C2503" s="22" t="s">
        <v>29</v>
      </c>
      <c r="D2503" s="22" t="s">
        <v>30</v>
      </c>
      <c r="E2503" s="158">
        <v>10320</v>
      </c>
      <c r="F2503" s="159">
        <v>70000</v>
      </c>
      <c r="G2503" s="159">
        <v>722400000</v>
      </c>
      <c r="H2503" s="159">
        <v>72240000</v>
      </c>
      <c r="I2503" s="159">
        <v>794640000</v>
      </c>
      <c r="J2503" s="159" t="e">
        <f>bargiri[[#This Row],[مقدار]]*INDEX(invoice[پیش دریافت به ازای هر کیلوگرم],MATCH(bargiri[[#This Row],[شماره سند مبنا]],invoice[شماره پیش فاکتور],0))</f>
        <v>#N/A</v>
      </c>
      <c r="K2503" s="159" t="e">
        <f>bargiri[[#This Row],[مبلغ خالص]]-bargiri[[#This Row],[میزان استهلاک پیش دریافتی]]</f>
        <v>#N/A</v>
      </c>
      <c r="L2503" s="160"/>
      <c r="M2503" s="159"/>
      <c r="N2503" s="159" t="e">
        <f>IF(bargiri[[#This Row],[مبلغ واریزی]]&lt;&gt;"",bargiri[[#This Row],[مانده مبلغ]]-bargiri[[#This Row],[مبلغ واریزی]],bargiri[[#This Row],[مانده مبلغ]])</f>
        <v>#N/A</v>
      </c>
      <c r="O2503" s="159"/>
      <c r="P2503" s="159" t="e">
        <f>VLOOKUP(bargiri[[#This Row],[شماره سند مبنا]],invoice[[شماره پیش فاکتور]:[پیش دریافت به ازای هر کیلوگرم]],14,0)</f>
        <v>#N/A</v>
      </c>
      <c r="Q2503" s="159" t="e">
        <f>IF(bargiri[[#This Row],[مبلغ ناخالص]]-(bargiri[[#This Row],[نرخ استهلاک]]*bargiri[[#This Row],[مقدار]])&lt;0,0,bargiri[[#This Row],[مبلغ ناخالص]]-(bargiri[[#This Row],[نرخ استهلاک]]*bargiri[[#This Row],[مقدار]]))</f>
        <v>#N/A</v>
      </c>
    </row>
    <row r="2504" spans="1:17" s="22" customFormat="1" ht="13.8" x14ac:dyDescent="0.25">
      <c r="A2504" s="22">
        <v>319</v>
      </c>
      <c r="B2504" s="22" t="s">
        <v>28</v>
      </c>
      <c r="C2504" s="22" t="s">
        <v>29</v>
      </c>
      <c r="D2504" s="22" t="s">
        <v>30</v>
      </c>
      <c r="E2504" s="158">
        <v>9520</v>
      </c>
      <c r="F2504" s="159">
        <v>70000</v>
      </c>
      <c r="G2504" s="159">
        <v>666400000</v>
      </c>
      <c r="H2504" s="159">
        <v>66640000</v>
      </c>
      <c r="I2504" s="159">
        <v>733040000</v>
      </c>
      <c r="J2504" s="159" t="e">
        <f>bargiri[[#This Row],[مقدار]]*INDEX(invoice[پیش دریافت به ازای هر کیلوگرم],MATCH(bargiri[[#This Row],[شماره سند مبنا]],invoice[شماره پیش فاکتور],0))</f>
        <v>#N/A</v>
      </c>
      <c r="K2504" s="159" t="e">
        <f>bargiri[[#This Row],[مبلغ خالص]]-bargiri[[#This Row],[میزان استهلاک پیش دریافتی]]</f>
        <v>#N/A</v>
      </c>
      <c r="L2504" s="160"/>
      <c r="M2504" s="159"/>
      <c r="N2504" s="159" t="e">
        <f>IF(bargiri[[#This Row],[مبلغ واریزی]]&lt;&gt;"",bargiri[[#This Row],[مانده مبلغ]]-bargiri[[#This Row],[مبلغ واریزی]],bargiri[[#This Row],[مانده مبلغ]])</f>
        <v>#N/A</v>
      </c>
      <c r="O2504" s="159"/>
      <c r="P2504" s="159" t="e">
        <f>VLOOKUP(bargiri[[#This Row],[شماره سند مبنا]],invoice[[شماره پیش فاکتور]:[پیش دریافت به ازای هر کیلوگرم]],14,0)</f>
        <v>#N/A</v>
      </c>
      <c r="Q2504" s="159" t="e">
        <f>IF(bargiri[[#This Row],[مبلغ ناخالص]]-(bargiri[[#This Row],[نرخ استهلاک]]*bargiri[[#This Row],[مقدار]])&lt;0,0,bargiri[[#This Row],[مبلغ ناخالص]]-(bargiri[[#This Row],[نرخ استهلاک]]*bargiri[[#This Row],[مقدار]]))</f>
        <v>#N/A</v>
      </c>
    </row>
    <row r="2505" spans="1:17" s="22" customFormat="1" ht="13.8" x14ac:dyDescent="0.25">
      <c r="A2505" s="22">
        <v>318</v>
      </c>
      <c r="B2505" s="22" t="s">
        <v>28</v>
      </c>
      <c r="C2505" s="22" t="s">
        <v>29</v>
      </c>
      <c r="D2505" s="22" t="s">
        <v>30</v>
      </c>
      <c r="E2505" s="158">
        <v>8070</v>
      </c>
      <c r="F2505" s="159">
        <v>70000</v>
      </c>
      <c r="G2505" s="159">
        <v>564900000</v>
      </c>
      <c r="H2505" s="159">
        <v>56490000</v>
      </c>
      <c r="I2505" s="159">
        <v>621390000</v>
      </c>
      <c r="J2505" s="159" t="e">
        <f>bargiri[[#This Row],[مقدار]]*INDEX(invoice[پیش دریافت به ازای هر کیلوگرم],MATCH(bargiri[[#This Row],[شماره سند مبنا]],invoice[شماره پیش فاکتور],0))</f>
        <v>#N/A</v>
      </c>
      <c r="K2505" s="159" t="e">
        <f>bargiri[[#This Row],[مبلغ خالص]]-bargiri[[#This Row],[میزان استهلاک پیش دریافتی]]</f>
        <v>#N/A</v>
      </c>
      <c r="L2505" s="160"/>
      <c r="M2505" s="159"/>
      <c r="N2505" s="159" t="e">
        <f>IF(bargiri[[#This Row],[مبلغ واریزی]]&lt;&gt;"",bargiri[[#This Row],[مانده مبلغ]]-bargiri[[#This Row],[مبلغ واریزی]],bargiri[[#This Row],[مانده مبلغ]])</f>
        <v>#N/A</v>
      </c>
      <c r="O2505" s="159"/>
      <c r="P2505" s="159" t="e">
        <f>VLOOKUP(bargiri[[#This Row],[شماره سند مبنا]],invoice[[شماره پیش فاکتور]:[پیش دریافت به ازای هر کیلوگرم]],14,0)</f>
        <v>#N/A</v>
      </c>
      <c r="Q2505" s="159" t="e">
        <f>IF(bargiri[[#This Row],[مبلغ ناخالص]]-(bargiri[[#This Row],[نرخ استهلاک]]*bargiri[[#This Row],[مقدار]])&lt;0,0,bargiri[[#This Row],[مبلغ ناخالص]]-(bargiri[[#This Row],[نرخ استهلاک]]*bargiri[[#This Row],[مقدار]]))</f>
        <v>#N/A</v>
      </c>
    </row>
    <row r="2506" spans="1:17" s="22" customFormat="1" ht="13.8" x14ac:dyDescent="0.25">
      <c r="A2506" s="22">
        <v>316</v>
      </c>
      <c r="B2506" s="22" t="s">
        <v>555</v>
      </c>
      <c r="C2506" s="22" t="s">
        <v>66</v>
      </c>
      <c r="D2506" s="22" t="s">
        <v>67</v>
      </c>
      <c r="E2506" s="158">
        <v>20030</v>
      </c>
      <c r="F2506" s="159">
        <v>68500</v>
      </c>
      <c r="G2506" s="159">
        <v>1372055000</v>
      </c>
      <c r="H2506" s="159">
        <v>123484950</v>
      </c>
      <c r="I2506" s="159">
        <v>1495539950</v>
      </c>
      <c r="J2506" s="159" t="e">
        <f>bargiri[[#This Row],[مقدار]]*INDEX(invoice[پیش دریافت به ازای هر کیلوگرم],MATCH(bargiri[[#This Row],[شماره سند مبنا]],invoice[شماره پیش فاکتور],0))</f>
        <v>#N/A</v>
      </c>
      <c r="K2506" s="159" t="e">
        <f>bargiri[[#This Row],[مبلغ خالص]]-bargiri[[#This Row],[میزان استهلاک پیش دریافتی]]</f>
        <v>#N/A</v>
      </c>
      <c r="L2506" s="160"/>
      <c r="M2506" s="159"/>
      <c r="N2506" s="159" t="e">
        <f>IF(bargiri[[#This Row],[مبلغ واریزی]]&lt;&gt;"",bargiri[[#This Row],[مانده مبلغ]]-bargiri[[#This Row],[مبلغ واریزی]],bargiri[[#This Row],[مانده مبلغ]])</f>
        <v>#N/A</v>
      </c>
      <c r="O2506" s="159"/>
      <c r="P2506" s="159" t="e">
        <f>VLOOKUP(bargiri[[#This Row],[شماره سند مبنا]],invoice[[شماره پیش فاکتور]:[پیش دریافت به ازای هر کیلوگرم]],14,0)</f>
        <v>#N/A</v>
      </c>
      <c r="Q2506" s="159" t="e">
        <f>IF(bargiri[[#This Row],[مبلغ ناخالص]]-(bargiri[[#This Row],[نرخ استهلاک]]*bargiri[[#This Row],[مقدار]])&lt;0,0,bargiri[[#This Row],[مبلغ ناخالص]]-(bargiri[[#This Row],[نرخ استهلاک]]*bargiri[[#This Row],[مقدار]]))</f>
        <v>#N/A</v>
      </c>
    </row>
    <row r="2507" spans="1:17" s="22" customFormat="1" ht="13.8" x14ac:dyDescent="0.25">
      <c r="A2507" s="22">
        <v>314</v>
      </c>
      <c r="B2507" s="22" t="s">
        <v>555</v>
      </c>
      <c r="C2507" s="22" t="s">
        <v>16</v>
      </c>
      <c r="D2507" s="22" t="s">
        <v>17</v>
      </c>
      <c r="E2507" s="158">
        <v>22390</v>
      </c>
      <c r="F2507" s="159">
        <v>77000</v>
      </c>
      <c r="G2507" s="159">
        <v>1724030000</v>
      </c>
      <c r="H2507" s="159">
        <v>155162700</v>
      </c>
      <c r="I2507" s="159">
        <v>1879192700</v>
      </c>
      <c r="J2507" s="159" t="e">
        <f>bargiri[[#This Row],[مقدار]]*INDEX(invoice[پیش دریافت به ازای هر کیلوگرم],MATCH(bargiri[[#This Row],[شماره سند مبنا]],invoice[شماره پیش فاکتور],0))</f>
        <v>#N/A</v>
      </c>
      <c r="K2507" s="159" t="e">
        <f>bargiri[[#This Row],[مبلغ خالص]]-bargiri[[#This Row],[میزان استهلاک پیش دریافتی]]</f>
        <v>#N/A</v>
      </c>
      <c r="L2507" s="160"/>
      <c r="M2507" s="159"/>
      <c r="N2507" s="159" t="e">
        <f>IF(bargiri[[#This Row],[مبلغ واریزی]]&lt;&gt;"",bargiri[[#This Row],[مانده مبلغ]]-bargiri[[#This Row],[مبلغ واریزی]],bargiri[[#This Row],[مانده مبلغ]])</f>
        <v>#N/A</v>
      </c>
      <c r="O2507" s="159"/>
      <c r="P2507" s="159" t="e">
        <f>VLOOKUP(bargiri[[#This Row],[شماره سند مبنا]],invoice[[شماره پیش فاکتور]:[پیش دریافت به ازای هر کیلوگرم]],14,0)</f>
        <v>#N/A</v>
      </c>
      <c r="Q2507" s="159" t="e">
        <f>IF(bargiri[[#This Row],[مبلغ ناخالص]]-(bargiri[[#This Row],[نرخ استهلاک]]*bargiri[[#This Row],[مقدار]])&lt;0,0,bargiri[[#This Row],[مبلغ ناخالص]]-(bargiri[[#This Row],[نرخ استهلاک]]*bargiri[[#This Row],[مقدار]]))</f>
        <v>#N/A</v>
      </c>
    </row>
    <row r="2508" spans="1:17" s="22" customFormat="1" ht="13.8" x14ac:dyDescent="0.25">
      <c r="A2508" s="22">
        <v>313</v>
      </c>
      <c r="B2508" s="22" t="s">
        <v>555</v>
      </c>
      <c r="C2508" s="22" t="s">
        <v>22</v>
      </c>
      <c r="D2508" s="22" t="s">
        <v>20</v>
      </c>
      <c r="E2508" s="158">
        <v>18590</v>
      </c>
      <c r="F2508" s="159">
        <v>50000</v>
      </c>
      <c r="G2508" s="159">
        <v>929500000</v>
      </c>
      <c r="H2508" s="159">
        <v>83655000</v>
      </c>
      <c r="I2508" s="159">
        <v>1013155000</v>
      </c>
      <c r="J2508" s="159" t="e">
        <f>bargiri[[#This Row],[مقدار]]*INDEX(invoice[پیش دریافت به ازای هر کیلوگرم],MATCH(bargiri[[#This Row],[شماره سند مبنا]],invoice[شماره پیش فاکتور],0))</f>
        <v>#N/A</v>
      </c>
      <c r="K2508" s="159" t="e">
        <f>bargiri[[#This Row],[مبلغ خالص]]-bargiri[[#This Row],[میزان استهلاک پیش دریافتی]]</f>
        <v>#N/A</v>
      </c>
      <c r="L2508" s="160"/>
      <c r="M2508" s="159"/>
      <c r="N2508" s="159" t="e">
        <f>IF(bargiri[[#This Row],[مبلغ واریزی]]&lt;&gt;"",bargiri[[#This Row],[مانده مبلغ]]-bargiri[[#This Row],[مبلغ واریزی]],bargiri[[#This Row],[مانده مبلغ]])</f>
        <v>#N/A</v>
      </c>
      <c r="O2508" s="159"/>
      <c r="P2508" s="159" t="e">
        <f>VLOOKUP(bargiri[[#This Row],[شماره سند مبنا]],invoice[[شماره پیش فاکتور]:[پیش دریافت به ازای هر کیلوگرم]],14,0)</f>
        <v>#N/A</v>
      </c>
      <c r="Q2508" s="159" t="e">
        <f>IF(bargiri[[#This Row],[مبلغ ناخالص]]-(bargiri[[#This Row],[نرخ استهلاک]]*bargiri[[#This Row],[مقدار]])&lt;0,0,bargiri[[#This Row],[مبلغ ناخالص]]-(bargiri[[#This Row],[نرخ استهلاک]]*bargiri[[#This Row],[مقدار]]))</f>
        <v>#N/A</v>
      </c>
    </row>
    <row r="2509" spans="1:17" s="22" customFormat="1" ht="13.8" x14ac:dyDescent="0.25">
      <c r="A2509" s="22">
        <v>312</v>
      </c>
      <c r="B2509" s="22" t="s">
        <v>82</v>
      </c>
      <c r="C2509" s="22" t="s">
        <v>66</v>
      </c>
      <c r="D2509" s="22" t="s">
        <v>67</v>
      </c>
      <c r="E2509" s="158">
        <v>21710</v>
      </c>
      <c r="F2509" s="159">
        <v>68500</v>
      </c>
      <c r="G2509" s="159">
        <v>1487135000</v>
      </c>
      <c r="H2509" s="159">
        <v>133842150</v>
      </c>
      <c r="I2509" s="159">
        <v>1620977150</v>
      </c>
      <c r="J2509" s="159" t="e">
        <f>bargiri[[#This Row],[مقدار]]*INDEX(invoice[پیش دریافت به ازای هر کیلوگرم],MATCH(bargiri[[#This Row],[شماره سند مبنا]],invoice[شماره پیش فاکتور],0))</f>
        <v>#N/A</v>
      </c>
      <c r="K2509" s="159" t="e">
        <f>bargiri[[#This Row],[مبلغ خالص]]-bargiri[[#This Row],[میزان استهلاک پیش دریافتی]]</f>
        <v>#N/A</v>
      </c>
      <c r="L2509" s="160"/>
      <c r="M2509" s="159"/>
      <c r="N2509" s="159" t="e">
        <f>IF(bargiri[[#This Row],[مبلغ واریزی]]&lt;&gt;"",bargiri[[#This Row],[مانده مبلغ]]-bargiri[[#This Row],[مبلغ واریزی]],bargiri[[#This Row],[مانده مبلغ]])</f>
        <v>#N/A</v>
      </c>
      <c r="O2509" s="159"/>
      <c r="P2509" s="159" t="e">
        <f>VLOOKUP(bargiri[[#This Row],[شماره سند مبنا]],invoice[[شماره پیش فاکتور]:[پیش دریافت به ازای هر کیلوگرم]],14,0)</f>
        <v>#N/A</v>
      </c>
      <c r="Q2509" s="159" t="e">
        <f>IF(bargiri[[#This Row],[مبلغ ناخالص]]-(bargiri[[#This Row],[نرخ استهلاک]]*bargiri[[#This Row],[مقدار]])&lt;0,0,bargiri[[#This Row],[مبلغ ناخالص]]-(bargiri[[#This Row],[نرخ استهلاک]]*bargiri[[#This Row],[مقدار]]))</f>
        <v>#N/A</v>
      </c>
    </row>
    <row r="2510" spans="1:17" s="22" customFormat="1" ht="13.8" x14ac:dyDescent="0.25">
      <c r="A2510" s="22">
        <v>309</v>
      </c>
      <c r="B2510" s="22" t="s">
        <v>82</v>
      </c>
      <c r="C2510" s="22" t="s">
        <v>66</v>
      </c>
      <c r="D2510" s="22" t="s">
        <v>67</v>
      </c>
      <c r="E2510" s="158">
        <v>20050</v>
      </c>
      <c r="F2510" s="159">
        <v>68500</v>
      </c>
      <c r="G2510" s="159">
        <v>1373425000</v>
      </c>
      <c r="H2510" s="159">
        <v>123608250</v>
      </c>
      <c r="I2510" s="159">
        <v>1497033250</v>
      </c>
      <c r="J2510" s="159" t="e">
        <f>bargiri[[#This Row],[مقدار]]*INDEX(invoice[پیش دریافت به ازای هر کیلوگرم],MATCH(bargiri[[#This Row],[شماره سند مبنا]],invoice[شماره پیش فاکتور],0))</f>
        <v>#N/A</v>
      </c>
      <c r="K2510" s="159" t="e">
        <f>bargiri[[#This Row],[مبلغ خالص]]-bargiri[[#This Row],[میزان استهلاک پیش دریافتی]]</f>
        <v>#N/A</v>
      </c>
      <c r="L2510" s="160"/>
      <c r="M2510" s="159"/>
      <c r="N2510" s="159" t="e">
        <f>IF(bargiri[[#This Row],[مبلغ واریزی]]&lt;&gt;"",bargiri[[#This Row],[مانده مبلغ]]-bargiri[[#This Row],[مبلغ واریزی]],bargiri[[#This Row],[مانده مبلغ]])</f>
        <v>#N/A</v>
      </c>
      <c r="O2510" s="159"/>
      <c r="P2510" s="159" t="e">
        <f>VLOOKUP(bargiri[[#This Row],[شماره سند مبنا]],invoice[[شماره پیش فاکتور]:[پیش دریافت به ازای هر کیلوگرم]],14,0)</f>
        <v>#N/A</v>
      </c>
      <c r="Q2510" s="159" t="e">
        <f>IF(bargiri[[#This Row],[مبلغ ناخالص]]-(bargiri[[#This Row],[نرخ استهلاک]]*bargiri[[#This Row],[مقدار]])&lt;0,0,bargiri[[#This Row],[مبلغ ناخالص]]-(bargiri[[#This Row],[نرخ استهلاک]]*bargiri[[#This Row],[مقدار]]))</f>
        <v>#N/A</v>
      </c>
    </row>
    <row r="2511" spans="1:17" s="22" customFormat="1" ht="13.8" x14ac:dyDescent="0.25">
      <c r="A2511" s="22">
        <v>308</v>
      </c>
      <c r="B2511" s="22" t="s">
        <v>18</v>
      </c>
      <c r="C2511" s="22" t="s">
        <v>83</v>
      </c>
      <c r="D2511" s="22" t="s">
        <v>35</v>
      </c>
      <c r="E2511" s="158">
        <v>7620</v>
      </c>
      <c r="F2511" s="159">
        <v>90000</v>
      </c>
      <c r="G2511" s="159">
        <v>685800000</v>
      </c>
      <c r="H2511" s="159">
        <v>68580000</v>
      </c>
      <c r="I2511" s="159">
        <v>754380000</v>
      </c>
      <c r="J2511" s="159" t="e">
        <f>bargiri[[#This Row],[مقدار]]*INDEX(invoice[پیش دریافت به ازای هر کیلوگرم],MATCH(bargiri[[#This Row],[شماره سند مبنا]],invoice[شماره پیش فاکتور],0))</f>
        <v>#N/A</v>
      </c>
      <c r="K2511" s="159" t="e">
        <f>bargiri[[#This Row],[مبلغ خالص]]-bargiri[[#This Row],[میزان استهلاک پیش دریافتی]]</f>
        <v>#N/A</v>
      </c>
      <c r="L2511" s="160"/>
      <c r="M2511" s="159"/>
      <c r="N2511" s="159" t="e">
        <f>IF(bargiri[[#This Row],[مبلغ واریزی]]&lt;&gt;"",bargiri[[#This Row],[مانده مبلغ]]-bargiri[[#This Row],[مبلغ واریزی]],bargiri[[#This Row],[مانده مبلغ]])</f>
        <v>#N/A</v>
      </c>
      <c r="O2511" s="159"/>
      <c r="P2511" s="159" t="e">
        <f>VLOOKUP(bargiri[[#This Row],[شماره سند مبنا]],invoice[[شماره پیش فاکتور]:[پیش دریافت به ازای هر کیلوگرم]],14,0)</f>
        <v>#N/A</v>
      </c>
      <c r="Q2511" s="159" t="e">
        <f>IF(bargiri[[#This Row],[مبلغ ناخالص]]-(bargiri[[#This Row],[نرخ استهلاک]]*bargiri[[#This Row],[مقدار]])&lt;0,0,bargiri[[#This Row],[مبلغ ناخالص]]-(bargiri[[#This Row],[نرخ استهلاک]]*bargiri[[#This Row],[مقدار]]))</f>
        <v>#N/A</v>
      </c>
    </row>
    <row r="2512" spans="1:17" s="22" customFormat="1" ht="13.8" x14ac:dyDescent="0.25">
      <c r="A2512" s="22">
        <v>307</v>
      </c>
      <c r="B2512" s="22" t="s">
        <v>18</v>
      </c>
      <c r="C2512" s="22" t="s">
        <v>16</v>
      </c>
      <c r="D2512" s="22" t="s">
        <v>17</v>
      </c>
      <c r="E2512" s="158">
        <v>20200</v>
      </c>
      <c r="F2512" s="159">
        <v>77000</v>
      </c>
      <c r="G2512" s="159">
        <v>1555400000</v>
      </c>
      <c r="H2512" s="159">
        <v>139986000</v>
      </c>
      <c r="I2512" s="159">
        <v>1695386000</v>
      </c>
      <c r="J2512" s="159" t="e">
        <f>bargiri[[#This Row],[مقدار]]*INDEX(invoice[پیش دریافت به ازای هر کیلوگرم],MATCH(bargiri[[#This Row],[شماره سند مبنا]],invoice[شماره پیش فاکتور],0))</f>
        <v>#N/A</v>
      </c>
      <c r="K2512" s="159" t="e">
        <f>bargiri[[#This Row],[مبلغ خالص]]-bargiri[[#This Row],[میزان استهلاک پیش دریافتی]]</f>
        <v>#N/A</v>
      </c>
      <c r="L2512" s="160"/>
      <c r="M2512" s="159"/>
      <c r="N2512" s="159" t="e">
        <f>IF(bargiri[[#This Row],[مبلغ واریزی]]&lt;&gt;"",bargiri[[#This Row],[مانده مبلغ]]-bargiri[[#This Row],[مبلغ واریزی]],bargiri[[#This Row],[مانده مبلغ]])</f>
        <v>#N/A</v>
      </c>
      <c r="O2512" s="159"/>
      <c r="P2512" s="159" t="e">
        <f>VLOOKUP(bargiri[[#This Row],[شماره سند مبنا]],invoice[[شماره پیش فاکتور]:[پیش دریافت به ازای هر کیلوگرم]],14,0)</f>
        <v>#N/A</v>
      </c>
      <c r="Q2512" s="159" t="e">
        <f>IF(bargiri[[#This Row],[مبلغ ناخالص]]-(bargiri[[#This Row],[نرخ استهلاک]]*bargiri[[#This Row],[مقدار]])&lt;0,0,bargiri[[#This Row],[مبلغ ناخالص]]-(bargiri[[#This Row],[نرخ استهلاک]]*bargiri[[#This Row],[مقدار]]))</f>
        <v>#N/A</v>
      </c>
    </row>
    <row r="2513" spans="1:17" s="22" customFormat="1" ht="13.8" x14ac:dyDescent="0.25">
      <c r="A2513" s="22">
        <v>305</v>
      </c>
      <c r="B2513" s="22" t="s">
        <v>18</v>
      </c>
      <c r="C2513" s="22" t="s">
        <v>66</v>
      </c>
      <c r="D2513" s="22" t="s">
        <v>67</v>
      </c>
      <c r="E2513" s="158">
        <v>20160</v>
      </c>
      <c r="F2513" s="159">
        <v>68500</v>
      </c>
      <c r="G2513" s="159">
        <v>1380960000</v>
      </c>
      <c r="H2513" s="159">
        <v>124286400</v>
      </c>
      <c r="I2513" s="159">
        <v>1505246400</v>
      </c>
      <c r="J2513" s="159" t="e">
        <f>bargiri[[#This Row],[مقدار]]*INDEX(invoice[پیش دریافت به ازای هر کیلوگرم],MATCH(bargiri[[#This Row],[شماره سند مبنا]],invoice[شماره پیش فاکتور],0))</f>
        <v>#N/A</v>
      </c>
      <c r="K2513" s="159" t="e">
        <f>bargiri[[#This Row],[مبلغ خالص]]-bargiri[[#This Row],[میزان استهلاک پیش دریافتی]]</f>
        <v>#N/A</v>
      </c>
      <c r="L2513" s="160"/>
      <c r="M2513" s="159"/>
      <c r="N2513" s="159" t="e">
        <f>IF(bargiri[[#This Row],[مبلغ واریزی]]&lt;&gt;"",bargiri[[#This Row],[مانده مبلغ]]-bargiri[[#This Row],[مبلغ واریزی]],bargiri[[#This Row],[مانده مبلغ]])</f>
        <v>#N/A</v>
      </c>
      <c r="O2513" s="159"/>
      <c r="P2513" s="159" t="e">
        <f>VLOOKUP(bargiri[[#This Row],[شماره سند مبنا]],invoice[[شماره پیش فاکتور]:[پیش دریافت به ازای هر کیلوگرم]],14,0)</f>
        <v>#N/A</v>
      </c>
      <c r="Q2513" s="159" t="e">
        <f>IF(bargiri[[#This Row],[مبلغ ناخالص]]-(bargiri[[#This Row],[نرخ استهلاک]]*bargiri[[#This Row],[مقدار]])&lt;0,0,bargiri[[#This Row],[مبلغ ناخالص]]-(bargiri[[#This Row],[نرخ استهلاک]]*bargiri[[#This Row],[مقدار]]))</f>
        <v>#N/A</v>
      </c>
    </row>
    <row r="2514" spans="1:17" s="22" customFormat="1" ht="13.8" x14ac:dyDescent="0.25">
      <c r="A2514" s="22">
        <v>304</v>
      </c>
      <c r="B2514" s="22" t="s">
        <v>41</v>
      </c>
      <c r="C2514" s="22" t="s">
        <v>66</v>
      </c>
      <c r="D2514" s="22" t="s">
        <v>67</v>
      </c>
      <c r="E2514" s="158">
        <v>20190</v>
      </c>
      <c r="F2514" s="159">
        <v>68500</v>
      </c>
      <c r="G2514" s="159">
        <v>1383015000</v>
      </c>
      <c r="H2514" s="159">
        <v>124471350</v>
      </c>
      <c r="I2514" s="159">
        <v>1507486350</v>
      </c>
      <c r="J2514" s="159" t="e">
        <f>bargiri[[#This Row],[مقدار]]*INDEX(invoice[پیش دریافت به ازای هر کیلوگرم],MATCH(bargiri[[#This Row],[شماره سند مبنا]],invoice[شماره پیش فاکتور],0))</f>
        <v>#N/A</v>
      </c>
      <c r="K2514" s="159" t="e">
        <f>bargiri[[#This Row],[مبلغ خالص]]-bargiri[[#This Row],[میزان استهلاک پیش دریافتی]]</f>
        <v>#N/A</v>
      </c>
      <c r="L2514" s="160"/>
      <c r="M2514" s="159"/>
      <c r="N2514" s="159" t="e">
        <f>IF(bargiri[[#This Row],[مبلغ واریزی]]&lt;&gt;"",bargiri[[#This Row],[مانده مبلغ]]-bargiri[[#This Row],[مبلغ واریزی]],bargiri[[#This Row],[مانده مبلغ]])</f>
        <v>#N/A</v>
      </c>
      <c r="O2514" s="159"/>
      <c r="P2514" s="159" t="e">
        <f>VLOOKUP(bargiri[[#This Row],[شماره سند مبنا]],invoice[[شماره پیش فاکتور]:[پیش دریافت به ازای هر کیلوگرم]],14,0)</f>
        <v>#N/A</v>
      </c>
      <c r="Q2514" s="159" t="e">
        <f>IF(bargiri[[#This Row],[مبلغ ناخالص]]-(bargiri[[#This Row],[نرخ استهلاک]]*bargiri[[#This Row],[مقدار]])&lt;0,0,bargiri[[#This Row],[مبلغ ناخالص]]-(bargiri[[#This Row],[نرخ استهلاک]]*bargiri[[#This Row],[مقدار]]))</f>
        <v>#N/A</v>
      </c>
    </row>
    <row r="2515" spans="1:17" s="22" customFormat="1" ht="13.8" x14ac:dyDescent="0.25">
      <c r="A2515" s="22">
        <v>302</v>
      </c>
      <c r="B2515" s="22" t="s">
        <v>41</v>
      </c>
      <c r="C2515" s="22" t="s">
        <v>48</v>
      </c>
      <c r="D2515" s="22" t="s">
        <v>43</v>
      </c>
      <c r="E2515" s="158">
        <v>21090</v>
      </c>
      <c r="F2515" s="159">
        <v>50000</v>
      </c>
      <c r="G2515" s="159">
        <v>1054500000</v>
      </c>
      <c r="H2515" s="159">
        <v>94905000</v>
      </c>
      <c r="I2515" s="159">
        <v>1149405000</v>
      </c>
      <c r="J2515" s="159" t="e">
        <f>bargiri[[#This Row],[مقدار]]*INDEX(invoice[پیش دریافت به ازای هر کیلوگرم],MATCH(bargiri[[#This Row],[شماره سند مبنا]],invoice[شماره پیش فاکتور],0))</f>
        <v>#N/A</v>
      </c>
      <c r="K2515" s="159" t="e">
        <f>bargiri[[#This Row],[مبلغ خالص]]-bargiri[[#This Row],[میزان استهلاک پیش دریافتی]]</f>
        <v>#N/A</v>
      </c>
      <c r="L2515" s="160"/>
      <c r="M2515" s="159"/>
      <c r="N2515" s="159" t="e">
        <f>IF(bargiri[[#This Row],[مبلغ واریزی]]&lt;&gt;"",bargiri[[#This Row],[مانده مبلغ]]-bargiri[[#This Row],[مبلغ واریزی]],bargiri[[#This Row],[مانده مبلغ]])</f>
        <v>#N/A</v>
      </c>
      <c r="O2515" s="159"/>
      <c r="P2515" s="159" t="e">
        <f>VLOOKUP(bargiri[[#This Row],[شماره سند مبنا]],invoice[[شماره پیش فاکتور]:[پیش دریافت به ازای هر کیلوگرم]],14,0)</f>
        <v>#N/A</v>
      </c>
      <c r="Q2515" s="159" t="e">
        <f>IF(bargiri[[#This Row],[مبلغ ناخالص]]-(bargiri[[#This Row],[نرخ استهلاک]]*bargiri[[#This Row],[مقدار]])&lt;0,0,bargiri[[#This Row],[مبلغ ناخالص]]-(bargiri[[#This Row],[نرخ استهلاک]]*bargiri[[#This Row],[مقدار]]))</f>
        <v>#N/A</v>
      </c>
    </row>
    <row r="2516" spans="1:17" s="22" customFormat="1" ht="13.8" x14ac:dyDescent="0.25">
      <c r="A2516" s="22">
        <v>301</v>
      </c>
      <c r="B2516" s="22" t="s">
        <v>41</v>
      </c>
      <c r="C2516" s="22" t="s">
        <v>83</v>
      </c>
      <c r="D2516" s="22" t="s">
        <v>35</v>
      </c>
      <c r="E2516" s="158">
        <v>7620</v>
      </c>
      <c r="F2516" s="159">
        <v>90000</v>
      </c>
      <c r="G2516" s="159">
        <v>685800000</v>
      </c>
      <c r="H2516" s="159">
        <v>68580000</v>
      </c>
      <c r="I2516" s="159">
        <v>754380000</v>
      </c>
      <c r="J2516" s="159" t="e">
        <f>bargiri[[#This Row],[مقدار]]*INDEX(invoice[پیش دریافت به ازای هر کیلوگرم],MATCH(bargiri[[#This Row],[شماره سند مبنا]],invoice[شماره پیش فاکتور],0))</f>
        <v>#N/A</v>
      </c>
      <c r="K2516" s="159" t="e">
        <f>bargiri[[#This Row],[مبلغ خالص]]-bargiri[[#This Row],[میزان استهلاک پیش دریافتی]]</f>
        <v>#N/A</v>
      </c>
      <c r="L2516" s="160"/>
      <c r="M2516" s="159"/>
      <c r="N2516" s="159" t="e">
        <f>IF(bargiri[[#This Row],[مبلغ واریزی]]&lt;&gt;"",bargiri[[#This Row],[مانده مبلغ]]-bargiri[[#This Row],[مبلغ واریزی]],bargiri[[#This Row],[مانده مبلغ]])</f>
        <v>#N/A</v>
      </c>
      <c r="O2516" s="159"/>
      <c r="P2516" s="159" t="e">
        <f>VLOOKUP(bargiri[[#This Row],[شماره سند مبنا]],invoice[[شماره پیش فاکتور]:[پیش دریافت به ازای هر کیلوگرم]],14,0)</f>
        <v>#N/A</v>
      </c>
      <c r="Q2516" s="159" t="e">
        <f>IF(bargiri[[#This Row],[مبلغ ناخالص]]-(bargiri[[#This Row],[نرخ استهلاک]]*bargiri[[#This Row],[مقدار]])&lt;0,0,bargiri[[#This Row],[مبلغ ناخالص]]-(bargiri[[#This Row],[نرخ استهلاک]]*bargiri[[#This Row],[مقدار]]))</f>
        <v>#N/A</v>
      </c>
    </row>
    <row r="2517" spans="1:17" s="22" customFormat="1" ht="13.8" x14ac:dyDescent="0.25">
      <c r="A2517" s="22">
        <v>300</v>
      </c>
      <c r="B2517" s="22" t="s">
        <v>49</v>
      </c>
      <c r="C2517" s="22" t="s">
        <v>83</v>
      </c>
      <c r="D2517" s="22" t="s">
        <v>35</v>
      </c>
      <c r="E2517" s="158">
        <v>7490</v>
      </c>
      <c r="F2517" s="159">
        <v>90000</v>
      </c>
      <c r="G2517" s="159">
        <v>674100000</v>
      </c>
      <c r="H2517" s="159">
        <v>67410000</v>
      </c>
      <c r="I2517" s="159">
        <v>741510000</v>
      </c>
      <c r="J2517" s="159" t="e">
        <f>bargiri[[#This Row],[مقدار]]*INDEX(invoice[پیش دریافت به ازای هر کیلوگرم],MATCH(bargiri[[#This Row],[شماره سند مبنا]],invoice[شماره پیش فاکتور],0))</f>
        <v>#N/A</v>
      </c>
      <c r="K2517" s="159" t="e">
        <f>bargiri[[#This Row],[مبلغ خالص]]-bargiri[[#This Row],[میزان استهلاک پیش دریافتی]]</f>
        <v>#N/A</v>
      </c>
      <c r="L2517" s="160"/>
      <c r="M2517" s="159"/>
      <c r="N2517" s="159" t="e">
        <f>IF(bargiri[[#This Row],[مبلغ واریزی]]&lt;&gt;"",bargiri[[#This Row],[مانده مبلغ]]-bargiri[[#This Row],[مبلغ واریزی]],bargiri[[#This Row],[مانده مبلغ]])</f>
        <v>#N/A</v>
      </c>
      <c r="O2517" s="159"/>
      <c r="P2517" s="159" t="e">
        <f>VLOOKUP(bargiri[[#This Row],[شماره سند مبنا]],invoice[[شماره پیش فاکتور]:[پیش دریافت به ازای هر کیلوگرم]],14,0)</f>
        <v>#N/A</v>
      </c>
      <c r="Q2517" s="159" t="e">
        <f>IF(bargiri[[#This Row],[مبلغ ناخالص]]-(bargiri[[#This Row],[نرخ استهلاک]]*bargiri[[#This Row],[مقدار]])&lt;0,0,bargiri[[#This Row],[مبلغ ناخالص]]-(bargiri[[#This Row],[نرخ استهلاک]]*bargiri[[#This Row],[مقدار]]))</f>
        <v>#N/A</v>
      </c>
    </row>
    <row r="2518" spans="1:17" s="22" customFormat="1" ht="13.8" x14ac:dyDescent="0.25">
      <c r="A2518" s="22">
        <v>298</v>
      </c>
      <c r="B2518" s="22" t="s">
        <v>49</v>
      </c>
      <c r="C2518" s="22" t="s">
        <v>66</v>
      </c>
      <c r="D2518" s="22" t="s">
        <v>67</v>
      </c>
      <c r="E2518" s="158">
        <v>19770</v>
      </c>
      <c r="F2518" s="159">
        <v>68500</v>
      </c>
      <c r="G2518" s="159">
        <v>1354245000</v>
      </c>
      <c r="H2518" s="159">
        <v>121882050</v>
      </c>
      <c r="I2518" s="159">
        <v>1476127050</v>
      </c>
      <c r="J2518" s="159" t="e">
        <f>bargiri[[#This Row],[مقدار]]*INDEX(invoice[پیش دریافت به ازای هر کیلوگرم],MATCH(bargiri[[#This Row],[شماره سند مبنا]],invoice[شماره پیش فاکتور],0))</f>
        <v>#N/A</v>
      </c>
      <c r="K2518" s="159" t="e">
        <f>bargiri[[#This Row],[مبلغ خالص]]-bargiri[[#This Row],[میزان استهلاک پیش دریافتی]]</f>
        <v>#N/A</v>
      </c>
      <c r="L2518" s="160"/>
      <c r="M2518" s="159"/>
      <c r="N2518" s="159" t="e">
        <f>IF(bargiri[[#This Row],[مبلغ واریزی]]&lt;&gt;"",bargiri[[#This Row],[مانده مبلغ]]-bargiri[[#This Row],[مبلغ واریزی]],bargiri[[#This Row],[مانده مبلغ]])</f>
        <v>#N/A</v>
      </c>
      <c r="O2518" s="159"/>
      <c r="P2518" s="159" t="e">
        <f>VLOOKUP(bargiri[[#This Row],[شماره سند مبنا]],invoice[[شماره پیش فاکتور]:[پیش دریافت به ازای هر کیلوگرم]],14,0)</f>
        <v>#N/A</v>
      </c>
      <c r="Q2518" s="159" t="e">
        <f>IF(bargiri[[#This Row],[مبلغ ناخالص]]-(bargiri[[#This Row],[نرخ استهلاک]]*bargiri[[#This Row],[مقدار]])&lt;0,0,bargiri[[#This Row],[مبلغ ناخالص]]-(bargiri[[#This Row],[نرخ استهلاک]]*bargiri[[#This Row],[مقدار]]))</f>
        <v>#N/A</v>
      </c>
    </row>
    <row r="2519" spans="1:17" s="22" customFormat="1" ht="13.8" x14ac:dyDescent="0.25">
      <c r="A2519" s="22">
        <v>296</v>
      </c>
      <c r="B2519" s="22" t="s">
        <v>49</v>
      </c>
      <c r="C2519" s="22" t="s">
        <v>32</v>
      </c>
      <c r="D2519" s="22" t="s">
        <v>30</v>
      </c>
      <c r="E2519" s="158">
        <v>11220</v>
      </c>
      <c r="F2519" s="159">
        <v>56000</v>
      </c>
      <c r="G2519" s="159">
        <v>628320000</v>
      </c>
      <c r="H2519" s="159">
        <v>56548800</v>
      </c>
      <c r="I2519" s="159">
        <v>684868800</v>
      </c>
      <c r="J2519" s="159" t="e">
        <f>bargiri[[#This Row],[مقدار]]*INDEX(invoice[پیش دریافت به ازای هر کیلوگرم],MATCH(bargiri[[#This Row],[شماره سند مبنا]],invoice[شماره پیش فاکتور],0))</f>
        <v>#N/A</v>
      </c>
      <c r="K2519" s="159" t="e">
        <f>bargiri[[#This Row],[مبلغ خالص]]-bargiri[[#This Row],[میزان استهلاک پیش دریافتی]]</f>
        <v>#N/A</v>
      </c>
      <c r="L2519" s="160"/>
      <c r="M2519" s="159"/>
      <c r="N2519" s="159" t="e">
        <f>IF(bargiri[[#This Row],[مبلغ واریزی]]&lt;&gt;"",bargiri[[#This Row],[مانده مبلغ]]-bargiri[[#This Row],[مبلغ واریزی]],bargiri[[#This Row],[مانده مبلغ]])</f>
        <v>#N/A</v>
      </c>
      <c r="O2519" s="159"/>
      <c r="P2519" s="159" t="e">
        <f>VLOOKUP(bargiri[[#This Row],[شماره سند مبنا]],invoice[[شماره پیش فاکتور]:[پیش دریافت به ازای هر کیلوگرم]],14,0)</f>
        <v>#N/A</v>
      </c>
      <c r="Q2519" s="159" t="e">
        <f>IF(bargiri[[#This Row],[مبلغ ناخالص]]-(bargiri[[#This Row],[نرخ استهلاک]]*bargiri[[#This Row],[مقدار]])&lt;0,0,bargiri[[#This Row],[مبلغ ناخالص]]-(bargiri[[#This Row],[نرخ استهلاک]]*bargiri[[#This Row],[مقدار]]))</f>
        <v>#N/A</v>
      </c>
    </row>
    <row r="2520" spans="1:17" s="22" customFormat="1" ht="13.8" x14ac:dyDescent="0.25">
      <c r="A2520" s="22">
        <v>295</v>
      </c>
      <c r="B2520" s="22" t="s">
        <v>49</v>
      </c>
      <c r="C2520" s="22" t="s">
        <v>48</v>
      </c>
      <c r="D2520" s="22" t="s">
        <v>43</v>
      </c>
      <c r="E2520" s="158">
        <v>20920</v>
      </c>
      <c r="F2520" s="159">
        <v>50000</v>
      </c>
      <c r="G2520" s="159">
        <v>1046000000</v>
      </c>
      <c r="H2520" s="159">
        <v>94140000</v>
      </c>
      <c r="I2520" s="159">
        <v>1140140000</v>
      </c>
      <c r="J2520" s="159" t="e">
        <f>bargiri[[#This Row],[مقدار]]*INDEX(invoice[پیش دریافت به ازای هر کیلوگرم],MATCH(bargiri[[#This Row],[شماره سند مبنا]],invoice[شماره پیش فاکتور],0))</f>
        <v>#N/A</v>
      </c>
      <c r="K2520" s="159" t="e">
        <f>bargiri[[#This Row],[مبلغ خالص]]-bargiri[[#This Row],[میزان استهلاک پیش دریافتی]]</f>
        <v>#N/A</v>
      </c>
      <c r="L2520" s="160"/>
      <c r="M2520" s="159"/>
      <c r="N2520" s="159" t="e">
        <f>IF(bargiri[[#This Row],[مبلغ واریزی]]&lt;&gt;"",bargiri[[#This Row],[مانده مبلغ]]-bargiri[[#This Row],[مبلغ واریزی]],bargiri[[#This Row],[مانده مبلغ]])</f>
        <v>#N/A</v>
      </c>
      <c r="O2520" s="159"/>
      <c r="P2520" s="159" t="e">
        <f>VLOOKUP(bargiri[[#This Row],[شماره سند مبنا]],invoice[[شماره پیش فاکتور]:[پیش دریافت به ازای هر کیلوگرم]],14,0)</f>
        <v>#N/A</v>
      </c>
      <c r="Q2520" s="159" t="e">
        <f>IF(bargiri[[#This Row],[مبلغ ناخالص]]-(bargiri[[#This Row],[نرخ استهلاک]]*bargiri[[#This Row],[مقدار]])&lt;0,0,bargiri[[#This Row],[مبلغ ناخالص]]-(bargiri[[#This Row],[نرخ استهلاک]]*bargiri[[#This Row],[مقدار]]))</f>
        <v>#N/A</v>
      </c>
    </row>
    <row r="2521" spans="1:17" s="22" customFormat="1" ht="13.8" x14ac:dyDescent="0.25">
      <c r="A2521" s="22">
        <v>293</v>
      </c>
      <c r="B2521" s="22" t="s">
        <v>92</v>
      </c>
      <c r="C2521" s="22" t="s">
        <v>66</v>
      </c>
      <c r="D2521" s="22" t="s">
        <v>67</v>
      </c>
      <c r="E2521" s="158">
        <v>12010</v>
      </c>
      <c r="F2521" s="159">
        <v>68500</v>
      </c>
      <c r="G2521" s="159">
        <v>822685000</v>
      </c>
      <c r="H2521" s="159">
        <v>74041650</v>
      </c>
      <c r="I2521" s="159">
        <v>896726650</v>
      </c>
      <c r="J2521" s="159" t="e">
        <f>bargiri[[#This Row],[مقدار]]*INDEX(invoice[پیش دریافت به ازای هر کیلوگرم],MATCH(bargiri[[#This Row],[شماره سند مبنا]],invoice[شماره پیش فاکتور],0))</f>
        <v>#N/A</v>
      </c>
      <c r="K2521" s="159" t="e">
        <f>bargiri[[#This Row],[مبلغ خالص]]-bargiri[[#This Row],[میزان استهلاک پیش دریافتی]]</f>
        <v>#N/A</v>
      </c>
      <c r="L2521" s="160"/>
      <c r="M2521" s="159"/>
      <c r="N2521" s="159" t="e">
        <f>IF(bargiri[[#This Row],[مبلغ واریزی]]&lt;&gt;"",bargiri[[#This Row],[مانده مبلغ]]-bargiri[[#This Row],[مبلغ واریزی]],bargiri[[#This Row],[مانده مبلغ]])</f>
        <v>#N/A</v>
      </c>
      <c r="O2521" s="159"/>
      <c r="P2521" s="159" t="e">
        <f>VLOOKUP(bargiri[[#This Row],[شماره سند مبنا]],invoice[[شماره پیش فاکتور]:[پیش دریافت به ازای هر کیلوگرم]],14,0)</f>
        <v>#N/A</v>
      </c>
      <c r="Q2521" s="159" t="e">
        <f>IF(bargiri[[#This Row],[مبلغ ناخالص]]-(bargiri[[#This Row],[نرخ استهلاک]]*bargiri[[#This Row],[مقدار]])&lt;0,0,bargiri[[#This Row],[مبلغ ناخالص]]-(bargiri[[#This Row],[نرخ استهلاک]]*bargiri[[#This Row],[مقدار]]))</f>
        <v>#N/A</v>
      </c>
    </row>
    <row r="2522" spans="1:17" s="22" customFormat="1" ht="13.8" x14ac:dyDescent="0.25">
      <c r="A2522" s="22">
        <v>292</v>
      </c>
      <c r="B2522" s="22" t="s">
        <v>85</v>
      </c>
      <c r="C2522" s="22" t="s">
        <v>66</v>
      </c>
      <c r="D2522" s="22" t="s">
        <v>67</v>
      </c>
      <c r="E2522" s="158">
        <v>21870</v>
      </c>
      <c r="F2522" s="159">
        <v>68500</v>
      </c>
      <c r="G2522" s="159">
        <v>1498095000</v>
      </c>
      <c r="H2522" s="159">
        <v>134828550</v>
      </c>
      <c r="I2522" s="159">
        <v>1632923550</v>
      </c>
      <c r="J2522" s="159" t="e">
        <f>bargiri[[#This Row],[مقدار]]*INDEX(invoice[پیش دریافت به ازای هر کیلوگرم],MATCH(bargiri[[#This Row],[شماره سند مبنا]],invoice[شماره پیش فاکتور],0))</f>
        <v>#N/A</v>
      </c>
      <c r="K2522" s="159" t="e">
        <f>bargiri[[#This Row],[مبلغ خالص]]-bargiri[[#This Row],[میزان استهلاک پیش دریافتی]]</f>
        <v>#N/A</v>
      </c>
      <c r="L2522" s="160"/>
      <c r="M2522" s="159"/>
      <c r="N2522" s="159" t="e">
        <f>IF(bargiri[[#This Row],[مبلغ واریزی]]&lt;&gt;"",bargiri[[#This Row],[مانده مبلغ]]-bargiri[[#This Row],[مبلغ واریزی]],bargiri[[#This Row],[مانده مبلغ]])</f>
        <v>#N/A</v>
      </c>
      <c r="O2522" s="159"/>
      <c r="P2522" s="159" t="e">
        <f>VLOOKUP(bargiri[[#This Row],[شماره سند مبنا]],invoice[[شماره پیش فاکتور]:[پیش دریافت به ازای هر کیلوگرم]],14,0)</f>
        <v>#N/A</v>
      </c>
      <c r="Q2522" s="159" t="e">
        <f>IF(bargiri[[#This Row],[مبلغ ناخالص]]-(bargiri[[#This Row],[نرخ استهلاک]]*bargiri[[#This Row],[مقدار]])&lt;0,0,bargiri[[#This Row],[مبلغ ناخالص]]-(bargiri[[#This Row],[نرخ استهلاک]]*bargiri[[#This Row],[مقدار]]))</f>
        <v>#N/A</v>
      </c>
    </row>
    <row r="2523" spans="1:17" s="22" customFormat="1" ht="13.8" x14ac:dyDescent="0.25">
      <c r="A2523" s="22">
        <v>291</v>
      </c>
      <c r="B2523" s="22" t="s">
        <v>85</v>
      </c>
      <c r="C2523" s="22" t="s">
        <v>32</v>
      </c>
      <c r="D2523" s="22" t="s">
        <v>30</v>
      </c>
      <c r="E2523" s="158">
        <v>12650</v>
      </c>
      <c r="F2523" s="159">
        <v>56000</v>
      </c>
      <c r="G2523" s="159">
        <v>708400000</v>
      </c>
      <c r="H2523" s="159">
        <v>63756000</v>
      </c>
      <c r="I2523" s="159">
        <v>772156000</v>
      </c>
      <c r="J2523" s="159" t="e">
        <f>bargiri[[#This Row],[مقدار]]*INDEX(invoice[پیش دریافت به ازای هر کیلوگرم],MATCH(bargiri[[#This Row],[شماره سند مبنا]],invoice[شماره پیش فاکتور],0))</f>
        <v>#N/A</v>
      </c>
      <c r="K2523" s="159" t="e">
        <f>bargiri[[#This Row],[مبلغ خالص]]-bargiri[[#This Row],[میزان استهلاک پیش دریافتی]]</f>
        <v>#N/A</v>
      </c>
      <c r="L2523" s="160"/>
      <c r="M2523" s="159"/>
      <c r="N2523" s="159" t="e">
        <f>IF(bargiri[[#This Row],[مبلغ واریزی]]&lt;&gt;"",bargiri[[#This Row],[مانده مبلغ]]-bargiri[[#This Row],[مبلغ واریزی]],bargiri[[#This Row],[مانده مبلغ]])</f>
        <v>#N/A</v>
      </c>
      <c r="O2523" s="159"/>
      <c r="P2523" s="159" t="e">
        <f>VLOOKUP(bargiri[[#This Row],[شماره سند مبنا]],invoice[[شماره پیش فاکتور]:[پیش دریافت به ازای هر کیلوگرم]],14,0)</f>
        <v>#N/A</v>
      </c>
      <c r="Q2523" s="159" t="e">
        <f>IF(bargiri[[#This Row],[مبلغ ناخالص]]-(bargiri[[#This Row],[نرخ استهلاک]]*bargiri[[#This Row],[مقدار]])&lt;0,0,bargiri[[#This Row],[مبلغ ناخالص]]-(bargiri[[#This Row],[نرخ استهلاک]]*bargiri[[#This Row],[مقدار]]))</f>
        <v>#N/A</v>
      </c>
    </row>
    <row r="2524" spans="1:17" s="22" customFormat="1" ht="13.8" x14ac:dyDescent="0.25">
      <c r="A2524" s="22">
        <v>290</v>
      </c>
      <c r="B2524" s="22" t="s">
        <v>85</v>
      </c>
      <c r="C2524" s="22" t="s">
        <v>84</v>
      </c>
      <c r="D2524" s="22" t="s">
        <v>51</v>
      </c>
      <c r="E2524" s="158">
        <v>20000</v>
      </c>
      <c r="F2524" s="159">
        <v>70000</v>
      </c>
      <c r="G2524" s="159">
        <v>1400000000</v>
      </c>
      <c r="H2524" s="159">
        <v>140000000</v>
      </c>
      <c r="I2524" s="159">
        <v>1540000000</v>
      </c>
      <c r="J2524" s="159" t="e">
        <f>bargiri[[#This Row],[مقدار]]*INDEX(invoice[پیش دریافت به ازای هر کیلوگرم],MATCH(bargiri[[#This Row],[شماره سند مبنا]],invoice[شماره پیش فاکتور],0))</f>
        <v>#N/A</v>
      </c>
      <c r="K2524" s="159" t="e">
        <f>bargiri[[#This Row],[مبلغ خالص]]-bargiri[[#This Row],[میزان استهلاک پیش دریافتی]]</f>
        <v>#N/A</v>
      </c>
      <c r="L2524" s="160"/>
      <c r="M2524" s="159"/>
      <c r="N2524" s="159" t="e">
        <f>IF(bargiri[[#This Row],[مبلغ واریزی]]&lt;&gt;"",bargiri[[#This Row],[مانده مبلغ]]-bargiri[[#This Row],[مبلغ واریزی]],bargiri[[#This Row],[مانده مبلغ]])</f>
        <v>#N/A</v>
      </c>
      <c r="O2524" s="159"/>
      <c r="P2524" s="159" t="e">
        <f>VLOOKUP(bargiri[[#This Row],[شماره سند مبنا]],invoice[[شماره پیش فاکتور]:[پیش دریافت به ازای هر کیلوگرم]],14,0)</f>
        <v>#N/A</v>
      </c>
      <c r="Q2524" s="159" t="e">
        <f>IF(bargiri[[#This Row],[مبلغ ناخالص]]-(bargiri[[#This Row],[نرخ استهلاک]]*bargiri[[#This Row],[مقدار]])&lt;0,0,bargiri[[#This Row],[مبلغ ناخالص]]-(bargiri[[#This Row],[نرخ استهلاک]]*bargiri[[#This Row],[مقدار]]))</f>
        <v>#N/A</v>
      </c>
    </row>
    <row r="2525" spans="1:17" s="22" customFormat="1" ht="13.8" x14ac:dyDescent="0.25">
      <c r="A2525" s="22">
        <v>276</v>
      </c>
      <c r="B2525" s="22" t="s">
        <v>52</v>
      </c>
      <c r="C2525" s="22" t="s">
        <v>50</v>
      </c>
      <c r="D2525" s="22" t="s">
        <v>51</v>
      </c>
      <c r="E2525" s="158">
        <v>20000</v>
      </c>
      <c r="F2525" s="159">
        <v>80000</v>
      </c>
      <c r="G2525" s="159">
        <v>1600000000</v>
      </c>
      <c r="H2525" s="159">
        <v>160000000</v>
      </c>
      <c r="I2525" s="159">
        <v>1760000000</v>
      </c>
      <c r="J2525" s="159" t="e">
        <f>bargiri[[#This Row],[مقدار]]*INDEX(invoice[پیش دریافت به ازای هر کیلوگرم],MATCH(bargiri[[#This Row],[شماره سند مبنا]],invoice[شماره پیش فاکتور],0))</f>
        <v>#N/A</v>
      </c>
      <c r="K2525" s="159" t="e">
        <f>bargiri[[#This Row],[مبلغ خالص]]-bargiri[[#This Row],[میزان استهلاک پیش دریافتی]]</f>
        <v>#N/A</v>
      </c>
      <c r="L2525" s="160"/>
      <c r="M2525" s="159"/>
      <c r="N2525" s="159" t="e">
        <f>IF(bargiri[[#This Row],[مبلغ واریزی]]&lt;&gt;"",bargiri[[#This Row],[مانده مبلغ]]-bargiri[[#This Row],[مبلغ واریزی]],bargiri[[#This Row],[مانده مبلغ]])</f>
        <v>#N/A</v>
      </c>
      <c r="O2525" s="159"/>
      <c r="P2525" s="159" t="e">
        <f>VLOOKUP(bargiri[[#This Row],[شماره سند مبنا]],invoice[[شماره پیش فاکتور]:[پیش دریافت به ازای هر کیلوگرم]],14,0)</f>
        <v>#N/A</v>
      </c>
      <c r="Q2525" s="159" t="e">
        <f>IF(bargiri[[#This Row],[مبلغ ناخالص]]-(bargiri[[#This Row],[نرخ استهلاک]]*bargiri[[#This Row],[مقدار]])&lt;0,0,bargiri[[#This Row],[مبلغ ناخالص]]-(bargiri[[#This Row],[نرخ استهلاک]]*bargiri[[#This Row],[مقدار]]))</f>
        <v>#N/A</v>
      </c>
    </row>
    <row r="2526" spans="1:17" s="22" customFormat="1" ht="13.8" x14ac:dyDescent="0.25">
      <c r="A2526" s="22">
        <v>275</v>
      </c>
      <c r="B2526" s="22" t="s">
        <v>55</v>
      </c>
      <c r="C2526" s="22" t="s">
        <v>53</v>
      </c>
      <c r="D2526" s="22" t="s">
        <v>51</v>
      </c>
      <c r="E2526" s="158">
        <v>20000</v>
      </c>
      <c r="F2526" s="159">
        <v>80000</v>
      </c>
      <c r="G2526" s="159">
        <v>1600000000</v>
      </c>
      <c r="H2526" s="159">
        <v>160000000</v>
      </c>
      <c r="I2526" s="159">
        <v>1760000000</v>
      </c>
      <c r="J2526" s="159" t="e">
        <f>bargiri[[#This Row],[مقدار]]*INDEX(invoice[پیش دریافت به ازای هر کیلوگرم],MATCH(bargiri[[#This Row],[شماره سند مبنا]],invoice[شماره پیش فاکتور],0))</f>
        <v>#N/A</v>
      </c>
      <c r="K2526" s="159" t="e">
        <f>bargiri[[#This Row],[مبلغ خالص]]-bargiri[[#This Row],[میزان استهلاک پیش دریافتی]]</f>
        <v>#N/A</v>
      </c>
      <c r="L2526" s="160"/>
      <c r="M2526" s="159"/>
      <c r="N2526" s="159" t="e">
        <f>IF(bargiri[[#This Row],[مبلغ واریزی]]&lt;&gt;"",bargiri[[#This Row],[مانده مبلغ]]-bargiri[[#This Row],[مبلغ واریزی]],bargiri[[#This Row],[مانده مبلغ]])</f>
        <v>#N/A</v>
      </c>
      <c r="O2526" s="159"/>
      <c r="P2526" s="159" t="e">
        <f>VLOOKUP(bargiri[[#This Row],[شماره سند مبنا]],invoice[[شماره پیش فاکتور]:[پیش دریافت به ازای هر کیلوگرم]],14,0)</f>
        <v>#N/A</v>
      </c>
      <c r="Q2526" s="159" t="e">
        <f>IF(bargiri[[#This Row],[مبلغ ناخالص]]-(bargiri[[#This Row],[نرخ استهلاک]]*bargiri[[#This Row],[مقدار]])&lt;0,0,bargiri[[#This Row],[مبلغ ناخالص]]-(bargiri[[#This Row],[نرخ استهلاک]]*bargiri[[#This Row],[مقدار]]))</f>
        <v>#N/A</v>
      </c>
    </row>
    <row r="2527" spans="1:17" s="22" customFormat="1" ht="13.8" x14ac:dyDescent="0.25">
      <c r="A2527" s="22">
        <v>274</v>
      </c>
      <c r="B2527" s="22" t="s">
        <v>68</v>
      </c>
      <c r="C2527" s="22" t="s">
        <v>66</v>
      </c>
      <c r="D2527" s="22" t="s">
        <v>67</v>
      </c>
      <c r="E2527" s="158">
        <v>11980</v>
      </c>
      <c r="F2527" s="159">
        <v>68500</v>
      </c>
      <c r="G2527" s="159">
        <v>820630000</v>
      </c>
      <c r="H2527" s="159">
        <v>73856700</v>
      </c>
      <c r="I2527" s="159">
        <v>894486700</v>
      </c>
      <c r="J2527" s="159" t="e">
        <f>bargiri[[#This Row],[مقدار]]*INDEX(invoice[پیش دریافت به ازای هر کیلوگرم],MATCH(bargiri[[#This Row],[شماره سند مبنا]],invoice[شماره پیش فاکتور],0))</f>
        <v>#N/A</v>
      </c>
      <c r="K2527" s="159" t="e">
        <f>bargiri[[#This Row],[مبلغ خالص]]-bargiri[[#This Row],[میزان استهلاک پیش دریافتی]]</f>
        <v>#N/A</v>
      </c>
      <c r="L2527" s="160"/>
      <c r="M2527" s="159"/>
      <c r="N2527" s="159" t="e">
        <f>IF(bargiri[[#This Row],[مبلغ واریزی]]&lt;&gt;"",bargiri[[#This Row],[مانده مبلغ]]-bargiri[[#This Row],[مبلغ واریزی]],bargiri[[#This Row],[مانده مبلغ]])</f>
        <v>#N/A</v>
      </c>
      <c r="O2527" s="159"/>
      <c r="P2527" s="159" t="e">
        <f>VLOOKUP(bargiri[[#This Row],[شماره سند مبنا]],invoice[[شماره پیش فاکتور]:[پیش دریافت به ازای هر کیلوگرم]],14,0)</f>
        <v>#N/A</v>
      </c>
      <c r="Q2527" s="159" t="e">
        <f>IF(bargiri[[#This Row],[مبلغ ناخالص]]-(bargiri[[#This Row],[نرخ استهلاک]]*bargiri[[#This Row],[مقدار]])&lt;0,0,bargiri[[#This Row],[مبلغ ناخالص]]-(bargiri[[#This Row],[نرخ استهلاک]]*bargiri[[#This Row],[مقدار]]))</f>
        <v>#N/A</v>
      </c>
    </row>
    <row r="2528" spans="1:17" s="22" customFormat="1" ht="13.8" x14ac:dyDescent="0.25">
      <c r="A2528" s="22">
        <v>273</v>
      </c>
      <c r="B2528" s="22" t="s">
        <v>570</v>
      </c>
      <c r="C2528" s="22" t="s">
        <v>66</v>
      </c>
      <c r="D2528" s="22" t="s">
        <v>67</v>
      </c>
      <c r="E2528" s="158">
        <v>20160</v>
      </c>
      <c r="F2528" s="159">
        <v>68500</v>
      </c>
      <c r="G2528" s="159">
        <v>1380960000</v>
      </c>
      <c r="H2528" s="159">
        <v>124286400</v>
      </c>
      <c r="I2528" s="159">
        <v>1505246400</v>
      </c>
      <c r="J2528" s="159" t="e">
        <f>bargiri[[#This Row],[مقدار]]*INDEX(invoice[پیش دریافت به ازای هر کیلوگرم],MATCH(bargiri[[#This Row],[شماره سند مبنا]],invoice[شماره پیش فاکتور],0))</f>
        <v>#N/A</v>
      </c>
      <c r="K2528" s="159" t="e">
        <f>bargiri[[#This Row],[مبلغ خالص]]-bargiri[[#This Row],[میزان استهلاک پیش دریافتی]]</f>
        <v>#N/A</v>
      </c>
      <c r="L2528" s="160"/>
      <c r="M2528" s="159"/>
      <c r="N2528" s="159" t="e">
        <f>IF(bargiri[[#This Row],[مبلغ واریزی]]&lt;&gt;"",bargiri[[#This Row],[مانده مبلغ]]-bargiri[[#This Row],[مبلغ واریزی]],bargiri[[#This Row],[مانده مبلغ]])</f>
        <v>#N/A</v>
      </c>
      <c r="O2528" s="159"/>
      <c r="P2528" s="159" t="e">
        <f>VLOOKUP(bargiri[[#This Row],[شماره سند مبنا]],invoice[[شماره پیش فاکتور]:[پیش دریافت به ازای هر کیلوگرم]],14,0)</f>
        <v>#N/A</v>
      </c>
      <c r="Q2528" s="159" t="e">
        <f>IF(bargiri[[#This Row],[مبلغ ناخالص]]-(bargiri[[#This Row],[نرخ استهلاک]]*bargiri[[#This Row],[مقدار]])&lt;0,0,bargiri[[#This Row],[مبلغ ناخالص]]-(bargiri[[#This Row],[نرخ استهلاک]]*bargiri[[#This Row],[مقدار]]))</f>
        <v>#N/A</v>
      </c>
    </row>
    <row r="2529" spans="1:17" s="22" customFormat="1" ht="13.8" x14ac:dyDescent="0.25">
      <c r="A2529" s="22">
        <v>272</v>
      </c>
      <c r="B2529" s="22" t="s">
        <v>68</v>
      </c>
      <c r="C2529" s="22" t="s">
        <v>66</v>
      </c>
      <c r="D2529" s="22" t="s">
        <v>67</v>
      </c>
      <c r="E2529" s="158">
        <v>20160</v>
      </c>
      <c r="F2529" s="159">
        <v>68500</v>
      </c>
      <c r="G2529" s="159">
        <v>1380960000</v>
      </c>
      <c r="H2529" s="159">
        <v>124286400</v>
      </c>
      <c r="I2529" s="159">
        <v>1505246400</v>
      </c>
      <c r="J2529" s="159" t="e">
        <f>bargiri[[#This Row],[مقدار]]*INDEX(invoice[پیش دریافت به ازای هر کیلوگرم],MATCH(bargiri[[#This Row],[شماره سند مبنا]],invoice[شماره پیش فاکتور],0))</f>
        <v>#N/A</v>
      </c>
      <c r="K2529" s="159" t="e">
        <f>bargiri[[#This Row],[مبلغ خالص]]-bargiri[[#This Row],[میزان استهلاک پیش دریافتی]]</f>
        <v>#N/A</v>
      </c>
      <c r="L2529" s="160"/>
      <c r="M2529" s="159"/>
      <c r="N2529" s="159" t="e">
        <f>IF(bargiri[[#This Row],[مبلغ واریزی]]&lt;&gt;"",bargiri[[#This Row],[مانده مبلغ]]-bargiri[[#This Row],[مبلغ واریزی]],bargiri[[#This Row],[مانده مبلغ]])</f>
        <v>#N/A</v>
      </c>
      <c r="O2529" s="159"/>
      <c r="P2529" s="159" t="e">
        <f>VLOOKUP(bargiri[[#This Row],[شماره سند مبنا]],invoice[[شماره پیش فاکتور]:[پیش دریافت به ازای هر کیلوگرم]],14,0)</f>
        <v>#N/A</v>
      </c>
      <c r="Q2529" s="159" t="e">
        <f>IF(bargiri[[#This Row],[مبلغ ناخالص]]-(bargiri[[#This Row],[نرخ استهلاک]]*bargiri[[#This Row],[مقدار]])&lt;0,0,bargiri[[#This Row],[مبلغ ناخالص]]-(bargiri[[#This Row],[نرخ استهلاک]]*bargiri[[#This Row],[مقدار]]))</f>
        <v>#N/A</v>
      </c>
    </row>
    <row r="2530" spans="1:17" s="22" customFormat="1" ht="13.8" x14ac:dyDescent="0.25">
      <c r="A2530" s="22">
        <v>271</v>
      </c>
      <c r="B2530" s="22" t="s">
        <v>570</v>
      </c>
      <c r="C2530" s="22" t="s">
        <v>75</v>
      </c>
      <c r="D2530" s="22" t="s">
        <v>73</v>
      </c>
      <c r="E2530" s="158">
        <v>20420</v>
      </c>
      <c r="F2530" s="159">
        <v>56881</v>
      </c>
      <c r="G2530" s="159">
        <v>1161510020</v>
      </c>
      <c r="H2530" s="159">
        <v>104535902</v>
      </c>
      <c r="I2530" s="159">
        <v>1266045922</v>
      </c>
      <c r="J2530" s="159" t="e">
        <f>bargiri[[#This Row],[مقدار]]*INDEX(invoice[پیش دریافت به ازای هر کیلوگرم],MATCH(bargiri[[#This Row],[شماره سند مبنا]],invoice[شماره پیش فاکتور],0))</f>
        <v>#N/A</v>
      </c>
      <c r="K2530" s="159" t="e">
        <f>bargiri[[#This Row],[مبلغ خالص]]-bargiri[[#This Row],[میزان استهلاک پیش دریافتی]]</f>
        <v>#N/A</v>
      </c>
      <c r="L2530" s="160"/>
      <c r="M2530" s="159"/>
      <c r="N2530" s="159" t="e">
        <f>IF(bargiri[[#This Row],[مبلغ واریزی]]&lt;&gt;"",bargiri[[#This Row],[مانده مبلغ]]-bargiri[[#This Row],[مبلغ واریزی]],bargiri[[#This Row],[مانده مبلغ]])</f>
        <v>#N/A</v>
      </c>
      <c r="O2530" s="159"/>
      <c r="P2530" s="159" t="e">
        <f>VLOOKUP(bargiri[[#This Row],[شماره سند مبنا]],invoice[[شماره پیش فاکتور]:[پیش دریافت به ازای هر کیلوگرم]],14,0)</f>
        <v>#N/A</v>
      </c>
      <c r="Q2530" s="159" t="e">
        <f>IF(bargiri[[#This Row],[مبلغ ناخالص]]-(bargiri[[#This Row],[نرخ استهلاک]]*bargiri[[#This Row],[مقدار]])&lt;0,0,bargiri[[#This Row],[مبلغ ناخالص]]-(bargiri[[#This Row],[نرخ استهلاک]]*bargiri[[#This Row],[مقدار]]))</f>
        <v>#N/A</v>
      </c>
    </row>
    <row r="2531" spans="1:17" s="22" customFormat="1" ht="13.8" x14ac:dyDescent="0.25">
      <c r="A2531" s="22">
        <v>270</v>
      </c>
      <c r="B2531" s="22" t="s">
        <v>570</v>
      </c>
      <c r="C2531" s="22" t="s">
        <v>75</v>
      </c>
      <c r="D2531" s="22" t="s">
        <v>73</v>
      </c>
      <c r="E2531" s="158">
        <v>20370</v>
      </c>
      <c r="F2531" s="159">
        <v>56881</v>
      </c>
      <c r="G2531" s="159">
        <v>1158665970</v>
      </c>
      <c r="H2531" s="159">
        <v>104279937</v>
      </c>
      <c r="I2531" s="159">
        <v>1262945907</v>
      </c>
      <c r="J2531" s="159" t="e">
        <f>bargiri[[#This Row],[مقدار]]*INDEX(invoice[پیش دریافت به ازای هر کیلوگرم],MATCH(bargiri[[#This Row],[شماره سند مبنا]],invoice[شماره پیش فاکتور],0))</f>
        <v>#N/A</v>
      </c>
      <c r="K2531" s="159" t="e">
        <f>bargiri[[#This Row],[مبلغ خالص]]-bargiri[[#This Row],[میزان استهلاک پیش دریافتی]]</f>
        <v>#N/A</v>
      </c>
      <c r="L2531" s="160"/>
      <c r="M2531" s="159"/>
      <c r="N2531" s="159" t="e">
        <f>IF(bargiri[[#This Row],[مبلغ واریزی]]&lt;&gt;"",bargiri[[#This Row],[مانده مبلغ]]-bargiri[[#This Row],[مبلغ واریزی]],bargiri[[#This Row],[مانده مبلغ]])</f>
        <v>#N/A</v>
      </c>
      <c r="O2531" s="159"/>
      <c r="P2531" s="159" t="e">
        <f>VLOOKUP(bargiri[[#This Row],[شماره سند مبنا]],invoice[[شماره پیش فاکتور]:[پیش دریافت به ازای هر کیلوگرم]],14,0)</f>
        <v>#N/A</v>
      </c>
      <c r="Q2531" s="159" t="e">
        <f>IF(bargiri[[#This Row],[مبلغ ناخالص]]-(bargiri[[#This Row],[نرخ استهلاک]]*bargiri[[#This Row],[مقدار]])&lt;0,0,bargiri[[#This Row],[مبلغ ناخالص]]-(bargiri[[#This Row],[نرخ استهلاک]]*bargiri[[#This Row],[مقدار]]))</f>
        <v>#N/A</v>
      </c>
    </row>
    <row r="2532" spans="1:17" s="22" customFormat="1" ht="13.8" x14ac:dyDescent="0.25">
      <c r="A2532" s="22">
        <v>269</v>
      </c>
      <c r="B2532" s="22" t="s">
        <v>570</v>
      </c>
      <c r="C2532" s="22" t="s">
        <v>22</v>
      </c>
      <c r="D2532" s="22" t="s">
        <v>20</v>
      </c>
      <c r="E2532" s="158">
        <v>17920</v>
      </c>
      <c r="F2532" s="159">
        <v>50000</v>
      </c>
      <c r="G2532" s="159">
        <v>896000000</v>
      </c>
      <c r="H2532" s="159">
        <v>80640000</v>
      </c>
      <c r="I2532" s="159">
        <v>976640000</v>
      </c>
      <c r="J2532" s="159" t="e">
        <f>bargiri[[#This Row],[مقدار]]*INDEX(invoice[پیش دریافت به ازای هر کیلوگرم],MATCH(bargiri[[#This Row],[شماره سند مبنا]],invoice[شماره پیش فاکتور],0))</f>
        <v>#N/A</v>
      </c>
      <c r="K2532" s="159" t="e">
        <f>bargiri[[#This Row],[مبلغ خالص]]-bargiri[[#This Row],[میزان استهلاک پیش دریافتی]]</f>
        <v>#N/A</v>
      </c>
      <c r="L2532" s="160"/>
      <c r="M2532" s="159"/>
      <c r="N2532" s="159" t="e">
        <f>IF(bargiri[[#This Row],[مبلغ واریزی]]&lt;&gt;"",bargiri[[#This Row],[مانده مبلغ]]-bargiri[[#This Row],[مبلغ واریزی]],bargiri[[#This Row],[مانده مبلغ]])</f>
        <v>#N/A</v>
      </c>
      <c r="O2532" s="159"/>
      <c r="P2532" s="159" t="e">
        <f>VLOOKUP(bargiri[[#This Row],[شماره سند مبنا]],invoice[[شماره پیش فاکتور]:[پیش دریافت به ازای هر کیلوگرم]],14,0)</f>
        <v>#N/A</v>
      </c>
      <c r="Q2532" s="159" t="e">
        <f>IF(bargiri[[#This Row],[مبلغ ناخالص]]-(bargiri[[#This Row],[نرخ استهلاک]]*bargiri[[#This Row],[مقدار]])&lt;0,0,bargiri[[#This Row],[مبلغ ناخالص]]-(bargiri[[#This Row],[نرخ استهلاک]]*bargiri[[#This Row],[مقدار]]))</f>
        <v>#N/A</v>
      </c>
    </row>
    <row r="2533" spans="1:17" s="22" customFormat="1" ht="13.8" x14ac:dyDescent="0.25">
      <c r="A2533" s="22">
        <v>268</v>
      </c>
      <c r="B2533" s="22" t="s">
        <v>68</v>
      </c>
      <c r="C2533" s="22" t="s">
        <v>22</v>
      </c>
      <c r="D2533" s="22" t="s">
        <v>20</v>
      </c>
      <c r="E2533" s="158">
        <v>9920</v>
      </c>
      <c r="F2533" s="159">
        <v>50000</v>
      </c>
      <c r="G2533" s="159">
        <v>496000000</v>
      </c>
      <c r="H2533" s="159">
        <v>44640000</v>
      </c>
      <c r="I2533" s="159">
        <v>540640000</v>
      </c>
      <c r="J2533" s="159" t="e">
        <f>bargiri[[#This Row],[مقدار]]*INDEX(invoice[پیش دریافت به ازای هر کیلوگرم],MATCH(bargiri[[#This Row],[شماره سند مبنا]],invoice[شماره پیش فاکتور],0))</f>
        <v>#N/A</v>
      </c>
      <c r="K2533" s="159" t="e">
        <f>bargiri[[#This Row],[مبلغ خالص]]-bargiri[[#This Row],[میزان استهلاک پیش دریافتی]]</f>
        <v>#N/A</v>
      </c>
      <c r="L2533" s="160"/>
      <c r="M2533" s="159"/>
      <c r="N2533" s="159" t="e">
        <f>IF(bargiri[[#This Row],[مبلغ واریزی]]&lt;&gt;"",bargiri[[#This Row],[مانده مبلغ]]-bargiri[[#This Row],[مبلغ واریزی]],bargiri[[#This Row],[مانده مبلغ]])</f>
        <v>#N/A</v>
      </c>
      <c r="O2533" s="159"/>
      <c r="P2533" s="159" t="e">
        <f>VLOOKUP(bargiri[[#This Row],[شماره سند مبنا]],invoice[[شماره پیش فاکتور]:[پیش دریافت به ازای هر کیلوگرم]],14,0)</f>
        <v>#N/A</v>
      </c>
      <c r="Q2533" s="159" t="e">
        <f>IF(bargiri[[#This Row],[مبلغ ناخالص]]-(bargiri[[#This Row],[نرخ استهلاک]]*bargiri[[#This Row],[مقدار]])&lt;0,0,bargiri[[#This Row],[مبلغ ناخالص]]-(bargiri[[#This Row],[نرخ استهلاک]]*bargiri[[#This Row],[مقدار]]))</f>
        <v>#N/A</v>
      </c>
    </row>
    <row r="2534" spans="1:17" s="22" customFormat="1" ht="13.8" x14ac:dyDescent="0.25">
      <c r="A2534" s="22">
        <v>267</v>
      </c>
      <c r="B2534" s="22" t="s">
        <v>68</v>
      </c>
      <c r="C2534" s="22" t="s">
        <v>83</v>
      </c>
      <c r="D2534" s="22" t="s">
        <v>35</v>
      </c>
      <c r="E2534" s="158">
        <v>7770</v>
      </c>
      <c r="F2534" s="159">
        <v>90000</v>
      </c>
      <c r="G2534" s="159">
        <v>699300000</v>
      </c>
      <c r="H2534" s="159">
        <v>69930000</v>
      </c>
      <c r="I2534" s="159">
        <v>769230000</v>
      </c>
      <c r="J2534" s="159" t="e">
        <f>bargiri[[#This Row],[مقدار]]*INDEX(invoice[پیش دریافت به ازای هر کیلوگرم],MATCH(bargiri[[#This Row],[شماره سند مبنا]],invoice[شماره پیش فاکتور],0))</f>
        <v>#N/A</v>
      </c>
      <c r="K2534" s="159" t="e">
        <f>bargiri[[#This Row],[مبلغ خالص]]-bargiri[[#This Row],[میزان استهلاک پیش دریافتی]]</f>
        <v>#N/A</v>
      </c>
      <c r="L2534" s="160"/>
      <c r="M2534" s="159"/>
      <c r="N2534" s="159" t="e">
        <f>IF(bargiri[[#This Row],[مبلغ واریزی]]&lt;&gt;"",bargiri[[#This Row],[مانده مبلغ]]-bargiri[[#This Row],[مبلغ واریزی]],bargiri[[#This Row],[مانده مبلغ]])</f>
        <v>#N/A</v>
      </c>
      <c r="O2534" s="159"/>
      <c r="P2534" s="159" t="e">
        <f>VLOOKUP(bargiri[[#This Row],[شماره سند مبنا]],invoice[[شماره پیش فاکتور]:[پیش دریافت به ازای هر کیلوگرم]],14,0)</f>
        <v>#N/A</v>
      </c>
      <c r="Q2534" s="159" t="e">
        <f>IF(bargiri[[#This Row],[مبلغ ناخالص]]-(bargiri[[#This Row],[نرخ استهلاک]]*bargiri[[#This Row],[مقدار]])&lt;0,0,bargiri[[#This Row],[مبلغ ناخالص]]-(bargiri[[#This Row],[نرخ استهلاک]]*bargiri[[#This Row],[مقدار]]))</f>
        <v>#N/A</v>
      </c>
    </row>
    <row r="2535" spans="1:17" s="22" customFormat="1" ht="13.8" x14ac:dyDescent="0.25">
      <c r="A2535" s="22">
        <v>266</v>
      </c>
      <c r="B2535" s="22" t="s">
        <v>68</v>
      </c>
      <c r="C2535" s="22" t="s">
        <v>71</v>
      </c>
      <c r="D2535" s="22" t="s">
        <v>70</v>
      </c>
      <c r="E2535" s="158">
        <v>6550</v>
      </c>
      <c r="F2535" s="159">
        <v>55000</v>
      </c>
      <c r="G2535" s="159">
        <v>360250000</v>
      </c>
      <c r="H2535" s="159">
        <v>32422500</v>
      </c>
      <c r="I2535" s="159">
        <v>392672500</v>
      </c>
      <c r="J2535" s="159" t="e">
        <f>bargiri[[#This Row],[مقدار]]*INDEX(invoice[پیش دریافت به ازای هر کیلوگرم],MATCH(bargiri[[#This Row],[شماره سند مبنا]],invoice[شماره پیش فاکتور],0))</f>
        <v>#N/A</v>
      </c>
      <c r="K2535" s="159" t="e">
        <f>bargiri[[#This Row],[مبلغ خالص]]-bargiri[[#This Row],[میزان استهلاک پیش دریافتی]]</f>
        <v>#N/A</v>
      </c>
      <c r="L2535" s="160"/>
      <c r="M2535" s="159"/>
      <c r="N2535" s="159" t="e">
        <f>IF(bargiri[[#This Row],[مبلغ واریزی]]&lt;&gt;"",bargiri[[#This Row],[مانده مبلغ]]-bargiri[[#This Row],[مبلغ واریزی]],bargiri[[#This Row],[مانده مبلغ]])</f>
        <v>#N/A</v>
      </c>
      <c r="O2535" s="159"/>
      <c r="P2535" s="159" t="e">
        <f>VLOOKUP(bargiri[[#This Row],[شماره سند مبنا]],invoice[[شماره پیش فاکتور]:[پیش دریافت به ازای هر کیلوگرم]],14,0)</f>
        <v>#N/A</v>
      </c>
      <c r="Q2535" s="159" t="e">
        <f>IF(bargiri[[#This Row],[مبلغ ناخالص]]-(bargiri[[#This Row],[نرخ استهلاک]]*bargiri[[#This Row],[مقدار]])&lt;0,0,bargiri[[#This Row],[مبلغ ناخالص]]-(bargiri[[#This Row],[نرخ استهلاک]]*bargiri[[#This Row],[مقدار]]))</f>
        <v>#N/A</v>
      </c>
    </row>
    <row r="2536" spans="1:17" s="22" customFormat="1" ht="13.8" x14ac:dyDescent="0.25">
      <c r="A2536" s="22">
        <v>265</v>
      </c>
      <c r="B2536" s="22" t="s">
        <v>68</v>
      </c>
      <c r="C2536" s="22" t="s">
        <v>75</v>
      </c>
      <c r="D2536" s="22" t="s">
        <v>73</v>
      </c>
      <c r="E2536" s="158">
        <v>20930</v>
      </c>
      <c r="F2536" s="159">
        <v>56881</v>
      </c>
      <c r="G2536" s="159">
        <v>1190519330</v>
      </c>
      <c r="H2536" s="159">
        <v>107146740</v>
      </c>
      <c r="I2536" s="159">
        <v>1297666070</v>
      </c>
      <c r="J2536" s="159" t="e">
        <f>bargiri[[#This Row],[مقدار]]*INDEX(invoice[پیش دریافت به ازای هر کیلوگرم],MATCH(bargiri[[#This Row],[شماره سند مبنا]],invoice[شماره پیش فاکتور],0))</f>
        <v>#N/A</v>
      </c>
      <c r="K2536" s="159" t="e">
        <f>bargiri[[#This Row],[مبلغ خالص]]-bargiri[[#This Row],[میزان استهلاک پیش دریافتی]]</f>
        <v>#N/A</v>
      </c>
      <c r="L2536" s="160"/>
      <c r="M2536" s="159"/>
      <c r="N2536" s="159" t="e">
        <f>IF(bargiri[[#This Row],[مبلغ واریزی]]&lt;&gt;"",bargiri[[#This Row],[مانده مبلغ]]-bargiri[[#This Row],[مبلغ واریزی]],bargiri[[#This Row],[مانده مبلغ]])</f>
        <v>#N/A</v>
      </c>
      <c r="O2536" s="159"/>
      <c r="P2536" s="159" t="e">
        <f>VLOOKUP(bargiri[[#This Row],[شماره سند مبنا]],invoice[[شماره پیش فاکتور]:[پیش دریافت به ازای هر کیلوگرم]],14,0)</f>
        <v>#N/A</v>
      </c>
      <c r="Q2536" s="159" t="e">
        <f>IF(bargiri[[#This Row],[مبلغ ناخالص]]-(bargiri[[#This Row],[نرخ استهلاک]]*bargiri[[#This Row],[مقدار]])&lt;0,0,bargiri[[#This Row],[مبلغ ناخالص]]-(bargiri[[#This Row],[نرخ استهلاک]]*bargiri[[#This Row],[مقدار]]))</f>
        <v>#N/A</v>
      </c>
    </row>
    <row r="2537" spans="1:17" s="22" customFormat="1" ht="13.8" x14ac:dyDescent="0.25">
      <c r="A2537" s="22">
        <v>264</v>
      </c>
      <c r="B2537" s="22" t="s">
        <v>68</v>
      </c>
      <c r="C2537" s="22" t="s">
        <v>75</v>
      </c>
      <c r="D2537" s="22" t="s">
        <v>73</v>
      </c>
      <c r="E2537" s="158">
        <v>21260</v>
      </c>
      <c r="F2537" s="159">
        <v>56881</v>
      </c>
      <c r="G2537" s="159">
        <v>1209290060</v>
      </c>
      <c r="H2537" s="159">
        <v>108836105</v>
      </c>
      <c r="I2537" s="159">
        <v>1318126165</v>
      </c>
      <c r="J2537" s="159" t="e">
        <f>bargiri[[#This Row],[مقدار]]*INDEX(invoice[پیش دریافت به ازای هر کیلوگرم],MATCH(bargiri[[#This Row],[شماره سند مبنا]],invoice[شماره پیش فاکتور],0))</f>
        <v>#N/A</v>
      </c>
      <c r="K2537" s="159" t="e">
        <f>bargiri[[#This Row],[مبلغ خالص]]-bargiri[[#This Row],[میزان استهلاک پیش دریافتی]]</f>
        <v>#N/A</v>
      </c>
      <c r="L2537" s="160"/>
      <c r="M2537" s="159"/>
      <c r="N2537" s="159" t="e">
        <f>IF(bargiri[[#This Row],[مبلغ واریزی]]&lt;&gt;"",bargiri[[#This Row],[مانده مبلغ]]-bargiri[[#This Row],[مبلغ واریزی]],bargiri[[#This Row],[مانده مبلغ]])</f>
        <v>#N/A</v>
      </c>
      <c r="O2537" s="159"/>
      <c r="P2537" s="159" t="e">
        <f>VLOOKUP(bargiri[[#This Row],[شماره سند مبنا]],invoice[[شماره پیش فاکتور]:[پیش دریافت به ازای هر کیلوگرم]],14,0)</f>
        <v>#N/A</v>
      </c>
      <c r="Q2537" s="159" t="e">
        <f>IF(bargiri[[#This Row],[مبلغ ناخالص]]-(bargiri[[#This Row],[نرخ استهلاک]]*bargiri[[#This Row],[مقدار]])&lt;0,0,bargiri[[#This Row],[مبلغ ناخالص]]-(bargiri[[#This Row],[نرخ استهلاک]]*bargiri[[#This Row],[مقدار]]))</f>
        <v>#N/A</v>
      </c>
    </row>
    <row r="2538" spans="1:17" s="22" customFormat="1" ht="13.8" x14ac:dyDescent="0.25">
      <c r="A2538" s="22">
        <v>263</v>
      </c>
      <c r="B2538" s="22" t="s">
        <v>68</v>
      </c>
      <c r="C2538" s="22" t="s">
        <v>75</v>
      </c>
      <c r="D2538" s="22" t="s">
        <v>73</v>
      </c>
      <c r="E2538" s="158">
        <v>21280</v>
      </c>
      <c r="F2538" s="159">
        <v>56881</v>
      </c>
      <c r="G2538" s="159">
        <v>1210427680</v>
      </c>
      <c r="H2538" s="159">
        <v>108938491</v>
      </c>
      <c r="I2538" s="159">
        <v>1319366171</v>
      </c>
      <c r="J2538" s="159" t="e">
        <f>bargiri[[#This Row],[مقدار]]*INDEX(invoice[پیش دریافت به ازای هر کیلوگرم],MATCH(bargiri[[#This Row],[شماره سند مبنا]],invoice[شماره پیش فاکتور],0))</f>
        <v>#N/A</v>
      </c>
      <c r="K2538" s="159" t="e">
        <f>bargiri[[#This Row],[مبلغ خالص]]-bargiri[[#This Row],[میزان استهلاک پیش دریافتی]]</f>
        <v>#N/A</v>
      </c>
      <c r="L2538" s="160"/>
      <c r="M2538" s="159"/>
      <c r="N2538" s="159" t="e">
        <f>IF(bargiri[[#This Row],[مبلغ واریزی]]&lt;&gt;"",bargiri[[#This Row],[مانده مبلغ]]-bargiri[[#This Row],[مبلغ واریزی]],bargiri[[#This Row],[مانده مبلغ]])</f>
        <v>#N/A</v>
      </c>
      <c r="O2538" s="159"/>
      <c r="P2538" s="159" t="e">
        <f>VLOOKUP(bargiri[[#This Row],[شماره سند مبنا]],invoice[[شماره پیش فاکتور]:[پیش دریافت به ازای هر کیلوگرم]],14,0)</f>
        <v>#N/A</v>
      </c>
      <c r="Q2538" s="159" t="e">
        <f>IF(bargiri[[#This Row],[مبلغ ناخالص]]-(bargiri[[#This Row],[نرخ استهلاک]]*bargiri[[#This Row],[مقدار]])&lt;0,0,bargiri[[#This Row],[مبلغ ناخالص]]-(bargiri[[#This Row],[نرخ استهلاک]]*bargiri[[#This Row],[مقدار]]))</f>
        <v>#N/A</v>
      </c>
    </row>
    <row r="2539" spans="1:17" s="22" customFormat="1" ht="13.8" x14ac:dyDescent="0.25">
      <c r="A2539" s="22">
        <v>262</v>
      </c>
      <c r="B2539" s="22" t="s">
        <v>68</v>
      </c>
      <c r="C2539" s="22" t="s">
        <v>83</v>
      </c>
      <c r="D2539" s="22" t="s">
        <v>35</v>
      </c>
      <c r="E2539" s="158">
        <v>6000</v>
      </c>
      <c r="F2539" s="159">
        <v>90000</v>
      </c>
      <c r="G2539" s="159">
        <v>540000000</v>
      </c>
      <c r="H2539" s="159">
        <v>54000000</v>
      </c>
      <c r="I2539" s="159">
        <v>594000000</v>
      </c>
      <c r="J2539" s="159" t="e">
        <f>bargiri[[#This Row],[مقدار]]*INDEX(invoice[پیش دریافت به ازای هر کیلوگرم],MATCH(bargiri[[#This Row],[شماره سند مبنا]],invoice[شماره پیش فاکتور],0))</f>
        <v>#N/A</v>
      </c>
      <c r="K2539" s="159" t="e">
        <f>bargiri[[#This Row],[مبلغ خالص]]-bargiri[[#This Row],[میزان استهلاک پیش دریافتی]]</f>
        <v>#N/A</v>
      </c>
      <c r="L2539" s="160"/>
      <c r="M2539" s="159"/>
      <c r="N2539" s="159" t="e">
        <f>IF(bargiri[[#This Row],[مبلغ واریزی]]&lt;&gt;"",bargiri[[#This Row],[مانده مبلغ]]-bargiri[[#This Row],[مبلغ واریزی]],bargiri[[#This Row],[مانده مبلغ]])</f>
        <v>#N/A</v>
      </c>
      <c r="O2539" s="159"/>
      <c r="P2539" s="159" t="e">
        <f>VLOOKUP(bargiri[[#This Row],[شماره سند مبنا]],invoice[[شماره پیش فاکتور]:[پیش دریافت به ازای هر کیلوگرم]],14,0)</f>
        <v>#N/A</v>
      </c>
      <c r="Q2539" s="159" t="e">
        <f>IF(bargiri[[#This Row],[مبلغ ناخالص]]-(bargiri[[#This Row],[نرخ استهلاک]]*bargiri[[#This Row],[مقدار]])&lt;0,0,bargiri[[#This Row],[مبلغ ناخالص]]-(bargiri[[#This Row],[نرخ استهلاک]]*bargiri[[#This Row],[مقدار]]))</f>
        <v>#N/A</v>
      </c>
    </row>
    <row r="2540" spans="1:17" s="22" customFormat="1" ht="13.8" x14ac:dyDescent="0.25">
      <c r="A2540" s="22">
        <v>261</v>
      </c>
      <c r="B2540" s="22" t="s">
        <v>565</v>
      </c>
      <c r="C2540" s="22" t="s">
        <v>71</v>
      </c>
      <c r="D2540" s="22" t="s">
        <v>70</v>
      </c>
      <c r="E2540" s="158">
        <v>5810</v>
      </c>
      <c r="F2540" s="159">
        <v>55000</v>
      </c>
      <c r="G2540" s="159">
        <v>319550000</v>
      </c>
      <c r="H2540" s="159">
        <v>28759500</v>
      </c>
      <c r="I2540" s="159">
        <v>348309500</v>
      </c>
      <c r="J2540" s="159" t="e">
        <f>bargiri[[#This Row],[مقدار]]*INDEX(invoice[پیش دریافت به ازای هر کیلوگرم],MATCH(bargiri[[#This Row],[شماره سند مبنا]],invoice[شماره پیش فاکتور],0))</f>
        <v>#N/A</v>
      </c>
      <c r="K2540" s="159" t="e">
        <f>bargiri[[#This Row],[مبلغ خالص]]-bargiri[[#This Row],[میزان استهلاک پیش دریافتی]]</f>
        <v>#N/A</v>
      </c>
      <c r="L2540" s="160"/>
      <c r="M2540" s="159"/>
      <c r="N2540" s="159" t="e">
        <f>IF(bargiri[[#This Row],[مبلغ واریزی]]&lt;&gt;"",bargiri[[#This Row],[مانده مبلغ]]-bargiri[[#This Row],[مبلغ واریزی]],bargiri[[#This Row],[مانده مبلغ]])</f>
        <v>#N/A</v>
      </c>
      <c r="O2540" s="159"/>
      <c r="P2540" s="159" t="e">
        <f>VLOOKUP(bargiri[[#This Row],[شماره سند مبنا]],invoice[[شماره پیش فاکتور]:[پیش دریافت به ازای هر کیلوگرم]],14,0)</f>
        <v>#N/A</v>
      </c>
      <c r="Q2540" s="159" t="e">
        <f>IF(bargiri[[#This Row],[مبلغ ناخالص]]-(bargiri[[#This Row],[نرخ استهلاک]]*bargiri[[#This Row],[مقدار]])&lt;0,0,bargiri[[#This Row],[مبلغ ناخالص]]-(bargiri[[#This Row],[نرخ استهلاک]]*bargiri[[#This Row],[مقدار]]))</f>
        <v>#N/A</v>
      </c>
    </row>
    <row r="2541" spans="1:17" s="22" customFormat="1" ht="13.8" x14ac:dyDescent="0.25">
      <c r="A2541" s="22">
        <v>260</v>
      </c>
      <c r="B2541" s="22" t="s">
        <v>565</v>
      </c>
      <c r="C2541" s="22" t="s">
        <v>71</v>
      </c>
      <c r="D2541" s="22" t="s">
        <v>70</v>
      </c>
      <c r="E2541" s="158">
        <v>4900</v>
      </c>
      <c r="F2541" s="159">
        <v>55000</v>
      </c>
      <c r="G2541" s="159">
        <v>269500000</v>
      </c>
      <c r="H2541" s="159">
        <v>24255000</v>
      </c>
      <c r="I2541" s="159">
        <v>293755000</v>
      </c>
      <c r="J2541" s="159" t="e">
        <f>bargiri[[#This Row],[مقدار]]*INDEX(invoice[پیش دریافت به ازای هر کیلوگرم],MATCH(bargiri[[#This Row],[شماره سند مبنا]],invoice[شماره پیش فاکتور],0))</f>
        <v>#N/A</v>
      </c>
      <c r="K2541" s="159" t="e">
        <f>bargiri[[#This Row],[مبلغ خالص]]-bargiri[[#This Row],[میزان استهلاک پیش دریافتی]]</f>
        <v>#N/A</v>
      </c>
      <c r="L2541" s="160"/>
      <c r="M2541" s="159"/>
      <c r="N2541" s="159" t="e">
        <f>IF(bargiri[[#This Row],[مبلغ واریزی]]&lt;&gt;"",bargiri[[#This Row],[مانده مبلغ]]-bargiri[[#This Row],[مبلغ واریزی]],bargiri[[#This Row],[مانده مبلغ]])</f>
        <v>#N/A</v>
      </c>
      <c r="O2541" s="159"/>
      <c r="P2541" s="159" t="e">
        <f>VLOOKUP(bargiri[[#This Row],[شماره سند مبنا]],invoice[[شماره پیش فاکتور]:[پیش دریافت به ازای هر کیلوگرم]],14,0)</f>
        <v>#N/A</v>
      </c>
      <c r="Q2541" s="159" t="e">
        <f>IF(bargiri[[#This Row],[مبلغ ناخالص]]-(bargiri[[#This Row],[نرخ استهلاک]]*bargiri[[#This Row],[مقدار]])&lt;0,0,bargiri[[#This Row],[مبلغ ناخالص]]-(bargiri[[#This Row],[نرخ استهلاک]]*bargiri[[#This Row],[مقدار]]))</f>
        <v>#N/A</v>
      </c>
    </row>
    <row r="2542" spans="1:17" s="22" customFormat="1" ht="13.8" x14ac:dyDescent="0.25">
      <c r="A2542" s="22">
        <v>259</v>
      </c>
      <c r="B2542" s="22" t="s">
        <v>571</v>
      </c>
      <c r="C2542" s="22" t="s">
        <v>16</v>
      </c>
      <c r="D2542" s="22" t="s">
        <v>17</v>
      </c>
      <c r="E2542" s="158">
        <v>22880</v>
      </c>
      <c r="F2542" s="159">
        <v>77000</v>
      </c>
      <c r="G2542" s="159">
        <v>1761760000</v>
      </c>
      <c r="H2542" s="159">
        <v>158558400</v>
      </c>
      <c r="I2542" s="159">
        <v>1920318400</v>
      </c>
      <c r="J2542" s="159" t="e">
        <f>bargiri[[#This Row],[مقدار]]*INDEX(invoice[پیش دریافت به ازای هر کیلوگرم],MATCH(bargiri[[#This Row],[شماره سند مبنا]],invoice[شماره پیش فاکتور],0))</f>
        <v>#N/A</v>
      </c>
      <c r="K2542" s="159" t="e">
        <f>bargiri[[#This Row],[مبلغ خالص]]-bargiri[[#This Row],[میزان استهلاک پیش دریافتی]]</f>
        <v>#N/A</v>
      </c>
      <c r="L2542" s="160"/>
      <c r="M2542" s="159"/>
      <c r="N2542" s="159" t="e">
        <f>IF(bargiri[[#This Row],[مبلغ واریزی]]&lt;&gt;"",bargiri[[#This Row],[مانده مبلغ]]-bargiri[[#This Row],[مبلغ واریزی]],bargiri[[#This Row],[مانده مبلغ]])</f>
        <v>#N/A</v>
      </c>
      <c r="O2542" s="159"/>
      <c r="P2542" s="159" t="e">
        <f>VLOOKUP(bargiri[[#This Row],[شماره سند مبنا]],invoice[[شماره پیش فاکتور]:[پیش دریافت به ازای هر کیلوگرم]],14,0)</f>
        <v>#N/A</v>
      </c>
      <c r="Q2542" s="159" t="e">
        <f>IF(bargiri[[#This Row],[مبلغ ناخالص]]-(bargiri[[#This Row],[نرخ استهلاک]]*bargiri[[#This Row],[مقدار]])&lt;0,0,bargiri[[#This Row],[مبلغ ناخالص]]-(bargiri[[#This Row],[نرخ استهلاک]]*bargiri[[#This Row],[مقدار]]))</f>
        <v>#N/A</v>
      </c>
    </row>
    <row r="2543" spans="1:17" s="22" customFormat="1" ht="13.8" x14ac:dyDescent="0.25">
      <c r="A2543" s="22">
        <v>258</v>
      </c>
      <c r="B2543" s="22" t="s">
        <v>571</v>
      </c>
      <c r="C2543" s="22" t="s">
        <v>16</v>
      </c>
      <c r="D2543" s="22" t="s">
        <v>17</v>
      </c>
      <c r="E2543" s="158">
        <v>23210</v>
      </c>
      <c r="F2543" s="159">
        <v>77000</v>
      </c>
      <c r="G2543" s="159">
        <v>1787170000</v>
      </c>
      <c r="H2543" s="159">
        <v>160845300</v>
      </c>
      <c r="I2543" s="159">
        <v>1948015300</v>
      </c>
      <c r="J2543" s="159" t="e">
        <f>bargiri[[#This Row],[مقدار]]*INDEX(invoice[پیش دریافت به ازای هر کیلوگرم],MATCH(bargiri[[#This Row],[شماره سند مبنا]],invoice[شماره پیش فاکتور],0))</f>
        <v>#N/A</v>
      </c>
      <c r="K2543" s="159" t="e">
        <f>bargiri[[#This Row],[مبلغ خالص]]-bargiri[[#This Row],[میزان استهلاک پیش دریافتی]]</f>
        <v>#N/A</v>
      </c>
      <c r="L2543" s="160"/>
      <c r="M2543" s="159"/>
      <c r="N2543" s="159" t="e">
        <f>IF(bargiri[[#This Row],[مبلغ واریزی]]&lt;&gt;"",bargiri[[#This Row],[مانده مبلغ]]-bargiri[[#This Row],[مبلغ واریزی]],bargiri[[#This Row],[مانده مبلغ]])</f>
        <v>#N/A</v>
      </c>
      <c r="O2543" s="159"/>
      <c r="P2543" s="159" t="e">
        <f>VLOOKUP(bargiri[[#This Row],[شماره سند مبنا]],invoice[[شماره پیش فاکتور]:[پیش دریافت به ازای هر کیلوگرم]],14,0)</f>
        <v>#N/A</v>
      </c>
      <c r="Q2543" s="159" t="e">
        <f>IF(bargiri[[#This Row],[مبلغ ناخالص]]-(bargiri[[#This Row],[نرخ استهلاک]]*bargiri[[#This Row],[مقدار]])&lt;0,0,bargiri[[#This Row],[مبلغ ناخالص]]-(bargiri[[#This Row],[نرخ استهلاک]]*bargiri[[#This Row],[مقدار]]))</f>
        <v>#N/A</v>
      </c>
    </row>
    <row r="2544" spans="1:17" s="22" customFormat="1" ht="13.8" x14ac:dyDescent="0.25">
      <c r="A2544" s="22">
        <v>257</v>
      </c>
      <c r="B2544" s="22" t="s">
        <v>571</v>
      </c>
      <c r="C2544" s="22" t="s">
        <v>22</v>
      </c>
      <c r="D2544" s="22" t="s">
        <v>20</v>
      </c>
      <c r="E2544" s="158">
        <v>18510</v>
      </c>
      <c r="F2544" s="159">
        <v>50000</v>
      </c>
      <c r="G2544" s="159">
        <v>925500000</v>
      </c>
      <c r="H2544" s="159">
        <v>83295000</v>
      </c>
      <c r="I2544" s="159">
        <v>1008795000</v>
      </c>
      <c r="J2544" s="159" t="e">
        <f>bargiri[[#This Row],[مقدار]]*INDEX(invoice[پیش دریافت به ازای هر کیلوگرم],MATCH(bargiri[[#This Row],[شماره سند مبنا]],invoice[شماره پیش فاکتور],0))</f>
        <v>#N/A</v>
      </c>
      <c r="K2544" s="159" t="e">
        <f>bargiri[[#This Row],[مبلغ خالص]]-bargiri[[#This Row],[میزان استهلاک پیش دریافتی]]</f>
        <v>#N/A</v>
      </c>
      <c r="L2544" s="160"/>
      <c r="M2544" s="159"/>
      <c r="N2544" s="159" t="e">
        <f>IF(bargiri[[#This Row],[مبلغ واریزی]]&lt;&gt;"",bargiri[[#This Row],[مانده مبلغ]]-bargiri[[#This Row],[مبلغ واریزی]],bargiri[[#This Row],[مانده مبلغ]])</f>
        <v>#N/A</v>
      </c>
      <c r="O2544" s="159"/>
      <c r="P2544" s="159" t="e">
        <f>VLOOKUP(bargiri[[#This Row],[شماره سند مبنا]],invoice[[شماره پیش فاکتور]:[پیش دریافت به ازای هر کیلوگرم]],14,0)</f>
        <v>#N/A</v>
      </c>
      <c r="Q2544" s="159" t="e">
        <f>IF(bargiri[[#This Row],[مبلغ ناخالص]]-(bargiri[[#This Row],[نرخ استهلاک]]*bargiri[[#This Row],[مقدار]])&lt;0,0,bargiri[[#This Row],[مبلغ ناخالص]]-(bargiri[[#This Row],[نرخ استهلاک]]*bargiri[[#This Row],[مقدار]]))</f>
        <v>#N/A</v>
      </c>
    </row>
    <row r="2545" spans="1:17" s="22" customFormat="1" ht="13.8" x14ac:dyDescent="0.25">
      <c r="A2545" s="22">
        <v>256</v>
      </c>
      <c r="B2545" s="22" t="s">
        <v>566</v>
      </c>
      <c r="C2545" s="22" t="s">
        <v>83</v>
      </c>
      <c r="D2545" s="22" t="s">
        <v>35</v>
      </c>
      <c r="E2545" s="158">
        <v>7410</v>
      </c>
      <c r="F2545" s="159">
        <v>90000</v>
      </c>
      <c r="G2545" s="159">
        <v>666900000</v>
      </c>
      <c r="H2545" s="159">
        <v>66690000</v>
      </c>
      <c r="I2545" s="159">
        <v>733590000</v>
      </c>
      <c r="J2545" s="159" t="e">
        <f>bargiri[[#This Row],[مقدار]]*INDEX(invoice[پیش دریافت به ازای هر کیلوگرم],MATCH(bargiri[[#This Row],[شماره سند مبنا]],invoice[شماره پیش فاکتور],0))</f>
        <v>#N/A</v>
      </c>
      <c r="K2545" s="159" t="e">
        <f>bargiri[[#This Row],[مبلغ خالص]]-bargiri[[#This Row],[میزان استهلاک پیش دریافتی]]</f>
        <v>#N/A</v>
      </c>
      <c r="L2545" s="160"/>
      <c r="M2545" s="159"/>
      <c r="N2545" s="159" t="e">
        <f>IF(bargiri[[#This Row],[مبلغ واریزی]]&lt;&gt;"",bargiri[[#This Row],[مانده مبلغ]]-bargiri[[#This Row],[مبلغ واریزی]],bargiri[[#This Row],[مانده مبلغ]])</f>
        <v>#N/A</v>
      </c>
      <c r="O2545" s="159"/>
      <c r="P2545" s="159" t="e">
        <f>VLOOKUP(bargiri[[#This Row],[شماره سند مبنا]],invoice[[شماره پیش فاکتور]:[پیش دریافت به ازای هر کیلوگرم]],14,0)</f>
        <v>#N/A</v>
      </c>
      <c r="Q2545" s="159" t="e">
        <f>IF(bargiri[[#This Row],[مبلغ ناخالص]]-(bargiri[[#This Row],[نرخ استهلاک]]*bargiri[[#This Row],[مقدار]])&lt;0,0,bargiri[[#This Row],[مبلغ ناخالص]]-(bargiri[[#This Row],[نرخ استهلاک]]*bargiri[[#This Row],[مقدار]]))</f>
        <v>#N/A</v>
      </c>
    </row>
    <row r="2546" spans="1:17" s="22" customFormat="1" ht="13.8" x14ac:dyDescent="0.25">
      <c r="A2546" s="22">
        <v>255</v>
      </c>
      <c r="B2546" s="22" t="s">
        <v>572</v>
      </c>
      <c r="C2546" s="22" t="s">
        <v>75</v>
      </c>
      <c r="D2546" s="22" t="s">
        <v>73</v>
      </c>
      <c r="E2546" s="158">
        <v>20600</v>
      </c>
      <c r="F2546" s="159">
        <v>56881</v>
      </c>
      <c r="G2546" s="159">
        <v>1171748600</v>
      </c>
      <c r="H2546" s="159">
        <v>105457374</v>
      </c>
      <c r="I2546" s="159">
        <v>1277205974</v>
      </c>
      <c r="J2546" s="159" t="e">
        <f>bargiri[[#This Row],[مقدار]]*INDEX(invoice[پیش دریافت به ازای هر کیلوگرم],MATCH(bargiri[[#This Row],[شماره سند مبنا]],invoice[شماره پیش فاکتور],0))</f>
        <v>#N/A</v>
      </c>
      <c r="K2546" s="159" t="e">
        <f>bargiri[[#This Row],[مبلغ خالص]]-bargiri[[#This Row],[میزان استهلاک پیش دریافتی]]</f>
        <v>#N/A</v>
      </c>
      <c r="L2546" s="160"/>
      <c r="M2546" s="159"/>
      <c r="N2546" s="159" t="e">
        <f>IF(bargiri[[#This Row],[مبلغ واریزی]]&lt;&gt;"",bargiri[[#This Row],[مانده مبلغ]]-bargiri[[#This Row],[مبلغ واریزی]],bargiri[[#This Row],[مانده مبلغ]])</f>
        <v>#N/A</v>
      </c>
      <c r="O2546" s="159"/>
      <c r="P2546" s="159" t="e">
        <f>VLOOKUP(bargiri[[#This Row],[شماره سند مبنا]],invoice[[شماره پیش فاکتور]:[پیش دریافت به ازای هر کیلوگرم]],14,0)</f>
        <v>#N/A</v>
      </c>
      <c r="Q2546" s="159" t="e">
        <f>IF(bargiri[[#This Row],[مبلغ ناخالص]]-(bargiri[[#This Row],[نرخ استهلاک]]*bargiri[[#This Row],[مقدار]])&lt;0,0,bargiri[[#This Row],[مبلغ ناخالص]]-(bargiri[[#This Row],[نرخ استهلاک]]*bargiri[[#This Row],[مقدار]]))</f>
        <v>#N/A</v>
      </c>
    </row>
    <row r="2547" spans="1:17" s="22" customFormat="1" ht="13.8" x14ac:dyDescent="0.25">
      <c r="A2547" s="22">
        <v>254</v>
      </c>
      <c r="B2547" s="22" t="s">
        <v>572</v>
      </c>
      <c r="C2547" s="22" t="s">
        <v>75</v>
      </c>
      <c r="D2547" s="22" t="s">
        <v>73</v>
      </c>
      <c r="E2547" s="158">
        <v>20990</v>
      </c>
      <c r="F2547" s="159">
        <v>56881</v>
      </c>
      <c r="G2547" s="159">
        <v>1193932190</v>
      </c>
      <c r="H2547" s="159">
        <v>107453897</v>
      </c>
      <c r="I2547" s="159">
        <v>1301386087</v>
      </c>
      <c r="J2547" s="159" t="e">
        <f>bargiri[[#This Row],[مقدار]]*INDEX(invoice[پیش دریافت به ازای هر کیلوگرم],MATCH(bargiri[[#This Row],[شماره سند مبنا]],invoice[شماره پیش فاکتور],0))</f>
        <v>#N/A</v>
      </c>
      <c r="K2547" s="159" t="e">
        <f>bargiri[[#This Row],[مبلغ خالص]]-bargiri[[#This Row],[میزان استهلاک پیش دریافتی]]</f>
        <v>#N/A</v>
      </c>
      <c r="L2547" s="160"/>
      <c r="M2547" s="159"/>
      <c r="N2547" s="159" t="e">
        <f>IF(bargiri[[#This Row],[مبلغ واریزی]]&lt;&gt;"",bargiri[[#This Row],[مانده مبلغ]]-bargiri[[#This Row],[مبلغ واریزی]],bargiri[[#This Row],[مانده مبلغ]])</f>
        <v>#N/A</v>
      </c>
      <c r="O2547" s="159"/>
      <c r="P2547" s="159" t="e">
        <f>VLOOKUP(bargiri[[#This Row],[شماره سند مبنا]],invoice[[شماره پیش فاکتور]:[پیش دریافت به ازای هر کیلوگرم]],14,0)</f>
        <v>#N/A</v>
      </c>
      <c r="Q2547" s="159" t="e">
        <f>IF(bargiri[[#This Row],[مبلغ ناخالص]]-(bargiri[[#This Row],[نرخ استهلاک]]*bargiri[[#This Row],[مقدار]])&lt;0,0,bargiri[[#This Row],[مبلغ ناخالص]]-(bargiri[[#This Row],[نرخ استهلاک]]*bargiri[[#This Row],[مقدار]]))</f>
        <v>#N/A</v>
      </c>
    </row>
    <row r="2548" spans="1:17" s="22" customFormat="1" ht="13.8" x14ac:dyDescent="0.25">
      <c r="A2548" s="22">
        <v>253</v>
      </c>
      <c r="B2548" s="22" t="s">
        <v>572</v>
      </c>
      <c r="C2548" s="22" t="s">
        <v>75</v>
      </c>
      <c r="D2548" s="22" t="s">
        <v>73</v>
      </c>
      <c r="E2548" s="158">
        <v>20410</v>
      </c>
      <c r="F2548" s="159">
        <v>56881</v>
      </c>
      <c r="G2548" s="159">
        <v>1160941210</v>
      </c>
      <c r="H2548" s="159">
        <v>104484709</v>
      </c>
      <c r="I2548" s="159">
        <v>1265425919</v>
      </c>
      <c r="J2548" s="159" t="e">
        <f>bargiri[[#This Row],[مقدار]]*INDEX(invoice[پیش دریافت به ازای هر کیلوگرم],MATCH(bargiri[[#This Row],[شماره سند مبنا]],invoice[شماره پیش فاکتور],0))</f>
        <v>#N/A</v>
      </c>
      <c r="K2548" s="159" t="e">
        <f>bargiri[[#This Row],[مبلغ خالص]]-bargiri[[#This Row],[میزان استهلاک پیش دریافتی]]</f>
        <v>#N/A</v>
      </c>
      <c r="L2548" s="160"/>
      <c r="M2548" s="159"/>
      <c r="N2548" s="159" t="e">
        <f>IF(bargiri[[#This Row],[مبلغ واریزی]]&lt;&gt;"",bargiri[[#This Row],[مانده مبلغ]]-bargiri[[#This Row],[مبلغ واریزی]],bargiri[[#This Row],[مانده مبلغ]])</f>
        <v>#N/A</v>
      </c>
      <c r="O2548" s="159"/>
      <c r="P2548" s="159" t="e">
        <f>VLOOKUP(bargiri[[#This Row],[شماره سند مبنا]],invoice[[شماره پیش فاکتور]:[پیش دریافت به ازای هر کیلوگرم]],14,0)</f>
        <v>#N/A</v>
      </c>
      <c r="Q2548" s="159" t="e">
        <f>IF(bargiri[[#This Row],[مبلغ ناخالص]]-(bargiri[[#This Row],[نرخ استهلاک]]*bargiri[[#This Row],[مقدار]])&lt;0,0,bargiri[[#This Row],[مبلغ ناخالص]]-(bargiri[[#This Row],[نرخ استهلاک]]*bargiri[[#This Row],[مقدار]]))</f>
        <v>#N/A</v>
      </c>
    </row>
    <row r="2549" spans="1:17" s="22" customFormat="1" ht="13.8" x14ac:dyDescent="0.25">
      <c r="A2549" s="22">
        <v>252</v>
      </c>
      <c r="B2549" s="22" t="s">
        <v>572</v>
      </c>
      <c r="C2549" s="22" t="s">
        <v>75</v>
      </c>
      <c r="D2549" s="22" t="s">
        <v>73</v>
      </c>
      <c r="E2549" s="158">
        <v>20650</v>
      </c>
      <c r="F2549" s="159">
        <v>56881</v>
      </c>
      <c r="G2549" s="159">
        <v>1174592650</v>
      </c>
      <c r="H2549" s="159">
        <v>105713339</v>
      </c>
      <c r="I2549" s="159">
        <v>1280305989</v>
      </c>
      <c r="J2549" s="159" t="e">
        <f>bargiri[[#This Row],[مقدار]]*INDEX(invoice[پیش دریافت به ازای هر کیلوگرم],MATCH(bargiri[[#This Row],[شماره سند مبنا]],invoice[شماره پیش فاکتور],0))</f>
        <v>#N/A</v>
      </c>
      <c r="K2549" s="159" t="e">
        <f>bargiri[[#This Row],[مبلغ خالص]]-bargiri[[#This Row],[میزان استهلاک پیش دریافتی]]</f>
        <v>#N/A</v>
      </c>
      <c r="L2549" s="160"/>
      <c r="M2549" s="159"/>
      <c r="N2549" s="159" t="e">
        <f>IF(bargiri[[#This Row],[مبلغ واریزی]]&lt;&gt;"",bargiri[[#This Row],[مانده مبلغ]]-bargiri[[#This Row],[مبلغ واریزی]],bargiri[[#This Row],[مانده مبلغ]])</f>
        <v>#N/A</v>
      </c>
      <c r="O2549" s="159"/>
      <c r="P2549" s="159" t="e">
        <f>VLOOKUP(bargiri[[#This Row],[شماره سند مبنا]],invoice[[شماره پیش فاکتور]:[پیش دریافت به ازای هر کیلوگرم]],14,0)</f>
        <v>#N/A</v>
      </c>
      <c r="Q2549" s="159" t="e">
        <f>IF(bargiri[[#This Row],[مبلغ ناخالص]]-(bargiri[[#This Row],[نرخ استهلاک]]*bargiri[[#This Row],[مقدار]])&lt;0,0,bargiri[[#This Row],[مبلغ ناخالص]]-(bargiri[[#This Row],[نرخ استهلاک]]*bargiri[[#This Row],[مقدار]]))</f>
        <v>#N/A</v>
      </c>
    </row>
    <row r="2550" spans="1:17" s="22" customFormat="1" ht="13.8" x14ac:dyDescent="0.25">
      <c r="A2550" s="22">
        <v>251</v>
      </c>
      <c r="B2550" s="22" t="s">
        <v>573</v>
      </c>
      <c r="C2550" s="22" t="s">
        <v>83</v>
      </c>
      <c r="D2550" s="22" t="s">
        <v>35</v>
      </c>
      <c r="E2550" s="158">
        <v>7620</v>
      </c>
      <c r="F2550" s="159">
        <v>90000</v>
      </c>
      <c r="G2550" s="159">
        <v>685800000</v>
      </c>
      <c r="H2550" s="159">
        <v>68580000</v>
      </c>
      <c r="I2550" s="159">
        <v>754380000</v>
      </c>
      <c r="J2550" s="159" t="e">
        <f>bargiri[[#This Row],[مقدار]]*INDEX(invoice[پیش دریافت به ازای هر کیلوگرم],MATCH(bargiri[[#This Row],[شماره سند مبنا]],invoice[شماره پیش فاکتور],0))</f>
        <v>#N/A</v>
      </c>
      <c r="K2550" s="159" t="e">
        <f>bargiri[[#This Row],[مبلغ خالص]]-bargiri[[#This Row],[میزان استهلاک پیش دریافتی]]</f>
        <v>#N/A</v>
      </c>
      <c r="L2550" s="160"/>
      <c r="M2550" s="159"/>
      <c r="N2550" s="159" t="e">
        <f>IF(bargiri[[#This Row],[مبلغ واریزی]]&lt;&gt;"",bargiri[[#This Row],[مانده مبلغ]]-bargiri[[#This Row],[مبلغ واریزی]],bargiri[[#This Row],[مانده مبلغ]])</f>
        <v>#N/A</v>
      </c>
      <c r="O2550" s="159"/>
      <c r="P2550" s="159" t="e">
        <f>VLOOKUP(bargiri[[#This Row],[شماره سند مبنا]],invoice[[شماره پیش فاکتور]:[پیش دریافت به ازای هر کیلوگرم]],14,0)</f>
        <v>#N/A</v>
      </c>
      <c r="Q2550" s="159" t="e">
        <f>IF(bargiri[[#This Row],[مبلغ ناخالص]]-(bargiri[[#This Row],[نرخ استهلاک]]*bargiri[[#This Row],[مقدار]])&lt;0,0,bargiri[[#This Row],[مبلغ ناخالص]]-(bargiri[[#This Row],[نرخ استهلاک]]*bargiri[[#This Row],[مقدار]]))</f>
        <v>#N/A</v>
      </c>
    </row>
    <row r="2551" spans="1:17" s="22" customFormat="1" ht="13.8" x14ac:dyDescent="0.25">
      <c r="A2551" s="22">
        <v>250</v>
      </c>
      <c r="B2551" s="22" t="s">
        <v>573</v>
      </c>
      <c r="C2551" s="22" t="s">
        <v>32</v>
      </c>
      <c r="D2551" s="22" t="s">
        <v>30</v>
      </c>
      <c r="E2551" s="158">
        <v>11990</v>
      </c>
      <c r="F2551" s="159">
        <v>56000</v>
      </c>
      <c r="G2551" s="159">
        <v>671440000</v>
      </c>
      <c r="H2551" s="159">
        <v>60429600</v>
      </c>
      <c r="I2551" s="159">
        <v>731869600</v>
      </c>
      <c r="J2551" s="159" t="e">
        <f>bargiri[[#This Row],[مقدار]]*INDEX(invoice[پیش دریافت به ازای هر کیلوگرم],MATCH(bargiri[[#This Row],[شماره سند مبنا]],invoice[شماره پیش فاکتور],0))</f>
        <v>#N/A</v>
      </c>
      <c r="K2551" s="159" t="e">
        <f>bargiri[[#This Row],[مبلغ خالص]]-bargiri[[#This Row],[میزان استهلاک پیش دریافتی]]</f>
        <v>#N/A</v>
      </c>
      <c r="L2551" s="160"/>
      <c r="M2551" s="159"/>
      <c r="N2551" s="159" t="e">
        <f>IF(bargiri[[#This Row],[مبلغ واریزی]]&lt;&gt;"",bargiri[[#This Row],[مانده مبلغ]]-bargiri[[#This Row],[مبلغ واریزی]],bargiri[[#This Row],[مانده مبلغ]])</f>
        <v>#N/A</v>
      </c>
      <c r="O2551" s="159"/>
      <c r="P2551" s="159" t="e">
        <f>VLOOKUP(bargiri[[#This Row],[شماره سند مبنا]],invoice[[شماره پیش فاکتور]:[پیش دریافت به ازای هر کیلوگرم]],14,0)</f>
        <v>#N/A</v>
      </c>
      <c r="Q2551" s="159" t="e">
        <f>IF(bargiri[[#This Row],[مبلغ ناخالص]]-(bargiri[[#This Row],[نرخ استهلاک]]*bargiri[[#This Row],[مقدار]])&lt;0,0,bargiri[[#This Row],[مبلغ ناخالص]]-(bargiri[[#This Row],[نرخ استهلاک]]*bargiri[[#This Row],[مقدار]]))</f>
        <v>#N/A</v>
      </c>
    </row>
    <row r="2552" spans="1:17" s="22" customFormat="1" ht="13.8" x14ac:dyDescent="0.25">
      <c r="A2552" s="22">
        <v>249</v>
      </c>
      <c r="B2552" s="22" t="s">
        <v>574</v>
      </c>
      <c r="C2552" s="22" t="s">
        <v>66</v>
      </c>
      <c r="D2552" s="22" t="s">
        <v>67</v>
      </c>
      <c r="E2552" s="158">
        <v>20620</v>
      </c>
      <c r="F2552" s="159">
        <v>68500</v>
      </c>
      <c r="G2552" s="159">
        <v>1412470000</v>
      </c>
      <c r="H2552" s="159">
        <v>127122300</v>
      </c>
      <c r="I2552" s="159">
        <v>1539592300</v>
      </c>
      <c r="J2552" s="159" t="e">
        <f>bargiri[[#This Row],[مقدار]]*INDEX(invoice[پیش دریافت به ازای هر کیلوگرم],MATCH(bargiri[[#This Row],[شماره سند مبنا]],invoice[شماره پیش فاکتور],0))</f>
        <v>#N/A</v>
      </c>
      <c r="K2552" s="159" t="e">
        <f>bargiri[[#This Row],[مبلغ خالص]]-bargiri[[#This Row],[میزان استهلاک پیش دریافتی]]</f>
        <v>#N/A</v>
      </c>
      <c r="L2552" s="160"/>
      <c r="M2552" s="159"/>
      <c r="N2552" s="159" t="e">
        <f>IF(bargiri[[#This Row],[مبلغ واریزی]]&lt;&gt;"",bargiri[[#This Row],[مانده مبلغ]]-bargiri[[#This Row],[مبلغ واریزی]],bargiri[[#This Row],[مانده مبلغ]])</f>
        <v>#N/A</v>
      </c>
      <c r="O2552" s="159"/>
      <c r="P2552" s="159" t="e">
        <f>VLOOKUP(bargiri[[#This Row],[شماره سند مبنا]],invoice[[شماره پیش فاکتور]:[پیش دریافت به ازای هر کیلوگرم]],14,0)</f>
        <v>#N/A</v>
      </c>
      <c r="Q2552" s="159" t="e">
        <f>IF(bargiri[[#This Row],[مبلغ ناخالص]]-(bargiri[[#This Row],[نرخ استهلاک]]*bargiri[[#This Row],[مقدار]])&lt;0,0,bargiri[[#This Row],[مبلغ ناخالص]]-(bargiri[[#This Row],[نرخ استهلاک]]*bargiri[[#This Row],[مقدار]]))</f>
        <v>#N/A</v>
      </c>
    </row>
    <row r="2553" spans="1:17" s="22" customFormat="1" ht="13.8" x14ac:dyDescent="0.25">
      <c r="A2553" s="22">
        <v>248</v>
      </c>
      <c r="B2553" s="22" t="s">
        <v>574</v>
      </c>
      <c r="C2553" s="22" t="s">
        <v>75</v>
      </c>
      <c r="D2553" s="22" t="s">
        <v>73</v>
      </c>
      <c r="E2553" s="158">
        <v>21080</v>
      </c>
      <c r="F2553" s="159">
        <v>56881</v>
      </c>
      <c r="G2553" s="159">
        <v>1199051480</v>
      </c>
      <c r="H2553" s="159">
        <v>107914633</v>
      </c>
      <c r="I2553" s="159">
        <v>1306966113</v>
      </c>
      <c r="J2553" s="159" t="e">
        <f>bargiri[[#This Row],[مقدار]]*INDEX(invoice[پیش دریافت به ازای هر کیلوگرم],MATCH(bargiri[[#This Row],[شماره سند مبنا]],invoice[شماره پیش فاکتور],0))</f>
        <v>#N/A</v>
      </c>
      <c r="K2553" s="159" t="e">
        <f>bargiri[[#This Row],[مبلغ خالص]]-bargiri[[#This Row],[میزان استهلاک پیش دریافتی]]</f>
        <v>#N/A</v>
      </c>
      <c r="L2553" s="160"/>
      <c r="M2553" s="159"/>
      <c r="N2553" s="159" t="e">
        <f>IF(bargiri[[#This Row],[مبلغ واریزی]]&lt;&gt;"",bargiri[[#This Row],[مانده مبلغ]]-bargiri[[#This Row],[مبلغ واریزی]],bargiri[[#This Row],[مانده مبلغ]])</f>
        <v>#N/A</v>
      </c>
      <c r="O2553" s="159"/>
      <c r="P2553" s="159" t="e">
        <f>VLOOKUP(bargiri[[#This Row],[شماره سند مبنا]],invoice[[شماره پیش فاکتور]:[پیش دریافت به ازای هر کیلوگرم]],14,0)</f>
        <v>#N/A</v>
      </c>
      <c r="Q2553" s="159" t="e">
        <f>IF(bargiri[[#This Row],[مبلغ ناخالص]]-(bargiri[[#This Row],[نرخ استهلاک]]*bargiri[[#This Row],[مقدار]])&lt;0,0,bargiri[[#This Row],[مبلغ ناخالص]]-(bargiri[[#This Row],[نرخ استهلاک]]*bargiri[[#This Row],[مقدار]]))</f>
        <v>#N/A</v>
      </c>
    </row>
    <row r="2554" spans="1:17" s="22" customFormat="1" ht="13.8" x14ac:dyDescent="0.25">
      <c r="A2554" s="22">
        <v>247</v>
      </c>
      <c r="B2554" s="22" t="s">
        <v>574</v>
      </c>
      <c r="C2554" s="22" t="s">
        <v>75</v>
      </c>
      <c r="D2554" s="22" t="s">
        <v>73</v>
      </c>
      <c r="E2554" s="158">
        <v>20170</v>
      </c>
      <c r="F2554" s="159">
        <v>56881</v>
      </c>
      <c r="G2554" s="159">
        <v>1147289770</v>
      </c>
      <c r="H2554" s="159">
        <v>103256079</v>
      </c>
      <c r="I2554" s="159">
        <v>1250545849</v>
      </c>
      <c r="J2554" s="159" t="e">
        <f>bargiri[[#This Row],[مقدار]]*INDEX(invoice[پیش دریافت به ازای هر کیلوگرم],MATCH(bargiri[[#This Row],[شماره سند مبنا]],invoice[شماره پیش فاکتور],0))</f>
        <v>#N/A</v>
      </c>
      <c r="K2554" s="159" t="e">
        <f>bargiri[[#This Row],[مبلغ خالص]]-bargiri[[#This Row],[میزان استهلاک پیش دریافتی]]</f>
        <v>#N/A</v>
      </c>
      <c r="L2554" s="160"/>
      <c r="M2554" s="159"/>
      <c r="N2554" s="159" t="e">
        <f>IF(bargiri[[#This Row],[مبلغ واریزی]]&lt;&gt;"",bargiri[[#This Row],[مانده مبلغ]]-bargiri[[#This Row],[مبلغ واریزی]],bargiri[[#This Row],[مانده مبلغ]])</f>
        <v>#N/A</v>
      </c>
      <c r="O2554" s="159"/>
      <c r="P2554" s="159" t="e">
        <f>VLOOKUP(bargiri[[#This Row],[شماره سند مبنا]],invoice[[شماره پیش فاکتور]:[پیش دریافت به ازای هر کیلوگرم]],14,0)</f>
        <v>#N/A</v>
      </c>
      <c r="Q2554" s="159" t="e">
        <f>IF(bargiri[[#This Row],[مبلغ ناخالص]]-(bargiri[[#This Row],[نرخ استهلاک]]*bargiri[[#This Row],[مقدار]])&lt;0,0,bargiri[[#This Row],[مبلغ ناخالص]]-(bargiri[[#This Row],[نرخ استهلاک]]*bargiri[[#This Row],[مقدار]]))</f>
        <v>#N/A</v>
      </c>
    </row>
    <row r="2555" spans="1:17" s="22" customFormat="1" ht="13.8" x14ac:dyDescent="0.25">
      <c r="A2555" s="22">
        <v>246</v>
      </c>
      <c r="B2555" s="22" t="s">
        <v>574</v>
      </c>
      <c r="C2555" s="22" t="s">
        <v>66</v>
      </c>
      <c r="D2555" s="22" t="s">
        <v>67</v>
      </c>
      <c r="E2555" s="158">
        <v>20220</v>
      </c>
      <c r="F2555" s="159">
        <v>68500</v>
      </c>
      <c r="G2555" s="159">
        <v>1385070000</v>
      </c>
      <c r="H2555" s="159">
        <v>124656300</v>
      </c>
      <c r="I2555" s="159">
        <v>1509726300</v>
      </c>
      <c r="J2555" s="159" t="e">
        <f>bargiri[[#This Row],[مقدار]]*INDEX(invoice[پیش دریافت به ازای هر کیلوگرم],MATCH(bargiri[[#This Row],[شماره سند مبنا]],invoice[شماره پیش فاکتور],0))</f>
        <v>#N/A</v>
      </c>
      <c r="K2555" s="159" t="e">
        <f>bargiri[[#This Row],[مبلغ خالص]]-bargiri[[#This Row],[میزان استهلاک پیش دریافتی]]</f>
        <v>#N/A</v>
      </c>
      <c r="L2555" s="160"/>
      <c r="M2555" s="159"/>
      <c r="N2555" s="159" t="e">
        <f>IF(bargiri[[#This Row],[مبلغ واریزی]]&lt;&gt;"",bargiri[[#This Row],[مانده مبلغ]]-bargiri[[#This Row],[مبلغ واریزی]],bargiri[[#This Row],[مانده مبلغ]])</f>
        <v>#N/A</v>
      </c>
      <c r="O2555" s="159"/>
      <c r="P2555" s="159" t="e">
        <f>VLOOKUP(bargiri[[#This Row],[شماره سند مبنا]],invoice[[شماره پیش فاکتور]:[پیش دریافت به ازای هر کیلوگرم]],14,0)</f>
        <v>#N/A</v>
      </c>
      <c r="Q2555" s="159" t="e">
        <f>IF(bargiri[[#This Row],[مبلغ ناخالص]]-(bargiri[[#This Row],[نرخ استهلاک]]*bargiri[[#This Row],[مقدار]])&lt;0,0,bargiri[[#This Row],[مبلغ ناخالص]]-(bargiri[[#This Row],[نرخ استهلاک]]*bargiri[[#This Row],[مقدار]]))</f>
        <v>#N/A</v>
      </c>
    </row>
    <row r="2556" spans="1:17" s="22" customFormat="1" ht="13.8" x14ac:dyDescent="0.25">
      <c r="A2556" s="22">
        <v>245</v>
      </c>
      <c r="B2556" s="22" t="s">
        <v>574</v>
      </c>
      <c r="C2556" s="22" t="s">
        <v>16</v>
      </c>
      <c r="D2556" s="22" t="s">
        <v>17</v>
      </c>
      <c r="E2556" s="158">
        <v>23110</v>
      </c>
      <c r="F2556" s="159">
        <v>77000</v>
      </c>
      <c r="G2556" s="159">
        <v>1779470000</v>
      </c>
      <c r="H2556" s="159">
        <v>160152300</v>
      </c>
      <c r="I2556" s="159">
        <v>1939622300</v>
      </c>
      <c r="J2556" s="159" t="e">
        <f>bargiri[[#This Row],[مقدار]]*INDEX(invoice[پیش دریافت به ازای هر کیلوگرم],MATCH(bargiri[[#This Row],[شماره سند مبنا]],invoice[شماره پیش فاکتور],0))</f>
        <v>#N/A</v>
      </c>
      <c r="K2556" s="159" t="e">
        <f>bargiri[[#This Row],[مبلغ خالص]]-bargiri[[#This Row],[میزان استهلاک پیش دریافتی]]</f>
        <v>#N/A</v>
      </c>
      <c r="L2556" s="160"/>
      <c r="M2556" s="159"/>
      <c r="N2556" s="159" t="e">
        <f>IF(bargiri[[#This Row],[مبلغ واریزی]]&lt;&gt;"",bargiri[[#This Row],[مانده مبلغ]]-bargiri[[#This Row],[مبلغ واریزی]],bargiri[[#This Row],[مانده مبلغ]])</f>
        <v>#N/A</v>
      </c>
      <c r="O2556" s="159"/>
      <c r="P2556" s="159" t="e">
        <f>VLOOKUP(bargiri[[#This Row],[شماره سند مبنا]],invoice[[شماره پیش فاکتور]:[پیش دریافت به ازای هر کیلوگرم]],14,0)</f>
        <v>#N/A</v>
      </c>
      <c r="Q2556" s="159" t="e">
        <f>IF(bargiri[[#This Row],[مبلغ ناخالص]]-(bargiri[[#This Row],[نرخ استهلاک]]*bargiri[[#This Row],[مقدار]])&lt;0,0,bargiri[[#This Row],[مبلغ ناخالص]]-(bargiri[[#This Row],[نرخ استهلاک]]*bargiri[[#This Row],[مقدار]]))</f>
        <v>#N/A</v>
      </c>
    </row>
    <row r="2557" spans="1:17" s="22" customFormat="1" ht="13.8" x14ac:dyDescent="0.25">
      <c r="A2557" s="22">
        <v>244</v>
      </c>
      <c r="B2557" s="22" t="s">
        <v>574</v>
      </c>
      <c r="C2557" s="22" t="s">
        <v>83</v>
      </c>
      <c r="D2557" s="22" t="s">
        <v>35</v>
      </c>
      <c r="E2557" s="158">
        <v>7540</v>
      </c>
      <c r="F2557" s="159">
        <v>90000</v>
      </c>
      <c r="G2557" s="159">
        <v>678600000</v>
      </c>
      <c r="H2557" s="159">
        <v>67860000</v>
      </c>
      <c r="I2557" s="159">
        <v>746460000</v>
      </c>
      <c r="J2557" s="159" t="e">
        <f>bargiri[[#This Row],[مقدار]]*INDEX(invoice[پیش دریافت به ازای هر کیلوگرم],MATCH(bargiri[[#This Row],[شماره سند مبنا]],invoice[شماره پیش فاکتور],0))</f>
        <v>#N/A</v>
      </c>
      <c r="K2557" s="159" t="e">
        <f>bargiri[[#This Row],[مبلغ خالص]]-bargiri[[#This Row],[میزان استهلاک پیش دریافتی]]</f>
        <v>#N/A</v>
      </c>
      <c r="L2557" s="160"/>
      <c r="M2557" s="159"/>
      <c r="N2557" s="159" t="e">
        <f>IF(bargiri[[#This Row],[مبلغ واریزی]]&lt;&gt;"",bargiri[[#This Row],[مانده مبلغ]]-bargiri[[#This Row],[مبلغ واریزی]],bargiri[[#This Row],[مانده مبلغ]])</f>
        <v>#N/A</v>
      </c>
      <c r="O2557" s="159"/>
      <c r="P2557" s="159" t="e">
        <f>VLOOKUP(bargiri[[#This Row],[شماره سند مبنا]],invoice[[شماره پیش فاکتور]:[پیش دریافت به ازای هر کیلوگرم]],14,0)</f>
        <v>#N/A</v>
      </c>
      <c r="Q2557" s="159" t="e">
        <f>IF(bargiri[[#This Row],[مبلغ ناخالص]]-(bargiri[[#This Row],[نرخ استهلاک]]*bargiri[[#This Row],[مقدار]])&lt;0,0,bargiri[[#This Row],[مبلغ ناخالص]]-(bargiri[[#This Row],[نرخ استهلاک]]*bargiri[[#This Row],[مقدار]]))</f>
        <v>#N/A</v>
      </c>
    </row>
    <row r="2558" spans="1:17" s="22" customFormat="1" ht="13.8" x14ac:dyDescent="0.25">
      <c r="A2558" s="22">
        <v>243</v>
      </c>
      <c r="B2558" s="22" t="s">
        <v>23</v>
      </c>
      <c r="C2558" s="22" t="s">
        <v>83</v>
      </c>
      <c r="D2558" s="22" t="s">
        <v>35</v>
      </c>
      <c r="E2558" s="158">
        <v>7290</v>
      </c>
      <c r="F2558" s="159">
        <v>90000</v>
      </c>
      <c r="G2558" s="159">
        <v>656100000</v>
      </c>
      <c r="H2558" s="159">
        <v>65610000</v>
      </c>
      <c r="I2558" s="159">
        <v>721710000</v>
      </c>
      <c r="J2558" s="159" t="e">
        <f>bargiri[[#This Row],[مقدار]]*INDEX(invoice[پیش دریافت به ازای هر کیلوگرم],MATCH(bargiri[[#This Row],[شماره سند مبنا]],invoice[شماره پیش فاکتور],0))</f>
        <v>#N/A</v>
      </c>
      <c r="K2558" s="159" t="e">
        <f>bargiri[[#This Row],[مبلغ خالص]]-bargiri[[#This Row],[میزان استهلاک پیش دریافتی]]</f>
        <v>#N/A</v>
      </c>
      <c r="L2558" s="160"/>
      <c r="M2558" s="159"/>
      <c r="N2558" s="159" t="e">
        <f>IF(bargiri[[#This Row],[مبلغ واریزی]]&lt;&gt;"",bargiri[[#This Row],[مانده مبلغ]]-bargiri[[#This Row],[مبلغ واریزی]],bargiri[[#This Row],[مانده مبلغ]])</f>
        <v>#N/A</v>
      </c>
      <c r="O2558" s="159"/>
      <c r="P2558" s="159" t="e">
        <f>VLOOKUP(bargiri[[#This Row],[شماره سند مبنا]],invoice[[شماره پیش فاکتور]:[پیش دریافت به ازای هر کیلوگرم]],14,0)</f>
        <v>#N/A</v>
      </c>
      <c r="Q2558" s="159" t="e">
        <f>IF(bargiri[[#This Row],[مبلغ ناخالص]]-(bargiri[[#This Row],[نرخ استهلاک]]*bargiri[[#This Row],[مقدار]])&lt;0,0,bargiri[[#This Row],[مبلغ ناخالص]]-(bargiri[[#This Row],[نرخ استهلاک]]*bargiri[[#This Row],[مقدار]]))</f>
        <v>#N/A</v>
      </c>
    </row>
    <row r="2559" spans="1:17" s="22" customFormat="1" ht="13.8" x14ac:dyDescent="0.25">
      <c r="A2559" s="22">
        <v>242</v>
      </c>
      <c r="B2559" s="22" t="s">
        <v>23</v>
      </c>
      <c r="C2559" s="22" t="s">
        <v>22</v>
      </c>
      <c r="D2559" s="22" t="s">
        <v>20</v>
      </c>
      <c r="E2559" s="158">
        <v>18210</v>
      </c>
      <c r="F2559" s="159">
        <v>50000</v>
      </c>
      <c r="G2559" s="159">
        <v>910500000</v>
      </c>
      <c r="H2559" s="159">
        <v>81945000</v>
      </c>
      <c r="I2559" s="159">
        <v>992445000</v>
      </c>
      <c r="J2559" s="159" t="e">
        <f>bargiri[[#This Row],[مقدار]]*INDEX(invoice[پیش دریافت به ازای هر کیلوگرم],MATCH(bargiri[[#This Row],[شماره سند مبنا]],invoice[شماره پیش فاکتور],0))</f>
        <v>#N/A</v>
      </c>
      <c r="K2559" s="159" t="e">
        <f>bargiri[[#This Row],[مبلغ خالص]]-bargiri[[#This Row],[میزان استهلاک پیش دریافتی]]</f>
        <v>#N/A</v>
      </c>
      <c r="L2559" s="160"/>
      <c r="M2559" s="159"/>
      <c r="N2559" s="159" t="e">
        <f>IF(bargiri[[#This Row],[مبلغ واریزی]]&lt;&gt;"",bargiri[[#This Row],[مانده مبلغ]]-bargiri[[#This Row],[مبلغ واریزی]],bargiri[[#This Row],[مانده مبلغ]])</f>
        <v>#N/A</v>
      </c>
      <c r="O2559" s="159"/>
      <c r="P2559" s="159" t="e">
        <f>VLOOKUP(bargiri[[#This Row],[شماره سند مبنا]],invoice[[شماره پیش فاکتور]:[پیش دریافت به ازای هر کیلوگرم]],14,0)</f>
        <v>#N/A</v>
      </c>
      <c r="Q2559" s="159" t="e">
        <f>IF(bargiri[[#This Row],[مبلغ ناخالص]]-(bargiri[[#This Row],[نرخ استهلاک]]*bargiri[[#This Row],[مقدار]])&lt;0,0,bargiri[[#This Row],[مبلغ ناخالص]]-(bargiri[[#This Row],[نرخ استهلاک]]*bargiri[[#This Row],[مقدار]]))</f>
        <v>#N/A</v>
      </c>
    </row>
    <row r="2560" spans="1:17" s="22" customFormat="1" ht="13.8" x14ac:dyDescent="0.25">
      <c r="A2560" s="22">
        <v>241</v>
      </c>
      <c r="B2560" s="22" t="s">
        <v>52</v>
      </c>
      <c r="C2560" s="22" t="s">
        <v>83</v>
      </c>
      <c r="D2560" s="22" t="s">
        <v>35</v>
      </c>
      <c r="E2560" s="158">
        <v>7510</v>
      </c>
      <c r="F2560" s="159">
        <v>90000</v>
      </c>
      <c r="G2560" s="159">
        <v>675900000</v>
      </c>
      <c r="H2560" s="159">
        <v>67590000</v>
      </c>
      <c r="I2560" s="159">
        <v>743490000</v>
      </c>
      <c r="J2560" s="159" t="e">
        <f>bargiri[[#This Row],[مقدار]]*INDEX(invoice[پیش دریافت به ازای هر کیلوگرم],MATCH(bargiri[[#This Row],[شماره سند مبنا]],invoice[شماره پیش فاکتور],0))</f>
        <v>#N/A</v>
      </c>
      <c r="K2560" s="159" t="e">
        <f>bargiri[[#This Row],[مبلغ خالص]]-bargiri[[#This Row],[میزان استهلاک پیش دریافتی]]</f>
        <v>#N/A</v>
      </c>
      <c r="L2560" s="160"/>
      <c r="M2560" s="159"/>
      <c r="N2560" s="159" t="e">
        <f>IF(bargiri[[#This Row],[مبلغ واریزی]]&lt;&gt;"",bargiri[[#This Row],[مانده مبلغ]]-bargiri[[#This Row],[مبلغ واریزی]],bargiri[[#This Row],[مانده مبلغ]])</f>
        <v>#N/A</v>
      </c>
      <c r="O2560" s="159"/>
      <c r="P2560" s="159" t="e">
        <f>VLOOKUP(bargiri[[#This Row],[شماره سند مبنا]],invoice[[شماره پیش فاکتور]:[پیش دریافت به ازای هر کیلوگرم]],14,0)</f>
        <v>#N/A</v>
      </c>
      <c r="Q2560" s="159" t="e">
        <f>IF(bargiri[[#This Row],[مبلغ ناخالص]]-(bargiri[[#This Row],[نرخ استهلاک]]*bargiri[[#This Row],[مقدار]])&lt;0,0,bargiri[[#This Row],[مبلغ ناخالص]]-(bargiri[[#This Row],[نرخ استهلاک]]*bargiri[[#This Row],[مقدار]]))</f>
        <v>#N/A</v>
      </c>
    </row>
    <row r="2561" spans="1:17" s="22" customFormat="1" ht="13.8" x14ac:dyDescent="0.25">
      <c r="A2561" s="22">
        <v>240</v>
      </c>
      <c r="B2561" s="22" t="s">
        <v>52</v>
      </c>
      <c r="C2561" s="22" t="s">
        <v>83</v>
      </c>
      <c r="D2561" s="22" t="s">
        <v>35</v>
      </c>
      <c r="E2561" s="158">
        <v>7530</v>
      </c>
      <c r="F2561" s="159">
        <v>90000</v>
      </c>
      <c r="G2561" s="159">
        <v>677700000</v>
      </c>
      <c r="H2561" s="159">
        <v>67770000</v>
      </c>
      <c r="I2561" s="159">
        <v>745470000</v>
      </c>
      <c r="J2561" s="159" t="e">
        <f>bargiri[[#This Row],[مقدار]]*INDEX(invoice[پیش دریافت به ازای هر کیلوگرم],MATCH(bargiri[[#This Row],[شماره سند مبنا]],invoice[شماره پیش فاکتور],0))</f>
        <v>#N/A</v>
      </c>
      <c r="K2561" s="159" t="e">
        <f>bargiri[[#This Row],[مبلغ خالص]]-bargiri[[#This Row],[میزان استهلاک پیش دریافتی]]</f>
        <v>#N/A</v>
      </c>
      <c r="L2561" s="160"/>
      <c r="M2561" s="159"/>
      <c r="N2561" s="159" t="e">
        <f>IF(bargiri[[#This Row],[مبلغ واریزی]]&lt;&gt;"",bargiri[[#This Row],[مانده مبلغ]]-bargiri[[#This Row],[مبلغ واریزی]],bargiri[[#This Row],[مانده مبلغ]])</f>
        <v>#N/A</v>
      </c>
      <c r="O2561" s="159"/>
      <c r="P2561" s="159" t="e">
        <f>VLOOKUP(bargiri[[#This Row],[شماره سند مبنا]],invoice[[شماره پیش فاکتور]:[پیش دریافت به ازای هر کیلوگرم]],14,0)</f>
        <v>#N/A</v>
      </c>
      <c r="Q2561" s="159" t="e">
        <f>IF(bargiri[[#This Row],[مبلغ ناخالص]]-(bargiri[[#This Row],[نرخ استهلاک]]*bargiri[[#This Row],[مقدار]])&lt;0,0,bargiri[[#This Row],[مبلغ ناخالص]]-(bargiri[[#This Row],[نرخ استهلاک]]*bargiri[[#This Row],[مقدار]]))</f>
        <v>#N/A</v>
      </c>
    </row>
    <row r="2562" spans="1:17" s="22" customFormat="1" ht="13.8" x14ac:dyDescent="0.25">
      <c r="A2562" s="22">
        <v>239</v>
      </c>
      <c r="B2562" s="22" t="s">
        <v>52</v>
      </c>
      <c r="C2562" s="22" t="s">
        <v>83</v>
      </c>
      <c r="D2562" s="22" t="s">
        <v>35</v>
      </c>
      <c r="E2562" s="158">
        <v>7430</v>
      </c>
      <c r="F2562" s="159">
        <v>90000</v>
      </c>
      <c r="G2562" s="159">
        <v>668700000</v>
      </c>
      <c r="H2562" s="159">
        <v>66870000</v>
      </c>
      <c r="I2562" s="159">
        <v>735570000</v>
      </c>
      <c r="J2562" s="159" t="e">
        <f>bargiri[[#This Row],[مقدار]]*INDEX(invoice[پیش دریافت به ازای هر کیلوگرم],MATCH(bargiri[[#This Row],[شماره سند مبنا]],invoice[شماره پیش فاکتور],0))</f>
        <v>#N/A</v>
      </c>
      <c r="K2562" s="159" t="e">
        <f>bargiri[[#This Row],[مبلغ خالص]]-bargiri[[#This Row],[میزان استهلاک پیش دریافتی]]</f>
        <v>#N/A</v>
      </c>
      <c r="L2562" s="160"/>
      <c r="M2562" s="159"/>
      <c r="N2562" s="159" t="e">
        <f>IF(bargiri[[#This Row],[مبلغ واریزی]]&lt;&gt;"",bargiri[[#This Row],[مانده مبلغ]]-bargiri[[#This Row],[مبلغ واریزی]],bargiri[[#This Row],[مانده مبلغ]])</f>
        <v>#N/A</v>
      </c>
      <c r="O2562" s="159"/>
      <c r="P2562" s="159" t="e">
        <f>VLOOKUP(bargiri[[#This Row],[شماره سند مبنا]],invoice[[شماره پیش فاکتور]:[پیش دریافت به ازای هر کیلوگرم]],14,0)</f>
        <v>#N/A</v>
      </c>
      <c r="Q2562" s="159" t="e">
        <f>IF(bargiri[[#This Row],[مبلغ ناخالص]]-(bargiri[[#This Row],[نرخ استهلاک]]*bargiri[[#This Row],[مقدار]])&lt;0,0,bargiri[[#This Row],[مبلغ ناخالص]]-(bargiri[[#This Row],[نرخ استهلاک]]*bargiri[[#This Row],[مقدار]]))</f>
        <v>#N/A</v>
      </c>
    </row>
    <row r="2563" spans="1:17" s="22" customFormat="1" ht="13.8" x14ac:dyDescent="0.25">
      <c r="A2563" s="22">
        <v>238</v>
      </c>
      <c r="B2563" s="22" t="s">
        <v>52</v>
      </c>
      <c r="C2563" s="22" t="s">
        <v>34</v>
      </c>
      <c r="D2563" s="22" t="s">
        <v>35</v>
      </c>
      <c r="E2563" s="158">
        <v>180</v>
      </c>
      <c r="F2563" s="159">
        <v>80000</v>
      </c>
      <c r="G2563" s="159">
        <v>14400000</v>
      </c>
      <c r="H2563" s="159">
        <v>1440000</v>
      </c>
      <c r="I2563" s="159">
        <v>15840000</v>
      </c>
      <c r="J2563" s="159" t="e">
        <f>bargiri[[#This Row],[مقدار]]*INDEX(invoice[پیش دریافت به ازای هر کیلوگرم],MATCH(bargiri[[#This Row],[شماره سند مبنا]],invoice[شماره پیش فاکتور],0))</f>
        <v>#N/A</v>
      </c>
      <c r="K2563" s="159" t="e">
        <f>bargiri[[#This Row],[مبلغ خالص]]-bargiri[[#This Row],[میزان استهلاک پیش دریافتی]]</f>
        <v>#N/A</v>
      </c>
      <c r="L2563" s="160"/>
      <c r="M2563" s="159"/>
      <c r="N2563" s="159" t="e">
        <f>IF(bargiri[[#This Row],[مبلغ واریزی]]&lt;&gt;"",bargiri[[#This Row],[مانده مبلغ]]-bargiri[[#This Row],[مبلغ واریزی]],bargiri[[#This Row],[مانده مبلغ]])</f>
        <v>#N/A</v>
      </c>
      <c r="O2563" s="159"/>
      <c r="P2563" s="159" t="e">
        <f>VLOOKUP(bargiri[[#This Row],[شماره سند مبنا]],invoice[[شماره پیش فاکتور]:[پیش دریافت به ازای هر کیلوگرم]],14,0)</f>
        <v>#N/A</v>
      </c>
      <c r="Q2563" s="159" t="e">
        <f>IF(bargiri[[#This Row],[مبلغ ناخالص]]-(bargiri[[#This Row],[نرخ استهلاک]]*bargiri[[#This Row],[مقدار]])&lt;0,0,bargiri[[#This Row],[مبلغ ناخالص]]-(bargiri[[#This Row],[نرخ استهلاک]]*bargiri[[#This Row],[مقدار]]))</f>
        <v>#N/A</v>
      </c>
    </row>
    <row r="2564" spans="1:17" s="22" customFormat="1" ht="13.8" x14ac:dyDescent="0.25">
      <c r="A2564" s="22">
        <v>237</v>
      </c>
      <c r="B2564" s="22" t="s">
        <v>52</v>
      </c>
      <c r="C2564" s="22" t="s">
        <v>32</v>
      </c>
      <c r="D2564" s="22" t="s">
        <v>30</v>
      </c>
      <c r="E2564" s="158">
        <v>12160</v>
      </c>
      <c r="F2564" s="159">
        <v>56000</v>
      </c>
      <c r="G2564" s="159">
        <v>680960000</v>
      </c>
      <c r="H2564" s="159">
        <v>61286400</v>
      </c>
      <c r="I2564" s="159">
        <v>742246400</v>
      </c>
      <c r="J2564" s="159" t="e">
        <f>bargiri[[#This Row],[مقدار]]*INDEX(invoice[پیش دریافت به ازای هر کیلوگرم],MATCH(bargiri[[#This Row],[شماره سند مبنا]],invoice[شماره پیش فاکتور],0))</f>
        <v>#N/A</v>
      </c>
      <c r="K2564" s="159" t="e">
        <f>bargiri[[#This Row],[مبلغ خالص]]-bargiri[[#This Row],[میزان استهلاک پیش دریافتی]]</f>
        <v>#N/A</v>
      </c>
      <c r="L2564" s="160"/>
      <c r="M2564" s="159"/>
      <c r="N2564" s="159" t="e">
        <f>IF(bargiri[[#This Row],[مبلغ واریزی]]&lt;&gt;"",bargiri[[#This Row],[مانده مبلغ]]-bargiri[[#This Row],[مبلغ واریزی]],bargiri[[#This Row],[مانده مبلغ]])</f>
        <v>#N/A</v>
      </c>
      <c r="O2564" s="159"/>
      <c r="P2564" s="159" t="e">
        <f>VLOOKUP(bargiri[[#This Row],[شماره سند مبنا]],invoice[[شماره پیش فاکتور]:[پیش دریافت به ازای هر کیلوگرم]],14,0)</f>
        <v>#N/A</v>
      </c>
      <c r="Q2564" s="159" t="e">
        <f>IF(bargiri[[#This Row],[مبلغ ناخالص]]-(bargiri[[#This Row],[نرخ استهلاک]]*bargiri[[#This Row],[مقدار]])&lt;0,0,bargiri[[#This Row],[مبلغ ناخالص]]-(bargiri[[#This Row],[نرخ استهلاک]]*bargiri[[#This Row],[مقدار]]))</f>
        <v>#N/A</v>
      </c>
    </row>
    <row r="2565" spans="1:17" s="22" customFormat="1" ht="13.8" x14ac:dyDescent="0.25">
      <c r="A2565" s="22">
        <v>236</v>
      </c>
      <c r="B2565" s="22" t="s">
        <v>52</v>
      </c>
      <c r="C2565" s="22" t="s">
        <v>16</v>
      </c>
      <c r="D2565" s="22" t="s">
        <v>17</v>
      </c>
      <c r="E2565" s="158">
        <v>22060</v>
      </c>
      <c r="F2565" s="159">
        <v>77000</v>
      </c>
      <c r="G2565" s="159">
        <v>1698620000</v>
      </c>
      <c r="H2565" s="159">
        <v>152875800</v>
      </c>
      <c r="I2565" s="159">
        <v>1851495800</v>
      </c>
      <c r="J2565" s="159" t="e">
        <f>bargiri[[#This Row],[مقدار]]*INDEX(invoice[پیش دریافت به ازای هر کیلوگرم],MATCH(bargiri[[#This Row],[شماره سند مبنا]],invoice[شماره پیش فاکتور],0))</f>
        <v>#N/A</v>
      </c>
      <c r="K2565" s="159" t="e">
        <f>bargiri[[#This Row],[مبلغ خالص]]-bargiri[[#This Row],[میزان استهلاک پیش دریافتی]]</f>
        <v>#N/A</v>
      </c>
      <c r="L2565" s="160"/>
      <c r="M2565" s="159"/>
      <c r="N2565" s="159" t="e">
        <f>IF(bargiri[[#This Row],[مبلغ واریزی]]&lt;&gt;"",bargiri[[#This Row],[مانده مبلغ]]-bargiri[[#This Row],[مبلغ واریزی]],bargiri[[#This Row],[مانده مبلغ]])</f>
        <v>#N/A</v>
      </c>
      <c r="O2565" s="159"/>
      <c r="P2565" s="159" t="e">
        <f>VLOOKUP(bargiri[[#This Row],[شماره سند مبنا]],invoice[[شماره پیش فاکتور]:[پیش دریافت به ازای هر کیلوگرم]],14,0)</f>
        <v>#N/A</v>
      </c>
      <c r="Q2565" s="159" t="e">
        <f>IF(bargiri[[#This Row],[مبلغ ناخالص]]-(bargiri[[#This Row],[نرخ استهلاک]]*bargiri[[#This Row],[مقدار]])&lt;0,0,bargiri[[#This Row],[مبلغ ناخالص]]-(bargiri[[#This Row],[نرخ استهلاک]]*bargiri[[#This Row],[مقدار]]))</f>
        <v>#N/A</v>
      </c>
    </row>
    <row r="2566" spans="1:17" s="22" customFormat="1" ht="13.8" x14ac:dyDescent="0.25">
      <c r="A2566" s="22">
        <v>235</v>
      </c>
      <c r="B2566" s="22" t="s">
        <v>575</v>
      </c>
      <c r="C2566" s="22" t="s">
        <v>34</v>
      </c>
      <c r="D2566" s="22" t="s">
        <v>35</v>
      </c>
      <c r="E2566" s="158">
        <v>7900</v>
      </c>
      <c r="F2566" s="159">
        <v>80000</v>
      </c>
      <c r="G2566" s="159">
        <v>632000000</v>
      </c>
      <c r="H2566" s="159">
        <v>63200000</v>
      </c>
      <c r="I2566" s="159">
        <v>695200000</v>
      </c>
      <c r="J2566" s="159" t="e">
        <f>bargiri[[#This Row],[مقدار]]*INDEX(invoice[پیش دریافت به ازای هر کیلوگرم],MATCH(bargiri[[#This Row],[شماره سند مبنا]],invoice[شماره پیش فاکتور],0))</f>
        <v>#N/A</v>
      </c>
      <c r="K2566" s="159" t="e">
        <f>bargiri[[#This Row],[مبلغ خالص]]-bargiri[[#This Row],[میزان استهلاک پیش دریافتی]]</f>
        <v>#N/A</v>
      </c>
      <c r="L2566" s="160"/>
      <c r="M2566" s="159"/>
      <c r="N2566" s="159" t="e">
        <f>IF(bargiri[[#This Row],[مبلغ واریزی]]&lt;&gt;"",bargiri[[#This Row],[مانده مبلغ]]-bargiri[[#This Row],[مبلغ واریزی]],bargiri[[#This Row],[مانده مبلغ]])</f>
        <v>#N/A</v>
      </c>
      <c r="O2566" s="159"/>
      <c r="P2566" s="159" t="e">
        <f>VLOOKUP(bargiri[[#This Row],[شماره سند مبنا]],invoice[[شماره پیش فاکتور]:[پیش دریافت به ازای هر کیلوگرم]],14,0)</f>
        <v>#N/A</v>
      </c>
      <c r="Q2566" s="159" t="e">
        <f>IF(bargiri[[#This Row],[مبلغ ناخالص]]-(bargiri[[#This Row],[نرخ استهلاک]]*bargiri[[#This Row],[مقدار]])&lt;0,0,bargiri[[#This Row],[مبلغ ناخالص]]-(bargiri[[#This Row],[نرخ استهلاک]]*bargiri[[#This Row],[مقدار]]))</f>
        <v>#N/A</v>
      </c>
    </row>
    <row r="2567" spans="1:17" s="22" customFormat="1" ht="13.8" x14ac:dyDescent="0.25">
      <c r="A2567" s="22">
        <v>234</v>
      </c>
      <c r="B2567" s="22" t="s">
        <v>575</v>
      </c>
      <c r="C2567" s="22" t="s">
        <v>34</v>
      </c>
      <c r="D2567" s="22" t="s">
        <v>35</v>
      </c>
      <c r="E2567" s="158">
        <v>7520</v>
      </c>
      <c r="F2567" s="159">
        <v>80000</v>
      </c>
      <c r="G2567" s="159">
        <v>601600000</v>
      </c>
      <c r="H2567" s="159">
        <v>60160000</v>
      </c>
      <c r="I2567" s="159">
        <v>661760000</v>
      </c>
      <c r="J2567" s="159" t="e">
        <f>bargiri[[#This Row],[مقدار]]*INDEX(invoice[پیش دریافت به ازای هر کیلوگرم],MATCH(bargiri[[#This Row],[شماره سند مبنا]],invoice[شماره پیش فاکتور],0))</f>
        <v>#N/A</v>
      </c>
      <c r="K2567" s="159" t="e">
        <f>bargiri[[#This Row],[مبلغ خالص]]-bargiri[[#This Row],[میزان استهلاک پیش دریافتی]]</f>
        <v>#N/A</v>
      </c>
      <c r="L2567" s="160"/>
      <c r="M2567" s="159"/>
      <c r="N2567" s="159" t="e">
        <f>IF(bargiri[[#This Row],[مبلغ واریزی]]&lt;&gt;"",bargiri[[#This Row],[مانده مبلغ]]-bargiri[[#This Row],[مبلغ واریزی]],bargiri[[#This Row],[مانده مبلغ]])</f>
        <v>#N/A</v>
      </c>
      <c r="O2567" s="159"/>
      <c r="P2567" s="159" t="e">
        <f>VLOOKUP(bargiri[[#This Row],[شماره سند مبنا]],invoice[[شماره پیش فاکتور]:[پیش دریافت به ازای هر کیلوگرم]],14,0)</f>
        <v>#N/A</v>
      </c>
      <c r="Q2567" s="159" t="e">
        <f>IF(bargiri[[#This Row],[مبلغ ناخالص]]-(bargiri[[#This Row],[نرخ استهلاک]]*bargiri[[#This Row],[مقدار]])&lt;0,0,bargiri[[#This Row],[مبلغ ناخالص]]-(bargiri[[#This Row],[نرخ استهلاک]]*bargiri[[#This Row],[مقدار]]))</f>
        <v>#N/A</v>
      </c>
    </row>
    <row r="2568" spans="1:17" s="22" customFormat="1" ht="13.8" x14ac:dyDescent="0.25">
      <c r="A2568" s="22">
        <v>233</v>
      </c>
      <c r="B2568" s="22" t="s">
        <v>575</v>
      </c>
      <c r="C2568" s="22" t="s">
        <v>34</v>
      </c>
      <c r="D2568" s="22" t="s">
        <v>35</v>
      </c>
      <c r="E2568" s="158">
        <v>7550</v>
      </c>
      <c r="F2568" s="159">
        <v>80000</v>
      </c>
      <c r="G2568" s="159">
        <v>604000000</v>
      </c>
      <c r="H2568" s="159">
        <v>60400000</v>
      </c>
      <c r="I2568" s="159">
        <v>664400000</v>
      </c>
      <c r="J2568" s="159" t="e">
        <f>bargiri[[#This Row],[مقدار]]*INDEX(invoice[پیش دریافت به ازای هر کیلوگرم],MATCH(bargiri[[#This Row],[شماره سند مبنا]],invoice[شماره پیش فاکتور],0))</f>
        <v>#N/A</v>
      </c>
      <c r="K2568" s="159" t="e">
        <f>bargiri[[#This Row],[مبلغ خالص]]-bargiri[[#This Row],[میزان استهلاک پیش دریافتی]]</f>
        <v>#N/A</v>
      </c>
      <c r="L2568" s="160"/>
      <c r="M2568" s="159"/>
      <c r="N2568" s="159" t="e">
        <f>IF(bargiri[[#This Row],[مبلغ واریزی]]&lt;&gt;"",bargiri[[#This Row],[مانده مبلغ]]-bargiri[[#This Row],[مبلغ واریزی]],bargiri[[#This Row],[مانده مبلغ]])</f>
        <v>#N/A</v>
      </c>
      <c r="O2568" s="159"/>
      <c r="P2568" s="159" t="e">
        <f>VLOOKUP(bargiri[[#This Row],[شماره سند مبنا]],invoice[[شماره پیش فاکتور]:[پیش دریافت به ازای هر کیلوگرم]],14,0)</f>
        <v>#N/A</v>
      </c>
      <c r="Q2568" s="159" t="e">
        <f>IF(bargiri[[#This Row],[مبلغ ناخالص]]-(bargiri[[#This Row],[نرخ استهلاک]]*bargiri[[#This Row],[مقدار]])&lt;0,0,bargiri[[#This Row],[مبلغ ناخالص]]-(bargiri[[#This Row],[نرخ استهلاک]]*bargiri[[#This Row],[مقدار]]))</f>
        <v>#N/A</v>
      </c>
    </row>
    <row r="2569" spans="1:17" s="22" customFormat="1" ht="13.8" x14ac:dyDescent="0.25">
      <c r="A2569" s="22">
        <v>232</v>
      </c>
      <c r="B2569" s="22" t="s">
        <v>576</v>
      </c>
      <c r="C2569" s="22" t="s">
        <v>71</v>
      </c>
      <c r="D2569" s="22" t="s">
        <v>70</v>
      </c>
      <c r="E2569" s="158">
        <v>6310</v>
      </c>
      <c r="F2569" s="159">
        <v>55000</v>
      </c>
      <c r="G2569" s="159">
        <v>347050000</v>
      </c>
      <c r="H2569" s="159">
        <v>31234500</v>
      </c>
      <c r="I2569" s="159">
        <v>378284500</v>
      </c>
      <c r="J2569" s="159" t="e">
        <f>bargiri[[#This Row],[مقدار]]*INDEX(invoice[پیش دریافت به ازای هر کیلوگرم],MATCH(bargiri[[#This Row],[شماره سند مبنا]],invoice[شماره پیش فاکتور],0))</f>
        <v>#N/A</v>
      </c>
      <c r="K2569" s="159" t="e">
        <f>bargiri[[#This Row],[مبلغ خالص]]-bargiri[[#This Row],[میزان استهلاک پیش دریافتی]]</f>
        <v>#N/A</v>
      </c>
      <c r="L2569" s="160"/>
      <c r="M2569" s="159"/>
      <c r="N2569" s="159" t="e">
        <f>IF(bargiri[[#This Row],[مبلغ واریزی]]&lt;&gt;"",bargiri[[#This Row],[مانده مبلغ]]-bargiri[[#This Row],[مبلغ واریزی]],bargiri[[#This Row],[مانده مبلغ]])</f>
        <v>#N/A</v>
      </c>
      <c r="O2569" s="159"/>
      <c r="P2569" s="159" t="e">
        <f>VLOOKUP(bargiri[[#This Row],[شماره سند مبنا]],invoice[[شماره پیش فاکتور]:[پیش دریافت به ازای هر کیلوگرم]],14,0)</f>
        <v>#N/A</v>
      </c>
      <c r="Q2569" s="159" t="e">
        <f>IF(bargiri[[#This Row],[مبلغ ناخالص]]-(bargiri[[#This Row],[نرخ استهلاک]]*bargiri[[#This Row],[مقدار]])&lt;0,0,bargiri[[#This Row],[مبلغ ناخالص]]-(bargiri[[#This Row],[نرخ استهلاک]]*bargiri[[#This Row],[مقدار]]))</f>
        <v>#N/A</v>
      </c>
    </row>
    <row r="2570" spans="1:17" s="22" customFormat="1" ht="13.8" x14ac:dyDescent="0.25">
      <c r="A2570" s="22">
        <v>231</v>
      </c>
      <c r="B2570" s="22" t="s">
        <v>576</v>
      </c>
      <c r="C2570" s="22" t="s">
        <v>66</v>
      </c>
      <c r="D2570" s="22" t="s">
        <v>67</v>
      </c>
      <c r="E2570" s="158">
        <v>22000</v>
      </c>
      <c r="F2570" s="159">
        <v>68500</v>
      </c>
      <c r="G2570" s="159">
        <v>1507000000</v>
      </c>
      <c r="H2570" s="159">
        <v>135630000</v>
      </c>
      <c r="I2570" s="159">
        <v>1642630000</v>
      </c>
      <c r="J2570" s="159" t="e">
        <f>bargiri[[#This Row],[مقدار]]*INDEX(invoice[پیش دریافت به ازای هر کیلوگرم],MATCH(bargiri[[#This Row],[شماره سند مبنا]],invoice[شماره پیش فاکتور],0))</f>
        <v>#N/A</v>
      </c>
      <c r="K2570" s="159" t="e">
        <f>bargiri[[#This Row],[مبلغ خالص]]-bargiri[[#This Row],[میزان استهلاک پیش دریافتی]]</f>
        <v>#N/A</v>
      </c>
      <c r="L2570" s="160"/>
      <c r="M2570" s="159"/>
      <c r="N2570" s="159" t="e">
        <f>IF(bargiri[[#This Row],[مبلغ واریزی]]&lt;&gt;"",bargiri[[#This Row],[مانده مبلغ]]-bargiri[[#This Row],[مبلغ واریزی]],bargiri[[#This Row],[مانده مبلغ]])</f>
        <v>#N/A</v>
      </c>
      <c r="O2570" s="159"/>
      <c r="P2570" s="159" t="e">
        <f>VLOOKUP(bargiri[[#This Row],[شماره سند مبنا]],invoice[[شماره پیش فاکتور]:[پیش دریافت به ازای هر کیلوگرم]],14,0)</f>
        <v>#N/A</v>
      </c>
      <c r="Q2570" s="159" t="e">
        <f>IF(bargiri[[#This Row],[مبلغ ناخالص]]-(bargiri[[#This Row],[نرخ استهلاک]]*bargiri[[#This Row],[مقدار]])&lt;0,0,bargiri[[#This Row],[مبلغ ناخالص]]-(bargiri[[#This Row],[نرخ استهلاک]]*bargiri[[#This Row],[مقدار]]))</f>
        <v>#N/A</v>
      </c>
    </row>
    <row r="2571" spans="1:17" s="22" customFormat="1" ht="13.8" x14ac:dyDescent="0.25">
      <c r="A2571" s="22">
        <v>230</v>
      </c>
      <c r="B2571" s="22" t="s">
        <v>576</v>
      </c>
      <c r="C2571" s="22" t="s">
        <v>66</v>
      </c>
      <c r="D2571" s="22" t="s">
        <v>67</v>
      </c>
      <c r="E2571" s="158">
        <v>19980</v>
      </c>
      <c r="F2571" s="159">
        <v>68500</v>
      </c>
      <c r="G2571" s="159">
        <v>1368630000</v>
      </c>
      <c r="H2571" s="159">
        <v>123176700</v>
      </c>
      <c r="I2571" s="159">
        <v>1491806700</v>
      </c>
      <c r="J2571" s="159" t="e">
        <f>bargiri[[#This Row],[مقدار]]*INDEX(invoice[پیش دریافت به ازای هر کیلوگرم],MATCH(bargiri[[#This Row],[شماره سند مبنا]],invoice[شماره پیش فاکتور],0))</f>
        <v>#N/A</v>
      </c>
      <c r="K2571" s="159" t="e">
        <f>bargiri[[#This Row],[مبلغ خالص]]-bargiri[[#This Row],[میزان استهلاک پیش دریافتی]]</f>
        <v>#N/A</v>
      </c>
      <c r="L2571" s="160"/>
      <c r="M2571" s="159"/>
      <c r="N2571" s="159" t="e">
        <f>IF(bargiri[[#This Row],[مبلغ واریزی]]&lt;&gt;"",bargiri[[#This Row],[مانده مبلغ]]-bargiri[[#This Row],[مبلغ واریزی]],bargiri[[#This Row],[مانده مبلغ]])</f>
        <v>#N/A</v>
      </c>
      <c r="O2571" s="159"/>
      <c r="P2571" s="159" t="e">
        <f>VLOOKUP(bargiri[[#This Row],[شماره سند مبنا]],invoice[[شماره پیش فاکتور]:[پیش دریافت به ازای هر کیلوگرم]],14,0)</f>
        <v>#N/A</v>
      </c>
      <c r="Q2571" s="159" t="e">
        <f>IF(bargiri[[#This Row],[مبلغ ناخالص]]-(bargiri[[#This Row],[نرخ استهلاک]]*bargiri[[#This Row],[مقدار]])&lt;0,0,bargiri[[#This Row],[مبلغ ناخالص]]-(bargiri[[#This Row],[نرخ استهلاک]]*bargiri[[#This Row],[مقدار]]))</f>
        <v>#N/A</v>
      </c>
    </row>
    <row r="2572" spans="1:17" s="22" customFormat="1" ht="13.8" x14ac:dyDescent="0.25">
      <c r="A2572" s="22">
        <v>229</v>
      </c>
      <c r="B2572" s="22" t="s">
        <v>31</v>
      </c>
      <c r="C2572" s="22" t="s">
        <v>66</v>
      </c>
      <c r="D2572" s="22" t="s">
        <v>67</v>
      </c>
      <c r="E2572" s="158">
        <v>14930</v>
      </c>
      <c r="F2572" s="159">
        <v>68500</v>
      </c>
      <c r="G2572" s="159">
        <v>1022705000</v>
      </c>
      <c r="H2572" s="159">
        <v>92043450</v>
      </c>
      <c r="I2572" s="159">
        <v>1114748450</v>
      </c>
      <c r="J2572" s="159" t="e">
        <f>bargiri[[#This Row],[مقدار]]*INDEX(invoice[پیش دریافت به ازای هر کیلوگرم],MATCH(bargiri[[#This Row],[شماره سند مبنا]],invoice[شماره پیش فاکتور],0))</f>
        <v>#N/A</v>
      </c>
      <c r="K2572" s="159" t="e">
        <f>bargiri[[#This Row],[مبلغ خالص]]-bargiri[[#This Row],[میزان استهلاک پیش دریافتی]]</f>
        <v>#N/A</v>
      </c>
      <c r="L2572" s="160"/>
      <c r="M2572" s="159"/>
      <c r="N2572" s="159" t="e">
        <f>IF(bargiri[[#This Row],[مبلغ واریزی]]&lt;&gt;"",bargiri[[#This Row],[مانده مبلغ]]-bargiri[[#This Row],[مبلغ واریزی]],bargiri[[#This Row],[مانده مبلغ]])</f>
        <v>#N/A</v>
      </c>
      <c r="O2572" s="159"/>
      <c r="P2572" s="159" t="e">
        <f>VLOOKUP(bargiri[[#This Row],[شماره سند مبنا]],invoice[[شماره پیش فاکتور]:[پیش دریافت به ازای هر کیلوگرم]],14,0)</f>
        <v>#N/A</v>
      </c>
      <c r="Q2572" s="159" t="e">
        <f>IF(bargiri[[#This Row],[مبلغ ناخالص]]-(bargiri[[#This Row],[نرخ استهلاک]]*bargiri[[#This Row],[مقدار]])&lt;0,0,bargiri[[#This Row],[مبلغ ناخالص]]-(bargiri[[#This Row],[نرخ استهلاک]]*bargiri[[#This Row],[مقدار]]))</f>
        <v>#N/A</v>
      </c>
    </row>
    <row r="2573" spans="1:17" s="22" customFormat="1" ht="13.8" x14ac:dyDescent="0.25">
      <c r="A2573" s="22">
        <v>228</v>
      </c>
      <c r="B2573" s="22" t="s">
        <v>31</v>
      </c>
      <c r="C2573" s="22" t="s">
        <v>66</v>
      </c>
      <c r="D2573" s="22" t="s">
        <v>67</v>
      </c>
      <c r="E2573" s="158">
        <v>12110</v>
      </c>
      <c r="F2573" s="159">
        <v>68500</v>
      </c>
      <c r="G2573" s="159">
        <v>829535000</v>
      </c>
      <c r="H2573" s="159">
        <v>74658150</v>
      </c>
      <c r="I2573" s="159">
        <v>904193150</v>
      </c>
      <c r="J2573" s="159" t="e">
        <f>bargiri[[#This Row],[مقدار]]*INDEX(invoice[پیش دریافت به ازای هر کیلوگرم],MATCH(bargiri[[#This Row],[شماره سند مبنا]],invoice[شماره پیش فاکتور],0))</f>
        <v>#N/A</v>
      </c>
      <c r="K2573" s="159" t="e">
        <f>bargiri[[#This Row],[مبلغ خالص]]-bargiri[[#This Row],[میزان استهلاک پیش دریافتی]]</f>
        <v>#N/A</v>
      </c>
      <c r="L2573" s="160"/>
      <c r="M2573" s="159"/>
      <c r="N2573" s="159" t="e">
        <f>IF(bargiri[[#This Row],[مبلغ واریزی]]&lt;&gt;"",bargiri[[#This Row],[مانده مبلغ]]-bargiri[[#This Row],[مبلغ واریزی]],bargiri[[#This Row],[مانده مبلغ]])</f>
        <v>#N/A</v>
      </c>
      <c r="O2573" s="159"/>
      <c r="P2573" s="159" t="e">
        <f>VLOOKUP(bargiri[[#This Row],[شماره سند مبنا]],invoice[[شماره پیش فاکتور]:[پیش دریافت به ازای هر کیلوگرم]],14,0)</f>
        <v>#N/A</v>
      </c>
      <c r="Q2573" s="159" t="e">
        <f>IF(bargiri[[#This Row],[مبلغ ناخالص]]-(bargiri[[#This Row],[نرخ استهلاک]]*bargiri[[#This Row],[مقدار]])&lt;0,0,bargiri[[#This Row],[مبلغ ناخالص]]-(bargiri[[#This Row],[نرخ استهلاک]]*bargiri[[#This Row],[مقدار]]))</f>
        <v>#N/A</v>
      </c>
    </row>
    <row r="2574" spans="1:17" s="22" customFormat="1" ht="13.8" x14ac:dyDescent="0.25">
      <c r="A2574" s="22">
        <v>227</v>
      </c>
      <c r="B2574" s="22" t="s">
        <v>31</v>
      </c>
      <c r="C2574" s="22" t="s">
        <v>34</v>
      </c>
      <c r="D2574" s="22" t="s">
        <v>35</v>
      </c>
      <c r="E2574" s="158">
        <v>7410</v>
      </c>
      <c r="F2574" s="159">
        <v>80000</v>
      </c>
      <c r="G2574" s="159">
        <v>592800000</v>
      </c>
      <c r="H2574" s="159">
        <v>59280000</v>
      </c>
      <c r="I2574" s="159">
        <v>652080000</v>
      </c>
      <c r="J2574" s="159" t="e">
        <f>bargiri[[#This Row],[مقدار]]*INDEX(invoice[پیش دریافت به ازای هر کیلوگرم],MATCH(bargiri[[#This Row],[شماره سند مبنا]],invoice[شماره پیش فاکتور],0))</f>
        <v>#N/A</v>
      </c>
      <c r="K2574" s="159" t="e">
        <f>bargiri[[#This Row],[مبلغ خالص]]-bargiri[[#This Row],[میزان استهلاک پیش دریافتی]]</f>
        <v>#N/A</v>
      </c>
      <c r="L2574" s="160"/>
      <c r="M2574" s="159"/>
      <c r="N2574" s="159" t="e">
        <f>IF(bargiri[[#This Row],[مبلغ واریزی]]&lt;&gt;"",bargiri[[#This Row],[مانده مبلغ]]-bargiri[[#This Row],[مبلغ واریزی]],bargiri[[#This Row],[مانده مبلغ]])</f>
        <v>#N/A</v>
      </c>
      <c r="O2574" s="159"/>
      <c r="P2574" s="159" t="e">
        <f>VLOOKUP(bargiri[[#This Row],[شماره سند مبنا]],invoice[[شماره پیش فاکتور]:[پیش دریافت به ازای هر کیلوگرم]],14,0)</f>
        <v>#N/A</v>
      </c>
      <c r="Q2574" s="159" t="e">
        <f>IF(bargiri[[#This Row],[مبلغ ناخالص]]-(bargiri[[#This Row],[نرخ استهلاک]]*bargiri[[#This Row],[مقدار]])&lt;0,0,bargiri[[#This Row],[مبلغ ناخالص]]-(bargiri[[#This Row],[نرخ استهلاک]]*bargiri[[#This Row],[مقدار]]))</f>
        <v>#N/A</v>
      </c>
    </row>
    <row r="2575" spans="1:17" s="22" customFormat="1" ht="13.8" x14ac:dyDescent="0.25">
      <c r="A2575" s="22">
        <v>226</v>
      </c>
      <c r="B2575" s="22" t="s">
        <v>31</v>
      </c>
      <c r="C2575" s="22" t="s">
        <v>75</v>
      </c>
      <c r="D2575" s="22" t="s">
        <v>73</v>
      </c>
      <c r="E2575" s="158">
        <v>20980</v>
      </c>
      <c r="F2575" s="159">
        <v>56881</v>
      </c>
      <c r="G2575" s="159">
        <v>1193363380</v>
      </c>
      <c r="H2575" s="159">
        <v>107402704</v>
      </c>
      <c r="I2575" s="159">
        <v>1300766084</v>
      </c>
      <c r="J2575" s="159" t="e">
        <f>bargiri[[#This Row],[مقدار]]*INDEX(invoice[پیش دریافت به ازای هر کیلوگرم],MATCH(bargiri[[#This Row],[شماره سند مبنا]],invoice[شماره پیش فاکتور],0))</f>
        <v>#N/A</v>
      </c>
      <c r="K2575" s="159" t="e">
        <f>bargiri[[#This Row],[مبلغ خالص]]-bargiri[[#This Row],[میزان استهلاک پیش دریافتی]]</f>
        <v>#N/A</v>
      </c>
      <c r="L2575" s="160"/>
      <c r="M2575" s="159"/>
      <c r="N2575" s="159" t="e">
        <f>IF(bargiri[[#This Row],[مبلغ واریزی]]&lt;&gt;"",bargiri[[#This Row],[مانده مبلغ]]-bargiri[[#This Row],[مبلغ واریزی]],bargiri[[#This Row],[مانده مبلغ]])</f>
        <v>#N/A</v>
      </c>
      <c r="O2575" s="159"/>
      <c r="P2575" s="159" t="e">
        <f>VLOOKUP(bargiri[[#This Row],[شماره سند مبنا]],invoice[[شماره پیش فاکتور]:[پیش دریافت به ازای هر کیلوگرم]],14,0)</f>
        <v>#N/A</v>
      </c>
      <c r="Q2575" s="159" t="e">
        <f>IF(bargiri[[#This Row],[مبلغ ناخالص]]-(bargiri[[#This Row],[نرخ استهلاک]]*bargiri[[#This Row],[مقدار]])&lt;0,0,bargiri[[#This Row],[مبلغ ناخالص]]-(bargiri[[#This Row],[نرخ استهلاک]]*bargiri[[#This Row],[مقدار]]))</f>
        <v>#N/A</v>
      </c>
    </row>
    <row r="2576" spans="1:17" s="22" customFormat="1" ht="13.8" x14ac:dyDescent="0.25">
      <c r="A2576" s="22">
        <v>225</v>
      </c>
      <c r="B2576" s="22" t="s">
        <v>31</v>
      </c>
      <c r="C2576" s="22" t="s">
        <v>75</v>
      </c>
      <c r="D2576" s="22" t="s">
        <v>73</v>
      </c>
      <c r="E2576" s="158">
        <v>20910</v>
      </c>
      <c r="F2576" s="159">
        <v>56881</v>
      </c>
      <c r="G2576" s="159">
        <v>1189381710</v>
      </c>
      <c r="H2576" s="159">
        <v>107044354</v>
      </c>
      <c r="I2576" s="159">
        <v>1296426064</v>
      </c>
      <c r="J2576" s="159" t="e">
        <f>bargiri[[#This Row],[مقدار]]*INDEX(invoice[پیش دریافت به ازای هر کیلوگرم],MATCH(bargiri[[#This Row],[شماره سند مبنا]],invoice[شماره پیش فاکتور],0))</f>
        <v>#N/A</v>
      </c>
      <c r="K2576" s="159" t="e">
        <f>bargiri[[#This Row],[مبلغ خالص]]-bargiri[[#This Row],[میزان استهلاک پیش دریافتی]]</f>
        <v>#N/A</v>
      </c>
      <c r="L2576" s="160"/>
      <c r="M2576" s="159"/>
      <c r="N2576" s="159" t="e">
        <f>IF(bargiri[[#This Row],[مبلغ واریزی]]&lt;&gt;"",bargiri[[#This Row],[مانده مبلغ]]-bargiri[[#This Row],[مبلغ واریزی]],bargiri[[#This Row],[مانده مبلغ]])</f>
        <v>#N/A</v>
      </c>
      <c r="O2576" s="159"/>
      <c r="P2576" s="159" t="e">
        <f>VLOOKUP(bargiri[[#This Row],[شماره سند مبنا]],invoice[[شماره پیش فاکتور]:[پیش دریافت به ازای هر کیلوگرم]],14,0)</f>
        <v>#N/A</v>
      </c>
      <c r="Q2576" s="159" t="e">
        <f>IF(bargiri[[#This Row],[مبلغ ناخالص]]-(bargiri[[#This Row],[نرخ استهلاک]]*bargiri[[#This Row],[مقدار]])&lt;0,0,bargiri[[#This Row],[مبلغ ناخالص]]-(bargiri[[#This Row],[نرخ استهلاک]]*bargiri[[#This Row],[مقدار]]))</f>
        <v>#N/A</v>
      </c>
    </row>
    <row r="2577" spans="1:17" s="22" customFormat="1" ht="13.8" x14ac:dyDescent="0.25">
      <c r="A2577" s="22">
        <v>224</v>
      </c>
      <c r="B2577" s="22" t="s">
        <v>31</v>
      </c>
      <c r="C2577" s="22" t="s">
        <v>75</v>
      </c>
      <c r="D2577" s="22" t="s">
        <v>73</v>
      </c>
      <c r="E2577" s="158">
        <v>21310</v>
      </c>
      <c r="F2577" s="159">
        <v>56881</v>
      </c>
      <c r="G2577" s="159">
        <v>1212134110</v>
      </c>
      <c r="H2577" s="159">
        <v>109092070</v>
      </c>
      <c r="I2577" s="159">
        <v>1321226180</v>
      </c>
      <c r="J2577" s="159" t="e">
        <f>bargiri[[#This Row],[مقدار]]*INDEX(invoice[پیش دریافت به ازای هر کیلوگرم],MATCH(bargiri[[#This Row],[شماره سند مبنا]],invoice[شماره پیش فاکتور],0))</f>
        <v>#N/A</v>
      </c>
      <c r="K2577" s="159" t="e">
        <f>bargiri[[#This Row],[مبلغ خالص]]-bargiri[[#This Row],[میزان استهلاک پیش دریافتی]]</f>
        <v>#N/A</v>
      </c>
      <c r="L2577" s="160"/>
      <c r="M2577" s="159"/>
      <c r="N2577" s="159" t="e">
        <f>IF(bargiri[[#This Row],[مبلغ واریزی]]&lt;&gt;"",bargiri[[#This Row],[مانده مبلغ]]-bargiri[[#This Row],[مبلغ واریزی]],bargiri[[#This Row],[مانده مبلغ]])</f>
        <v>#N/A</v>
      </c>
      <c r="O2577" s="159"/>
      <c r="P2577" s="159" t="e">
        <f>VLOOKUP(bargiri[[#This Row],[شماره سند مبنا]],invoice[[شماره پیش فاکتور]:[پیش دریافت به ازای هر کیلوگرم]],14,0)</f>
        <v>#N/A</v>
      </c>
      <c r="Q2577" s="159" t="e">
        <f>IF(bargiri[[#This Row],[مبلغ ناخالص]]-(bargiri[[#This Row],[نرخ استهلاک]]*bargiri[[#This Row],[مقدار]])&lt;0,0,bargiri[[#This Row],[مبلغ ناخالص]]-(bargiri[[#This Row],[نرخ استهلاک]]*bargiri[[#This Row],[مقدار]]))</f>
        <v>#N/A</v>
      </c>
    </row>
    <row r="2578" spans="1:17" s="22" customFormat="1" ht="13.8" x14ac:dyDescent="0.25">
      <c r="A2578" s="22">
        <v>223</v>
      </c>
      <c r="B2578" s="22" t="s">
        <v>31</v>
      </c>
      <c r="C2578" s="22" t="s">
        <v>34</v>
      </c>
      <c r="D2578" s="22" t="s">
        <v>35</v>
      </c>
      <c r="E2578" s="158">
        <v>7420</v>
      </c>
      <c r="F2578" s="159">
        <v>80000</v>
      </c>
      <c r="G2578" s="159">
        <v>593600000</v>
      </c>
      <c r="H2578" s="159">
        <v>59360000</v>
      </c>
      <c r="I2578" s="159">
        <v>652960000</v>
      </c>
      <c r="J2578" s="159" t="e">
        <f>bargiri[[#This Row],[مقدار]]*INDEX(invoice[پیش دریافت به ازای هر کیلوگرم],MATCH(bargiri[[#This Row],[شماره سند مبنا]],invoice[شماره پیش فاکتور],0))</f>
        <v>#N/A</v>
      </c>
      <c r="K2578" s="159" t="e">
        <f>bargiri[[#This Row],[مبلغ خالص]]-bargiri[[#This Row],[میزان استهلاک پیش دریافتی]]</f>
        <v>#N/A</v>
      </c>
      <c r="L2578" s="160"/>
      <c r="M2578" s="159"/>
      <c r="N2578" s="159" t="e">
        <f>IF(bargiri[[#This Row],[مبلغ واریزی]]&lt;&gt;"",bargiri[[#This Row],[مانده مبلغ]]-bargiri[[#This Row],[مبلغ واریزی]],bargiri[[#This Row],[مانده مبلغ]])</f>
        <v>#N/A</v>
      </c>
      <c r="O2578" s="159"/>
      <c r="P2578" s="159" t="e">
        <f>VLOOKUP(bargiri[[#This Row],[شماره سند مبنا]],invoice[[شماره پیش فاکتور]:[پیش دریافت به ازای هر کیلوگرم]],14,0)</f>
        <v>#N/A</v>
      </c>
      <c r="Q2578" s="159" t="e">
        <f>IF(bargiri[[#This Row],[مبلغ ناخالص]]-(bargiri[[#This Row],[نرخ استهلاک]]*bargiri[[#This Row],[مقدار]])&lt;0,0,bargiri[[#This Row],[مبلغ ناخالص]]-(bargiri[[#This Row],[نرخ استهلاک]]*bargiri[[#This Row],[مقدار]]))</f>
        <v>#N/A</v>
      </c>
    </row>
    <row r="2579" spans="1:17" s="22" customFormat="1" ht="13.8" x14ac:dyDescent="0.25">
      <c r="A2579" s="22">
        <v>222</v>
      </c>
      <c r="B2579" s="22" t="s">
        <v>31</v>
      </c>
      <c r="C2579" s="22" t="s">
        <v>16</v>
      </c>
      <c r="D2579" s="22" t="s">
        <v>17</v>
      </c>
      <c r="E2579" s="158">
        <v>22150</v>
      </c>
      <c r="F2579" s="159">
        <v>77000</v>
      </c>
      <c r="G2579" s="159">
        <v>1705550000</v>
      </c>
      <c r="H2579" s="159">
        <v>153499500</v>
      </c>
      <c r="I2579" s="159">
        <v>1859049500</v>
      </c>
      <c r="J2579" s="159" t="e">
        <f>bargiri[[#This Row],[مقدار]]*INDEX(invoice[پیش دریافت به ازای هر کیلوگرم],MATCH(bargiri[[#This Row],[شماره سند مبنا]],invoice[شماره پیش فاکتور],0))</f>
        <v>#N/A</v>
      </c>
      <c r="K2579" s="159" t="e">
        <f>bargiri[[#This Row],[مبلغ خالص]]-bargiri[[#This Row],[میزان استهلاک پیش دریافتی]]</f>
        <v>#N/A</v>
      </c>
      <c r="L2579" s="160"/>
      <c r="M2579" s="159"/>
      <c r="N2579" s="159" t="e">
        <f>IF(bargiri[[#This Row],[مبلغ واریزی]]&lt;&gt;"",bargiri[[#This Row],[مانده مبلغ]]-bargiri[[#This Row],[مبلغ واریزی]],bargiri[[#This Row],[مانده مبلغ]])</f>
        <v>#N/A</v>
      </c>
      <c r="O2579" s="159"/>
      <c r="P2579" s="159" t="e">
        <f>VLOOKUP(bargiri[[#This Row],[شماره سند مبنا]],invoice[[شماره پیش فاکتور]:[پیش دریافت به ازای هر کیلوگرم]],14,0)</f>
        <v>#N/A</v>
      </c>
      <c r="Q2579" s="159" t="e">
        <f>IF(bargiri[[#This Row],[مبلغ ناخالص]]-(bargiri[[#This Row],[نرخ استهلاک]]*bargiri[[#This Row],[مقدار]])&lt;0,0,bargiri[[#This Row],[مبلغ ناخالص]]-(bargiri[[#This Row],[نرخ استهلاک]]*bargiri[[#This Row],[مقدار]]))</f>
        <v>#N/A</v>
      </c>
    </row>
    <row r="2580" spans="1:17" s="22" customFormat="1" ht="13.8" x14ac:dyDescent="0.25">
      <c r="A2580" s="22">
        <v>221</v>
      </c>
      <c r="B2580" s="22" t="s">
        <v>577</v>
      </c>
      <c r="C2580" s="22" t="s">
        <v>32</v>
      </c>
      <c r="D2580" s="22" t="s">
        <v>30</v>
      </c>
      <c r="E2580" s="158">
        <v>7350</v>
      </c>
      <c r="F2580" s="159">
        <v>56000</v>
      </c>
      <c r="G2580" s="159">
        <v>411600000</v>
      </c>
      <c r="H2580" s="159">
        <v>37044000</v>
      </c>
      <c r="I2580" s="159">
        <v>448644000</v>
      </c>
      <c r="J2580" s="159" t="e">
        <f>bargiri[[#This Row],[مقدار]]*INDEX(invoice[پیش دریافت به ازای هر کیلوگرم],MATCH(bargiri[[#This Row],[شماره سند مبنا]],invoice[شماره پیش فاکتور],0))</f>
        <v>#N/A</v>
      </c>
      <c r="K2580" s="159" t="e">
        <f>bargiri[[#This Row],[مبلغ خالص]]-bargiri[[#This Row],[میزان استهلاک پیش دریافتی]]</f>
        <v>#N/A</v>
      </c>
      <c r="L2580" s="160"/>
      <c r="M2580" s="159"/>
      <c r="N2580" s="159" t="e">
        <f>IF(bargiri[[#This Row],[مبلغ واریزی]]&lt;&gt;"",bargiri[[#This Row],[مانده مبلغ]]-bargiri[[#This Row],[مبلغ واریزی]],bargiri[[#This Row],[مانده مبلغ]])</f>
        <v>#N/A</v>
      </c>
      <c r="O2580" s="159"/>
      <c r="P2580" s="159" t="e">
        <f>VLOOKUP(bargiri[[#This Row],[شماره سند مبنا]],invoice[[شماره پیش فاکتور]:[پیش دریافت به ازای هر کیلوگرم]],14,0)</f>
        <v>#N/A</v>
      </c>
      <c r="Q2580" s="159" t="e">
        <f>IF(bargiri[[#This Row],[مبلغ ناخالص]]-(bargiri[[#This Row],[نرخ استهلاک]]*bargiri[[#This Row],[مقدار]])&lt;0,0,bargiri[[#This Row],[مبلغ ناخالص]]-(bargiri[[#This Row],[نرخ استهلاک]]*bargiri[[#This Row],[مقدار]]))</f>
        <v>#N/A</v>
      </c>
    </row>
    <row r="2581" spans="1:17" s="22" customFormat="1" ht="13.8" x14ac:dyDescent="0.25">
      <c r="A2581" s="22">
        <v>220</v>
      </c>
      <c r="B2581" s="22" t="s">
        <v>577</v>
      </c>
      <c r="C2581" s="22" t="s">
        <v>34</v>
      </c>
      <c r="D2581" s="22" t="s">
        <v>35</v>
      </c>
      <c r="E2581" s="158">
        <v>7410</v>
      </c>
      <c r="F2581" s="159">
        <v>80000</v>
      </c>
      <c r="G2581" s="159">
        <v>592800000</v>
      </c>
      <c r="H2581" s="159">
        <v>59280000</v>
      </c>
      <c r="I2581" s="159">
        <v>652080000</v>
      </c>
      <c r="J2581" s="159" t="e">
        <f>bargiri[[#This Row],[مقدار]]*INDEX(invoice[پیش دریافت به ازای هر کیلوگرم],MATCH(bargiri[[#This Row],[شماره سند مبنا]],invoice[شماره پیش فاکتور],0))</f>
        <v>#N/A</v>
      </c>
      <c r="K2581" s="159" t="e">
        <f>bargiri[[#This Row],[مبلغ خالص]]-bargiri[[#This Row],[میزان استهلاک پیش دریافتی]]</f>
        <v>#N/A</v>
      </c>
      <c r="L2581" s="160"/>
      <c r="M2581" s="159"/>
      <c r="N2581" s="159" t="e">
        <f>IF(bargiri[[#This Row],[مبلغ واریزی]]&lt;&gt;"",bargiri[[#This Row],[مانده مبلغ]]-bargiri[[#This Row],[مبلغ واریزی]],bargiri[[#This Row],[مانده مبلغ]])</f>
        <v>#N/A</v>
      </c>
      <c r="O2581" s="159"/>
      <c r="P2581" s="159" t="e">
        <f>VLOOKUP(bargiri[[#This Row],[شماره سند مبنا]],invoice[[شماره پیش فاکتور]:[پیش دریافت به ازای هر کیلوگرم]],14,0)</f>
        <v>#N/A</v>
      </c>
      <c r="Q2581" s="159" t="e">
        <f>IF(bargiri[[#This Row],[مبلغ ناخالص]]-(bargiri[[#This Row],[نرخ استهلاک]]*bargiri[[#This Row],[مقدار]])&lt;0,0,bargiri[[#This Row],[مبلغ ناخالص]]-(bargiri[[#This Row],[نرخ استهلاک]]*bargiri[[#This Row],[مقدار]]))</f>
        <v>#N/A</v>
      </c>
    </row>
    <row r="2582" spans="1:17" s="22" customFormat="1" ht="13.8" x14ac:dyDescent="0.25">
      <c r="A2582" s="22">
        <v>219</v>
      </c>
      <c r="B2582" s="22" t="s">
        <v>577</v>
      </c>
      <c r="C2582" s="22" t="s">
        <v>32</v>
      </c>
      <c r="D2582" s="22" t="s">
        <v>30</v>
      </c>
      <c r="E2582" s="158">
        <v>8080</v>
      </c>
      <c r="F2582" s="159">
        <v>56000</v>
      </c>
      <c r="G2582" s="159">
        <v>452480000</v>
      </c>
      <c r="H2582" s="159">
        <v>40723200</v>
      </c>
      <c r="I2582" s="159">
        <v>493203200</v>
      </c>
      <c r="J2582" s="159" t="e">
        <f>bargiri[[#This Row],[مقدار]]*INDEX(invoice[پیش دریافت به ازای هر کیلوگرم],MATCH(bargiri[[#This Row],[شماره سند مبنا]],invoice[شماره پیش فاکتور],0))</f>
        <v>#N/A</v>
      </c>
      <c r="K2582" s="159" t="e">
        <f>bargiri[[#This Row],[مبلغ خالص]]-bargiri[[#This Row],[میزان استهلاک پیش دریافتی]]</f>
        <v>#N/A</v>
      </c>
      <c r="L2582" s="160"/>
      <c r="M2582" s="159"/>
      <c r="N2582" s="159" t="e">
        <f>IF(bargiri[[#This Row],[مبلغ واریزی]]&lt;&gt;"",bargiri[[#This Row],[مانده مبلغ]]-bargiri[[#This Row],[مبلغ واریزی]],bargiri[[#This Row],[مانده مبلغ]])</f>
        <v>#N/A</v>
      </c>
      <c r="O2582" s="159"/>
      <c r="P2582" s="159" t="e">
        <f>VLOOKUP(bargiri[[#This Row],[شماره سند مبنا]],invoice[[شماره پیش فاکتور]:[پیش دریافت به ازای هر کیلوگرم]],14,0)</f>
        <v>#N/A</v>
      </c>
      <c r="Q2582" s="159" t="e">
        <f>IF(bargiri[[#This Row],[مبلغ ناخالص]]-(bargiri[[#This Row],[نرخ استهلاک]]*bargiri[[#This Row],[مقدار]])&lt;0,0,bargiri[[#This Row],[مبلغ ناخالص]]-(bargiri[[#This Row],[نرخ استهلاک]]*bargiri[[#This Row],[مقدار]]))</f>
        <v>#N/A</v>
      </c>
    </row>
    <row r="2583" spans="1:17" s="22" customFormat="1" ht="13.8" x14ac:dyDescent="0.25">
      <c r="A2583" s="22">
        <v>218</v>
      </c>
      <c r="B2583" s="22" t="s">
        <v>577</v>
      </c>
      <c r="C2583" s="22" t="s">
        <v>71</v>
      </c>
      <c r="D2583" s="22" t="s">
        <v>70</v>
      </c>
      <c r="E2583" s="158">
        <v>6430</v>
      </c>
      <c r="F2583" s="159">
        <v>55000</v>
      </c>
      <c r="G2583" s="159">
        <v>353650000</v>
      </c>
      <c r="H2583" s="159">
        <v>31828500</v>
      </c>
      <c r="I2583" s="159">
        <v>385478500</v>
      </c>
      <c r="J2583" s="159" t="e">
        <f>bargiri[[#This Row],[مقدار]]*INDEX(invoice[پیش دریافت به ازای هر کیلوگرم],MATCH(bargiri[[#This Row],[شماره سند مبنا]],invoice[شماره پیش فاکتور],0))</f>
        <v>#N/A</v>
      </c>
      <c r="K2583" s="159" t="e">
        <f>bargiri[[#This Row],[مبلغ خالص]]-bargiri[[#This Row],[میزان استهلاک پیش دریافتی]]</f>
        <v>#N/A</v>
      </c>
      <c r="L2583" s="160"/>
      <c r="M2583" s="159"/>
      <c r="N2583" s="159" t="e">
        <f>IF(bargiri[[#This Row],[مبلغ واریزی]]&lt;&gt;"",bargiri[[#This Row],[مانده مبلغ]]-bargiri[[#This Row],[مبلغ واریزی]],bargiri[[#This Row],[مانده مبلغ]])</f>
        <v>#N/A</v>
      </c>
      <c r="O2583" s="159"/>
      <c r="P2583" s="159" t="e">
        <f>VLOOKUP(bargiri[[#This Row],[شماره سند مبنا]],invoice[[شماره پیش فاکتور]:[پیش دریافت به ازای هر کیلوگرم]],14,0)</f>
        <v>#N/A</v>
      </c>
      <c r="Q2583" s="159" t="e">
        <f>IF(bargiri[[#This Row],[مبلغ ناخالص]]-(bargiri[[#This Row],[نرخ استهلاک]]*bargiri[[#This Row],[مقدار]])&lt;0,0,bargiri[[#This Row],[مبلغ ناخالص]]-(bargiri[[#This Row],[نرخ استهلاک]]*bargiri[[#This Row],[مقدار]]))</f>
        <v>#N/A</v>
      </c>
    </row>
    <row r="2584" spans="1:17" s="22" customFormat="1" ht="13.8" x14ac:dyDescent="0.25">
      <c r="A2584" s="22">
        <v>217</v>
      </c>
      <c r="B2584" s="22" t="s">
        <v>577</v>
      </c>
      <c r="C2584" s="22" t="s">
        <v>34</v>
      </c>
      <c r="D2584" s="22" t="s">
        <v>35</v>
      </c>
      <c r="E2584" s="158">
        <v>4610</v>
      </c>
      <c r="F2584" s="159">
        <v>80000</v>
      </c>
      <c r="G2584" s="159">
        <v>368800000</v>
      </c>
      <c r="H2584" s="159">
        <v>36880000</v>
      </c>
      <c r="I2584" s="159">
        <v>405680000</v>
      </c>
      <c r="J2584" s="159" t="e">
        <f>bargiri[[#This Row],[مقدار]]*INDEX(invoice[پیش دریافت به ازای هر کیلوگرم],MATCH(bargiri[[#This Row],[شماره سند مبنا]],invoice[شماره پیش فاکتور],0))</f>
        <v>#N/A</v>
      </c>
      <c r="K2584" s="159" t="e">
        <f>bargiri[[#This Row],[مبلغ خالص]]-bargiri[[#This Row],[میزان استهلاک پیش دریافتی]]</f>
        <v>#N/A</v>
      </c>
      <c r="L2584" s="160"/>
      <c r="M2584" s="159"/>
      <c r="N2584" s="159" t="e">
        <f>IF(bargiri[[#This Row],[مبلغ واریزی]]&lt;&gt;"",bargiri[[#This Row],[مانده مبلغ]]-bargiri[[#This Row],[مبلغ واریزی]],bargiri[[#This Row],[مانده مبلغ]])</f>
        <v>#N/A</v>
      </c>
      <c r="O2584" s="159"/>
      <c r="P2584" s="159" t="e">
        <f>VLOOKUP(bargiri[[#This Row],[شماره سند مبنا]],invoice[[شماره پیش فاکتور]:[پیش دریافت به ازای هر کیلوگرم]],14,0)</f>
        <v>#N/A</v>
      </c>
      <c r="Q2584" s="159" t="e">
        <f>IF(bargiri[[#This Row],[مبلغ ناخالص]]-(bargiri[[#This Row],[نرخ استهلاک]]*bargiri[[#This Row],[مقدار]])&lt;0,0,bargiri[[#This Row],[مبلغ ناخالص]]-(bargiri[[#This Row],[نرخ استهلاک]]*bargiri[[#This Row],[مقدار]]))</f>
        <v>#N/A</v>
      </c>
    </row>
    <row r="2585" spans="1:17" s="22" customFormat="1" ht="13.8" x14ac:dyDescent="0.25">
      <c r="A2585" s="22">
        <v>216</v>
      </c>
      <c r="B2585" s="22" t="s">
        <v>577</v>
      </c>
      <c r="C2585" s="22" t="s">
        <v>37</v>
      </c>
      <c r="D2585" s="22" t="s">
        <v>35</v>
      </c>
      <c r="E2585" s="158">
        <v>2100</v>
      </c>
      <c r="F2585" s="159">
        <v>75000</v>
      </c>
      <c r="G2585" s="159">
        <v>157500000</v>
      </c>
      <c r="H2585" s="159">
        <v>14175000</v>
      </c>
      <c r="I2585" s="159">
        <v>171675000</v>
      </c>
      <c r="J2585" s="159" t="e">
        <f>bargiri[[#This Row],[مقدار]]*INDEX(invoice[پیش دریافت به ازای هر کیلوگرم],MATCH(bargiri[[#This Row],[شماره سند مبنا]],invoice[شماره پیش فاکتور],0))</f>
        <v>#N/A</v>
      </c>
      <c r="K2585" s="159" t="e">
        <f>bargiri[[#This Row],[مبلغ خالص]]-bargiri[[#This Row],[میزان استهلاک پیش دریافتی]]</f>
        <v>#N/A</v>
      </c>
      <c r="L2585" s="160"/>
      <c r="M2585" s="159"/>
      <c r="N2585" s="159" t="e">
        <f>IF(bargiri[[#This Row],[مبلغ واریزی]]&lt;&gt;"",bargiri[[#This Row],[مانده مبلغ]]-bargiri[[#This Row],[مبلغ واریزی]],bargiri[[#This Row],[مانده مبلغ]])</f>
        <v>#N/A</v>
      </c>
      <c r="O2585" s="159"/>
      <c r="P2585" s="159" t="e">
        <f>VLOOKUP(bargiri[[#This Row],[شماره سند مبنا]],invoice[[شماره پیش فاکتور]:[پیش دریافت به ازای هر کیلوگرم]],14,0)</f>
        <v>#N/A</v>
      </c>
      <c r="Q2585" s="159" t="e">
        <f>IF(bargiri[[#This Row],[مبلغ ناخالص]]-(bargiri[[#This Row],[نرخ استهلاک]]*bargiri[[#This Row],[مقدار]])&lt;0,0,bargiri[[#This Row],[مبلغ ناخالص]]-(bargiri[[#This Row],[نرخ استهلاک]]*bargiri[[#This Row],[مقدار]]))</f>
        <v>#N/A</v>
      </c>
    </row>
    <row r="2586" spans="1:17" s="22" customFormat="1" ht="13.8" x14ac:dyDescent="0.25">
      <c r="A2586" s="22">
        <v>215</v>
      </c>
      <c r="B2586" s="22" t="s">
        <v>36</v>
      </c>
      <c r="C2586" s="22" t="s">
        <v>22</v>
      </c>
      <c r="D2586" s="22" t="s">
        <v>20</v>
      </c>
      <c r="E2586" s="158">
        <v>18470</v>
      </c>
      <c r="F2586" s="159">
        <v>50000</v>
      </c>
      <c r="G2586" s="159">
        <v>923500000</v>
      </c>
      <c r="H2586" s="159">
        <v>83115000</v>
      </c>
      <c r="I2586" s="159">
        <v>1006615000</v>
      </c>
      <c r="J2586" s="159" t="e">
        <f>bargiri[[#This Row],[مقدار]]*INDEX(invoice[پیش دریافت به ازای هر کیلوگرم],MATCH(bargiri[[#This Row],[شماره سند مبنا]],invoice[شماره پیش فاکتور],0))</f>
        <v>#N/A</v>
      </c>
      <c r="K2586" s="159" t="e">
        <f>bargiri[[#This Row],[مبلغ خالص]]-bargiri[[#This Row],[میزان استهلاک پیش دریافتی]]</f>
        <v>#N/A</v>
      </c>
      <c r="L2586" s="160"/>
      <c r="M2586" s="159"/>
      <c r="N2586" s="159" t="e">
        <f>IF(bargiri[[#This Row],[مبلغ واریزی]]&lt;&gt;"",bargiri[[#This Row],[مانده مبلغ]]-bargiri[[#This Row],[مبلغ واریزی]],bargiri[[#This Row],[مانده مبلغ]])</f>
        <v>#N/A</v>
      </c>
      <c r="O2586" s="159"/>
      <c r="P2586" s="159" t="e">
        <f>VLOOKUP(bargiri[[#This Row],[شماره سند مبنا]],invoice[[شماره پیش فاکتور]:[پیش دریافت به ازای هر کیلوگرم]],14,0)</f>
        <v>#N/A</v>
      </c>
      <c r="Q2586" s="159" t="e">
        <f>IF(bargiri[[#This Row],[مبلغ ناخالص]]-(bargiri[[#This Row],[نرخ استهلاک]]*bargiri[[#This Row],[مقدار]])&lt;0,0,bargiri[[#This Row],[مبلغ ناخالص]]-(bargiri[[#This Row],[نرخ استهلاک]]*bargiri[[#This Row],[مقدار]]))</f>
        <v>#N/A</v>
      </c>
    </row>
    <row r="2587" spans="1:17" s="22" customFormat="1" ht="13.8" x14ac:dyDescent="0.25">
      <c r="A2587" s="22">
        <v>214</v>
      </c>
      <c r="B2587" s="22" t="s">
        <v>36</v>
      </c>
      <c r="C2587" s="22" t="s">
        <v>71</v>
      </c>
      <c r="D2587" s="22" t="s">
        <v>70</v>
      </c>
      <c r="E2587" s="158">
        <v>6180</v>
      </c>
      <c r="F2587" s="159">
        <v>55000</v>
      </c>
      <c r="G2587" s="159">
        <v>339900000</v>
      </c>
      <c r="H2587" s="159">
        <v>30591000</v>
      </c>
      <c r="I2587" s="159">
        <v>370491000</v>
      </c>
      <c r="J2587" s="159" t="e">
        <f>bargiri[[#This Row],[مقدار]]*INDEX(invoice[پیش دریافت به ازای هر کیلوگرم],MATCH(bargiri[[#This Row],[شماره سند مبنا]],invoice[شماره پیش فاکتور],0))</f>
        <v>#N/A</v>
      </c>
      <c r="K2587" s="159" t="e">
        <f>bargiri[[#This Row],[مبلغ خالص]]-bargiri[[#This Row],[میزان استهلاک پیش دریافتی]]</f>
        <v>#N/A</v>
      </c>
      <c r="L2587" s="160"/>
      <c r="M2587" s="159"/>
      <c r="N2587" s="159" t="e">
        <f>IF(bargiri[[#This Row],[مبلغ واریزی]]&lt;&gt;"",bargiri[[#This Row],[مانده مبلغ]]-bargiri[[#This Row],[مبلغ واریزی]],bargiri[[#This Row],[مانده مبلغ]])</f>
        <v>#N/A</v>
      </c>
      <c r="O2587" s="159"/>
      <c r="P2587" s="159" t="e">
        <f>VLOOKUP(bargiri[[#This Row],[شماره سند مبنا]],invoice[[شماره پیش فاکتور]:[پیش دریافت به ازای هر کیلوگرم]],14,0)</f>
        <v>#N/A</v>
      </c>
      <c r="Q2587" s="159" t="e">
        <f>IF(bargiri[[#This Row],[مبلغ ناخالص]]-(bargiri[[#This Row],[نرخ استهلاک]]*bargiri[[#This Row],[مقدار]])&lt;0,0,bargiri[[#This Row],[مبلغ ناخالص]]-(bargiri[[#This Row],[نرخ استهلاک]]*bargiri[[#This Row],[مقدار]]))</f>
        <v>#N/A</v>
      </c>
    </row>
    <row r="2588" spans="1:17" s="22" customFormat="1" ht="13.8" x14ac:dyDescent="0.25">
      <c r="A2588" s="22">
        <v>213</v>
      </c>
      <c r="B2588" s="22" t="s">
        <v>36</v>
      </c>
      <c r="C2588" s="22" t="s">
        <v>71</v>
      </c>
      <c r="D2588" s="22" t="s">
        <v>70</v>
      </c>
      <c r="E2588" s="158">
        <v>6530</v>
      </c>
      <c r="F2588" s="159">
        <v>55000</v>
      </c>
      <c r="G2588" s="159">
        <v>359150000</v>
      </c>
      <c r="H2588" s="159">
        <v>32323500</v>
      </c>
      <c r="I2588" s="159">
        <v>391473500</v>
      </c>
      <c r="J2588" s="159" t="e">
        <f>bargiri[[#This Row],[مقدار]]*INDEX(invoice[پیش دریافت به ازای هر کیلوگرم],MATCH(bargiri[[#This Row],[شماره سند مبنا]],invoice[شماره پیش فاکتور],0))</f>
        <v>#N/A</v>
      </c>
      <c r="K2588" s="159" t="e">
        <f>bargiri[[#This Row],[مبلغ خالص]]-bargiri[[#This Row],[میزان استهلاک پیش دریافتی]]</f>
        <v>#N/A</v>
      </c>
      <c r="L2588" s="160"/>
      <c r="M2588" s="159"/>
      <c r="N2588" s="159" t="e">
        <f>IF(bargiri[[#This Row],[مبلغ واریزی]]&lt;&gt;"",bargiri[[#This Row],[مانده مبلغ]]-bargiri[[#This Row],[مبلغ واریزی]],bargiri[[#This Row],[مانده مبلغ]])</f>
        <v>#N/A</v>
      </c>
      <c r="O2588" s="159"/>
      <c r="P2588" s="159" t="e">
        <f>VLOOKUP(bargiri[[#This Row],[شماره سند مبنا]],invoice[[شماره پیش فاکتور]:[پیش دریافت به ازای هر کیلوگرم]],14,0)</f>
        <v>#N/A</v>
      </c>
      <c r="Q2588" s="159" t="e">
        <f>IF(bargiri[[#This Row],[مبلغ ناخالص]]-(bargiri[[#This Row],[نرخ استهلاک]]*bargiri[[#This Row],[مقدار]])&lt;0,0,bargiri[[#This Row],[مبلغ ناخالص]]-(bargiri[[#This Row],[نرخ استهلاک]]*bargiri[[#This Row],[مقدار]]))</f>
        <v>#N/A</v>
      </c>
    </row>
    <row r="2589" spans="1:17" s="22" customFormat="1" ht="13.8" x14ac:dyDescent="0.25">
      <c r="A2589" s="22">
        <v>212</v>
      </c>
      <c r="B2589" s="22" t="s">
        <v>44</v>
      </c>
      <c r="C2589" s="22" t="s">
        <v>66</v>
      </c>
      <c r="D2589" s="22" t="s">
        <v>67</v>
      </c>
      <c r="E2589" s="158">
        <v>11970</v>
      </c>
      <c r="F2589" s="159">
        <v>68500</v>
      </c>
      <c r="G2589" s="159">
        <v>819945000</v>
      </c>
      <c r="H2589" s="159">
        <v>73795050</v>
      </c>
      <c r="I2589" s="159">
        <v>893740050</v>
      </c>
      <c r="J2589" s="159" t="e">
        <f>bargiri[[#This Row],[مقدار]]*INDEX(invoice[پیش دریافت به ازای هر کیلوگرم],MATCH(bargiri[[#This Row],[شماره سند مبنا]],invoice[شماره پیش فاکتور],0))</f>
        <v>#N/A</v>
      </c>
      <c r="K2589" s="159" t="e">
        <f>bargiri[[#This Row],[مبلغ خالص]]-bargiri[[#This Row],[میزان استهلاک پیش دریافتی]]</f>
        <v>#N/A</v>
      </c>
      <c r="L2589" s="160"/>
      <c r="M2589" s="159"/>
      <c r="N2589" s="159" t="e">
        <f>IF(bargiri[[#This Row],[مبلغ واریزی]]&lt;&gt;"",bargiri[[#This Row],[مانده مبلغ]]-bargiri[[#This Row],[مبلغ واریزی]],bargiri[[#This Row],[مانده مبلغ]])</f>
        <v>#N/A</v>
      </c>
      <c r="O2589" s="159"/>
      <c r="P2589" s="159" t="e">
        <f>VLOOKUP(bargiri[[#This Row],[شماره سند مبنا]],invoice[[شماره پیش فاکتور]:[پیش دریافت به ازای هر کیلوگرم]],14,0)</f>
        <v>#N/A</v>
      </c>
      <c r="Q2589" s="159" t="e">
        <f>IF(bargiri[[#This Row],[مبلغ ناخالص]]-(bargiri[[#This Row],[نرخ استهلاک]]*bargiri[[#This Row],[مقدار]])&lt;0,0,bargiri[[#This Row],[مبلغ ناخالص]]-(bargiri[[#This Row],[نرخ استهلاک]]*bargiri[[#This Row],[مقدار]]))</f>
        <v>#N/A</v>
      </c>
    </row>
    <row r="2590" spans="1:17" s="22" customFormat="1" ht="13.8" x14ac:dyDescent="0.25">
      <c r="A2590" s="22">
        <v>211</v>
      </c>
      <c r="B2590" s="22" t="s">
        <v>44</v>
      </c>
      <c r="C2590" s="22" t="s">
        <v>66</v>
      </c>
      <c r="D2590" s="22" t="s">
        <v>67</v>
      </c>
      <c r="E2590" s="158">
        <v>19920</v>
      </c>
      <c r="F2590" s="159">
        <v>68500</v>
      </c>
      <c r="G2590" s="159">
        <v>1364520000</v>
      </c>
      <c r="H2590" s="159">
        <v>122806800</v>
      </c>
      <c r="I2590" s="159">
        <v>1487326800</v>
      </c>
      <c r="J2590" s="159" t="e">
        <f>bargiri[[#This Row],[مقدار]]*INDEX(invoice[پیش دریافت به ازای هر کیلوگرم],MATCH(bargiri[[#This Row],[شماره سند مبنا]],invoice[شماره پیش فاکتور],0))</f>
        <v>#N/A</v>
      </c>
      <c r="K2590" s="159" t="e">
        <f>bargiri[[#This Row],[مبلغ خالص]]-bargiri[[#This Row],[میزان استهلاک پیش دریافتی]]</f>
        <v>#N/A</v>
      </c>
      <c r="L2590" s="160"/>
      <c r="M2590" s="159"/>
      <c r="N2590" s="159" t="e">
        <f>IF(bargiri[[#This Row],[مبلغ واریزی]]&lt;&gt;"",bargiri[[#This Row],[مانده مبلغ]]-bargiri[[#This Row],[مبلغ واریزی]],bargiri[[#This Row],[مانده مبلغ]])</f>
        <v>#N/A</v>
      </c>
      <c r="O2590" s="159"/>
      <c r="P2590" s="159" t="e">
        <f>VLOOKUP(bargiri[[#This Row],[شماره سند مبنا]],invoice[[شماره پیش فاکتور]:[پیش دریافت به ازای هر کیلوگرم]],14,0)</f>
        <v>#N/A</v>
      </c>
      <c r="Q2590" s="159" t="e">
        <f>IF(bargiri[[#This Row],[مبلغ ناخالص]]-(bargiri[[#This Row],[نرخ استهلاک]]*bargiri[[#This Row],[مقدار]])&lt;0,0,bargiri[[#This Row],[مبلغ ناخالص]]-(bargiri[[#This Row],[نرخ استهلاک]]*bargiri[[#This Row],[مقدار]]))</f>
        <v>#N/A</v>
      </c>
    </row>
    <row r="2591" spans="1:17" s="22" customFormat="1" ht="13.8" x14ac:dyDescent="0.25">
      <c r="A2591" s="22">
        <v>209</v>
      </c>
      <c r="B2591" s="22" t="s">
        <v>44</v>
      </c>
      <c r="C2591" s="22" t="s">
        <v>71</v>
      </c>
      <c r="D2591" s="22" t="s">
        <v>70</v>
      </c>
      <c r="E2591" s="158">
        <v>6460</v>
      </c>
      <c r="F2591" s="159">
        <v>55000</v>
      </c>
      <c r="G2591" s="159">
        <v>355300000</v>
      </c>
      <c r="H2591" s="159">
        <v>31977000</v>
      </c>
      <c r="I2591" s="159">
        <v>387277000</v>
      </c>
      <c r="J2591" s="159" t="e">
        <f>bargiri[[#This Row],[مقدار]]*INDEX(invoice[پیش دریافت به ازای هر کیلوگرم],MATCH(bargiri[[#This Row],[شماره سند مبنا]],invoice[شماره پیش فاکتور],0))</f>
        <v>#N/A</v>
      </c>
      <c r="K2591" s="159" t="e">
        <f>bargiri[[#This Row],[مبلغ خالص]]-bargiri[[#This Row],[میزان استهلاک پیش دریافتی]]</f>
        <v>#N/A</v>
      </c>
      <c r="L2591" s="160"/>
      <c r="M2591" s="159"/>
      <c r="N2591" s="159" t="e">
        <f>IF(bargiri[[#This Row],[مبلغ واریزی]]&lt;&gt;"",bargiri[[#This Row],[مانده مبلغ]]-bargiri[[#This Row],[مبلغ واریزی]],bargiri[[#This Row],[مانده مبلغ]])</f>
        <v>#N/A</v>
      </c>
      <c r="O2591" s="159"/>
      <c r="P2591" s="159" t="e">
        <f>VLOOKUP(bargiri[[#This Row],[شماره سند مبنا]],invoice[[شماره پیش فاکتور]:[پیش دریافت به ازای هر کیلوگرم]],14,0)</f>
        <v>#N/A</v>
      </c>
      <c r="Q2591" s="159" t="e">
        <f>IF(bargiri[[#This Row],[مبلغ ناخالص]]-(bargiri[[#This Row],[نرخ استهلاک]]*bargiri[[#This Row],[مقدار]])&lt;0,0,bargiri[[#This Row],[مبلغ ناخالص]]-(bargiri[[#This Row],[نرخ استهلاک]]*bargiri[[#This Row],[مقدار]]))</f>
        <v>#N/A</v>
      </c>
    </row>
    <row r="2592" spans="1:17" s="22" customFormat="1" ht="13.8" x14ac:dyDescent="0.25">
      <c r="A2592" s="22">
        <v>208</v>
      </c>
      <c r="B2592" s="22" t="s">
        <v>44</v>
      </c>
      <c r="C2592" s="22" t="s">
        <v>46</v>
      </c>
      <c r="D2592" s="22" t="s">
        <v>43</v>
      </c>
      <c r="E2592" s="158">
        <v>5240</v>
      </c>
      <c r="F2592" s="159">
        <v>50000</v>
      </c>
      <c r="G2592" s="159">
        <v>262000000</v>
      </c>
      <c r="H2592" s="159">
        <v>23580000</v>
      </c>
      <c r="I2592" s="159">
        <v>285580000</v>
      </c>
      <c r="J2592" s="159" t="e">
        <f>bargiri[[#This Row],[مقدار]]*INDEX(invoice[پیش دریافت به ازای هر کیلوگرم],MATCH(bargiri[[#This Row],[شماره سند مبنا]],invoice[شماره پیش فاکتور],0))</f>
        <v>#N/A</v>
      </c>
      <c r="K2592" s="159" t="e">
        <f>bargiri[[#This Row],[مبلغ خالص]]-bargiri[[#This Row],[میزان استهلاک پیش دریافتی]]</f>
        <v>#N/A</v>
      </c>
      <c r="L2592" s="160"/>
      <c r="M2592" s="159"/>
      <c r="N2592" s="159" t="e">
        <f>IF(bargiri[[#This Row],[مبلغ واریزی]]&lt;&gt;"",bargiri[[#This Row],[مانده مبلغ]]-bargiri[[#This Row],[مبلغ واریزی]],bargiri[[#This Row],[مانده مبلغ]])</f>
        <v>#N/A</v>
      </c>
      <c r="O2592" s="159"/>
      <c r="P2592" s="159" t="e">
        <f>VLOOKUP(bargiri[[#This Row],[شماره سند مبنا]],invoice[[شماره پیش فاکتور]:[پیش دریافت به ازای هر کیلوگرم]],14,0)</f>
        <v>#N/A</v>
      </c>
      <c r="Q2592" s="159" t="e">
        <f>IF(bargiri[[#This Row],[مبلغ ناخالص]]-(bargiri[[#This Row],[نرخ استهلاک]]*bargiri[[#This Row],[مقدار]])&lt;0,0,bargiri[[#This Row],[مبلغ ناخالص]]-(bargiri[[#This Row],[نرخ استهلاک]]*bargiri[[#This Row],[مقدار]]))</f>
        <v>#N/A</v>
      </c>
    </row>
    <row r="2593" spans="1:17" s="22" customFormat="1" ht="13.8" x14ac:dyDescent="0.25">
      <c r="A2593" s="22">
        <v>207</v>
      </c>
      <c r="B2593" s="22" t="s">
        <v>44</v>
      </c>
      <c r="C2593" s="22" t="s">
        <v>46</v>
      </c>
      <c r="D2593" s="22" t="s">
        <v>43</v>
      </c>
      <c r="E2593" s="158">
        <v>20980</v>
      </c>
      <c r="F2593" s="159">
        <v>50000</v>
      </c>
      <c r="G2593" s="159">
        <v>1049000000</v>
      </c>
      <c r="H2593" s="159">
        <v>94410000</v>
      </c>
      <c r="I2593" s="159">
        <v>1143410000</v>
      </c>
      <c r="J2593" s="159" t="e">
        <f>bargiri[[#This Row],[مقدار]]*INDEX(invoice[پیش دریافت به ازای هر کیلوگرم],MATCH(bargiri[[#This Row],[شماره سند مبنا]],invoice[شماره پیش فاکتور],0))</f>
        <v>#N/A</v>
      </c>
      <c r="K2593" s="159" t="e">
        <f>bargiri[[#This Row],[مبلغ خالص]]-bargiri[[#This Row],[میزان استهلاک پیش دریافتی]]</f>
        <v>#N/A</v>
      </c>
      <c r="L2593" s="160"/>
      <c r="M2593" s="159"/>
      <c r="N2593" s="159" t="e">
        <f>IF(bargiri[[#This Row],[مبلغ واریزی]]&lt;&gt;"",bargiri[[#This Row],[مانده مبلغ]]-bargiri[[#This Row],[مبلغ واریزی]],bargiri[[#This Row],[مانده مبلغ]])</f>
        <v>#N/A</v>
      </c>
      <c r="O2593" s="159"/>
      <c r="P2593" s="159" t="e">
        <f>VLOOKUP(bargiri[[#This Row],[شماره سند مبنا]],invoice[[شماره پیش فاکتور]:[پیش دریافت به ازای هر کیلوگرم]],14,0)</f>
        <v>#N/A</v>
      </c>
      <c r="Q2593" s="159" t="e">
        <f>IF(bargiri[[#This Row],[مبلغ ناخالص]]-(bargiri[[#This Row],[نرخ استهلاک]]*bargiri[[#This Row],[مقدار]])&lt;0,0,bargiri[[#This Row],[مبلغ ناخالص]]-(bargiri[[#This Row],[نرخ استهلاک]]*bargiri[[#This Row],[مقدار]]))</f>
        <v>#N/A</v>
      </c>
    </row>
    <row r="2594" spans="1:17" s="22" customFormat="1" ht="13.8" x14ac:dyDescent="0.25">
      <c r="A2594" s="22">
        <v>206</v>
      </c>
      <c r="B2594" s="22" t="s">
        <v>578</v>
      </c>
      <c r="C2594" s="22" t="s">
        <v>71</v>
      </c>
      <c r="D2594" s="22" t="s">
        <v>70</v>
      </c>
      <c r="E2594" s="158">
        <v>5780</v>
      </c>
      <c r="F2594" s="159">
        <v>55000</v>
      </c>
      <c r="G2594" s="159">
        <v>317900000</v>
      </c>
      <c r="H2594" s="159">
        <v>28611000</v>
      </c>
      <c r="I2594" s="159">
        <v>346511000</v>
      </c>
      <c r="J2594" s="159" t="e">
        <f>bargiri[[#This Row],[مقدار]]*INDEX(invoice[پیش دریافت به ازای هر کیلوگرم],MATCH(bargiri[[#This Row],[شماره سند مبنا]],invoice[شماره پیش فاکتور],0))</f>
        <v>#N/A</v>
      </c>
      <c r="K2594" s="159" t="e">
        <f>bargiri[[#This Row],[مبلغ خالص]]-bargiri[[#This Row],[میزان استهلاک پیش دریافتی]]</f>
        <v>#N/A</v>
      </c>
      <c r="L2594" s="160"/>
      <c r="M2594" s="159"/>
      <c r="N2594" s="159" t="e">
        <f>IF(bargiri[[#This Row],[مبلغ واریزی]]&lt;&gt;"",bargiri[[#This Row],[مانده مبلغ]]-bargiri[[#This Row],[مبلغ واریزی]],bargiri[[#This Row],[مانده مبلغ]])</f>
        <v>#N/A</v>
      </c>
      <c r="O2594" s="159"/>
      <c r="P2594" s="159" t="e">
        <f>VLOOKUP(bargiri[[#This Row],[شماره سند مبنا]],invoice[[شماره پیش فاکتور]:[پیش دریافت به ازای هر کیلوگرم]],14,0)</f>
        <v>#N/A</v>
      </c>
      <c r="Q2594" s="159" t="e">
        <f>IF(bargiri[[#This Row],[مبلغ ناخالص]]-(bargiri[[#This Row],[نرخ استهلاک]]*bargiri[[#This Row],[مقدار]])&lt;0,0,bargiri[[#This Row],[مبلغ ناخالص]]-(bargiri[[#This Row],[نرخ استهلاک]]*bargiri[[#This Row],[مقدار]]))</f>
        <v>#N/A</v>
      </c>
    </row>
    <row r="2595" spans="1:17" ht="13.8" x14ac:dyDescent="0.25">
      <c r="A2595" s="22">
        <v>205</v>
      </c>
      <c r="B2595" s="22" t="s">
        <v>578</v>
      </c>
      <c r="C2595" s="22" t="s">
        <v>71</v>
      </c>
      <c r="D2595" s="22" t="s">
        <v>70</v>
      </c>
      <c r="E2595" s="158">
        <v>5800</v>
      </c>
      <c r="F2595" s="159">
        <v>55000</v>
      </c>
      <c r="G2595" s="159">
        <v>319000000</v>
      </c>
      <c r="H2595" s="159">
        <v>28710000</v>
      </c>
      <c r="I2595" s="159">
        <v>347710000</v>
      </c>
      <c r="J2595" s="159" t="e">
        <f>bargiri[[#This Row],[مقدار]]*INDEX(invoice[پیش دریافت به ازای هر کیلوگرم],MATCH(bargiri[[#This Row],[شماره سند مبنا]],invoice[شماره پیش فاکتور],0))</f>
        <v>#N/A</v>
      </c>
      <c r="K2595" s="159" t="e">
        <f>bargiri[[#This Row],[مبلغ خالص]]-bargiri[[#This Row],[میزان استهلاک پیش دریافتی]]</f>
        <v>#N/A</v>
      </c>
      <c r="L2595" s="160"/>
      <c r="M2595" s="159"/>
      <c r="N2595" s="159" t="e">
        <f>IF(bargiri[[#This Row],[مبلغ واریزی]]&lt;&gt;"",bargiri[[#This Row],[مانده مبلغ]]-bargiri[[#This Row],[مبلغ واریزی]],bargiri[[#This Row],[مانده مبلغ]])</f>
        <v>#N/A</v>
      </c>
      <c r="O2595" s="159"/>
      <c r="P2595" s="159" t="e">
        <f>VLOOKUP(bargiri[[#This Row],[شماره سند مبنا]],invoice[[شماره پیش فاکتور]:[پیش دریافت به ازای هر کیلوگرم]],14,0)</f>
        <v>#N/A</v>
      </c>
      <c r="Q2595" s="159" t="e">
        <f>IF(bargiri[[#This Row],[مبلغ ناخالص]]-(bargiri[[#This Row],[نرخ استهلاک]]*bargiri[[#This Row],[مقدار]])&lt;0,0,bargiri[[#This Row],[مبلغ ناخالص]]-(bargiri[[#This Row],[نرخ استهلاک]]*bargiri[[#This Row],[مقدار]]))</f>
        <v>#N/A</v>
      </c>
    </row>
    <row r="2596" spans="1:17" ht="13.8" x14ac:dyDescent="0.25">
      <c r="A2596" s="22">
        <v>204</v>
      </c>
      <c r="B2596" s="22" t="s">
        <v>579</v>
      </c>
      <c r="C2596" s="22" t="s">
        <v>66</v>
      </c>
      <c r="D2596" s="22" t="s">
        <v>67</v>
      </c>
      <c r="E2596" s="158">
        <v>11940</v>
      </c>
      <c r="F2596" s="159">
        <v>68500</v>
      </c>
      <c r="G2596" s="159">
        <v>817890000</v>
      </c>
      <c r="H2596" s="159">
        <v>73610100</v>
      </c>
      <c r="I2596" s="159">
        <v>891500100</v>
      </c>
      <c r="J2596" s="159" t="e">
        <f>bargiri[[#This Row],[مقدار]]*INDEX(invoice[پیش دریافت به ازای هر کیلوگرم],MATCH(bargiri[[#This Row],[شماره سند مبنا]],invoice[شماره پیش فاکتور],0))</f>
        <v>#N/A</v>
      </c>
      <c r="K2596" s="159" t="e">
        <f>bargiri[[#This Row],[مبلغ خالص]]-bargiri[[#This Row],[میزان استهلاک پیش دریافتی]]</f>
        <v>#N/A</v>
      </c>
      <c r="L2596" s="160"/>
      <c r="M2596" s="159"/>
      <c r="N2596" s="159" t="e">
        <f>IF(bargiri[[#This Row],[مبلغ واریزی]]&lt;&gt;"",bargiri[[#This Row],[مانده مبلغ]]-bargiri[[#This Row],[مبلغ واریزی]],bargiri[[#This Row],[مانده مبلغ]])</f>
        <v>#N/A</v>
      </c>
      <c r="O2596" s="159"/>
      <c r="P2596" s="159" t="e">
        <f>VLOOKUP(bargiri[[#This Row],[شماره سند مبنا]],invoice[[شماره پیش فاکتور]:[پیش دریافت به ازای هر کیلوگرم]],14,0)</f>
        <v>#N/A</v>
      </c>
      <c r="Q2596" s="159" t="e">
        <f>IF(bargiri[[#This Row],[مبلغ ناخالص]]-(bargiri[[#This Row],[نرخ استهلاک]]*bargiri[[#This Row],[مقدار]])&lt;0,0,bargiri[[#This Row],[مبلغ ناخالص]]-(bargiri[[#This Row],[نرخ استهلاک]]*bargiri[[#This Row],[مقدار]]))</f>
        <v>#N/A</v>
      </c>
    </row>
    <row r="2597" spans="1:17" ht="13.8" x14ac:dyDescent="0.25">
      <c r="A2597" s="22">
        <v>203</v>
      </c>
      <c r="B2597" s="22" t="s">
        <v>579</v>
      </c>
      <c r="C2597" s="22" t="s">
        <v>66</v>
      </c>
      <c r="D2597" s="22" t="s">
        <v>67</v>
      </c>
      <c r="E2597" s="158">
        <v>19850</v>
      </c>
      <c r="F2597" s="159">
        <v>68500</v>
      </c>
      <c r="G2597" s="159">
        <v>1359725000</v>
      </c>
      <c r="H2597" s="159">
        <v>122375250</v>
      </c>
      <c r="I2597" s="159">
        <v>1482100250</v>
      </c>
      <c r="J2597" s="159" t="e">
        <f>bargiri[[#This Row],[مقدار]]*INDEX(invoice[پیش دریافت به ازای هر کیلوگرم],MATCH(bargiri[[#This Row],[شماره سند مبنا]],invoice[شماره پیش فاکتور],0))</f>
        <v>#N/A</v>
      </c>
      <c r="K2597" s="159" t="e">
        <f>bargiri[[#This Row],[مبلغ خالص]]-bargiri[[#This Row],[میزان استهلاک پیش دریافتی]]</f>
        <v>#N/A</v>
      </c>
      <c r="L2597" s="160"/>
      <c r="M2597" s="159"/>
      <c r="N2597" s="159" t="e">
        <f>IF(bargiri[[#This Row],[مبلغ واریزی]]&lt;&gt;"",bargiri[[#This Row],[مانده مبلغ]]-bargiri[[#This Row],[مبلغ واریزی]],bargiri[[#This Row],[مانده مبلغ]])</f>
        <v>#N/A</v>
      </c>
      <c r="O2597" s="159"/>
      <c r="P2597" s="159" t="e">
        <f>VLOOKUP(bargiri[[#This Row],[شماره سند مبنا]],invoice[[شماره پیش فاکتور]:[پیش دریافت به ازای هر کیلوگرم]],14,0)</f>
        <v>#N/A</v>
      </c>
      <c r="Q2597" s="159" t="e">
        <f>IF(bargiri[[#This Row],[مبلغ ناخالص]]-(bargiri[[#This Row],[نرخ استهلاک]]*bargiri[[#This Row],[مقدار]])&lt;0,0,bargiri[[#This Row],[مبلغ ناخالص]]-(bargiri[[#This Row],[نرخ استهلاک]]*bargiri[[#This Row],[مقدار]]))</f>
        <v>#N/A</v>
      </c>
    </row>
    <row r="2598" spans="1:17" ht="13.8" x14ac:dyDescent="0.25">
      <c r="A2598" s="22">
        <v>202</v>
      </c>
      <c r="B2598" s="22" t="s">
        <v>580</v>
      </c>
      <c r="C2598" s="22" t="s">
        <v>71</v>
      </c>
      <c r="D2598" s="22" t="s">
        <v>70</v>
      </c>
      <c r="E2598" s="158">
        <v>6350</v>
      </c>
      <c r="F2598" s="159">
        <v>55000</v>
      </c>
      <c r="G2598" s="159">
        <v>349250000</v>
      </c>
      <c r="H2598" s="159">
        <v>31432500</v>
      </c>
      <c r="I2598" s="159">
        <v>380682500</v>
      </c>
      <c r="J2598" s="159" t="e">
        <f>bargiri[[#This Row],[مقدار]]*INDEX(invoice[پیش دریافت به ازای هر کیلوگرم],MATCH(bargiri[[#This Row],[شماره سند مبنا]],invoice[شماره پیش فاکتور],0))</f>
        <v>#N/A</v>
      </c>
      <c r="K2598" s="159" t="e">
        <f>bargiri[[#This Row],[مبلغ خالص]]-bargiri[[#This Row],[میزان استهلاک پیش دریافتی]]</f>
        <v>#N/A</v>
      </c>
      <c r="L2598" s="160"/>
      <c r="M2598" s="159"/>
      <c r="N2598" s="159" t="e">
        <f>IF(bargiri[[#This Row],[مبلغ واریزی]]&lt;&gt;"",bargiri[[#This Row],[مانده مبلغ]]-bargiri[[#This Row],[مبلغ واریزی]],bargiri[[#This Row],[مانده مبلغ]])</f>
        <v>#N/A</v>
      </c>
      <c r="O2598" s="159"/>
      <c r="P2598" s="159" t="e">
        <f>VLOOKUP(bargiri[[#This Row],[شماره سند مبنا]],invoice[[شماره پیش فاکتور]:[پیش دریافت به ازای هر کیلوگرم]],14,0)</f>
        <v>#N/A</v>
      </c>
      <c r="Q2598" s="159" t="e">
        <f>IF(bargiri[[#This Row],[مبلغ ناخالص]]-(bargiri[[#This Row],[نرخ استهلاک]]*bargiri[[#This Row],[مقدار]])&lt;0,0,bargiri[[#This Row],[مبلغ ناخالص]]-(bargiri[[#This Row],[نرخ استهلاک]]*bargiri[[#This Row],[مقدار]]))</f>
        <v>#N/A</v>
      </c>
    </row>
    <row r="2599" spans="1:17" ht="13.8" x14ac:dyDescent="0.25">
      <c r="A2599" s="22">
        <v>201</v>
      </c>
      <c r="B2599" s="22" t="s">
        <v>580</v>
      </c>
      <c r="C2599" s="22" t="s">
        <v>71</v>
      </c>
      <c r="D2599" s="22" t="s">
        <v>70</v>
      </c>
      <c r="E2599" s="158">
        <v>6370</v>
      </c>
      <c r="F2599" s="159">
        <v>55000</v>
      </c>
      <c r="G2599" s="159">
        <v>350350000</v>
      </c>
      <c r="H2599" s="159">
        <v>31531500</v>
      </c>
      <c r="I2599" s="159">
        <v>381881500</v>
      </c>
      <c r="J2599" s="159" t="e">
        <f>bargiri[[#This Row],[مقدار]]*INDEX(invoice[پیش دریافت به ازای هر کیلوگرم],MATCH(bargiri[[#This Row],[شماره سند مبنا]],invoice[شماره پیش فاکتور],0))</f>
        <v>#N/A</v>
      </c>
      <c r="K2599" s="159" t="e">
        <f>bargiri[[#This Row],[مبلغ خالص]]-bargiri[[#This Row],[میزان استهلاک پیش دریافتی]]</f>
        <v>#N/A</v>
      </c>
      <c r="L2599" s="160"/>
      <c r="M2599" s="159"/>
      <c r="N2599" s="159" t="e">
        <f>IF(bargiri[[#This Row],[مبلغ واریزی]]&lt;&gt;"",bargiri[[#This Row],[مانده مبلغ]]-bargiri[[#This Row],[مبلغ واریزی]],bargiri[[#This Row],[مانده مبلغ]])</f>
        <v>#N/A</v>
      </c>
      <c r="O2599" s="159"/>
      <c r="P2599" s="159" t="e">
        <f>VLOOKUP(bargiri[[#This Row],[شماره سند مبنا]],invoice[[شماره پیش فاکتور]:[پیش دریافت به ازای هر کیلوگرم]],14,0)</f>
        <v>#N/A</v>
      </c>
      <c r="Q2599" s="159" t="e">
        <f>IF(bargiri[[#This Row],[مبلغ ناخالص]]-(bargiri[[#This Row],[نرخ استهلاک]]*bargiri[[#This Row],[مقدار]])&lt;0,0,bargiri[[#This Row],[مبلغ ناخالص]]-(bargiri[[#This Row],[نرخ استهلاک]]*bargiri[[#This Row],[مقدار]]))</f>
        <v>#N/A</v>
      </c>
    </row>
    <row r="2600" spans="1:17" ht="13.8" x14ac:dyDescent="0.25">
      <c r="A2600" s="22">
        <v>200</v>
      </c>
      <c r="B2600" s="22" t="s">
        <v>581</v>
      </c>
      <c r="C2600" s="22" t="s">
        <v>71</v>
      </c>
      <c r="D2600" s="22" t="s">
        <v>70</v>
      </c>
      <c r="E2600" s="158">
        <v>6380</v>
      </c>
      <c r="F2600" s="159">
        <v>55000</v>
      </c>
      <c r="G2600" s="159">
        <v>350900000</v>
      </c>
      <c r="H2600" s="159">
        <v>31581000</v>
      </c>
      <c r="I2600" s="159">
        <v>382481000</v>
      </c>
      <c r="J2600" s="159" t="e">
        <f>bargiri[[#This Row],[مقدار]]*INDEX(invoice[پیش دریافت به ازای هر کیلوگرم],MATCH(bargiri[[#This Row],[شماره سند مبنا]],invoice[شماره پیش فاکتور],0))</f>
        <v>#N/A</v>
      </c>
      <c r="K2600" s="159" t="e">
        <f>bargiri[[#This Row],[مبلغ خالص]]-bargiri[[#This Row],[میزان استهلاک پیش دریافتی]]</f>
        <v>#N/A</v>
      </c>
      <c r="L2600" s="160"/>
      <c r="M2600" s="159"/>
      <c r="N2600" s="159" t="e">
        <f>IF(bargiri[[#This Row],[مبلغ واریزی]]&lt;&gt;"",bargiri[[#This Row],[مانده مبلغ]]-bargiri[[#This Row],[مبلغ واریزی]],bargiri[[#This Row],[مانده مبلغ]])</f>
        <v>#N/A</v>
      </c>
      <c r="O2600" s="159"/>
      <c r="P2600" s="159" t="e">
        <f>VLOOKUP(bargiri[[#This Row],[شماره سند مبنا]],invoice[[شماره پیش فاکتور]:[پیش دریافت به ازای هر کیلوگرم]],14,0)</f>
        <v>#N/A</v>
      </c>
      <c r="Q2600" s="159" t="e">
        <f>IF(bargiri[[#This Row],[مبلغ ناخالص]]-(bargiri[[#This Row],[نرخ استهلاک]]*bargiri[[#This Row],[مقدار]])&lt;0,0,bargiri[[#This Row],[مبلغ ناخالص]]-(bargiri[[#This Row],[نرخ استهلاک]]*bargiri[[#This Row],[مقدار]]))</f>
        <v>#N/A</v>
      </c>
    </row>
    <row r="2601" spans="1:17" ht="13.8" x14ac:dyDescent="0.25">
      <c r="A2601" s="22">
        <v>199</v>
      </c>
      <c r="B2601" s="22" t="s">
        <v>568</v>
      </c>
      <c r="C2601" s="22" t="s">
        <v>37</v>
      </c>
      <c r="D2601" s="22" t="s">
        <v>35</v>
      </c>
      <c r="E2601" s="158">
        <v>7550</v>
      </c>
      <c r="F2601" s="159">
        <v>75000</v>
      </c>
      <c r="G2601" s="159">
        <v>566250000</v>
      </c>
      <c r="H2601" s="159">
        <v>50962500</v>
      </c>
      <c r="I2601" s="159">
        <v>617212500</v>
      </c>
      <c r="J2601" s="159" t="e">
        <f>bargiri[[#This Row],[مقدار]]*INDEX(invoice[پیش دریافت به ازای هر کیلوگرم],MATCH(bargiri[[#This Row],[شماره سند مبنا]],invoice[شماره پیش فاکتور],0))</f>
        <v>#N/A</v>
      </c>
      <c r="K2601" s="159" t="e">
        <f>bargiri[[#This Row],[مبلغ خالص]]-bargiri[[#This Row],[میزان استهلاک پیش دریافتی]]</f>
        <v>#N/A</v>
      </c>
      <c r="L2601" s="160"/>
      <c r="M2601" s="159"/>
      <c r="N2601" s="159" t="e">
        <f>IF(bargiri[[#This Row],[مبلغ واریزی]]&lt;&gt;"",bargiri[[#This Row],[مانده مبلغ]]-bargiri[[#This Row],[مبلغ واریزی]],bargiri[[#This Row],[مانده مبلغ]])</f>
        <v>#N/A</v>
      </c>
      <c r="O2601" s="159"/>
      <c r="P2601" s="159" t="e">
        <f>VLOOKUP(bargiri[[#This Row],[شماره سند مبنا]],invoice[[شماره پیش فاکتور]:[پیش دریافت به ازای هر کیلوگرم]],14,0)</f>
        <v>#N/A</v>
      </c>
      <c r="Q2601" s="159" t="e">
        <f>IF(bargiri[[#This Row],[مبلغ ناخالص]]-(bargiri[[#This Row],[نرخ استهلاک]]*bargiri[[#This Row],[مقدار]])&lt;0,0,bargiri[[#This Row],[مبلغ ناخالص]]-(bargiri[[#This Row],[نرخ استهلاک]]*bargiri[[#This Row],[مقدار]]))</f>
        <v>#N/A</v>
      </c>
    </row>
    <row r="2602" spans="1:17" ht="13.8" x14ac:dyDescent="0.25">
      <c r="A2602" s="22">
        <v>198</v>
      </c>
      <c r="B2602" s="22" t="s">
        <v>568</v>
      </c>
      <c r="C2602" s="22" t="s">
        <v>71</v>
      </c>
      <c r="D2602" s="22" t="s">
        <v>70</v>
      </c>
      <c r="E2602" s="158">
        <v>6460</v>
      </c>
      <c r="F2602" s="159">
        <v>55000</v>
      </c>
      <c r="G2602" s="159">
        <v>355300000</v>
      </c>
      <c r="H2602" s="159">
        <v>31977000</v>
      </c>
      <c r="I2602" s="159">
        <v>387277000</v>
      </c>
      <c r="J2602" s="159" t="e">
        <f>bargiri[[#This Row],[مقدار]]*INDEX(invoice[پیش دریافت به ازای هر کیلوگرم],MATCH(bargiri[[#This Row],[شماره سند مبنا]],invoice[شماره پیش فاکتور],0))</f>
        <v>#N/A</v>
      </c>
      <c r="K2602" s="159" t="e">
        <f>bargiri[[#This Row],[مبلغ خالص]]-bargiri[[#This Row],[میزان استهلاک پیش دریافتی]]</f>
        <v>#N/A</v>
      </c>
      <c r="L2602" s="160"/>
      <c r="M2602" s="159"/>
      <c r="N2602" s="159" t="e">
        <f>IF(bargiri[[#This Row],[مبلغ واریزی]]&lt;&gt;"",bargiri[[#This Row],[مانده مبلغ]]-bargiri[[#This Row],[مبلغ واریزی]],bargiri[[#This Row],[مانده مبلغ]])</f>
        <v>#N/A</v>
      </c>
      <c r="O2602" s="159"/>
      <c r="P2602" s="159" t="e">
        <f>VLOOKUP(bargiri[[#This Row],[شماره سند مبنا]],invoice[[شماره پیش فاکتور]:[پیش دریافت به ازای هر کیلوگرم]],14,0)</f>
        <v>#N/A</v>
      </c>
      <c r="Q2602" s="159" t="e">
        <f>IF(bargiri[[#This Row],[مبلغ ناخالص]]-(bargiri[[#This Row],[نرخ استهلاک]]*bargiri[[#This Row],[مقدار]])&lt;0,0,bargiri[[#This Row],[مبلغ ناخالص]]-(bargiri[[#This Row],[نرخ استهلاک]]*bargiri[[#This Row],[مقدار]]))</f>
        <v>#N/A</v>
      </c>
    </row>
    <row r="2603" spans="1:17" ht="13.8" x14ac:dyDescent="0.25">
      <c r="A2603" s="22">
        <v>197</v>
      </c>
      <c r="B2603" s="22" t="s">
        <v>568</v>
      </c>
      <c r="C2603" s="22" t="s">
        <v>37</v>
      </c>
      <c r="D2603" s="22" t="s">
        <v>35</v>
      </c>
      <c r="E2603" s="158">
        <v>7520</v>
      </c>
      <c r="F2603" s="159">
        <v>75000</v>
      </c>
      <c r="G2603" s="159">
        <v>564000000</v>
      </c>
      <c r="H2603" s="159">
        <v>50760000</v>
      </c>
      <c r="I2603" s="159">
        <v>614760000</v>
      </c>
      <c r="J2603" s="159" t="e">
        <f>bargiri[[#This Row],[مقدار]]*INDEX(invoice[پیش دریافت به ازای هر کیلوگرم],MATCH(bargiri[[#This Row],[شماره سند مبنا]],invoice[شماره پیش فاکتور],0))</f>
        <v>#N/A</v>
      </c>
      <c r="K2603" s="159" t="e">
        <f>bargiri[[#This Row],[مبلغ خالص]]-bargiri[[#This Row],[میزان استهلاک پیش دریافتی]]</f>
        <v>#N/A</v>
      </c>
      <c r="L2603" s="160"/>
      <c r="M2603" s="159"/>
      <c r="N2603" s="159" t="e">
        <f>IF(bargiri[[#This Row],[مبلغ واریزی]]&lt;&gt;"",bargiri[[#This Row],[مانده مبلغ]]-bargiri[[#This Row],[مبلغ واریزی]],bargiri[[#This Row],[مانده مبلغ]])</f>
        <v>#N/A</v>
      </c>
      <c r="O2603" s="159"/>
      <c r="P2603" s="159" t="e">
        <f>VLOOKUP(bargiri[[#This Row],[شماره سند مبنا]],invoice[[شماره پیش فاکتور]:[پیش دریافت به ازای هر کیلوگرم]],14,0)</f>
        <v>#N/A</v>
      </c>
      <c r="Q2603" s="159" t="e">
        <f>IF(bargiri[[#This Row],[مبلغ ناخالص]]-(bargiri[[#This Row],[نرخ استهلاک]]*bargiri[[#This Row],[مقدار]])&lt;0,0,bargiri[[#This Row],[مبلغ ناخالص]]-(bargiri[[#This Row],[نرخ استهلاک]]*bargiri[[#This Row],[مقدار]]))</f>
        <v>#N/A</v>
      </c>
    </row>
    <row r="2604" spans="1:17" ht="13.8" x14ac:dyDescent="0.25">
      <c r="A2604" s="22">
        <v>196</v>
      </c>
      <c r="B2604" s="22" t="s">
        <v>569</v>
      </c>
      <c r="C2604" s="22" t="s">
        <v>77</v>
      </c>
      <c r="D2604" s="22" t="s">
        <v>78</v>
      </c>
      <c r="E2604" s="158">
        <v>22890</v>
      </c>
      <c r="F2604" s="159">
        <v>75000</v>
      </c>
      <c r="G2604" s="159">
        <v>1716750000</v>
      </c>
      <c r="H2604" s="159">
        <v>154507500</v>
      </c>
      <c r="I2604" s="159">
        <v>1871257500</v>
      </c>
      <c r="J2604" s="159" t="e">
        <f>bargiri[[#This Row],[مقدار]]*INDEX(invoice[پیش دریافت به ازای هر کیلوگرم],MATCH(bargiri[[#This Row],[شماره سند مبنا]],invoice[شماره پیش فاکتور],0))</f>
        <v>#N/A</v>
      </c>
      <c r="K2604" s="159" t="e">
        <f>bargiri[[#This Row],[مبلغ خالص]]-bargiri[[#This Row],[میزان استهلاک پیش دریافتی]]</f>
        <v>#N/A</v>
      </c>
      <c r="L2604" s="160"/>
      <c r="M2604" s="159"/>
      <c r="N2604" s="159" t="e">
        <f>IF(bargiri[[#This Row],[مبلغ واریزی]]&lt;&gt;"",bargiri[[#This Row],[مانده مبلغ]]-bargiri[[#This Row],[مبلغ واریزی]],bargiri[[#This Row],[مانده مبلغ]])</f>
        <v>#N/A</v>
      </c>
      <c r="O2604" s="159"/>
      <c r="P2604" s="159" t="e">
        <f>VLOOKUP(bargiri[[#This Row],[شماره سند مبنا]],invoice[[شماره پیش فاکتور]:[پیش دریافت به ازای هر کیلوگرم]],14,0)</f>
        <v>#N/A</v>
      </c>
      <c r="Q2604" s="159" t="e">
        <f>IF(bargiri[[#This Row],[مبلغ ناخالص]]-(bargiri[[#This Row],[نرخ استهلاک]]*bargiri[[#This Row],[مقدار]])&lt;0,0,bargiri[[#This Row],[مبلغ ناخالص]]-(bargiri[[#This Row],[نرخ استهلاک]]*bargiri[[#This Row],[مقدار]]))</f>
        <v>#N/A</v>
      </c>
    </row>
    <row r="2605" spans="1:17" ht="13.8" x14ac:dyDescent="0.25">
      <c r="A2605" s="22">
        <v>195</v>
      </c>
      <c r="B2605" s="22" t="s">
        <v>569</v>
      </c>
      <c r="C2605" s="22" t="s">
        <v>71</v>
      </c>
      <c r="D2605" s="22" t="s">
        <v>70</v>
      </c>
      <c r="E2605" s="158">
        <v>6570</v>
      </c>
      <c r="F2605" s="159">
        <v>55000</v>
      </c>
      <c r="G2605" s="159">
        <v>361350000</v>
      </c>
      <c r="H2605" s="159">
        <v>32521500</v>
      </c>
      <c r="I2605" s="159">
        <v>393871500</v>
      </c>
      <c r="J2605" s="159" t="e">
        <f>bargiri[[#This Row],[مقدار]]*INDEX(invoice[پیش دریافت به ازای هر کیلوگرم],MATCH(bargiri[[#This Row],[شماره سند مبنا]],invoice[شماره پیش فاکتور],0))</f>
        <v>#N/A</v>
      </c>
      <c r="K2605" s="159" t="e">
        <f>bargiri[[#This Row],[مبلغ خالص]]-bargiri[[#This Row],[میزان استهلاک پیش دریافتی]]</f>
        <v>#N/A</v>
      </c>
      <c r="L2605" s="160"/>
      <c r="M2605" s="159"/>
      <c r="N2605" s="159" t="e">
        <f>IF(bargiri[[#This Row],[مبلغ واریزی]]&lt;&gt;"",bargiri[[#This Row],[مانده مبلغ]]-bargiri[[#This Row],[مبلغ واریزی]],bargiri[[#This Row],[مانده مبلغ]])</f>
        <v>#N/A</v>
      </c>
      <c r="O2605" s="159"/>
      <c r="P2605" s="159" t="e">
        <f>VLOOKUP(bargiri[[#This Row],[شماره سند مبنا]],invoice[[شماره پیش فاکتور]:[پیش دریافت به ازای هر کیلوگرم]],14,0)</f>
        <v>#N/A</v>
      </c>
      <c r="Q2605" s="159" t="e">
        <f>IF(bargiri[[#This Row],[مبلغ ناخالص]]-(bargiri[[#This Row],[نرخ استهلاک]]*bargiri[[#This Row],[مقدار]])&lt;0,0,bargiri[[#This Row],[مبلغ ناخالص]]-(bargiri[[#This Row],[نرخ استهلاک]]*bargiri[[#This Row],[مقدار]]))</f>
        <v>#N/A</v>
      </c>
    </row>
    <row r="2606" spans="1:17" ht="13.8" x14ac:dyDescent="0.25">
      <c r="A2606" s="22">
        <v>194</v>
      </c>
      <c r="B2606" s="22" t="s">
        <v>569</v>
      </c>
      <c r="C2606" s="22" t="s">
        <v>75</v>
      </c>
      <c r="D2606" s="22" t="s">
        <v>73</v>
      </c>
      <c r="E2606" s="158">
        <v>20070</v>
      </c>
      <c r="F2606" s="159">
        <v>56881</v>
      </c>
      <c r="G2606" s="159">
        <v>1141601670</v>
      </c>
      <c r="H2606" s="159">
        <v>102744150</v>
      </c>
      <c r="I2606" s="159">
        <v>1244345820</v>
      </c>
      <c r="J2606" s="159" t="e">
        <f>bargiri[[#This Row],[مقدار]]*INDEX(invoice[پیش دریافت به ازای هر کیلوگرم],MATCH(bargiri[[#This Row],[شماره سند مبنا]],invoice[شماره پیش فاکتور],0))</f>
        <v>#N/A</v>
      </c>
      <c r="K2606" s="159" t="e">
        <f>bargiri[[#This Row],[مبلغ خالص]]-bargiri[[#This Row],[میزان استهلاک پیش دریافتی]]</f>
        <v>#N/A</v>
      </c>
      <c r="L2606" s="160"/>
      <c r="M2606" s="159"/>
      <c r="N2606" s="159" t="e">
        <f>IF(bargiri[[#This Row],[مبلغ واریزی]]&lt;&gt;"",bargiri[[#This Row],[مانده مبلغ]]-bargiri[[#This Row],[مبلغ واریزی]],bargiri[[#This Row],[مانده مبلغ]])</f>
        <v>#N/A</v>
      </c>
      <c r="O2606" s="159"/>
      <c r="P2606" s="159" t="e">
        <f>VLOOKUP(bargiri[[#This Row],[شماره سند مبنا]],invoice[[شماره پیش فاکتور]:[پیش دریافت به ازای هر کیلوگرم]],14,0)</f>
        <v>#N/A</v>
      </c>
      <c r="Q2606" s="159" t="e">
        <f>IF(bargiri[[#This Row],[مبلغ ناخالص]]-(bargiri[[#This Row],[نرخ استهلاک]]*bargiri[[#This Row],[مقدار]])&lt;0,0,bargiri[[#This Row],[مبلغ ناخالص]]-(bargiri[[#This Row],[نرخ استهلاک]]*bargiri[[#This Row],[مقدار]]))</f>
        <v>#N/A</v>
      </c>
    </row>
    <row r="2607" spans="1:17" ht="13.8" x14ac:dyDescent="0.25">
      <c r="A2607" s="22">
        <v>193</v>
      </c>
      <c r="B2607" s="22" t="s">
        <v>569</v>
      </c>
      <c r="C2607" s="22" t="s">
        <v>75</v>
      </c>
      <c r="D2607" s="22" t="s">
        <v>73</v>
      </c>
      <c r="E2607" s="158">
        <v>21010</v>
      </c>
      <c r="F2607" s="159">
        <v>56881</v>
      </c>
      <c r="G2607" s="159">
        <v>1195069810</v>
      </c>
      <c r="H2607" s="159">
        <v>107556283</v>
      </c>
      <c r="I2607" s="159">
        <v>1302626093</v>
      </c>
      <c r="J2607" s="159" t="e">
        <f>bargiri[[#This Row],[مقدار]]*INDEX(invoice[پیش دریافت به ازای هر کیلوگرم],MATCH(bargiri[[#This Row],[شماره سند مبنا]],invoice[شماره پیش فاکتور],0))</f>
        <v>#N/A</v>
      </c>
      <c r="K2607" s="159" t="e">
        <f>bargiri[[#This Row],[مبلغ خالص]]-bargiri[[#This Row],[میزان استهلاک پیش دریافتی]]</f>
        <v>#N/A</v>
      </c>
      <c r="L2607" s="160"/>
      <c r="M2607" s="159"/>
      <c r="N2607" s="159" t="e">
        <f>IF(bargiri[[#This Row],[مبلغ واریزی]]&lt;&gt;"",bargiri[[#This Row],[مانده مبلغ]]-bargiri[[#This Row],[مبلغ واریزی]],bargiri[[#This Row],[مانده مبلغ]])</f>
        <v>#N/A</v>
      </c>
      <c r="O2607" s="159"/>
      <c r="P2607" s="159" t="e">
        <f>VLOOKUP(bargiri[[#This Row],[شماره سند مبنا]],invoice[[شماره پیش فاکتور]:[پیش دریافت به ازای هر کیلوگرم]],14,0)</f>
        <v>#N/A</v>
      </c>
      <c r="Q2607" s="159" t="e">
        <f>IF(bargiri[[#This Row],[مبلغ ناخالص]]-(bargiri[[#This Row],[نرخ استهلاک]]*bargiri[[#This Row],[مقدار]])&lt;0,0,bargiri[[#This Row],[مبلغ ناخالص]]-(bargiri[[#This Row],[نرخ استهلاک]]*bargiri[[#This Row],[مقدار]]))</f>
        <v>#N/A</v>
      </c>
    </row>
    <row r="2608" spans="1:17" ht="13.8" x14ac:dyDescent="0.25">
      <c r="A2608" s="22">
        <v>192</v>
      </c>
      <c r="B2608" s="22" t="s">
        <v>569</v>
      </c>
      <c r="C2608" s="22" t="s">
        <v>75</v>
      </c>
      <c r="D2608" s="22" t="s">
        <v>73</v>
      </c>
      <c r="E2608" s="158">
        <v>20900</v>
      </c>
      <c r="F2608" s="159">
        <v>56881</v>
      </c>
      <c r="G2608" s="159">
        <v>1188812900</v>
      </c>
      <c r="H2608" s="159">
        <v>106993161</v>
      </c>
      <c r="I2608" s="159">
        <v>1295806061</v>
      </c>
      <c r="J2608" s="159" t="e">
        <f>bargiri[[#This Row],[مقدار]]*INDEX(invoice[پیش دریافت به ازای هر کیلوگرم],MATCH(bargiri[[#This Row],[شماره سند مبنا]],invoice[شماره پیش فاکتور],0))</f>
        <v>#N/A</v>
      </c>
      <c r="K2608" s="159" t="e">
        <f>bargiri[[#This Row],[مبلغ خالص]]-bargiri[[#This Row],[میزان استهلاک پیش دریافتی]]</f>
        <v>#N/A</v>
      </c>
      <c r="L2608" s="160"/>
      <c r="M2608" s="159"/>
      <c r="N2608" s="159" t="e">
        <f>IF(bargiri[[#This Row],[مبلغ واریزی]]&lt;&gt;"",bargiri[[#This Row],[مانده مبلغ]]-bargiri[[#This Row],[مبلغ واریزی]],bargiri[[#This Row],[مانده مبلغ]])</f>
        <v>#N/A</v>
      </c>
      <c r="O2608" s="159"/>
      <c r="P2608" s="159" t="e">
        <f>VLOOKUP(bargiri[[#This Row],[شماره سند مبنا]],invoice[[شماره پیش فاکتور]:[پیش دریافت به ازای هر کیلوگرم]],14,0)</f>
        <v>#N/A</v>
      </c>
      <c r="Q2608" s="159" t="e">
        <f>IF(bargiri[[#This Row],[مبلغ ناخالص]]-(bargiri[[#This Row],[نرخ استهلاک]]*bargiri[[#This Row],[مقدار]])&lt;0,0,bargiri[[#This Row],[مبلغ ناخالص]]-(bargiri[[#This Row],[نرخ استهلاک]]*bargiri[[#This Row],[مقدار]]))</f>
        <v>#N/A</v>
      </c>
    </row>
    <row r="2609" spans="1:17" ht="13.8" x14ac:dyDescent="0.25">
      <c r="A2609" s="22">
        <v>191</v>
      </c>
      <c r="B2609" s="22" t="s">
        <v>65</v>
      </c>
      <c r="C2609" s="22" t="s">
        <v>22</v>
      </c>
      <c r="D2609" s="22" t="s">
        <v>20</v>
      </c>
      <c r="E2609" s="158">
        <v>18320</v>
      </c>
      <c r="F2609" s="159">
        <v>50000</v>
      </c>
      <c r="G2609" s="159">
        <v>916000000</v>
      </c>
      <c r="H2609" s="159">
        <v>82440000</v>
      </c>
      <c r="I2609" s="159">
        <v>998440000</v>
      </c>
      <c r="J2609" s="159" t="e">
        <f>bargiri[[#This Row],[مقدار]]*INDEX(invoice[پیش دریافت به ازای هر کیلوگرم],MATCH(bargiri[[#This Row],[شماره سند مبنا]],invoice[شماره پیش فاکتور],0))</f>
        <v>#N/A</v>
      </c>
      <c r="K2609" s="159" t="e">
        <f>bargiri[[#This Row],[مبلغ خالص]]-bargiri[[#This Row],[میزان استهلاک پیش دریافتی]]</f>
        <v>#N/A</v>
      </c>
      <c r="L2609" s="160"/>
      <c r="M2609" s="159"/>
      <c r="N2609" s="159" t="e">
        <f>IF(bargiri[[#This Row],[مبلغ واریزی]]&lt;&gt;"",bargiri[[#This Row],[مانده مبلغ]]-bargiri[[#This Row],[مبلغ واریزی]],bargiri[[#This Row],[مانده مبلغ]])</f>
        <v>#N/A</v>
      </c>
      <c r="O2609" s="159"/>
      <c r="P2609" s="159" t="e">
        <f>VLOOKUP(bargiri[[#This Row],[شماره سند مبنا]],invoice[[شماره پیش فاکتور]:[پیش دریافت به ازای هر کیلوگرم]],14,0)</f>
        <v>#N/A</v>
      </c>
      <c r="Q2609" s="159" t="e">
        <f>IF(bargiri[[#This Row],[مبلغ ناخالص]]-(bargiri[[#This Row],[نرخ استهلاک]]*bargiri[[#This Row],[مقدار]])&lt;0,0,bargiri[[#This Row],[مبلغ ناخالص]]-(bargiri[[#This Row],[نرخ استهلاک]]*bargiri[[#This Row],[مقدار]]))</f>
        <v>#N/A</v>
      </c>
    </row>
    <row r="2610" spans="1:17" ht="13.8" x14ac:dyDescent="0.25">
      <c r="A2610" s="22">
        <v>190</v>
      </c>
      <c r="B2610" s="22" t="s">
        <v>65</v>
      </c>
      <c r="C2610" s="22" t="s">
        <v>46</v>
      </c>
      <c r="D2610" s="22" t="s">
        <v>43</v>
      </c>
      <c r="E2610" s="158">
        <v>17120</v>
      </c>
      <c r="F2610" s="159">
        <v>50000</v>
      </c>
      <c r="G2610" s="159">
        <v>856000000</v>
      </c>
      <c r="H2610" s="159">
        <v>77040000</v>
      </c>
      <c r="I2610" s="159">
        <v>933040000</v>
      </c>
      <c r="J2610" s="159" t="e">
        <f>bargiri[[#This Row],[مقدار]]*INDEX(invoice[پیش دریافت به ازای هر کیلوگرم],MATCH(bargiri[[#This Row],[شماره سند مبنا]],invoice[شماره پیش فاکتور],0))</f>
        <v>#N/A</v>
      </c>
      <c r="K2610" s="159" t="e">
        <f>bargiri[[#This Row],[مبلغ خالص]]-bargiri[[#This Row],[میزان استهلاک پیش دریافتی]]</f>
        <v>#N/A</v>
      </c>
      <c r="L2610" s="160"/>
      <c r="M2610" s="159"/>
      <c r="N2610" s="159" t="e">
        <f>IF(bargiri[[#This Row],[مبلغ واریزی]]&lt;&gt;"",bargiri[[#This Row],[مانده مبلغ]]-bargiri[[#This Row],[مبلغ واریزی]],bargiri[[#This Row],[مانده مبلغ]])</f>
        <v>#N/A</v>
      </c>
      <c r="O2610" s="159"/>
      <c r="P2610" s="159" t="e">
        <f>VLOOKUP(bargiri[[#This Row],[شماره سند مبنا]],invoice[[شماره پیش فاکتور]:[پیش دریافت به ازای هر کیلوگرم]],14,0)</f>
        <v>#N/A</v>
      </c>
      <c r="Q2610" s="159" t="e">
        <f>IF(bargiri[[#This Row],[مبلغ ناخالص]]-(bargiri[[#This Row],[نرخ استهلاک]]*bargiri[[#This Row],[مقدار]])&lt;0,0,bargiri[[#This Row],[مبلغ ناخالص]]-(bargiri[[#This Row],[نرخ استهلاک]]*bargiri[[#This Row],[مقدار]]))</f>
        <v>#N/A</v>
      </c>
    </row>
    <row r="2611" spans="1:17" ht="13.8" x14ac:dyDescent="0.25">
      <c r="A2611" s="22">
        <v>189</v>
      </c>
      <c r="B2611" s="22" t="s">
        <v>65</v>
      </c>
      <c r="C2611" s="22" t="s">
        <v>71</v>
      </c>
      <c r="D2611" s="22" t="s">
        <v>70</v>
      </c>
      <c r="E2611" s="158">
        <v>6510</v>
      </c>
      <c r="F2611" s="159">
        <v>55000</v>
      </c>
      <c r="G2611" s="159">
        <v>358050000</v>
      </c>
      <c r="H2611" s="159">
        <v>32224500</v>
      </c>
      <c r="I2611" s="159">
        <v>390274500</v>
      </c>
      <c r="J2611" s="159" t="e">
        <f>bargiri[[#This Row],[مقدار]]*INDEX(invoice[پیش دریافت به ازای هر کیلوگرم],MATCH(bargiri[[#This Row],[شماره سند مبنا]],invoice[شماره پیش فاکتور],0))</f>
        <v>#N/A</v>
      </c>
      <c r="K2611" s="159" t="e">
        <f>bargiri[[#This Row],[مبلغ خالص]]-bargiri[[#This Row],[میزان استهلاک پیش دریافتی]]</f>
        <v>#N/A</v>
      </c>
      <c r="L2611" s="160"/>
      <c r="M2611" s="159"/>
      <c r="N2611" s="159" t="e">
        <f>IF(bargiri[[#This Row],[مبلغ واریزی]]&lt;&gt;"",bargiri[[#This Row],[مانده مبلغ]]-bargiri[[#This Row],[مبلغ واریزی]],bargiri[[#This Row],[مانده مبلغ]])</f>
        <v>#N/A</v>
      </c>
      <c r="O2611" s="159"/>
      <c r="P2611" s="159" t="e">
        <f>VLOOKUP(bargiri[[#This Row],[شماره سند مبنا]],invoice[[شماره پیش فاکتور]:[پیش دریافت به ازای هر کیلوگرم]],14,0)</f>
        <v>#N/A</v>
      </c>
      <c r="Q2611" s="159" t="e">
        <f>IF(bargiri[[#This Row],[مبلغ ناخالص]]-(bargiri[[#This Row],[نرخ استهلاک]]*bargiri[[#This Row],[مقدار]])&lt;0,0,bargiri[[#This Row],[مبلغ ناخالص]]-(bargiri[[#This Row],[نرخ استهلاک]]*bargiri[[#This Row],[مقدار]]))</f>
        <v>#N/A</v>
      </c>
    </row>
    <row r="2612" spans="1:17" ht="13.8" x14ac:dyDescent="0.25">
      <c r="A2612" s="22">
        <v>188</v>
      </c>
      <c r="B2612" s="22" t="s">
        <v>65</v>
      </c>
      <c r="C2612" s="22" t="s">
        <v>77</v>
      </c>
      <c r="D2612" s="22" t="s">
        <v>78</v>
      </c>
      <c r="E2612" s="158">
        <v>22020</v>
      </c>
      <c r="F2612" s="159">
        <v>75000</v>
      </c>
      <c r="G2612" s="159">
        <v>1651500000</v>
      </c>
      <c r="H2612" s="159">
        <v>148635000</v>
      </c>
      <c r="I2612" s="159">
        <v>1800135000</v>
      </c>
      <c r="J2612" s="159" t="e">
        <f>bargiri[[#This Row],[مقدار]]*INDEX(invoice[پیش دریافت به ازای هر کیلوگرم],MATCH(bargiri[[#This Row],[شماره سند مبنا]],invoice[شماره پیش فاکتور],0))</f>
        <v>#N/A</v>
      </c>
      <c r="K2612" s="159" t="e">
        <f>bargiri[[#This Row],[مبلغ خالص]]-bargiri[[#This Row],[میزان استهلاک پیش دریافتی]]</f>
        <v>#N/A</v>
      </c>
      <c r="L2612" s="160"/>
      <c r="M2612" s="159"/>
      <c r="N2612" s="159" t="e">
        <f>IF(bargiri[[#This Row],[مبلغ واریزی]]&lt;&gt;"",bargiri[[#This Row],[مانده مبلغ]]-bargiri[[#This Row],[مبلغ واریزی]],bargiri[[#This Row],[مانده مبلغ]])</f>
        <v>#N/A</v>
      </c>
      <c r="O2612" s="159"/>
      <c r="P2612" s="159" t="e">
        <f>VLOOKUP(bargiri[[#This Row],[شماره سند مبنا]],invoice[[شماره پیش فاکتور]:[پیش دریافت به ازای هر کیلوگرم]],14,0)</f>
        <v>#N/A</v>
      </c>
      <c r="Q2612" s="159" t="e">
        <f>IF(bargiri[[#This Row],[مبلغ ناخالص]]-(bargiri[[#This Row],[نرخ استهلاک]]*bargiri[[#This Row],[مقدار]])&lt;0,0,bargiri[[#This Row],[مبلغ ناخالص]]-(bargiri[[#This Row],[نرخ استهلاک]]*bargiri[[#This Row],[مقدار]]))</f>
        <v>#N/A</v>
      </c>
    </row>
    <row r="2613" spans="1:17" ht="13.8" x14ac:dyDescent="0.25">
      <c r="A2613" s="22">
        <v>187</v>
      </c>
      <c r="B2613" s="22" t="s">
        <v>65</v>
      </c>
      <c r="C2613" s="22" t="s">
        <v>46</v>
      </c>
      <c r="D2613" s="22" t="s">
        <v>43</v>
      </c>
      <c r="E2613" s="158">
        <v>21000</v>
      </c>
      <c r="F2613" s="159">
        <v>50000</v>
      </c>
      <c r="G2613" s="159">
        <v>1050000000</v>
      </c>
      <c r="H2613" s="159">
        <v>94500000</v>
      </c>
      <c r="I2613" s="159">
        <v>1144500000</v>
      </c>
      <c r="J2613" s="159" t="e">
        <f>bargiri[[#This Row],[مقدار]]*INDEX(invoice[پیش دریافت به ازای هر کیلوگرم],MATCH(bargiri[[#This Row],[شماره سند مبنا]],invoice[شماره پیش فاکتور],0))</f>
        <v>#N/A</v>
      </c>
      <c r="K2613" s="159" t="e">
        <f>bargiri[[#This Row],[مبلغ خالص]]-bargiri[[#This Row],[میزان استهلاک پیش دریافتی]]</f>
        <v>#N/A</v>
      </c>
      <c r="L2613" s="160"/>
      <c r="M2613" s="159"/>
      <c r="N2613" s="159" t="e">
        <f>IF(bargiri[[#This Row],[مبلغ واریزی]]&lt;&gt;"",bargiri[[#This Row],[مانده مبلغ]]-bargiri[[#This Row],[مبلغ واریزی]],bargiri[[#This Row],[مانده مبلغ]])</f>
        <v>#N/A</v>
      </c>
      <c r="O2613" s="159"/>
      <c r="P2613" s="159" t="e">
        <f>VLOOKUP(bargiri[[#This Row],[شماره سند مبنا]],invoice[[شماره پیش فاکتور]:[پیش دریافت به ازای هر کیلوگرم]],14,0)</f>
        <v>#N/A</v>
      </c>
      <c r="Q2613" s="159" t="e">
        <f>IF(bargiri[[#This Row],[مبلغ ناخالص]]-(bargiri[[#This Row],[نرخ استهلاک]]*bargiri[[#This Row],[مقدار]])&lt;0,0,bargiri[[#This Row],[مبلغ ناخالص]]-(bargiri[[#This Row],[نرخ استهلاک]]*bargiri[[#This Row],[مقدار]]))</f>
        <v>#N/A</v>
      </c>
    </row>
    <row r="2614" spans="1:17" ht="13.8" x14ac:dyDescent="0.25">
      <c r="A2614" s="22">
        <v>186</v>
      </c>
      <c r="B2614" s="22" t="s">
        <v>65</v>
      </c>
      <c r="C2614" s="22" t="s">
        <v>37</v>
      </c>
      <c r="D2614" s="22" t="s">
        <v>35</v>
      </c>
      <c r="E2614" s="158">
        <v>7460</v>
      </c>
      <c r="F2614" s="159">
        <v>75000</v>
      </c>
      <c r="G2614" s="159">
        <v>559500000</v>
      </c>
      <c r="H2614" s="159">
        <v>50355000</v>
      </c>
      <c r="I2614" s="159">
        <v>609855000</v>
      </c>
      <c r="J2614" s="159" t="e">
        <f>bargiri[[#This Row],[مقدار]]*INDEX(invoice[پیش دریافت به ازای هر کیلوگرم],MATCH(bargiri[[#This Row],[شماره سند مبنا]],invoice[شماره پیش فاکتور],0))</f>
        <v>#N/A</v>
      </c>
      <c r="K2614" s="159" t="e">
        <f>bargiri[[#This Row],[مبلغ خالص]]-bargiri[[#This Row],[میزان استهلاک پیش دریافتی]]</f>
        <v>#N/A</v>
      </c>
      <c r="L2614" s="160"/>
      <c r="M2614" s="159"/>
      <c r="N2614" s="159" t="e">
        <f>IF(bargiri[[#This Row],[مبلغ واریزی]]&lt;&gt;"",bargiri[[#This Row],[مانده مبلغ]]-bargiri[[#This Row],[مبلغ واریزی]],bargiri[[#This Row],[مانده مبلغ]])</f>
        <v>#N/A</v>
      </c>
      <c r="O2614" s="159"/>
      <c r="P2614" s="159" t="e">
        <f>VLOOKUP(bargiri[[#This Row],[شماره سند مبنا]],invoice[[شماره پیش فاکتور]:[پیش دریافت به ازای هر کیلوگرم]],14,0)</f>
        <v>#N/A</v>
      </c>
      <c r="Q2614" s="159" t="e">
        <f>IF(bargiri[[#This Row],[مبلغ ناخالص]]-(bargiri[[#This Row],[نرخ استهلاک]]*bargiri[[#This Row],[مقدار]])&lt;0,0,bargiri[[#This Row],[مبلغ ناخالص]]-(bargiri[[#This Row],[نرخ استهلاک]]*bargiri[[#This Row],[مقدار]]))</f>
        <v>#N/A</v>
      </c>
    </row>
    <row r="2615" spans="1:17" ht="13.8" x14ac:dyDescent="0.25">
      <c r="A2615" s="22">
        <v>185</v>
      </c>
      <c r="B2615" s="22" t="s">
        <v>582</v>
      </c>
      <c r="C2615" s="22" t="s">
        <v>27</v>
      </c>
      <c r="D2615" s="22" t="s">
        <v>25</v>
      </c>
      <c r="E2615" s="158">
        <v>22980</v>
      </c>
      <c r="F2615" s="159">
        <v>68000</v>
      </c>
      <c r="G2615" s="159">
        <v>1562640000</v>
      </c>
      <c r="H2615" s="159">
        <v>140637600</v>
      </c>
      <c r="I2615" s="159">
        <v>1703277600</v>
      </c>
      <c r="J2615" s="159" t="e">
        <f>bargiri[[#This Row],[مقدار]]*INDEX(invoice[پیش دریافت به ازای هر کیلوگرم],MATCH(bargiri[[#This Row],[شماره سند مبنا]],invoice[شماره پیش فاکتور],0))</f>
        <v>#N/A</v>
      </c>
      <c r="K2615" s="159" t="e">
        <f>bargiri[[#This Row],[مبلغ خالص]]-bargiri[[#This Row],[میزان استهلاک پیش دریافتی]]</f>
        <v>#N/A</v>
      </c>
      <c r="L2615" s="160"/>
      <c r="M2615" s="159"/>
      <c r="N2615" s="159" t="e">
        <f>IF(bargiri[[#This Row],[مبلغ واریزی]]&lt;&gt;"",bargiri[[#This Row],[مانده مبلغ]]-bargiri[[#This Row],[مبلغ واریزی]],bargiri[[#This Row],[مانده مبلغ]])</f>
        <v>#N/A</v>
      </c>
      <c r="O2615" s="159"/>
      <c r="P2615" s="159" t="e">
        <f>VLOOKUP(bargiri[[#This Row],[شماره سند مبنا]],invoice[[شماره پیش فاکتور]:[پیش دریافت به ازای هر کیلوگرم]],14,0)</f>
        <v>#N/A</v>
      </c>
      <c r="Q2615" s="159" t="e">
        <f>IF(bargiri[[#This Row],[مبلغ ناخالص]]-(bargiri[[#This Row],[نرخ استهلاک]]*bargiri[[#This Row],[مقدار]])&lt;0,0,bargiri[[#This Row],[مبلغ ناخالص]]-(bargiri[[#This Row],[نرخ استهلاک]]*bargiri[[#This Row],[مقدار]]))</f>
        <v>#N/A</v>
      </c>
    </row>
    <row r="2616" spans="1:17" ht="13.8" x14ac:dyDescent="0.25">
      <c r="A2616" s="22">
        <v>184</v>
      </c>
      <c r="B2616" s="22" t="s">
        <v>582</v>
      </c>
      <c r="C2616" s="22" t="s">
        <v>71</v>
      </c>
      <c r="D2616" s="22" t="s">
        <v>70</v>
      </c>
      <c r="E2616" s="158">
        <v>6190</v>
      </c>
      <c r="F2616" s="159">
        <v>55000</v>
      </c>
      <c r="G2616" s="159">
        <v>340450000</v>
      </c>
      <c r="H2616" s="159">
        <v>30640500</v>
      </c>
      <c r="I2616" s="159">
        <v>371090500</v>
      </c>
      <c r="J2616" s="159" t="e">
        <f>bargiri[[#This Row],[مقدار]]*INDEX(invoice[پیش دریافت به ازای هر کیلوگرم],MATCH(bargiri[[#This Row],[شماره سند مبنا]],invoice[شماره پیش فاکتور],0))</f>
        <v>#N/A</v>
      </c>
      <c r="K2616" s="159" t="e">
        <f>bargiri[[#This Row],[مبلغ خالص]]-bargiri[[#This Row],[میزان استهلاک پیش دریافتی]]</f>
        <v>#N/A</v>
      </c>
      <c r="L2616" s="160"/>
      <c r="M2616" s="159"/>
      <c r="N2616" s="159" t="e">
        <f>IF(bargiri[[#This Row],[مبلغ واریزی]]&lt;&gt;"",bargiri[[#This Row],[مانده مبلغ]]-bargiri[[#This Row],[مبلغ واریزی]],bargiri[[#This Row],[مانده مبلغ]])</f>
        <v>#N/A</v>
      </c>
      <c r="O2616" s="159"/>
      <c r="P2616" s="159" t="e">
        <f>VLOOKUP(bargiri[[#This Row],[شماره سند مبنا]],invoice[[شماره پیش فاکتور]:[پیش دریافت به ازای هر کیلوگرم]],14,0)</f>
        <v>#N/A</v>
      </c>
      <c r="Q2616" s="159" t="e">
        <f>IF(bargiri[[#This Row],[مبلغ ناخالص]]-(bargiri[[#This Row],[نرخ استهلاک]]*bargiri[[#This Row],[مقدار]])&lt;0,0,bargiri[[#This Row],[مبلغ ناخالص]]-(bargiri[[#This Row],[نرخ استهلاک]]*bargiri[[#This Row],[مقدار]]))</f>
        <v>#N/A</v>
      </c>
    </row>
    <row r="2617" spans="1:17" ht="13.8" x14ac:dyDescent="0.25">
      <c r="A2617" s="22">
        <v>183</v>
      </c>
      <c r="B2617" s="22" t="s">
        <v>582</v>
      </c>
      <c r="C2617" s="22" t="s">
        <v>37</v>
      </c>
      <c r="D2617" s="22" t="s">
        <v>35</v>
      </c>
      <c r="E2617" s="158">
        <v>6640</v>
      </c>
      <c r="F2617" s="159">
        <v>75000</v>
      </c>
      <c r="G2617" s="159">
        <v>498000000</v>
      </c>
      <c r="H2617" s="159">
        <v>44820000</v>
      </c>
      <c r="I2617" s="159">
        <v>542820000</v>
      </c>
      <c r="J2617" s="159" t="e">
        <f>bargiri[[#This Row],[مقدار]]*INDEX(invoice[پیش دریافت به ازای هر کیلوگرم],MATCH(bargiri[[#This Row],[شماره سند مبنا]],invoice[شماره پیش فاکتور],0))</f>
        <v>#N/A</v>
      </c>
      <c r="K2617" s="159" t="e">
        <f>bargiri[[#This Row],[مبلغ خالص]]-bargiri[[#This Row],[میزان استهلاک پیش دریافتی]]</f>
        <v>#N/A</v>
      </c>
      <c r="L2617" s="160"/>
      <c r="M2617" s="159"/>
      <c r="N2617" s="159" t="e">
        <f>IF(bargiri[[#This Row],[مبلغ واریزی]]&lt;&gt;"",bargiri[[#This Row],[مانده مبلغ]]-bargiri[[#This Row],[مبلغ واریزی]],bargiri[[#This Row],[مانده مبلغ]])</f>
        <v>#N/A</v>
      </c>
      <c r="O2617" s="159"/>
      <c r="P2617" s="159" t="e">
        <f>VLOOKUP(bargiri[[#This Row],[شماره سند مبنا]],invoice[[شماره پیش فاکتور]:[پیش دریافت به ازای هر کیلوگرم]],14,0)</f>
        <v>#N/A</v>
      </c>
      <c r="Q2617" s="159" t="e">
        <f>IF(bargiri[[#This Row],[مبلغ ناخالص]]-(bargiri[[#This Row],[نرخ استهلاک]]*bargiri[[#This Row],[مقدار]])&lt;0,0,bargiri[[#This Row],[مبلغ ناخالص]]-(bargiri[[#This Row],[نرخ استهلاک]]*bargiri[[#This Row],[مقدار]]))</f>
        <v>#N/A</v>
      </c>
    </row>
    <row r="2618" spans="1:17" ht="13.8" x14ac:dyDescent="0.25">
      <c r="A2618" s="22">
        <v>182</v>
      </c>
      <c r="B2618" s="22" t="s">
        <v>582</v>
      </c>
      <c r="C2618" s="22" t="s">
        <v>32</v>
      </c>
      <c r="D2618" s="22" t="s">
        <v>30</v>
      </c>
      <c r="E2618" s="158">
        <v>8310</v>
      </c>
      <c r="F2618" s="159">
        <v>56000</v>
      </c>
      <c r="G2618" s="159">
        <v>465360000</v>
      </c>
      <c r="H2618" s="159">
        <v>41882400</v>
      </c>
      <c r="I2618" s="159">
        <v>507242400</v>
      </c>
      <c r="J2618" s="159" t="e">
        <f>bargiri[[#This Row],[مقدار]]*INDEX(invoice[پیش دریافت به ازای هر کیلوگرم],MATCH(bargiri[[#This Row],[شماره سند مبنا]],invoice[شماره پیش فاکتور],0))</f>
        <v>#N/A</v>
      </c>
      <c r="K2618" s="159" t="e">
        <f>bargiri[[#This Row],[مبلغ خالص]]-bargiri[[#This Row],[میزان استهلاک پیش دریافتی]]</f>
        <v>#N/A</v>
      </c>
      <c r="L2618" s="160"/>
      <c r="M2618" s="159"/>
      <c r="N2618" s="159" t="e">
        <f>IF(bargiri[[#This Row],[مبلغ واریزی]]&lt;&gt;"",bargiri[[#This Row],[مانده مبلغ]]-bargiri[[#This Row],[مبلغ واریزی]],bargiri[[#This Row],[مانده مبلغ]])</f>
        <v>#N/A</v>
      </c>
      <c r="O2618" s="159"/>
      <c r="P2618" s="159" t="e">
        <f>VLOOKUP(bargiri[[#This Row],[شماره سند مبنا]],invoice[[شماره پیش فاکتور]:[پیش دریافت به ازای هر کیلوگرم]],14,0)</f>
        <v>#N/A</v>
      </c>
      <c r="Q2618" s="159" t="e">
        <f>IF(bargiri[[#This Row],[مبلغ ناخالص]]-(bargiri[[#This Row],[نرخ استهلاک]]*bargiri[[#This Row],[مقدار]])&lt;0,0,bargiri[[#This Row],[مبلغ ناخالص]]-(bargiri[[#This Row],[نرخ استهلاک]]*bargiri[[#This Row],[مقدار]]))</f>
        <v>#N/A</v>
      </c>
    </row>
    <row r="2619" spans="1:17" ht="13.8" x14ac:dyDescent="0.25">
      <c r="A2619" s="22">
        <v>181</v>
      </c>
      <c r="B2619" s="22" t="s">
        <v>583</v>
      </c>
      <c r="C2619" s="22" t="s">
        <v>37</v>
      </c>
      <c r="D2619" s="22" t="s">
        <v>35</v>
      </c>
      <c r="E2619" s="158">
        <v>7420</v>
      </c>
      <c r="F2619" s="159">
        <v>75000</v>
      </c>
      <c r="G2619" s="159">
        <v>556500000</v>
      </c>
      <c r="H2619" s="159">
        <v>50085000</v>
      </c>
      <c r="I2619" s="159">
        <v>606585000</v>
      </c>
      <c r="J2619" s="159" t="e">
        <f>bargiri[[#This Row],[مقدار]]*INDEX(invoice[پیش دریافت به ازای هر کیلوگرم],MATCH(bargiri[[#This Row],[شماره سند مبنا]],invoice[شماره پیش فاکتور],0))</f>
        <v>#N/A</v>
      </c>
      <c r="K2619" s="159" t="e">
        <f>bargiri[[#This Row],[مبلغ خالص]]-bargiri[[#This Row],[میزان استهلاک پیش دریافتی]]</f>
        <v>#N/A</v>
      </c>
      <c r="L2619" s="160"/>
      <c r="M2619" s="159"/>
      <c r="N2619" s="159" t="e">
        <f>IF(bargiri[[#This Row],[مبلغ واریزی]]&lt;&gt;"",bargiri[[#This Row],[مانده مبلغ]]-bargiri[[#This Row],[مبلغ واریزی]],bargiri[[#This Row],[مانده مبلغ]])</f>
        <v>#N/A</v>
      </c>
      <c r="O2619" s="159"/>
      <c r="P2619" s="159" t="e">
        <f>VLOOKUP(bargiri[[#This Row],[شماره سند مبنا]],invoice[[شماره پیش فاکتور]:[پیش دریافت به ازای هر کیلوگرم]],14,0)</f>
        <v>#N/A</v>
      </c>
      <c r="Q2619" s="159" t="e">
        <f>IF(bargiri[[#This Row],[مبلغ ناخالص]]-(bargiri[[#This Row],[نرخ استهلاک]]*bargiri[[#This Row],[مقدار]])&lt;0,0,bargiri[[#This Row],[مبلغ ناخالص]]-(bargiri[[#This Row],[نرخ استهلاک]]*bargiri[[#This Row],[مقدار]]))</f>
        <v>#N/A</v>
      </c>
    </row>
    <row r="2620" spans="1:17" ht="13.8" x14ac:dyDescent="0.25">
      <c r="A2620" s="22">
        <v>180</v>
      </c>
      <c r="B2620" s="22" t="s">
        <v>583</v>
      </c>
      <c r="C2620" s="22" t="s">
        <v>37</v>
      </c>
      <c r="D2620" s="22" t="s">
        <v>35</v>
      </c>
      <c r="E2620" s="158">
        <v>7810</v>
      </c>
      <c r="F2620" s="159">
        <v>75000</v>
      </c>
      <c r="G2620" s="159">
        <v>585750000</v>
      </c>
      <c r="H2620" s="159">
        <v>52717500</v>
      </c>
      <c r="I2620" s="159">
        <v>638467500</v>
      </c>
      <c r="J2620" s="159" t="e">
        <f>bargiri[[#This Row],[مقدار]]*INDEX(invoice[پیش دریافت به ازای هر کیلوگرم],MATCH(bargiri[[#This Row],[شماره سند مبنا]],invoice[شماره پیش فاکتور],0))</f>
        <v>#N/A</v>
      </c>
      <c r="K2620" s="159" t="e">
        <f>bargiri[[#This Row],[مبلغ خالص]]-bargiri[[#This Row],[میزان استهلاک پیش دریافتی]]</f>
        <v>#N/A</v>
      </c>
      <c r="L2620" s="160"/>
      <c r="M2620" s="159"/>
      <c r="N2620" s="159" t="e">
        <f>IF(bargiri[[#This Row],[مبلغ واریزی]]&lt;&gt;"",bargiri[[#This Row],[مانده مبلغ]]-bargiri[[#This Row],[مبلغ واریزی]],bargiri[[#This Row],[مانده مبلغ]])</f>
        <v>#N/A</v>
      </c>
      <c r="O2620" s="159"/>
      <c r="P2620" s="159" t="e">
        <f>VLOOKUP(bargiri[[#This Row],[شماره سند مبنا]],invoice[[شماره پیش فاکتور]:[پیش دریافت به ازای هر کیلوگرم]],14,0)</f>
        <v>#N/A</v>
      </c>
      <c r="Q2620" s="159" t="e">
        <f>IF(bargiri[[#This Row],[مبلغ ناخالص]]-(bargiri[[#This Row],[نرخ استهلاک]]*bargiri[[#This Row],[مقدار]])&lt;0,0,bargiri[[#This Row],[مبلغ ناخالص]]-(bargiri[[#This Row],[نرخ استهلاک]]*bargiri[[#This Row],[مقدار]]))</f>
        <v>#N/A</v>
      </c>
    </row>
    <row r="2621" spans="1:17" ht="13.8" x14ac:dyDescent="0.25">
      <c r="A2621" s="22">
        <v>179</v>
      </c>
      <c r="B2621" s="22" t="s">
        <v>584</v>
      </c>
      <c r="C2621" s="22" t="s">
        <v>37</v>
      </c>
      <c r="D2621" s="22" t="s">
        <v>35</v>
      </c>
      <c r="E2621" s="158">
        <v>7510</v>
      </c>
      <c r="F2621" s="159">
        <v>75000</v>
      </c>
      <c r="G2621" s="159">
        <v>563250000</v>
      </c>
      <c r="H2621" s="159">
        <v>50692500</v>
      </c>
      <c r="I2621" s="159">
        <v>613942500</v>
      </c>
      <c r="J2621" s="159" t="e">
        <f>bargiri[[#This Row],[مقدار]]*INDEX(invoice[پیش دریافت به ازای هر کیلوگرم],MATCH(bargiri[[#This Row],[شماره سند مبنا]],invoice[شماره پیش فاکتور],0))</f>
        <v>#N/A</v>
      </c>
      <c r="K2621" s="159" t="e">
        <f>bargiri[[#This Row],[مبلغ خالص]]-bargiri[[#This Row],[میزان استهلاک پیش دریافتی]]</f>
        <v>#N/A</v>
      </c>
      <c r="L2621" s="160"/>
      <c r="M2621" s="159"/>
      <c r="N2621" s="159" t="e">
        <f>IF(bargiri[[#This Row],[مبلغ واریزی]]&lt;&gt;"",bargiri[[#This Row],[مانده مبلغ]]-bargiri[[#This Row],[مبلغ واریزی]],bargiri[[#This Row],[مانده مبلغ]])</f>
        <v>#N/A</v>
      </c>
      <c r="O2621" s="159"/>
      <c r="P2621" s="159" t="e">
        <f>VLOOKUP(bargiri[[#This Row],[شماره سند مبنا]],invoice[[شماره پیش فاکتور]:[پیش دریافت به ازای هر کیلوگرم]],14,0)</f>
        <v>#N/A</v>
      </c>
      <c r="Q2621" s="159" t="e">
        <f>IF(bargiri[[#This Row],[مبلغ ناخالص]]-(bargiri[[#This Row],[نرخ استهلاک]]*bargiri[[#This Row],[مقدار]])&lt;0,0,bargiri[[#This Row],[مبلغ ناخالص]]-(bargiri[[#This Row],[نرخ استهلاک]]*bargiri[[#This Row],[مقدار]]))</f>
        <v>#N/A</v>
      </c>
    </row>
    <row r="2622" spans="1:17" ht="13.8" x14ac:dyDescent="0.25">
      <c r="A2622" s="22">
        <v>178</v>
      </c>
      <c r="B2622" s="22" t="s">
        <v>585</v>
      </c>
      <c r="C2622" s="22" t="s">
        <v>37</v>
      </c>
      <c r="D2622" s="22" t="s">
        <v>35</v>
      </c>
      <c r="E2622" s="158">
        <v>7620</v>
      </c>
      <c r="F2622" s="159">
        <v>75000</v>
      </c>
      <c r="G2622" s="159">
        <v>571500000</v>
      </c>
      <c r="H2622" s="159">
        <v>51435000</v>
      </c>
      <c r="I2622" s="159">
        <v>622935000</v>
      </c>
      <c r="J2622" s="159" t="e">
        <f>bargiri[[#This Row],[مقدار]]*INDEX(invoice[پیش دریافت به ازای هر کیلوگرم],MATCH(bargiri[[#This Row],[شماره سند مبنا]],invoice[شماره پیش فاکتور],0))</f>
        <v>#N/A</v>
      </c>
      <c r="K2622" s="159" t="e">
        <f>bargiri[[#This Row],[مبلغ خالص]]-bargiri[[#This Row],[میزان استهلاک پیش دریافتی]]</f>
        <v>#N/A</v>
      </c>
      <c r="L2622" s="160"/>
      <c r="M2622" s="159"/>
      <c r="N2622" s="159" t="e">
        <f>IF(bargiri[[#This Row],[مبلغ واریزی]]&lt;&gt;"",bargiri[[#This Row],[مانده مبلغ]]-bargiri[[#This Row],[مبلغ واریزی]],bargiri[[#This Row],[مانده مبلغ]])</f>
        <v>#N/A</v>
      </c>
      <c r="O2622" s="159"/>
      <c r="P2622" s="159" t="e">
        <f>VLOOKUP(bargiri[[#This Row],[شماره سند مبنا]],invoice[[شماره پیش فاکتور]:[پیش دریافت به ازای هر کیلوگرم]],14,0)</f>
        <v>#N/A</v>
      </c>
      <c r="Q2622" s="159" t="e">
        <f>IF(bargiri[[#This Row],[مبلغ ناخالص]]-(bargiri[[#This Row],[نرخ استهلاک]]*bargiri[[#This Row],[مقدار]])&lt;0,0,bargiri[[#This Row],[مبلغ ناخالص]]-(bargiri[[#This Row],[نرخ استهلاک]]*bargiri[[#This Row],[مقدار]]))</f>
        <v>#N/A</v>
      </c>
    </row>
    <row r="2623" spans="1:17" ht="13.8" x14ac:dyDescent="0.25">
      <c r="A2623" s="22">
        <v>177</v>
      </c>
      <c r="B2623" s="22" t="s">
        <v>586</v>
      </c>
      <c r="C2623" s="22" t="s">
        <v>47</v>
      </c>
      <c r="D2623" s="22" t="s">
        <v>43</v>
      </c>
      <c r="E2623" s="158">
        <v>14950</v>
      </c>
      <c r="F2623" s="159">
        <v>65000</v>
      </c>
      <c r="G2623" s="159">
        <v>971750000</v>
      </c>
      <c r="H2623" s="159">
        <v>87457500</v>
      </c>
      <c r="I2623" s="159">
        <v>1059207500</v>
      </c>
      <c r="J2623" s="159" t="e">
        <f>bargiri[[#This Row],[مقدار]]*INDEX(invoice[پیش دریافت به ازای هر کیلوگرم],MATCH(bargiri[[#This Row],[شماره سند مبنا]],invoice[شماره پیش فاکتور],0))</f>
        <v>#N/A</v>
      </c>
      <c r="K2623" s="159" t="e">
        <f>bargiri[[#This Row],[مبلغ خالص]]-bargiri[[#This Row],[میزان استهلاک پیش دریافتی]]</f>
        <v>#N/A</v>
      </c>
      <c r="L2623" s="160"/>
      <c r="M2623" s="159"/>
      <c r="N2623" s="159" t="e">
        <f>IF(bargiri[[#This Row],[مبلغ واریزی]]&lt;&gt;"",bargiri[[#This Row],[مانده مبلغ]]-bargiri[[#This Row],[مبلغ واریزی]],bargiri[[#This Row],[مانده مبلغ]])</f>
        <v>#N/A</v>
      </c>
      <c r="O2623" s="159"/>
      <c r="P2623" s="159" t="e">
        <f>VLOOKUP(bargiri[[#This Row],[شماره سند مبنا]],invoice[[شماره پیش فاکتور]:[پیش دریافت به ازای هر کیلوگرم]],14,0)</f>
        <v>#N/A</v>
      </c>
      <c r="Q2623" s="159" t="e">
        <f>IF(bargiri[[#This Row],[مبلغ ناخالص]]-(bargiri[[#This Row],[نرخ استهلاک]]*bargiri[[#This Row],[مقدار]])&lt;0,0,bargiri[[#This Row],[مبلغ ناخالص]]-(bargiri[[#This Row],[نرخ استهلاک]]*bargiri[[#This Row],[مقدار]]))</f>
        <v>#N/A</v>
      </c>
    </row>
    <row r="2624" spans="1:17" ht="13.8" x14ac:dyDescent="0.25">
      <c r="A2624" s="22">
        <v>176</v>
      </c>
      <c r="B2624" s="22" t="s">
        <v>586</v>
      </c>
      <c r="C2624" s="22" t="s">
        <v>47</v>
      </c>
      <c r="D2624" s="22" t="s">
        <v>43</v>
      </c>
      <c r="E2624" s="158">
        <v>21070</v>
      </c>
      <c r="F2624" s="159">
        <v>65000</v>
      </c>
      <c r="G2624" s="159">
        <v>1369550000</v>
      </c>
      <c r="H2624" s="159">
        <v>123259500</v>
      </c>
      <c r="I2624" s="159">
        <v>1492809500</v>
      </c>
      <c r="J2624" s="159" t="e">
        <f>bargiri[[#This Row],[مقدار]]*INDEX(invoice[پیش دریافت به ازای هر کیلوگرم],MATCH(bargiri[[#This Row],[شماره سند مبنا]],invoice[شماره پیش فاکتور],0))</f>
        <v>#N/A</v>
      </c>
      <c r="K2624" s="159" t="e">
        <f>bargiri[[#This Row],[مبلغ خالص]]-bargiri[[#This Row],[میزان استهلاک پیش دریافتی]]</f>
        <v>#N/A</v>
      </c>
      <c r="L2624" s="160"/>
      <c r="M2624" s="159"/>
      <c r="N2624" s="159" t="e">
        <f>IF(bargiri[[#This Row],[مبلغ واریزی]]&lt;&gt;"",bargiri[[#This Row],[مانده مبلغ]]-bargiri[[#This Row],[مبلغ واریزی]],bargiri[[#This Row],[مانده مبلغ]])</f>
        <v>#N/A</v>
      </c>
      <c r="O2624" s="159"/>
      <c r="P2624" s="159" t="e">
        <f>VLOOKUP(bargiri[[#This Row],[شماره سند مبنا]],invoice[[شماره پیش فاکتور]:[پیش دریافت به ازای هر کیلوگرم]],14,0)</f>
        <v>#N/A</v>
      </c>
      <c r="Q2624" s="159" t="e">
        <f>IF(bargiri[[#This Row],[مبلغ ناخالص]]-(bargiri[[#This Row],[نرخ استهلاک]]*bargiri[[#This Row],[مقدار]])&lt;0,0,bargiri[[#This Row],[مبلغ ناخالص]]-(bargiri[[#This Row],[نرخ استهلاک]]*bargiri[[#This Row],[مقدار]]))</f>
        <v>#N/A</v>
      </c>
    </row>
    <row r="2625" spans="1:17" ht="13.8" x14ac:dyDescent="0.25">
      <c r="A2625" s="22">
        <v>175</v>
      </c>
      <c r="B2625" s="22" t="s">
        <v>586</v>
      </c>
      <c r="C2625" s="22" t="s">
        <v>71</v>
      </c>
      <c r="D2625" s="22" t="s">
        <v>70</v>
      </c>
      <c r="E2625" s="158">
        <v>6410</v>
      </c>
      <c r="F2625" s="159">
        <v>55000</v>
      </c>
      <c r="G2625" s="159">
        <v>352550000</v>
      </c>
      <c r="H2625" s="159">
        <v>31729500</v>
      </c>
      <c r="I2625" s="159">
        <v>384279500</v>
      </c>
      <c r="J2625" s="159" t="e">
        <f>bargiri[[#This Row],[مقدار]]*INDEX(invoice[پیش دریافت به ازای هر کیلوگرم],MATCH(bargiri[[#This Row],[شماره سند مبنا]],invoice[شماره پیش فاکتور],0))</f>
        <v>#N/A</v>
      </c>
      <c r="K2625" s="159" t="e">
        <f>bargiri[[#This Row],[مبلغ خالص]]-bargiri[[#This Row],[میزان استهلاک پیش دریافتی]]</f>
        <v>#N/A</v>
      </c>
      <c r="L2625" s="160"/>
      <c r="M2625" s="159"/>
      <c r="N2625" s="159" t="e">
        <f>IF(bargiri[[#This Row],[مبلغ واریزی]]&lt;&gt;"",bargiri[[#This Row],[مانده مبلغ]]-bargiri[[#This Row],[مبلغ واریزی]],bargiri[[#This Row],[مانده مبلغ]])</f>
        <v>#N/A</v>
      </c>
      <c r="O2625" s="159"/>
      <c r="P2625" s="159" t="e">
        <f>VLOOKUP(bargiri[[#This Row],[شماره سند مبنا]],invoice[[شماره پیش فاکتور]:[پیش دریافت به ازای هر کیلوگرم]],14,0)</f>
        <v>#N/A</v>
      </c>
      <c r="Q2625" s="159" t="e">
        <f>IF(bargiri[[#This Row],[مبلغ ناخالص]]-(bargiri[[#This Row],[نرخ استهلاک]]*bargiri[[#This Row],[مقدار]])&lt;0,0,bargiri[[#This Row],[مبلغ ناخالص]]-(bargiri[[#This Row],[نرخ استهلاک]]*bargiri[[#This Row],[مقدار]]))</f>
        <v>#N/A</v>
      </c>
    </row>
    <row r="2626" spans="1:17" ht="13.8" x14ac:dyDescent="0.25">
      <c r="A2626" s="22">
        <v>174</v>
      </c>
      <c r="B2626" s="22" t="s">
        <v>33</v>
      </c>
      <c r="C2626" s="22" t="s">
        <v>32</v>
      </c>
      <c r="D2626" s="22" t="s">
        <v>30</v>
      </c>
      <c r="E2626" s="158">
        <v>10530</v>
      </c>
      <c r="F2626" s="159">
        <v>56000</v>
      </c>
      <c r="G2626" s="159">
        <v>589680000</v>
      </c>
      <c r="H2626" s="159">
        <v>53071200</v>
      </c>
      <c r="I2626" s="159">
        <v>642751200</v>
      </c>
      <c r="J2626" s="159" t="e">
        <f>bargiri[[#This Row],[مقدار]]*INDEX(invoice[پیش دریافت به ازای هر کیلوگرم],MATCH(bargiri[[#This Row],[شماره سند مبنا]],invoice[شماره پیش فاکتور],0))</f>
        <v>#N/A</v>
      </c>
      <c r="K2626" s="159" t="e">
        <f>bargiri[[#This Row],[مبلغ خالص]]-bargiri[[#This Row],[میزان استهلاک پیش دریافتی]]</f>
        <v>#N/A</v>
      </c>
      <c r="L2626" s="160"/>
      <c r="M2626" s="159"/>
      <c r="N2626" s="159" t="e">
        <f>IF(bargiri[[#This Row],[مبلغ واریزی]]&lt;&gt;"",bargiri[[#This Row],[مانده مبلغ]]-bargiri[[#This Row],[مبلغ واریزی]],bargiri[[#This Row],[مانده مبلغ]])</f>
        <v>#N/A</v>
      </c>
      <c r="O2626" s="159"/>
      <c r="P2626" s="159" t="e">
        <f>VLOOKUP(bargiri[[#This Row],[شماره سند مبنا]],invoice[[شماره پیش فاکتور]:[پیش دریافت به ازای هر کیلوگرم]],14,0)</f>
        <v>#N/A</v>
      </c>
      <c r="Q2626" s="159" t="e">
        <f>IF(bargiri[[#This Row],[مبلغ ناخالص]]-(bargiri[[#This Row],[نرخ استهلاک]]*bargiri[[#This Row],[مقدار]])&lt;0,0,bargiri[[#This Row],[مبلغ ناخالص]]-(bargiri[[#This Row],[نرخ استهلاک]]*bargiri[[#This Row],[مقدار]]))</f>
        <v>#N/A</v>
      </c>
    </row>
    <row r="2627" spans="1:17" ht="13.8" x14ac:dyDescent="0.25">
      <c r="A2627" s="22">
        <v>173</v>
      </c>
      <c r="B2627" s="22" t="s">
        <v>33</v>
      </c>
      <c r="C2627" s="22" t="s">
        <v>71</v>
      </c>
      <c r="D2627" s="22" t="s">
        <v>70</v>
      </c>
      <c r="E2627" s="158">
        <v>6440</v>
      </c>
      <c r="F2627" s="159">
        <v>55000</v>
      </c>
      <c r="G2627" s="159">
        <v>354200000</v>
      </c>
      <c r="H2627" s="159">
        <v>31878000</v>
      </c>
      <c r="I2627" s="159">
        <v>386078000</v>
      </c>
      <c r="J2627" s="159" t="e">
        <f>bargiri[[#This Row],[مقدار]]*INDEX(invoice[پیش دریافت به ازای هر کیلوگرم],MATCH(bargiri[[#This Row],[شماره سند مبنا]],invoice[شماره پیش فاکتور],0))</f>
        <v>#N/A</v>
      </c>
      <c r="K2627" s="159" t="e">
        <f>bargiri[[#This Row],[مبلغ خالص]]-bargiri[[#This Row],[میزان استهلاک پیش دریافتی]]</f>
        <v>#N/A</v>
      </c>
      <c r="L2627" s="160"/>
      <c r="M2627" s="159"/>
      <c r="N2627" s="159" t="e">
        <f>IF(bargiri[[#This Row],[مبلغ واریزی]]&lt;&gt;"",bargiri[[#This Row],[مانده مبلغ]]-bargiri[[#This Row],[مبلغ واریزی]],bargiri[[#This Row],[مانده مبلغ]])</f>
        <v>#N/A</v>
      </c>
      <c r="O2627" s="159"/>
      <c r="P2627" s="159" t="e">
        <f>VLOOKUP(bargiri[[#This Row],[شماره سند مبنا]],invoice[[شماره پیش فاکتور]:[پیش دریافت به ازای هر کیلوگرم]],14,0)</f>
        <v>#N/A</v>
      </c>
      <c r="Q2627" s="159" t="e">
        <f>IF(bargiri[[#This Row],[مبلغ ناخالص]]-(bargiri[[#This Row],[نرخ استهلاک]]*bargiri[[#This Row],[مقدار]])&lt;0,0,bargiri[[#This Row],[مبلغ ناخالص]]-(bargiri[[#This Row],[نرخ استهلاک]]*bargiri[[#This Row],[مقدار]]))</f>
        <v>#N/A</v>
      </c>
    </row>
    <row r="2628" spans="1:17" ht="13.8" x14ac:dyDescent="0.25">
      <c r="A2628" s="22">
        <v>172</v>
      </c>
      <c r="B2628" s="22" t="s">
        <v>33</v>
      </c>
      <c r="C2628" s="22" t="s">
        <v>27</v>
      </c>
      <c r="D2628" s="22" t="s">
        <v>25</v>
      </c>
      <c r="E2628" s="158">
        <v>6000</v>
      </c>
      <c r="F2628" s="159">
        <v>68000</v>
      </c>
      <c r="G2628" s="159">
        <v>408000000</v>
      </c>
      <c r="H2628" s="159">
        <v>36720000</v>
      </c>
      <c r="I2628" s="159">
        <v>444720000</v>
      </c>
      <c r="J2628" s="159" t="e">
        <f>bargiri[[#This Row],[مقدار]]*INDEX(invoice[پیش دریافت به ازای هر کیلوگرم],MATCH(bargiri[[#This Row],[شماره سند مبنا]],invoice[شماره پیش فاکتور],0))</f>
        <v>#N/A</v>
      </c>
      <c r="K2628" s="159" t="e">
        <f>bargiri[[#This Row],[مبلغ خالص]]-bargiri[[#This Row],[میزان استهلاک پیش دریافتی]]</f>
        <v>#N/A</v>
      </c>
      <c r="L2628" s="160"/>
      <c r="M2628" s="159"/>
      <c r="N2628" s="159" t="e">
        <f>IF(bargiri[[#This Row],[مبلغ واریزی]]&lt;&gt;"",bargiri[[#This Row],[مانده مبلغ]]-bargiri[[#This Row],[مبلغ واریزی]],bargiri[[#This Row],[مانده مبلغ]])</f>
        <v>#N/A</v>
      </c>
      <c r="O2628" s="159"/>
      <c r="P2628" s="159" t="e">
        <f>VLOOKUP(bargiri[[#This Row],[شماره سند مبنا]],invoice[[شماره پیش فاکتور]:[پیش دریافت به ازای هر کیلوگرم]],14,0)</f>
        <v>#N/A</v>
      </c>
      <c r="Q2628" s="159" t="e">
        <f>IF(bargiri[[#This Row],[مبلغ ناخالص]]-(bargiri[[#This Row],[نرخ استهلاک]]*bargiri[[#This Row],[مقدار]])&lt;0,0,bargiri[[#This Row],[مبلغ ناخالص]]-(bargiri[[#This Row],[نرخ استهلاک]]*bargiri[[#This Row],[مقدار]]))</f>
        <v>#N/A</v>
      </c>
    </row>
    <row r="2629" spans="1:17" ht="13.8" x14ac:dyDescent="0.25">
      <c r="A2629" s="22">
        <v>170</v>
      </c>
      <c r="B2629" s="22" t="s">
        <v>55</v>
      </c>
      <c r="C2629" s="22" t="s">
        <v>71</v>
      </c>
      <c r="D2629" s="22" t="s">
        <v>70</v>
      </c>
      <c r="E2629" s="158">
        <v>6390</v>
      </c>
      <c r="F2629" s="159">
        <v>55000</v>
      </c>
      <c r="G2629" s="159">
        <v>351450000</v>
      </c>
      <c r="H2629" s="159">
        <v>31630500</v>
      </c>
      <c r="I2629" s="159">
        <v>383080500</v>
      </c>
      <c r="J2629" s="159" t="e">
        <f>bargiri[[#This Row],[مقدار]]*INDEX(invoice[پیش دریافت به ازای هر کیلوگرم],MATCH(bargiri[[#This Row],[شماره سند مبنا]],invoice[شماره پیش فاکتور],0))</f>
        <v>#N/A</v>
      </c>
      <c r="K2629" s="159" t="e">
        <f>bargiri[[#This Row],[مبلغ خالص]]-bargiri[[#This Row],[میزان استهلاک پیش دریافتی]]</f>
        <v>#N/A</v>
      </c>
      <c r="L2629" s="160"/>
      <c r="M2629" s="159"/>
      <c r="N2629" s="159" t="e">
        <f>IF(bargiri[[#This Row],[مبلغ واریزی]]&lt;&gt;"",bargiri[[#This Row],[مانده مبلغ]]-bargiri[[#This Row],[مبلغ واریزی]],bargiri[[#This Row],[مانده مبلغ]])</f>
        <v>#N/A</v>
      </c>
      <c r="O2629" s="159"/>
      <c r="P2629" s="159" t="e">
        <f>VLOOKUP(bargiri[[#This Row],[شماره سند مبنا]],invoice[[شماره پیش فاکتور]:[پیش دریافت به ازای هر کیلوگرم]],14,0)</f>
        <v>#N/A</v>
      </c>
      <c r="Q2629" s="159" t="e">
        <f>IF(bargiri[[#This Row],[مبلغ ناخالص]]-(bargiri[[#This Row],[نرخ استهلاک]]*bargiri[[#This Row],[مقدار]])&lt;0,0,bargiri[[#This Row],[مبلغ ناخالص]]-(bargiri[[#This Row],[نرخ استهلاک]]*bargiri[[#This Row],[مقدار]]))</f>
        <v>#N/A</v>
      </c>
    </row>
    <row r="2630" spans="1:17" ht="13.8" x14ac:dyDescent="0.25">
      <c r="A2630" s="22">
        <v>169</v>
      </c>
      <c r="B2630" s="22" t="s">
        <v>55</v>
      </c>
      <c r="C2630" s="22" t="s">
        <v>75</v>
      </c>
      <c r="D2630" s="22" t="s">
        <v>73</v>
      </c>
      <c r="E2630" s="158">
        <v>20880</v>
      </c>
      <c r="F2630" s="159">
        <v>56881</v>
      </c>
      <c r="G2630" s="159">
        <v>1187675280</v>
      </c>
      <c r="H2630" s="159">
        <v>106890775</v>
      </c>
      <c r="I2630" s="159">
        <v>1294566055</v>
      </c>
      <c r="J2630" s="159" t="e">
        <f>bargiri[[#This Row],[مقدار]]*INDEX(invoice[پیش دریافت به ازای هر کیلوگرم],MATCH(bargiri[[#This Row],[شماره سند مبنا]],invoice[شماره پیش فاکتور],0))</f>
        <v>#N/A</v>
      </c>
      <c r="K2630" s="159" t="e">
        <f>bargiri[[#This Row],[مبلغ خالص]]-bargiri[[#This Row],[میزان استهلاک پیش دریافتی]]</f>
        <v>#N/A</v>
      </c>
      <c r="L2630" s="160"/>
      <c r="M2630" s="159"/>
      <c r="N2630" s="159" t="e">
        <f>IF(bargiri[[#This Row],[مبلغ واریزی]]&lt;&gt;"",bargiri[[#This Row],[مانده مبلغ]]-bargiri[[#This Row],[مبلغ واریزی]],bargiri[[#This Row],[مانده مبلغ]])</f>
        <v>#N/A</v>
      </c>
      <c r="O2630" s="159"/>
      <c r="P2630" s="159" t="e">
        <f>VLOOKUP(bargiri[[#This Row],[شماره سند مبنا]],invoice[[شماره پیش فاکتور]:[پیش دریافت به ازای هر کیلوگرم]],14,0)</f>
        <v>#N/A</v>
      </c>
      <c r="Q2630" s="159" t="e">
        <f>IF(bargiri[[#This Row],[مبلغ ناخالص]]-(bargiri[[#This Row],[نرخ استهلاک]]*bargiri[[#This Row],[مقدار]])&lt;0,0,bargiri[[#This Row],[مبلغ ناخالص]]-(bargiri[[#This Row],[نرخ استهلاک]]*bargiri[[#This Row],[مقدار]]))</f>
        <v>#N/A</v>
      </c>
    </row>
    <row r="2631" spans="1:17" ht="13.8" x14ac:dyDescent="0.25">
      <c r="A2631" s="22">
        <v>168</v>
      </c>
      <c r="B2631" s="22" t="s">
        <v>55</v>
      </c>
      <c r="C2631" s="22" t="s">
        <v>75</v>
      </c>
      <c r="D2631" s="22" t="s">
        <v>73</v>
      </c>
      <c r="E2631" s="158">
        <v>20650</v>
      </c>
      <c r="F2631" s="159">
        <v>56881</v>
      </c>
      <c r="G2631" s="159">
        <v>1174592650</v>
      </c>
      <c r="H2631" s="159">
        <v>105713339</v>
      </c>
      <c r="I2631" s="159">
        <v>1280305989</v>
      </c>
      <c r="J2631" s="159" t="e">
        <f>bargiri[[#This Row],[مقدار]]*INDEX(invoice[پیش دریافت به ازای هر کیلوگرم],MATCH(bargiri[[#This Row],[شماره سند مبنا]],invoice[شماره پیش فاکتور],0))</f>
        <v>#N/A</v>
      </c>
      <c r="K2631" s="159" t="e">
        <f>bargiri[[#This Row],[مبلغ خالص]]-bargiri[[#This Row],[میزان استهلاک پیش دریافتی]]</f>
        <v>#N/A</v>
      </c>
      <c r="L2631" s="160"/>
      <c r="M2631" s="159"/>
      <c r="N2631" s="159" t="e">
        <f>IF(bargiri[[#This Row],[مبلغ واریزی]]&lt;&gt;"",bargiri[[#This Row],[مانده مبلغ]]-bargiri[[#This Row],[مبلغ واریزی]],bargiri[[#This Row],[مانده مبلغ]])</f>
        <v>#N/A</v>
      </c>
      <c r="O2631" s="159"/>
      <c r="P2631" s="159" t="e">
        <f>VLOOKUP(bargiri[[#This Row],[شماره سند مبنا]],invoice[[شماره پیش فاکتور]:[پیش دریافت به ازای هر کیلوگرم]],14,0)</f>
        <v>#N/A</v>
      </c>
      <c r="Q2631" s="159" t="e">
        <f>IF(bargiri[[#This Row],[مبلغ ناخالص]]-(bargiri[[#This Row],[نرخ استهلاک]]*bargiri[[#This Row],[مقدار]])&lt;0,0,bargiri[[#This Row],[مبلغ ناخالص]]-(bargiri[[#This Row],[نرخ استهلاک]]*bargiri[[#This Row],[مقدار]]))</f>
        <v>#N/A</v>
      </c>
    </row>
    <row r="2632" spans="1:17" ht="13.8" x14ac:dyDescent="0.25">
      <c r="A2632" s="22">
        <v>167</v>
      </c>
      <c r="B2632" s="22" t="s">
        <v>55</v>
      </c>
      <c r="C2632" s="22" t="s">
        <v>75</v>
      </c>
      <c r="D2632" s="22" t="s">
        <v>73</v>
      </c>
      <c r="E2632" s="158">
        <v>20420</v>
      </c>
      <c r="F2632" s="159">
        <v>56881</v>
      </c>
      <c r="G2632" s="159">
        <v>1161510020</v>
      </c>
      <c r="H2632" s="159">
        <v>104535902</v>
      </c>
      <c r="I2632" s="159">
        <v>1266045922</v>
      </c>
      <c r="J2632" s="159" t="e">
        <f>bargiri[[#This Row],[مقدار]]*INDEX(invoice[پیش دریافت به ازای هر کیلوگرم],MATCH(bargiri[[#This Row],[شماره سند مبنا]],invoice[شماره پیش فاکتور],0))</f>
        <v>#N/A</v>
      </c>
      <c r="K2632" s="159" t="e">
        <f>bargiri[[#This Row],[مبلغ خالص]]-bargiri[[#This Row],[میزان استهلاک پیش دریافتی]]</f>
        <v>#N/A</v>
      </c>
      <c r="L2632" s="160"/>
      <c r="M2632" s="159"/>
      <c r="N2632" s="159" t="e">
        <f>IF(bargiri[[#This Row],[مبلغ واریزی]]&lt;&gt;"",bargiri[[#This Row],[مانده مبلغ]]-bargiri[[#This Row],[مبلغ واریزی]],bargiri[[#This Row],[مانده مبلغ]])</f>
        <v>#N/A</v>
      </c>
      <c r="O2632" s="159"/>
      <c r="P2632" s="159" t="e">
        <f>VLOOKUP(bargiri[[#This Row],[شماره سند مبنا]],invoice[[شماره پیش فاکتور]:[پیش دریافت به ازای هر کیلوگرم]],14,0)</f>
        <v>#N/A</v>
      </c>
      <c r="Q2632" s="159" t="e">
        <f>IF(bargiri[[#This Row],[مبلغ ناخالص]]-(bargiri[[#This Row],[نرخ استهلاک]]*bargiri[[#This Row],[مقدار]])&lt;0,0,bargiri[[#This Row],[مبلغ ناخالص]]-(bargiri[[#This Row],[نرخ استهلاک]]*bargiri[[#This Row],[مقدار]]))</f>
        <v>#N/A</v>
      </c>
    </row>
    <row r="2633" spans="1:17" ht="13.8" x14ac:dyDescent="0.25">
      <c r="A2633" s="22">
        <v>166</v>
      </c>
      <c r="B2633" s="22" t="s">
        <v>55</v>
      </c>
      <c r="C2633" s="22" t="s">
        <v>71</v>
      </c>
      <c r="D2633" s="22" t="s">
        <v>70</v>
      </c>
      <c r="E2633" s="158">
        <v>6380</v>
      </c>
      <c r="F2633" s="159">
        <v>55000</v>
      </c>
      <c r="G2633" s="159">
        <v>350900000</v>
      </c>
      <c r="H2633" s="159">
        <v>31581000</v>
      </c>
      <c r="I2633" s="159">
        <v>382481000</v>
      </c>
      <c r="J2633" s="159" t="e">
        <f>bargiri[[#This Row],[مقدار]]*INDEX(invoice[پیش دریافت به ازای هر کیلوگرم],MATCH(bargiri[[#This Row],[شماره سند مبنا]],invoice[شماره پیش فاکتور],0))</f>
        <v>#N/A</v>
      </c>
      <c r="K2633" s="159" t="e">
        <f>bargiri[[#This Row],[مبلغ خالص]]-bargiri[[#This Row],[میزان استهلاک پیش دریافتی]]</f>
        <v>#N/A</v>
      </c>
      <c r="L2633" s="160"/>
      <c r="M2633" s="159"/>
      <c r="N2633" s="159" t="e">
        <f>IF(bargiri[[#This Row],[مبلغ واریزی]]&lt;&gt;"",bargiri[[#This Row],[مانده مبلغ]]-bargiri[[#This Row],[مبلغ واریزی]],bargiri[[#This Row],[مانده مبلغ]])</f>
        <v>#N/A</v>
      </c>
      <c r="O2633" s="159"/>
      <c r="P2633" s="159" t="e">
        <f>VLOOKUP(bargiri[[#This Row],[شماره سند مبنا]],invoice[[شماره پیش فاکتور]:[پیش دریافت به ازای هر کیلوگرم]],14,0)</f>
        <v>#N/A</v>
      </c>
      <c r="Q2633" s="159" t="e">
        <f>IF(bargiri[[#This Row],[مبلغ ناخالص]]-(bargiri[[#This Row],[نرخ استهلاک]]*bargiri[[#This Row],[مقدار]])&lt;0,0,bargiri[[#This Row],[مبلغ ناخالص]]-(bargiri[[#This Row],[نرخ استهلاک]]*bargiri[[#This Row],[مقدار]]))</f>
        <v>#N/A</v>
      </c>
    </row>
    <row r="2634" spans="1:17" ht="13.8" x14ac:dyDescent="0.25">
      <c r="A2634" s="22">
        <v>165</v>
      </c>
      <c r="B2634" s="22" t="s">
        <v>55</v>
      </c>
      <c r="C2634" s="22" t="s">
        <v>22</v>
      </c>
      <c r="D2634" s="22" t="s">
        <v>20</v>
      </c>
      <c r="E2634" s="158">
        <v>18460</v>
      </c>
      <c r="F2634" s="159">
        <v>50000</v>
      </c>
      <c r="G2634" s="159">
        <v>923000000</v>
      </c>
      <c r="H2634" s="159">
        <v>83070000</v>
      </c>
      <c r="I2634" s="159">
        <v>1006070000</v>
      </c>
      <c r="J2634" s="159" t="e">
        <f>bargiri[[#This Row],[مقدار]]*INDEX(invoice[پیش دریافت به ازای هر کیلوگرم],MATCH(bargiri[[#This Row],[شماره سند مبنا]],invoice[شماره پیش فاکتور],0))</f>
        <v>#N/A</v>
      </c>
      <c r="K2634" s="159" t="e">
        <f>bargiri[[#This Row],[مبلغ خالص]]-bargiri[[#This Row],[میزان استهلاک پیش دریافتی]]</f>
        <v>#N/A</v>
      </c>
      <c r="L2634" s="160"/>
      <c r="M2634" s="159"/>
      <c r="N2634" s="159" t="e">
        <f>IF(bargiri[[#This Row],[مبلغ واریزی]]&lt;&gt;"",bargiri[[#This Row],[مانده مبلغ]]-bargiri[[#This Row],[مبلغ واریزی]],bargiri[[#This Row],[مانده مبلغ]])</f>
        <v>#N/A</v>
      </c>
      <c r="O2634" s="159"/>
      <c r="P2634" s="159" t="e">
        <f>VLOOKUP(bargiri[[#This Row],[شماره سند مبنا]],invoice[[شماره پیش فاکتور]:[پیش دریافت به ازای هر کیلوگرم]],14,0)</f>
        <v>#N/A</v>
      </c>
      <c r="Q2634" s="159" t="e">
        <f>IF(bargiri[[#This Row],[مبلغ ناخالص]]-(bargiri[[#This Row],[نرخ استهلاک]]*bargiri[[#This Row],[مقدار]])&lt;0,0,bargiri[[#This Row],[مبلغ ناخالص]]-(bargiri[[#This Row],[نرخ استهلاک]]*bargiri[[#This Row],[مقدار]]))</f>
        <v>#N/A</v>
      </c>
    </row>
    <row r="2635" spans="1:17" ht="13.8" x14ac:dyDescent="0.25">
      <c r="A2635" s="22">
        <v>164</v>
      </c>
      <c r="B2635" s="22" t="s">
        <v>38</v>
      </c>
      <c r="C2635" s="22" t="s">
        <v>47</v>
      </c>
      <c r="D2635" s="22" t="s">
        <v>43</v>
      </c>
      <c r="E2635" s="158">
        <v>10340</v>
      </c>
      <c r="F2635" s="159">
        <v>65000</v>
      </c>
      <c r="G2635" s="159">
        <v>672100000</v>
      </c>
      <c r="H2635" s="159">
        <v>60489000</v>
      </c>
      <c r="I2635" s="159">
        <v>732589000</v>
      </c>
      <c r="J2635" s="159" t="e">
        <f>bargiri[[#This Row],[مقدار]]*INDEX(invoice[پیش دریافت به ازای هر کیلوگرم],MATCH(bargiri[[#This Row],[شماره سند مبنا]],invoice[شماره پیش فاکتور],0))</f>
        <v>#N/A</v>
      </c>
      <c r="K2635" s="159" t="e">
        <f>bargiri[[#This Row],[مبلغ خالص]]-bargiri[[#This Row],[میزان استهلاک پیش دریافتی]]</f>
        <v>#N/A</v>
      </c>
      <c r="L2635" s="160"/>
      <c r="M2635" s="159"/>
      <c r="N2635" s="159" t="e">
        <f>IF(bargiri[[#This Row],[مبلغ واریزی]]&lt;&gt;"",bargiri[[#This Row],[مانده مبلغ]]-bargiri[[#This Row],[مبلغ واریزی]],bargiri[[#This Row],[مانده مبلغ]])</f>
        <v>#N/A</v>
      </c>
      <c r="O2635" s="159"/>
      <c r="P2635" s="159" t="e">
        <f>VLOOKUP(bargiri[[#This Row],[شماره سند مبنا]],invoice[[شماره پیش فاکتور]:[پیش دریافت به ازای هر کیلوگرم]],14,0)</f>
        <v>#N/A</v>
      </c>
      <c r="Q2635" s="159" t="e">
        <f>IF(bargiri[[#This Row],[مبلغ ناخالص]]-(bargiri[[#This Row],[نرخ استهلاک]]*bargiri[[#This Row],[مقدار]])&lt;0,0,bargiri[[#This Row],[مبلغ ناخالص]]-(bargiri[[#This Row],[نرخ استهلاک]]*bargiri[[#This Row],[مقدار]]))</f>
        <v>#N/A</v>
      </c>
    </row>
    <row r="2636" spans="1:17" ht="13.8" x14ac:dyDescent="0.25">
      <c r="A2636" s="22">
        <v>163</v>
      </c>
      <c r="B2636" s="22" t="s">
        <v>38</v>
      </c>
      <c r="C2636" s="22" t="s">
        <v>32</v>
      </c>
      <c r="D2636" s="22" t="s">
        <v>30</v>
      </c>
      <c r="E2636" s="158">
        <v>9690</v>
      </c>
      <c r="F2636" s="159">
        <v>56000</v>
      </c>
      <c r="G2636" s="159">
        <v>542640000</v>
      </c>
      <c r="H2636" s="159">
        <v>48837600</v>
      </c>
      <c r="I2636" s="159">
        <v>591477600</v>
      </c>
      <c r="J2636" s="159" t="e">
        <f>bargiri[[#This Row],[مقدار]]*INDEX(invoice[پیش دریافت به ازای هر کیلوگرم],MATCH(bargiri[[#This Row],[شماره سند مبنا]],invoice[شماره پیش فاکتور],0))</f>
        <v>#N/A</v>
      </c>
      <c r="K2636" s="159" t="e">
        <f>bargiri[[#This Row],[مبلغ خالص]]-bargiri[[#This Row],[میزان استهلاک پیش دریافتی]]</f>
        <v>#N/A</v>
      </c>
      <c r="L2636" s="160"/>
      <c r="M2636" s="159"/>
      <c r="N2636" s="159" t="e">
        <f>IF(bargiri[[#This Row],[مبلغ واریزی]]&lt;&gt;"",bargiri[[#This Row],[مانده مبلغ]]-bargiri[[#This Row],[مبلغ واریزی]],bargiri[[#This Row],[مانده مبلغ]])</f>
        <v>#N/A</v>
      </c>
      <c r="O2636" s="159"/>
      <c r="P2636" s="159" t="e">
        <f>VLOOKUP(bargiri[[#This Row],[شماره سند مبنا]],invoice[[شماره پیش فاکتور]:[پیش دریافت به ازای هر کیلوگرم]],14,0)</f>
        <v>#N/A</v>
      </c>
      <c r="Q2636" s="159" t="e">
        <f>IF(bargiri[[#This Row],[مبلغ ناخالص]]-(bargiri[[#This Row],[نرخ استهلاک]]*bargiri[[#This Row],[مقدار]])&lt;0,0,bargiri[[#This Row],[مبلغ ناخالص]]-(bargiri[[#This Row],[نرخ استهلاک]]*bargiri[[#This Row],[مقدار]]))</f>
        <v>#N/A</v>
      </c>
    </row>
    <row r="2637" spans="1:17" ht="13.8" x14ac:dyDescent="0.25">
      <c r="A2637" s="22">
        <v>162</v>
      </c>
      <c r="B2637" s="22" t="s">
        <v>38</v>
      </c>
      <c r="C2637" s="22" t="s">
        <v>71</v>
      </c>
      <c r="D2637" s="22" t="s">
        <v>70</v>
      </c>
      <c r="E2637" s="158">
        <v>6390</v>
      </c>
      <c r="F2637" s="159">
        <v>55000</v>
      </c>
      <c r="G2637" s="159">
        <v>351450000</v>
      </c>
      <c r="H2637" s="159">
        <v>31630500</v>
      </c>
      <c r="I2637" s="159">
        <v>383080500</v>
      </c>
      <c r="J2637" s="159" t="e">
        <f>bargiri[[#This Row],[مقدار]]*INDEX(invoice[پیش دریافت به ازای هر کیلوگرم],MATCH(bargiri[[#This Row],[شماره سند مبنا]],invoice[شماره پیش فاکتور],0))</f>
        <v>#N/A</v>
      </c>
      <c r="K2637" s="159" t="e">
        <f>bargiri[[#This Row],[مبلغ خالص]]-bargiri[[#This Row],[میزان استهلاک پیش دریافتی]]</f>
        <v>#N/A</v>
      </c>
      <c r="L2637" s="160"/>
      <c r="M2637" s="159"/>
      <c r="N2637" s="159" t="e">
        <f>IF(bargiri[[#This Row],[مبلغ واریزی]]&lt;&gt;"",bargiri[[#This Row],[مانده مبلغ]]-bargiri[[#This Row],[مبلغ واریزی]],bargiri[[#This Row],[مانده مبلغ]])</f>
        <v>#N/A</v>
      </c>
      <c r="O2637" s="159"/>
      <c r="P2637" s="159" t="e">
        <f>VLOOKUP(bargiri[[#This Row],[شماره سند مبنا]],invoice[[شماره پیش فاکتور]:[پیش دریافت به ازای هر کیلوگرم]],14,0)</f>
        <v>#N/A</v>
      </c>
      <c r="Q2637" s="159" t="e">
        <f>IF(bargiri[[#This Row],[مبلغ ناخالص]]-(bargiri[[#This Row],[نرخ استهلاک]]*bargiri[[#This Row],[مقدار]])&lt;0,0,bargiri[[#This Row],[مبلغ ناخالص]]-(bargiri[[#This Row],[نرخ استهلاک]]*bargiri[[#This Row],[مقدار]]))</f>
        <v>#N/A</v>
      </c>
    </row>
    <row r="2638" spans="1:17" ht="13.8" x14ac:dyDescent="0.25">
      <c r="A2638" s="22">
        <v>161</v>
      </c>
      <c r="B2638" s="22" t="s">
        <v>38</v>
      </c>
      <c r="C2638" s="22" t="s">
        <v>37</v>
      </c>
      <c r="D2638" s="22" t="s">
        <v>35</v>
      </c>
      <c r="E2638" s="158">
        <v>7610</v>
      </c>
      <c r="F2638" s="159">
        <v>75000</v>
      </c>
      <c r="G2638" s="159">
        <v>570750000</v>
      </c>
      <c r="H2638" s="159">
        <v>51367500</v>
      </c>
      <c r="I2638" s="159">
        <v>622117500</v>
      </c>
      <c r="J2638" s="159" t="e">
        <f>bargiri[[#This Row],[مقدار]]*INDEX(invoice[پیش دریافت به ازای هر کیلوگرم],MATCH(bargiri[[#This Row],[شماره سند مبنا]],invoice[شماره پیش فاکتور],0))</f>
        <v>#N/A</v>
      </c>
      <c r="K2638" s="159" t="e">
        <f>bargiri[[#This Row],[مبلغ خالص]]-bargiri[[#This Row],[میزان استهلاک پیش دریافتی]]</f>
        <v>#N/A</v>
      </c>
      <c r="L2638" s="160"/>
      <c r="M2638" s="159"/>
      <c r="N2638" s="159" t="e">
        <f>IF(bargiri[[#This Row],[مبلغ واریزی]]&lt;&gt;"",bargiri[[#This Row],[مانده مبلغ]]-bargiri[[#This Row],[مبلغ واریزی]],bargiri[[#This Row],[مانده مبلغ]])</f>
        <v>#N/A</v>
      </c>
      <c r="O2638" s="159"/>
      <c r="P2638" s="159" t="e">
        <f>VLOOKUP(bargiri[[#This Row],[شماره سند مبنا]],invoice[[شماره پیش فاکتور]:[پیش دریافت به ازای هر کیلوگرم]],14,0)</f>
        <v>#N/A</v>
      </c>
      <c r="Q2638" s="159" t="e">
        <f>IF(bargiri[[#This Row],[مبلغ ناخالص]]-(bargiri[[#This Row],[نرخ استهلاک]]*bargiri[[#This Row],[مقدار]])&lt;0,0,bargiri[[#This Row],[مبلغ ناخالص]]-(bargiri[[#This Row],[نرخ استهلاک]]*bargiri[[#This Row],[مقدار]]))</f>
        <v>#N/A</v>
      </c>
    </row>
    <row r="2639" spans="1:17" ht="13.8" x14ac:dyDescent="0.25">
      <c r="A2639" s="22">
        <v>160</v>
      </c>
      <c r="B2639" s="22" t="s">
        <v>38</v>
      </c>
      <c r="C2639" s="22" t="s">
        <v>37</v>
      </c>
      <c r="D2639" s="22" t="s">
        <v>35</v>
      </c>
      <c r="E2639" s="158">
        <v>7490</v>
      </c>
      <c r="F2639" s="159">
        <v>75000</v>
      </c>
      <c r="G2639" s="159">
        <v>561750000</v>
      </c>
      <c r="H2639" s="159">
        <v>50557500</v>
      </c>
      <c r="I2639" s="159">
        <v>612307500</v>
      </c>
      <c r="J2639" s="159" t="e">
        <f>bargiri[[#This Row],[مقدار]]*INDEX(invoice[پیش دریافت به ازای هر کیلوگرم],MATCH(bargiri[[#This Row],[شماره سند مبنا]],invoice[شماره پیش فاکتور],0))</f>
        <v>#N/A</v>
      </c>
      <c r="K2639" s="159" t="e">
        <f>bargiri[[#This Row],[مبلغ خالص]]-bargiri[[#This Row],[میزان استهلاک پیش دریافتی]]</f>
        <v>#N/A</v>
      </c>
      <c r="L2639" s="160"/>
      <c r="M2639" s="159"/>
      <c r="N2639" s="159" t="e">
        <f>IF(bargiri[[#This Row],[مبلغ واریزی]]&lt;&gt;"",bargiri[[#This Row],[مانده مبلغ]]-bargiri[[#This Row],[مبلغ واریزی]],bargiri[[#This Row],[مانده مبلغ]])</f>
        <v>#N/A</v>
      </c>
      <c r="O2639" s="159"/>
      <c r="P2639" s="159" t="e">
        <f>VLOOKUP(bargiri[[#This Row],[شماره سند مبنا]],invoice[[شماره پیش فاکتور]:[پیش دریافت به ازای هر کیلوگرم]],14,0)</f>
        <v>#N/A</v>
      </c>
      <c r="Q2639" s="159" t="e">
        <f>IF(bargiri[[#This Row],[مبلغ ناخالص]]-(bargiri[[#This Row],[نرخ استهلاک]]*bargiri[[#This Row],[مقدار]])&lt;0,0,bargiri[[#This Row],[مبلغ ناخالص]]-(bargiri[[#This Row],[نرخ استهلاک]]*bargiri[[#This Row],[مقدار]]))</f>
        <v>#N/A</v>
      </c>
    </row>
    <row r="2640" spans="1:17" ht="13.8" x14ac:dyDescent="0.25">
      <c r="A2640" s="22">
        <v>159</v>
      </c>
      <c r="B2640" s="22" t="s">
        <v>54</v>
      </c>
      <c r="C2640" s="22" t="s">
        <v>47</v>
      </c>
      <c r="D2640" s="22" t="s">
        <v>43</v>
      </c>
      <c r="E2640" s="158">
        <v>21180</v>
      </c>
      <c r="F2640" s="159">
        <v>65000</v>
      </c>
      <c r="G2640" s="159">
        <v>1376700000</v>
      </c>
      <c r="H2640" s="159">
        <v>123903000</v>
      </c>
      <c r="I2640" s="159">
        <v>1500603000</v>
      </c>
      <c r="J2640" s="159" t="e">
        <f>bargiri[[#This Row],[مقدار]]*INDEX(invoice[پیش دریافت به ازای هر کیلوگرم],MATCH(bargiri[[#This Row],[شماره سند مبنا]],invoice[شماره پیش فاکتور],0))</f>
        <v>#N/A</v>
      </c>
      <c r="K2640" s="159" t="e">
        <f>bargiri[[#This Row],[مبلغ خالص]]-bargiri[[#This Row],[میزان استهلاک پیش دریافتی]]</f>
        <v>#N/A</v>
      </c>
      <c r="L2640" s="160" t="s">
        <v>593</v>
      </c>
      <c r="M2640" s="159"/>
      <c r="N2640" s="159" t="e">
        <f>IF(bargiri[[#This Row],[مبلغ واریزی]]&lt;&gt;"",bargiri[[#This Row],[مانده مبلغ]]-bargiri[[#This Row],[مبلغ واریزی]],bargiri[[#This Row],[مانده مبلغ]])</f>
        <v>#N/A</v>
      </c>
      <c r="O2640" s="159" t="s">
        <v>593</v>
      </c>
      <c r="P2640" s="159" t="e">
        <f>VLOOKUP(bargiri[[#This Row],[شماره سند مبنا]],invoice[[شماره پیش فاکتور]:[پیش دریافت به ازای هر کیلوگرم]],14,0)</f>
        <v>#N/A</v>
      </c>
      <c r="Q2640" s="159" t="e">
        <f>IF(bargiri[[#This Row],[مبلغ ناخالص]]-(bargiri[[#This Row],[نرخ استهلاک]]*bargiri[[#This Row],[مقدار]])&lt;0,0,bargiri[[#This Row],[مبلغ ناخالص]]-(bargiri[[#This Row],[نرخ استهلاک]]*bargiri[[#This Row],[مقدار]]))</f>
        <v>#N/A</v>
      </c>
    </row>
    <row r="2641" spans="5:17" ht="13.8" x14ac:dyDescent="0.25">
      <c r="E2641" s="164"/>
      <c r="F2641" s="91"/>
      <c r="G2641" s="91"/>
      <c r="H2641" s="91"/>
      <c r="I2641" s="91"/>
      <c r="J2641" s="91"/>
      <c r="K2641" s="91"/>
      <c r="M2641" s="91"/>
      <c r="N2641" s="91"/>
      <c r="O2641" s="91"/>
      <c r="P2641" s="91"/>
      <c r="Q2641" s="91" t="e">
        <f>SUBTOTAL(109,bargiri[قابل پرداخت])</f>
        <v>#N/A</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3CD17-124C-4CAF-99C0-1A2B642722BF}">
  <dimension ref="A1"/>
  <sheetViews>
    <sheetView rightToLeft="1" workbookViewId="0"/>
  </sheetViews>
  <sheetFormatPr defaultRowHeight="13.8"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96E81-F6F7-46C2-A1C3-B32312BF9F6C}">
  <dimension ref="A1:Q536"/>
  <sheetViews>
    <sheetView rightToLeft="1" topLeftCell="D1" workbookViewId="0">
      <selection activeCell="I4" sqref="I4"/>
    </sheetView>
  </sheetViews>
  <sheetFormatPr defaultRowHeight="13.8" x14ac:dyDescent="0.25"/>
  <cols>
    <col min="1" max="1" width="6.69921875" style="1" customWidth="1"/>
    <col min="2" max="2" width="15.796875" style="1" customWidth="1"/>
    <col min="3" max="3" width="14.69921875" style="1" customWidth="1"/>
    <col min="4" max="5" width="14.19921875" style="1" customWidth="1"/>
    <col min="6" max="6" width="17.3984375" style="1" bestFit="1" customWidth="1"/>
    <col min="7" max="7" width="16.3984375" style="1" customWidth="1"/>
    <col min="8" max="8" width="10.69921875" style="1" customWidth="1"/>
    <col min="9" max="9" width="18.09765625" style="1" customWidth="1"/>
    <col min="10" max="10" width="13.796875" style="1" bestFit="1" customWidth="1"/>
    <col min="11" max="11" width="14.796875" style="1" customWidth="1"/>
    <col min="12" max="12" width="15" style="1" customWidth="1"/>
    <col min="13" max="13" width="15.296875" style="1" customWidth="1"/>
    <col min="14" max="14" width="14.796875" style="1" bestFit="1" customWidth="1"/>
    <col min="15" max="15" width="14.09765625" style="1" bestFit="1" customWidth="1"/>
    <col min="16" max="16" width="40.69921875" style="1" bestFit="1" customWidth="1"/>
    <col min="17" max="17" width="26" style="1" bestFit="1" customWidth="1"/>
  </cols>
  <sheetData>
    <row r="1" spans="1:17" ht="34.799999999999997" x14ac:dyDescent="0.25">
      <c r="A1" s="45" t="s">
        <v>0</v>
      </c>
      <c r="B1" s="46" t="s">
        <v>13</v>
      </c>
      <c r="C1" s="46" t="s">
        <v>14</v>
      </c>
      <c r="D1" s="46" t="s">
        <v>15</v>
      </c>
      <c r="E1" s="47" t="s">
        <v>1</v>
      </c>
      <c r="F1" s="48" t="s">
        <v>2</v>
      </c>
      <c r="G1" s="49" t="s">
        <v>3</v>
      </c>
      <c r="H1" s="50" t="s">
        <v>4</v>
      </c>
      <c r="I1" s="51" t="s">
        <v>5</v>
      </c>
      <c r="J1" s="52" t="s">
        <v>6</v>
      </c>
      <c r="K1" s="51" t="s">
        <v>7</v>
      </c>
      <c r="L1" s="51" t="s">
        <v>8</v>
      </c>
      <c r="M1" s="47" t="s">
        <v>9</v>
      </c>
      <c r="N1" s="48" t="s">
        <v>10</v>
      </c>
      <c r="O1" s="51" t="s">
        <v>11</v>
      </c>
      <c r="P1" s="53" t="s">
        <v>12</v>
      </c>
      <c r="Q1"/>
    </row>
    <row r="2" spans="1:17" ht="17.399999999999999" x14ac:dyDescent="0.25">
      <c r="A2" s="1">
        <v>1</v>
      </c>
      <c r="B2" s="1" t="s">
        <v>64</v>
      </c>
      <c r="C2" s="54" t="s">
        <v>99</v>
      </c>
      <c r="D2" s="1">
        <v>518725</v>
      </c>
      <c r="E2" s="4" t="s">
        <v>233</v>
      </c>
      <c r="F2" s="5">
        <v>518725</v>
      </c>
      <c r="G2" s="6">
        <v>75000</v>
      </c>
      <c r="H2" s="7">
        <v>70</v>
      </c>
      <c r="I2" s="8">
        <f t="shared" ref="I2:I65" si="0">((F2*G2)/100)*H2</f>
        <v>27233062500</v>
      </c>
      <c r="J2" s="9"/>
      <c r="K2" s="8">
        <f>(I2/100)*10</f>
        <v>2723306250</v>
      </c>
      <c r="L2" s="8">
        <f t="shared" ref="L2" si="1">I2+K2</f>
        <v>29956368750</v>
      </c>
      <c r="M2" s="10"/>
      <c r="N2" s="5"/>
      <c r="O2" s="8">
        <f>L2-N2</f>
        <v>29956368750</v>
      </c>
      <c r="P2" s="25" t="s">
        <v>234</v>
      </c>
      <c r="Q2"/>
    </row>
    <row r="3" spans="1:17" x14ac:dyDescent="0.25">
      <c r="A3" s="1">
        <v>2</v>
      </c>
      <c r="B3" s="1" t="s">
        <v>64</v>
      </c>
      <c r="C3" s="54" t="s">
        <v>172</v>
      </c>
      <c r="D3" s="1">
        <v>300000</v>
      </c>
      <c r="E3" s="10" t="s">
        <v>174</v>
      </c>
      <c r="F3" s="5">
        <v>23670</v>
      </c>
      <c r="G3" s="6">
        <v>75000</v>
      </c>
      <c r="H3" s="7">
        <v>85</v>
      </c>
      <c r="I3" s="8">
        <f t="shared" si="0"/>
        <v>1508962500</v>
      </c>
      <c r="J3" s="9"/>
      <c r="K3" s="8">
        <f>(I3/100)*10</f>
        <v>150896250</v>
      </c>
      <c r="L3" s="8">
        <f>I3+K3</f>
        <v>1659858750</v>
      </c>
      <c r="M3" s="10" t="s">
        <v>146</v>
      </c>
      <c r="N3" s="5">
        <v>1659858750</v>
      </c>
      <c r="O3" s="8">
        <f>L3-N3</f>
        <v>0</v>
      </c>
      <c r="P3" s="26"/>
      <c r="Q3"/>
    </row>
    <row r="4" spans="1:17" ht="15.6" x14ac:dyDescent="0.25">
      <c r="A4" s="1">
        <v>3</v>
      </c>
      <c r="B4" s="1" t="s">
        <v>284</v>
      </c>
      <c r="C4" s="54" t="s">
        <v>285</v>
      </c>
      <c r="D4" s="1">
        <v>6500000</v>
      </c>
      <c r="E4" s="10" t="s">
        <v>235</v>
      </c>
      <c r="F4" s="5">
        <v>1227435</v>
      </c>
      <c r="G4" s="6">
        <v>63000</v>
      </c>
      <c r="H4" s="7">
        <v>50</v>
      </c>
      <c r="I4" s="8">
        <f t="shared" si="0"/>
        <v>38664202500</v>
      </c>
      <c r="J4" s="9"/>
      <c r="K4" s="8"/>
      <c r="L4" s="8">
        <f t="shared" ref="L4:L67" si="2">I4+K4</f>
        <v>38664202500</v>
      </c>
      <c r="M4" s="12" t="s">
        <v>236</v>
      </c>
      <c r="N4" s="5" t="s">
        <v>237</v>
      </c>
      <c r="O4" s="8" t="s">
        <v>238</v>
      </c>
      <c r="P4" s="27" t="s">
        <v>239</v>
      </c>
      <c r="Q4"/>
    </row>
    <row r="5" spans="1:17" ht="21" x14ac:dyDescent="0.25">
      <c r="A5" s="1">
        <v>4</v>
      </c>
      <c r="B5" s="1" t="s">
        <v>284</v>
      </c>
      <c r="C5" s="54" t="s">
        <v>285</v>
      </c>
      <c r="D5" s="1">
        <v>6500000</v>
      </c>
      <c r="E5" s="10" t="s">
        <v>240</v>
      </c>
      <c r="F5" s="5">
        <v>21060</v>
      </c>
      <c r="G5" s="6">
        <v>63000</v>
      </c>
      <c r="H5" s="7">
        <v>50</v>
      </c>
      <c r="I5" s="8">
        <f t="shared" si="0"/>
        <v>663390000</v>
      </c>
      <c r="J5" s="9"/>
      <c r="K5" s="8"/>
      <c r="L5" s="8">
        <f t="shared" si="2"/>
        <v>663390000</v>
      </c>
      <c r="M5" s="10"/>
      <c r="N5" s="13"/>
      <c r="O5" s="8">
        <f t="shared" ref="O5:O68" si="3">L5-N5</f>
        <v>663390000</v>
      </c>
      <c r="P5" s="28" t="s">
        <v>241</v>
      </c>
      <c r="Q5"/>
    </row>
    <row r="6" spans="1:17" x14ac:dyDescent="0.25">
      <c r="A6" s="1">
        <v>5</v>
      </c>
      <c r="B6" s="1" t="s">
        <v>284</v>
      </c>
      <c r="C6" s="54" t="s">
        <v>285</v>
      </c>
      <c r="D6" s="1">
        <v>6500000</v>
      </c>
      <c r="E6" s="10" t="s">
        <v>240</v>
      </c>
      <c r="F6" s="5">
        <v>20770</v>
      </c>
      <c r="G6" s="6">
        <v>63000</v>
      </c>
      <c r="H6" s="7">
        <v>50</v>
      </c>
      <c r="I6" s="8">
        <f t="shared" si="0"/>
        <v>654255000</v>
      </c>
      <c r="J6" s="9"/>
      <c r="K6" s="8"/>
      <c r="L6" s="8">
        <f t="shared" si="2"/>
        <v>654255000</v>
      </c>
      <c r="M6" s="10"/>
      <c r="N6" s="13"/>
      <c r="O6" s="8">
        <f t="shared" si="3"/>
        <v>654255000</v>
      </c>
      <c r="P6" s="26" t="s">
        <v>242</v>
      </c>
      <c r="Q6"/>
    </row>
    <row r="7" spans="1:17" x14ac:dyDescent="0.25">
      <c r="A7" s="1">
        <v>6</v>
      </c>
      <c r="B7" s="1" t="s">
        <v>284</v>
      </c>
      <c r="C7" s="54" t="s">
        <v>285</v>
      </c>
      <c r="D7" s="1">
        <v>6500000</v>
      </c>
      <c r="E7" s="10" t="s">
        <v>240</v>
      </c>
      <c r="F7" s="5">
        <v>21255</v>
      </c>
      <c r="G7" s="6">
        <v>63000</v>
      </c>
      <c r="H7" s="7">
        <v>50</v>
      </c>
      <c r="I7" s="8">
        <f t="shared" si="0"/>
        <v>669532500</v>
      </c>
      <c r="J7" s="9"/>
      <c r="K7" s="8"/>
      <c r="L7" s="8">
        <f t="shared" si="2"/>
        <v>669532500</v>
      </c>
      <c r="M7" s="10"/>
      <c r="N7" s="13"/>
      <c r="O7" s="8">
        <f t="shared" si="3"/>
        <v>669532500</v>
      </c>
      <c r="P7" s="26" t="s">
        <v>243</v>
      </c>
      <c r="Q7"/>
    </row>
    <row r="8" spans="1:17" ht="17.399999999999999" x14ac:dyDescent="0.25">
      <c r="A8" s="1">
        <v>7</v>
      </c>
      <c r="B8" s="1" t="s">
        <v>284</v>
      </c>
      <c r="C8" s="54" t="s">
        <v>285</v>
      </c>
      <c r="D8" s="1">
        <v>6500000</v>
      </c>
      <c r="E8" s="10" t="s">
        <v>240</v>
      </c>
      <c r="F8" s="5">
        <v>20630</v>
      </c>
      <c r="G8" s="6">
        <v>63000</v>
      </c>
      <c r="H8" s="7">
        <v>50</v>
      </c>
      <c r="I8" s="8">
        <f t="shared" si="0"/>
        <v>649845000</v>
      </c>
      <c r="J8" s="9"/>
      <c r="K8" s="8"/>
      <c r="L8" s="8">
        <f t="shared" si="2"/>
        <v>649845000</v>
      </c>
      <c r="M8" s="10"/>
      <c r="N8" s="13"/>
      <c r="O8" s="8">
        <f t="shared" si="3"/>
        <v>649845000</v>
      </c>
      <c r="P8" s="29" t="s">
        <v>244</v>
      </c>
      <c r="Q8"/>
    </row>
    <row r="9" spans="1:17" x14ac:dyDescent="0.25">
      <c r="A9" s="1">
        <v>8</v>
      </c>
      <c r="B9" s="1" t="s">
        <v>284</v>
      </c>
      <c r="C9" s="54" t="s">
        <v>285</v>
      </c>
      <c r="D9" s="1">
        <v>6500000</v>
      </c>
      <c r="E9" s="10" t="s">
        <v>240</v>
      </c>
      <c r="F9" s="5">
        <v>21095</v>
      </c>
      <c r="G9" s="6">
        <v>63000</v>
      </c>
      <c r="H9" s="7">
        <v>50</v>
      </c>
      <c r="I9" s="8">
        <f t="shared" si="0"/>
        <v>664492500</v>
      </c>
      <c r="J9" s="9"/>
      <c r="K9" s="8"/>
      <c r="L9" s="8">
        <f t="shared" si="2"/>
        <v>664492500</v>
      </c>
      <c r="M9" s="10"/>
      <c r="N9" s="13"/>
      <c r="O9" s="8">
        <f t="shared" si="3"/>
        <v>664492500</v>
      </c>
      <c r="P9" s="26"/>
      <c r="Q9"/>
    </row>
    <row r="10" spans="1:17" x14ac:dyDescent="0.25">
      <c r="A10" s="1">
        <v>9</v>
      </c>
      <c r="B10" s="1" t="s">
        <v>284</v>
      </c>
      <c r="C10" s="54" t="s">
        <v>285</v>
      </c>
      <c r="D10" s="1">
        <v>6500000</v>
      </c>
      <c r="E10" s="10" t="s">
        <v>245</v>
      </c>
      <c r="F10" s="5">
        <v>20760</v>
      </c>
      <c r="G10" s="6">
        <v>63000</v>
      </c>
      <c r="H10" s="7">
        <v>50</v>
      </c>
      <c r="I10" s="8">
        <f t="shared" si="0"/>
        <v>653940000</v>
      </c>
      <c r="J10" s="9"/>
      <c r="K10" s="8"/>
      <c r="L10" s="8">
        <f t="shared" si="2"/>
        <v>653940000</v>
      </c>
      <c r="M10" s="10"/>
      <c r="N10" s="13"/>
      <c r="O10" s="8">
        <f t="shared" si="3"/>
        <v>653940000</v>
      </c>
      <c r="P10" s="26"/>
      <c r="Q10"/>
    </row>
    <row r="11" spans="1:17" x14ac:dyDescent="0.25">
      <c r="A11" s="1">
        <v>10</v>
      </c>
      <c r="B11" s="1" t="s">
        <v>284</v>
      </c>
      <c r="C11" s="54" t="s">
        <v>285</v>
      </c>
      <c r="D11" s="1">
        <v>6500000</v>
      </c>
      <c r="E11" s="10" t="s">
        <v>245</v>
      </c>
      <c r="F11" s="5">
        <v>20980</v>
      </c>
      <c r="G11" s="6">
        <v>63000</v>
      </c>
      <c r="H11" s="7">
        <v>50</v>
      </c>
      <c r="I11" s="8">
        <f t="shared" si="0"/>
        <v>660870000</v>
      </c>
      <c r="J11" s="9"/>
      <c r="K11" s="8"/>
      <c r="L11" s="8">
        <f t="shared" si="2"/>
        <v>660870000</v>
      </c>
      <c r="M11" s="10"/>
      <c r="N11" s="13"/>
      <c r="O11" s="8">
        <f t="shared" si="3"/>
        <v>660870000</v>
      </c>
      <c r="P11" s="26"/>
      <c r="Q11"/>
    </row>
    <row r="12" spans="1:17" x14ac:dyDescent="0.25">
      <c r="A12" s="1">
        <v>11</v>
      </c>
      <c r="B12" s="1" t="s">
        <v>284</v>
      </c>
      <c r="C12" s="54" t="s">
        <v>285</v>
      </c>
      <c r="D12" s="1">
        <v>6500000</v>
      </c>
      <c r="E12" s="10" t="s">
        <v>195</v>
      </c>
      <c r="F12" s="5">
        <v>20485</v>
      </c>
      <c r="G12" s="6">
        <v>63000</v>
      </c>
      <c r="H12" s="7">
        <v>50</v>
      </c>
      <c r="I12" s="8">
        <f t="shared" si="0"/>
        <v>645277500</v>
      </c>
      <c r="J12" s="9"/>
      <c r="K12" s="8"/>
      <c r="L12" s="8">
        <f t="shared" si="2"/>
        <v>645277500</v>
      </c>
      <c r="M12" s="10"/>
      <c r="N12" s="13"/>
      <c r="O12" s="8">
        <f t="shared" si="3"/>
        <v>645277500</v>
      </c>
      <c r="P12" s="26"/>
      <c r="Q12"/>
    </row>
    <row r="13" spans="1:17" x14ac:dyDescent="0.25">
      <c r="A13" s="1">
        <v>12</v>
      </c>
      <c r="B13" s="1" t="s">
        <v>284</v>
      </c>
      <c r="C13" s="54" t="s">
        <v>285</v>
      </c>
      <c r="D13" s="1">
        <v>6500000</v>
      </c>
      <c r="E13" s="10" t="s">
        <v>195</v>
      </c>
      <c r="F13" s="5">
        <v>20475</v>
      </c>
      <c r="G13" s="6">
        <v>63000</v>
      </c>
      <c r="H13" s="7">
        <v>50</v>
      </c>
      <c r="I13" s="8">
        <f t="shared" si="0"/>
        <v>644962500</v>
      </c>
      <c r="J13" s="9"/>
      <c r="K13" s="8"/>
      <c r="L13" s="8">
        <f t="shared" si="2"/>
        <v>644962500</v>
      </c>
      <c r="M13" s="10"/>
      <c r="N13" s="13"/>
      <c r="O13" s="8">
        <f t="shared" si="3"/>
        <v>644962500</v>
      </c>
      <c r="P13" s="26"/>
      <c r="Q13"/>
    </row>
    <row r="14" spans="1:17" x14ac:dyDescent="0.25">
      <c r="A14" s="1">
        <v>13</v>
      </c>
      <c r="B14" s="1" t="s">
        <v>284</v>
      </c>
      <c r="C14" s="54" t="s">
        <v>285</v>
      </c>
      <c r="D14" s="1">
        <v>6500000</v>
      </c>
      <c r="E14" s="10" t="s">
        <v>246</v>
      </c>
      <c r="F14" s="5">
        <v>20715</v>
      </c>
      <c r="G14" s="6">
        <v>63000</v>
      </c>
      <c r="H14" s="7">
        <v>50</v>
      </c>
      <c r="I14" s="8">
        <f t="shared" si="0"/>
        <v>652522500</v>
      </c>
      <c r="J14" s="9"/>
      <c r="K14" s="8"/>
      <c r="L14" s="8">
        <f t="shared" si="2"/>
        <v>652522500</v>
      </c>
      <c r="M14" s="10"/>
      <c r="N14" s="13"/>
      <c r="O14" s="8">
        <f t="shared" si="3"/>
        <v>652522500</v>
      </c>
      <c r="P14" s="26"/>
      <c r="Q14"/>
    </row>
    <row r="15" spans="1:17" x14ac:dyDescent="0.25">
      <c r="A15" s="1">
        <v>14</v>
      </c>
      <c r="B15" s="1" t="s">
        <v>284</v>
      </c>
      <c r="C15" s="54" t="s">
        <v>285</v>
      </c>
      <c r="D15" s="1">
        <v>6500000</v>
      </c>
      <c r="E15" s="10" t="s">
        <v>246</v>
      </c>
      <c r="F15" s="5">
        <v>20800</v>
      </c>
      <c r="G15" s="6">
        <v>63000</v>
      </c>
      <c r="H15" s="7">
        <v>50</v>
      </c>
      <c r="I15" s="8">
        <f t="shared" si="0"/>
        <v>655200000</v>
      </c>
      <c r="J15" s="9"/>
      <c r="K15" s="8"/>
      <c r="L15" s="8">
        <f t="shared" si="2"/>
        <v>655200000</v>
      </c>
      <c r="M15" s="10"/>
      <c r="N15" s="13"/>
      <c r="O15" s="8">
        <f t="shared" si="3"/>
        <v>655200000</v>
      </c>
      <c r="P15" s="26"/>
      <c r="Q15"/>
    </row>
    <row r="16" spans="1:17" x14ac:dyDescent="0.25">
      <c r="A16" s="1">
        <v>15</v>
      </c>
      <c r="B16" s="1" t="s">
        <v>284</v>
      </c>
      <c r="C16" s="54" t="s">
        <v>285</v>
      </c>
      <c r="D16" s="1">
        <v>6500000</v>
      </c>
      <c r="E16" s="10" t="s">
        <v>246</v>
      </c>
      <c r="F16" s="5">
        <v>20485</v>
      </c>
      <c r="G16" s="6">
        <v>63000</v>
      </c>
      <c r="H16" s="7">
        <v>50</v>
      </c>
      <c r="I16" s="8">
        <f t="shared" si="0"/>
        <v>645277500</v>
      </c>
      <c r="J16" s="9"/>
      <c r="K16" s="8"/>
      <c r="L16" s="8">
        <f t="shared" si="2"/>
        <v>645277500</v>
      </c>
      <c r="M16" s="10"/>
      <c r="N16" s="13"/>
      <c r="O16" s="8">
        <f t="shared" si="3"/>
        <v>645277500</v>
      </c>
      <c r="P16" s="26"/>
      <c r="Q16"/>
    </row>
    <row r="17" spans="1:17" x14ac:dyDescent="0.25">
      <c r="A17" s="1">
        <v>16</v>
      </c>
      <c r="B17" s="1" t="s">
        <v>284</v>
      </c>
      <c r="C17" s="54" t="s">
        <v>285</v>
      </c>
      <c r="D17" s="1">
        <v>6500000</v>
      </c>
      <c r="E17" s="10" t="s">
        <v>246</v>
      </c>
      <c r="F17" s="5">
        <v>20745</v>
      </c>
      <c r="G17" s="6">
        <v>63000</v>
      </c>
      <c r="H17" s="7">
        <v>50</v>
      </c>
      <c r="I17" s="8">
        <f t="shared" si="0"/>
        <v>653467500</v>
      </c>
      <c r="J17" s="9"/>
      <c r="K17" s="8"/>
      <c r="L17" s="8">
        <f t="shared" si="2"/>
        <v>653467500</v>
      </c>
      <c r="M17" s="10"/>
      <c r="N17" s="13"/>
      <c r="O17" s="8">
        <f t="shared" si="3"/>
        <v>653467500</v>
      </c>
      <c r="P17" s="26"/>
      <c r="Q17"/>
    </row>
    <row r="18" spans="1:17" x14ac:dyDescent="0.25">
      <c r="A18" s="1">
        <v>17</v>
      </c>
      <c r="B18" s="1" t="s">
        <v>284</v>
      </c>
      <c r="C18" s="54" t="s">
        <v>285</v>
      </c>
      <c r="D18" s="1">
        <v>6500000</v>
      </c>
      <c r="E18" s="10" t="s">
        <v>246</v>
      </c>
      <c r="F18" s="5">
        <v>20440</v>
      </c>
      <c r="G18" s="6">
        <v>63000</v>
      </c>
      <c r="H18" s="7">
        <v>50</v>
      </c>
      <c r="I18" s="8">
        <f t="shared" si="0"/>
        <v>643860000</v>
      </c>
      <c r="J18" s="9"/>
      <c r="K18" s="8"/>
      <c r="L18" s="8">
        <f t="shared" si="2"/>
        <v>643860000</v>
      </c>
      <c r="M18" s="10"/>
      <c r="N18" s="13"/>
      <c r="O18" s="8">
        <f t="shared" si="3"/>
        <v>643860000</v>
      </c>
      <c r="P18" s="26"/>
      <c r="Q18"/>
    </row>
    <row r="19" spans="1:17" x14ac:dyDescent="0.25">
      <c r="A19" s="1">
        <v>18</v>
      </c>
      <c r="B19" s="1" t="s">
        <v>284</v>
      </c>
      <c r="C19" s="54" t="s">
        <v>285</v>
      </c>
      <c r="D19" s="1">
        <v>6500000</v>
      </c>
      <c r="E19" s="10" t="s">
        <v>247</v>
      </c>
      <c r="F19" s="5">
        <v>20910</v>
      </c>
      <c r="G19" s="6">
        <v>63000</v>
      </c>
      <c r="H19" s="7">
        <v>50</v>
      </c>
      <c r="I19" s="8">
        <f t="shared" si="0"/>
        <v>658665000</v>
      </c>
      <c r="J19" s="9"/>
      <c r="K19" s="8"/>
      <c r="L19" s="8">
        <f t="shared" si="2"/>
        <v>658665000</v>
      </c>
      <c r="M19" s="10"/>
      <c r="N19" s="13"/>
      <c r="O19" s="8">
        <f t="shared" si="3"/>
        <v>658665000</v>
      </c>
      <c r="P19" s="26" t="s">
        <v>248</v>
      </c>
      <c r="Q19"/>
    </row>
    <row r="20" spans="1:17" x14ac:dyDescent="0.25">
      <c r="A20" s="1">
        <v>19</v>
      </c>
      <c r="B20" s="1" t="s">
        <v>284</v>
      </c>
      <c r="C20" s="54" t="s">
        <v>285</v>
      </c>
      <c r="D20" s="1">
        <v>6500000</v>
      </c>
      <c r="E20" s="10" t="s">
        <v>247</v>
      </c>
      <c r="F20" s="5">
        <v>21020</v>
      </c>
      <c r="G20" s="6">
        <v>63000</v>
      </c>
      <c r="H20" s="7">
        <v>50</v>
      </c>
      <c r="I20" s="8">
        <f t="shared" si="0"/>
        <v>662130000</v>
      </c>
      <c r="J20" s="9"/>
      <c r="K20" s="8"/>
      <c r="L20" s="8">
        <f t="shared" si="2"/>
        <v>662130000</v>
      </c>
      <c r="M20" s="10"/>
      <c r="N20" s="13"/>
      <c r="O20" s="8">
        <f t="shared" si="3"/>
        <v>662130000</v>
      </c>
      <c r="P20" s="26"/>
      <c r="Q20"/>
    </row>
    <row r="21" spans="1:17" x14ac:dyDescent="0.25">
      <c r="A21" s="1">
        <v>20</v>
      </c>
      <c r="B21" s="1" t="s">
        <v>284</v>
      </c>
      <c r="C21" s="54" t="s">
        <v>285</v>
      </c>
      <c r="D21" s="1">
        <v>6500000</v>
      </c>
      <c r="E21" s="10" t="s">
        <v>249</v>
      </c>
      <c r="F21" s="5">
        <v>20740</v>
      </c>
      <c r="G21" s="6">
        <v>63000</v>
      </c>
      <c r="H21" s="7">
        <v>50</v>
      </c>
      <c r="I21" s="8">
        <f t="shared" si="0"/>
        <v>653310000</v>
      </c>
      <c r="J21" s="9"/>
      <c r="K21" s="8"/>
      <c r="L21" s="8">
        <f t="shared" si="2"/>
        <v>653310000</v>
      </c>
      <c r="M21" s="10"/>
      <c r="N21" s="13"/>
      <c r="O21" s="8">
        <f t="shared" si="3"/>
        <v>653310000</v>
      </c>
      <c r="P21" s="26"/>
      <c r="Q21"/>
    </row>
    <row r="22" spans="1:17" x14ac:dyDescent="0.25">
      <c r="A22" s="1">
        <v>21</v>
      </c>
      <c r="B22" s="1" t="s">
        <v>284</v>
      </c>
      <c r="C22" s="54" t="s">
        <v>285</v>
      </c>
      <c r="D22" s="1">
        <v>6500000</v>
      </c>
      <c r="E22" s="10" t="s">
        <v>249</v>
      </c>
      <c r="F22" s="5">
        <v>20885</v>
      </c>
      <c r="G22" s="6">
        <v>63000</v>
      </c>
      <c r="H22" s="7">
        <v>50</v>
      </c>
      <c r="I22" s="8">
        <f t="shared" si="0"/>
        <v>657877500</v>
      </c>
      <c r="J22" s="9"/>
      <c r="K22" s="8"/>
      <c r="L22" s="8">
        <f t="shared" si="2"/>
        <v>657877500</v>
      </c>
      <c r="M22" s="10"/>
      <c r="N22" s="13"/>
      <c r="O22" s="8">
        <f t="shared" si="3"/>
        <v>657877500</v>
      </c>
      <c r="P22" s="26"/>
      <c r="Q22"/>
    </row>
    <row r="23" spans="1:17" x14ac:dyDescent="0.25">
      <c r="A23" s="1">
        <v>22</v>
      </c>
      <c r="B23" s="1" t="s">
        <v>284</v>
      </c>
      <c r="C23" s="54" t="s">
        <v>285</v>
      </c>
      <c r="D23" s="1">
        <v>6500000</v>
      </c>
      <c r="E23" s="10" t="s">
        <v>151</v>
      </c>
      <c r="F23" s="5">
        <v>20445</v>
      </c>
      <c r="G23" s="6">
        <v>63000</v>
      </c>
      <c r="H23" s="7">
        <v>50</v>
      </c>
      <c r="I23" s="8">
        <f t="shared" si="0"/>
        <v>644017500</v>
      </c>
      <c r="J23" s="9"/>
      <c r="K23" s="8"/>
      <c r="L23" s="8">
        <f t="shared" si="2"/>
        <v>644017500</v>
      </c>
      <c r="M23" s="10"/>
      <c r="N23" s="13"/>
      <c r="O23" s="8">
        <f t="shared" si="3"/>
        <v>644017500</v>
      </c>
      <c r="P23" s="26"/>
      <c r="Q23"/>
    </row>
    <row r="24" spans="1:17" x14ac:dyDescent="0.25">
      <c r="A24" s="1">
        <v>23</v>
      </c>
      <c r="B24" s="1" t="s">
        <v>284</v>
      </c>
      <c r="C24" s="54" t="s">
        <v>285</v>
      </c>
      <c r="D24" s="1">
        <v>6500000</v>
      </c>
      <c r="E24" s="10" t="s">
        <v>185</v>
      </c>
      <c r="F24" s="5">
        <v>20840</v>
      </c>
      <c r="G24" s="6">
        <v>63000</v>
      </c>
      <c r="H24" s="7">
        <v>50</v>
      </c>
      <c r="I24" s="8">
        <f t="shared" si="0"/>
        <v>656460000</v>
      </c>
      <c r="J24" s="9"/>
      <c r="K24" s="8"/>
      <c r="L24" s="8">
        <f t="shared" si="2"/>
        <v>656460000</v>
      </c>
      <c r="M24" s="10"/>
      <c r="N24" s="13"/>
      <c r="O24" s="8">
        <f t="shared" si="3"/>
        <v>656460000</v>
      </c>
      <c r="P24" s="26"/>
      <c r="Q24"/>
    </row>
    <row r="25" spans="1:17" x14ac:dyDescent="0.25">
      <c r="A25" s="1">
        <v>24</v>
      </c>
      <c r="B25" s="1" t="s">
        <v>284</v>
      </c>
      <c r="C25" s="54" t="s">
        <v>285</v>
      </c>
      <c r="D25" s="1">
        <v>6500000</v>
      </c>
      <c r="E25" s="10" t="s">
        <v>185</v>
      </c>
      <c r="F25" s="5">
        <v>21020</v>
      </c>
      <c r="G25" s="6">
        <v>63000</v>
      </c>
      <c r="H25" s="7">
        <v>50</v>
      </c>
      <c r="I25" s="8">
        <f t="shared" si="0"/>
        <v>662130000</v>
      </c>
      <c r="J25" s="9"/>
      <c r="K25" s="8"/>
      <c r="L25" s="8">
        <f t="shared" si="2"/>
        <v>662130000</v>
      </c>
      <c r="M25" s="10"/>
      <c r="N25" s="13"/>
      <c r="O25" s="8">
        <f t="shared" si="3"/>
        <v>662130000</v>
      </c>
      <c r="P25" s="26"/>
      <c r="Q25"/>
    </row>
    <row r="26" spans="1:17" x14ac:dyDescent="0.25">
      <c r="A26" s="1">
        <v>25</v>
      </c>
      <c r="B26" s="1" t="s">
        <v>284</v>
      </c>
      <c r="C26" s="54" t="s">
        <v>285</v>
      </c>
      <c r="D26" s="1">
        <v>6500000</v>
      </c>
      <c r="E26" s="10" t="s">
        <v>185</v>
      </c>
      <c r="F26" s="5">
        <v>20600</v>
      </c>
      <c r="G26" s="6">
        <v>63000</v>
      </c>
      <c r="H26" s="7">
        <v>50</v>
      </c>
      <c r="I26" s="8">
        <f t="shared" si="0"/>
        <v>648900000</v>
      </c>
      <c r="J26" s="9"/>
      <c r="K26" s="8"/>
      <c r="L26" s="8">
        <f t="shared" si="2"/>
        <v>648900000</v>
      </c>
      <c r="M26" s="10"/>
      <c r="N26" s="13"/>
      <c r="O26" s="8">
        <f t="shared" si="3"/>
        <v>648900000</v>
      </c>
      <c r="P26" s="26"/>
      <c r="Q26"/>
    </row>
    <row r="27" spans="1:17" x14ac:dyDescent="0.25">
      <c r="A27" s="1">
        <v>26</v>
      </c>
      <c r="B27" s="1" t="s">
        <v>284</v>
      </c>
      <c r="C27" s="54" t="s">
        <v>285</v>
      </c>
      <c r="D27" s="1">
        <v>6500000</v>
      </c>
      <c r="E27" s="10" t="s">
        <v>185</v>
      </c>
      <c r="F27" s="5">
        <v>21080</v>
      </c>
      <c r="G27" s="6">
        <v>63000</v>
      </c>
      <c r="H27" s="7">
        <v>50</v>
      </c>
      <c r="I27" s="8">
        <f t="shared" si="0"/>
        <v>664020000</v>
      </c>
      <c r="J27" s="9"/>
      <c r="K27" s="8"/>
      <c r="L27" s="8">
        <f t="shared" si="2"/>
        <v>664020000</v>
      </c>
      <c r="M27" s="10"/>
      <c r="N27" s="13"/>
      <c r="O27" s="8">
        <f t="shared" si="3"/>
        <v>664020000</v>
      </c>
      <c r="P27" s="26"/>
      <c r="Q27"/>
    </row>
    <row r="28" spans="1:17" x14ac:dyDescent="0.25">
      <c r="A28" s="1">
        <v>27</v>
      </c>
      <c r="B28" s="1" t="s">
        <v>284</v>
      </c>
      <c r="C28" s="54" t="s">
        <v>285</v>
      </c>
      <c r="D28" s="1">
        <v>6500000</v>
      </c>
      <c r="E28" s="10" t="s">
        <v>250</v>
      </c>
      <c r="F28" s="5">
        <v>20765</v>
      </c>
      <c r="G28" s="6">
        <v>63000</v>
      </c>
      <c r="H28" s="7">
        <v>50</v>
      </c>
      <c r="I28" s="8">
        <f t="shared" si="0"/>
        <v>654097500</v>
      </c>
      <c r="J28" s="9"/>
      <c r="K28" s="8"/>
      <c r="L28" s="8">
        <f t="shared" si="2"/>
        <v>654097500</v>
      </c>
      <c r="M28" s="10"/>
      <c r="N28" s="13"/>
      <c r="O28" s="8">
        <f t="shared" si="3"/>
        <v>654097500</v>
      </c>
      <c r="P28" s="26"/>
      <c r="Q28"/>
    </row>
    <row r="29" spans="1:17" x14ac:dyDescent="0.25">
      <c r="A29" s="1">
        <v>28</v>
      </c>
      <c r="B29" s="1" t="s">
        <v>284</v>
      </c>
      <c r="C29" s="54" t="s">
        <v>285</v>
      </c>
      <c r="D29" s="1">
        <v>6500000</v>
      </c>
      <c r="E29" s="10" t="s">
        <v>250</v>
      </c>
      <c r="F29" s="5">
        <v>21055</v>
      </c>
      <c r="G29" s="6">
        <v>63000</v>
      </c>
      <c r="H29" s="7">
        <v>50</v>
      </c>
      <c r="I29" s="8">
        <f t="shared" si="0"/>
        <v>663232500</v>
      </c>
      <c r="J29" s="9"/>
      <c r="K29" s="8"/>
      <c r="L29" s="8">
        <f t="shared" si="2"/>
        <v>663232500</v>
      </c>
      <c r="M29" s="10"/>
      <c r="N29" s="13"/>
      <c r="O29" s="8">
        <f t="shared" si="3"/>
        <v>663232500</v>
      </c>
      <c r="P29" s="26"/>
      <c r="Q29"/>
    </row>
    <row r="30" spans="1:17" x14ac:dyDescent="0.25">
      <c r="A30" s="1">
        <v>29</v>
      </c>
      <c r="B30" s="1" t="s">
        <v>284</v>
      </c>
      <c r="C30" s="54" t="s">
        <v>285</v>
      </c>
      <c r="D30" s="1">
        <v>6500000</v>
      </c>
      <c r="E30" s="10" t="s">
        <v>251</v>
      </c>
      <c r="F30" s="5">
        <v>20490</v>
      </c>
      <c r="G30" s="6">
        <v>63000</v>
      </c>
      <c r="H30" s="7">
        <v>50</v>
      </c>
      <c r="I30" s="8">
        <f t="shared" si="0"/>
        <v>645435000</v>
      </c>
      <c r="J30" s="9"/>
      <c r="K30" s="8"/>
      <c r="L30" s="8">
        <f t="shared" si="2"/>
        <v>645435000</v>
      </c>
      <c r="M30" s="10"/>
      <c r="N30" s="13"/>
      <c r="O30" s="8">
        <f t="shared" si="3"/>
        <v>645435000</v>
      </c>
      <c r="P30" s="26"/>
      <c r="Q30"/>
    </row>
    <row r="31" spans="1:17" x14ac:dyDescent="0.25">
      <c r="A31" s="1">
        <v>30</v>
      </c>
      <c r="B31" s="1" t="s">
        <v>284</v>
      </c>
      <c r="C31" s="54" t="s">
        <v>285</v>
      </c>
      <c r="D31" s="1">
        <v>6500000</v>
      </c>
      <c r="E31" s="10" t="s">
        <v>251</v>
      </c>
      <c r="F31" s="5">
        <v>20735</v>
      </c>
      <c r="G31" s="6">
        <v>63000</v>
      </c>
      <c r="H31" s="7">
        <v>50</v>
      </c>
      <c r="I31" s="8">
        <f t="shared" si="0"/>
        <v>653152500</v>
      </c>
      <c r="J31" s="9"/>
      <c r="K31" s="8"/>
      <c r="L31" s="8">
        <f t="shared" si="2"/>
        <v>653152500</v>
      </c>
      <c r="M31" s="10"/>
      <c r="N31" s="13"/>
      <c r="O31" s="8">
        <f t="shared" si="3"/>
        <v>653152500</v>
      </c>
      <c r="P31" s="26"/>
      <c r="Q31"/>
    </row>
    <row r="32" spans="1:17" x14ac:dyDescent="0.25">
      <c r="A32" s="1">
        <v>31</v>
      </c>
      <c r="B32" s="1" t="s">
        <v>284</v>
      </c>
      <c r="C32" s="54" t="s">
        <v>285</v>
      </c>
      <c r="D32" s="1">
        <v>6500000</v>
      </c>
      <c r="E32" s="10" t="s">
        <v>251</v>
      </c>
      <c r="F32" s="5">
        <v>20865</v>
      </c>
      <c r="G32" s="6">
        <v>63000</v>
      </c>
      <c r="H32" s="7">
        <v>50</v>
      </c>
      <c r="I32" s="8">
        <f t="shared" si="0"/>
        <v>657247500</v>
      </c>
      <c r="J32" s="9"/>
      <c r="K32" s="8"/>
      <c r="L32" s="8">
        <f t="shared" si="2"/>
        <v>657247500</v>
      </c>
      <c r="M32" s="10"/>
      <c r="N32" s="13"/>
      <c r="O32" s="8">
        <f t="shared" si="3"/>
        <v>657247500</v>
      </c>
      <c r="P32" s="26"/>
      <c r="Q32"/>
    </row>
    <row r="33" spans="1:17" x14ac:dyDescent="0.25">
      <c r="A33" s="1">
        <v>32</v>
      </c>
      <c r="B33" s="1" t="s">
        <v>284</v>
      </c>
      <c r="C33" s="54" t="s">
        <v>285</v>
      </c>
      <c r="D33" s="1">
        <v>6500000</v>
      </c>
      <c r="E33" s="10" t="s">
        <v>252</v>
      </c>
      <c r="F33" s="5">
        <v>20525</v>
      </c>
      <c r="G33" s="6">
        <v>63000</v>
      </c>
      <c r="H33" s="7">
        <v>50</v>
      </c>
      <c r="I33" s="8">
        <f t="shared" si="0"/>
        <v>646537500</v>
      </c>
      <c r="J33" s="9"/>
      <c r="K33" s="8"/>
      <c r="L33" s="8">
        <f t="shared" si="2"/>
        <v>646537500</v>
      </c>
      <c r="M33" s="10"/>
      <c r="N33" s="13"/>
      <c r="O33" s="8">
        <f t="shared" si="3"/>
        <v>646537500</v>
      </c>
      <c r="P33" s="26"/>
      <c r="Q33"/>
    </row>
    <row r="34" spans="1:17" x14ac:dyDescent="0.25">
      <c r="A34" s="1">
        <v>33</v>
      </c>
      <c r="B34" s="1" t="s">
        <v>284</v>
      </c>
      <c r="C34" s="54" t="s">
        <v>285</v>
      </c>
      <c r="D34" s="1">
        <v>6500000</v>
      </c>
      <c r="E34" s="10" t="s">
        <v>252</v>
      </c>
      <c r="F34" s="5">
        <v>20550</v>
      </c>
      <c r="G34" s="6">
        <v>63000</v>
      </c>
      <c r="H34" s="7">
        <v>50</v>
      </c>
      <c r="I34" s="8">
        <f t="shared" si="0"/>
        <v>647325000</v>
      </c>
      <c r="J34" s="9"/>
      <c r="K34" s="8"/>
      <c r="L34" s="8">
        <f t="shared" si="2"/>
        <v>647325000</v>
      </c>
      <c r="M34" s="10"/>
      <c r="N34" s="13"/>
      <c r="O34" s="8">
        <f t="shared" si="3"/>
        <v>647325000</v>
      </c>
      <c r="P34" s="26"/>
      <c r="Q34"/>
    </row>
    <row r="35" spans="1:17" x14ac:dyDescent="0.25">
      <c r="A35" s="1">
        <v>34</v>
      </c>
      <c r="B35" s="1" t="s">
        <v>284</v>
      </c>
      <c r="C35" s="54" t="s">
        <v>285</v>
      </c>
      <c r="D35" s="1">
        <v>6500000</v>
      </c>
      <c r="E35" s="10" t="s">
        <v>217</v>
      </c>
      <c r="F35" s="5">
        <v>20930</v>
      </c>
      <c r="G35" s="6">
        <v>63000</v>
      </c>
      <c r="H35" s="7">
        <v>50</v>
      </c>
      <c r="I35" s="8">
        <f t="shared" si="0"/>
        <v>659295000</v>
      </c>
      <c r="J35" s="9"/>
      <c r="K35" s="8"/>
      <c r="L35" s="8">
        <f t="shared" si="2"/>
        <v>659295000</v>
      </c>
      <c r="M35" s="10"/>
      <c r="N35" s="13"/>
      <c r="O35" s="8">
        <f t="shared" si="3"/>
        <v>659295000</v>
      </c>
      <c r="P35" s="26"/>
      <c r="Q35"/>
    </row>
    <row r="36" spans="1:17" x14ac:dyDescent="0.25">
      <c r="A36" s="1">
        <v>35</v>
      </c>
      <c r="B36" s="1" t="s">
        <v>284</v>
      </c>
      <c r="C36" s="54" t="s">
        <v>285</v>
      </c>
      <c r="D36" s="1">
        <v>6500000</v>
      </c>
      <c r="E36" s="10" t="s">
        <v>217</v>
      </c>
      <c r="F36" s="5">
        <v>20640</v>
      </c>
      <c r="G36" s="6">
        <v>63000</v>
      </c>
      <c r="H36" s="7">
        <v>50</v>
      </c>
      <c r="I36" s="8">
        <f t="shared" si="0"/>
        <v>650160000</v>
      </c>
      <c r="J36" s="9"/>
      <c r="K36" s="8"/>
      <c r="L36" s="8">
        <f t="shared" si="2"/>
        <v>650160000</v>
      </c>
      <c r="M36" s="10"/>
      <c r="N36" s="13"/>
      <c r="O36" s="8">
        <f t="shared" si="3"/>
        <v>650160000</v>
      </c>
      <c r="P36" s="26"/>
      <c r="Q36"/>
    </row>
    <row r="37" spans="1:17" x14ac:dyDescent="0.25">
      <c r="A37" s="1">
        <v>36</v>
      </c>
      <c r="B37" s="1" t="s">
        <v>284</v>
      </c>
      <c r="C37" s="54" t="s">
        <v>285</v>
      </c>
      <c r="D37" s="1">
        <v>6500000</v>
      </c>
      <c r="E37" s="10" t="s">
        <v>217</v>
      </c>
      <c r="F37" s="5">
        <v>20825</v>
      </c>
      <c r="G37" s="6">
        <v>63000</v>
      </c>
      <c r="H37" s="7">
        <v>50</v>
      </c>
      <c r="I37" s="8">
        <f t="shared" si="0"/>
        <v>655987500</v>
      </c>
      <c r="J37" s="9"/>
      <c r="K37" s="8"/>
      <c r="L37" s="8">
        <f t="shared" si="2"/>
        <v>655987500</v>
      </c>
      <c r="M37" s="10"/>
      <c r="N37" s="13"/>
      <c r="O37" s="8">
        <f t="shared" si="3"/>
        <v>655987500</v>
      </c>
      <c r="P37" s="26"/>
      <c r="Q37"/>
    </row>
    <row r="38" spans="1:17" x14ac:dyDescent="0.25">
      <c r="A38" s="1">
        <v>37</v>
      </c>
      <c r="B38" s="1" t="s">
        <v>284</v>
      </c>
      <c r="C38" s="54" t="s">
        <v>285</v>
      </c>
      <c r="D38" s="1">
        <v>6500000</v>
      </c>
      <c r="E38" s="10" t="s">
        <v>200</v>
      </c>
      <c r="F38" s="5">
        <v>21645</v>
      </c>
      <c r="G38" s="6">
        <v>63000</v>
      </c>
      <c r="H38" s="7">
        <v>50</v>
      </c>
      <c r="I38" s="8">
        <f t="shared" si="0"/>
        <v>681817500</v>
      </c>
      <c r="J38" s="9"/>
      <c r="K38" s="8"/>
      <c r="L38" s="8">
        <f t="shared" si="2"/>
        <v>681817500</v>
      </c>
      <c r="M38" s="10"/>
      <c r="N38" s="13"/>
      <c r="O38" s="8">
        <f t="shared" si="3"/>
        <v>681817500</v>
      </c>
      <c r="P38" s="26"/>
      <c r="Q38"/>
    </row>
    <row r="39" spans="1:17" x14ac:dyDescent="0.25">
      <c r="A39" s="1">
        <v>38</v>
      </c>
      <c r="B39" s="1" t="s">
        <v>284</v>
      </c>
      <c r="C39" s="54" t="s">
        <v>285</v>
      </c>
      <c r="D39" s="1">
        <v>6500000</v>
      </c>
      <c r="E39" s="10" t="s">
        <v>200</v>
      </c>
      <c r="F39" s="5">
        <v>20960</v>
      </c>
      <c r="G39" s="6">
        <v>63000</v>
      </c>
      <c r="H39" s="7">
        <v>50</v>
      </c>
      <c r="I39" s="8">
        <f t="shared" si="0"/>
        <v>660240000</v>
      </c>
      <c r="J39" s="9"/>
      <c r="K39" s="8"/>
      <c r="L39" s="8">
        <f t="shared" si="2"/>
        <v>660240000</v>
      </c>
      <c r="M39" s="10"/>
      <c r="N39" s="13"/>
      <c r="O39" s="8">
        <f t="shared" si="3"/>
        <v>660240000</v>
      </c>
      <c r="P39" s="26"/>
      <c r="Q39"/>
    </row>
    <row r="40" spans="1:17" x14ac:dyDescent="0.25">
      <c r="A40" s="1">
        <v>39</v>
      </c>
      <c r="B40" s="1" t="s">
        <v>284</v>
      </c>
      <c r="C40" s="54" t="s">
        <v>285</v>
      </c>
      <c r="D40" s="1">
        <v>6500000</v>
      </c>
      <c r="E40" s="10" t="s">
        <v>200</v>
      </c>
      <c r="F40" s="5">
        <v>20880</v>
      </c>
      <c r="G40" s="6">
        <v>63000</v>
      </c>
      <c r="H40" s="7">
        <v>50</v>
      </c>
      <c r="I40" s="8">
        <f t="shared" si="0"/>
        <v>657720000</v>
      </c>
      <c r="J40" s="9"/>
      <c r="K40" s="8"/>
      <c r="L40" s="8">
        <f t="shared" si="2"/>
        <v>657720000</v>
      </c>
      <c r="M40" s="10"/>
      <c r="N40" s="13"/>
      <c r="O40" s="8">
        <f t="shared" si="3"/>
        <v>657720000</v>
      </c>
      <c r="P40" s="26"/>
      <c r="Q40"/>
    </row>
    <row r="41" spans="1:17" x14ac:dyDescent="0.25">
      <c r="A41" s="1">
        <v>40</v>
      </c>
      <c r="B41" s="1" t="s">
        <v>284</v>
      </c>
      <c r="C41" s="54" t="s">
        <v>285</v>
      </c>
      <c r="D41" s="1">
        <v>6500000</v>
      </c>
      <c r="E41" s="10" t="s">
        <v>253</v>
      </c>
      <c r="F41" s="5">
        <v>21110</v>
      </c>
      <c r="G41" s="6">
        <v>63000</v>
      </c>
      <c r="H41" s="7">
        <v>50</v>
      </c>
      <c r="I41" s="8">
        <f t="shared" si="0"/>
        <v>664965000</v>
      </c>
      <c r="J41" s="9"/>
      <c r="K41" s="8"/>
      <c r="L41" s="8">
        <f t="shared" si="2"/>
        <v>664965000</v>
      </c>
      <c r="M41" s="10"/>
      <c r="N41" s="13"/>
      <c r="O41" s="8">
        <f t="shared" si="3"/>
        <v>664965000</v>
      </c>
      <c r="P41" s="26"/>
      <c r="Q41"/>
    </row>
    <row r="42" spans="1:17" x14ac:dyDescent="0.25">
      <c r="A42" s="1">
        <v>41</v>
      </c>
      <c r="B42" s="1" t="s">
        <v>284</v>
      </c>
      <c r="C42" s="54" t="s">
        <v>285</v>
      </c>
      <c r="D42" s="1">
        <v>6500000</v>
      </c>
      <c r="E42" s="10" t="s">
        <v>253</v>
      </c>
      <c r="F42" s="5">
        <v>20400</v>
      </c>
      <c r="G42" s="6">
        <v>63000</v>
      </c>
      <c r="H42" s="7">
        <v>50</v>
      </c>
      <c r="I42" s="8">
        <f t="shared" si="0"/>
        <v>642600000</v>
      </c>
      <c r="J42" s="9"/>
      <c r="K42" s="8"/>
      <c r="L42" s="8">
        <f t="shared" si="2"/>
        <v>642600000</v>
      </c>
      <c r="M42" s="10"/>
      <c r="N42" s="13"/>
      <c r="O42" s="8">
        <f t="shared" si="3"/>
        <v>642600000</v>
      </c>
      <c r="P42" s="26"/>
      <c r="Q42"/>
    </row>
    <row r="43" spans="1:17" x14ac:dyDescent="0.25">
      <c r="A43" s="1">
        <v>42</v>
      </c>
      <c r="B43" s="1" t="s">
        <v>284</v>
      </c>
      <c r="C43" s="54" t="s">
        <v>285</v>
      </c>
      <c r="D43" s="1">
        <v>6500000</v>
      </c>
      <c r="E43" s="10" t="s">
        <v>254</v>
      </c>
      <c r="F43" s="5">
        <v>20725</v>
      </c>
      <c r="G43" s="6">
        <v>63000</v>
      </c>
      <c r="H43" s="7">
        <v>50</v>
      </c>
      <c r="I43" s="8">
        <f t="shared" si="0"/>
        <v>652837500</v>
      </c>
      <c r="J43" s="9"/>
      <c r="K43" s="8"/>
      <c r="L43" s="8">
        <f t="shared" si="2"/>
        <v>652837500</v>
      </c>
      <c r="M43" s="10"/>
      <c r="N43" s="13"/>
      <c r="O43" s="8">
        <f t="shared" si="3"/>
        <v>652837500</v>
      </c>
      <c r="P43" s="30" t="s">
        <v>255</v>
      </c>
      <c r="Q43"/>
    </row>
    <row r="44" spans="1:17" x14ac:dyDescent="0.25">
      <c r="A44" s="1">
        <v>43</v>
      </c>
      <c r="B44" s="1" t="s">
        <v>284</v>
      </c>
      <c r="C44" s="54" t="s">
        <v>285</v>
      </c>
      <c r="D44" s="1">
        <v>6500000</v>
      </c>
      <c r="E44" s="10" t="s">
        <v>254</v>
      </c>
      <c r="F44" s="5">
        <v>20780</v>
      </c>
      <c r="G44" s="6">
        <v>63000</v>
      </c>
      <c r="H44" s="7">
        <v>50</v>
      </c>
      <c r="I44" s="8">
        <f t="shared" si="0"/>
        <v>654570000</v>
      </c>
      <c r="J44" s="9"/>
      <c r="K44" s="8"/>
      <c r="L44" s="8">
        <f t="shared" si="2"/>
        <v>654570000</v>
      </c>
      <c r="M44" s="10"/>
      <c r="N44" s="13"/>
      <c r="O44" s="8">
        <f t="shared" si="3"/>
        <v>654570000</v>
      </c>
      <c r="P44" s="31"/>
      <c r="Q44"/>
    </row>
    <row r="45" spans="1:17" x14ac:dyDescent="0.25">
      <c r="A45" s="1">
        <v>44</v>
      </c>
      <c r="B45" s="1" t="s">
        <v>284</v>
      </c>
      <c r="C45" s="54" t="s">
        <v>285</v>
      </c>
      <c r="D45" s="1">
        <v>6500000</v>
      </c>
      <c r="E45" s="10" t="s">
        <v>256</v>
      </c>
      <c r="F45" s="5">
        <v>20770</v>
      </c>
      <c r="G45" s="6">
        <v>63000</v>
      </c>
      <c r="H45" s="7">
        <v>50</v>
      </c>
      <c r="I45" s="8">
        <f t="shared" si="0"/>
        <v>654255000</v>
      </c>
      <c r="J45" s="9"/>
      <c r="K45" s="8"/>
      <c r="L45" s="8">
        <f t="shared" si="2"/>
        <v>654255000</v>
      </c>
      <c r="M45" s="10"/>
      <c r="N45" s="13"/>
      <c r="O45" s="8">
        <f t="shared" si="3"/>
        <v>654255000</v>
      </c>
      <c r="P45" s="32"/>
      <c r="Q45"/>
    </row>
    <row r="46" spans="1:17" x14ac:dyDescent="0.25">
      <c r="A46" s="1">
        <v>45</v>
      </c>
      <c r="B46" s="1" t="s">
        <v>284</v>
      </c>
      <c r="C46" s="54" t="s">
        <v>285</v>
      </c>
      <c r="D46" s="1">
        <v>6500000</v>
      </c>
      <c r="E46" s="10" t="s">
        <v>256</v>
      </c>
      <c r="F46" s="5">
        <v>20570</v>
      </c>
      <c r="G46" s="6">
        <v>63000</v>
      </c>
      <c r="H46" s="7">
        <v>50</v>
      </c>
      <c r="I46" s="8">
        <f t="shared" si="0"/>
        <v>647955000</v>
      </c>
      <c r="J46" s="9"/>
      <c r="K46" s="8"/>
      <c r="L46" s="8">
        <f t="shared" si="2"/>
        <v>647955000</v>
      </c>
      <c r="M46" s="10"/>
      <c r="N46" s="13"/>
      <c r="O46" s="8">
        <f t="shared" si="3"/>
        <v>647955000</v>
      </c>
      <c r="P46" s="26"/>
      <c r="Q46"/>
    </row>
    <row r="47" spans="1:17" x14ac:dyDescent="0.25">
      <c r="A47" s="1">
        <v>46</v>
      </c>
      <c r="B47" s="1" t="s">
        <v>284</v>
      </c>
      <c r="C47" s="54" t="s">
        <v>285</v>
      </c>
      <c r="D47" s="1">
        <v>6500000</v>
      </c>
      <c r="E47" s="10" t="s">
        <v>198</v>
      </c>
      <c r="F47" s="5">
        <v>20830</v>
      </c>
      <c r="G47" s="6">
        <v>63000</v>
      </c>
      <c r="H47" s="7">
        <v>50</v>
      </c>
      <c r="I47" s="8">
        <f t="shared" si="0"/>
        <v>656145000</v>
      </c>
      <c r="J47" s="9"/>
      <c r="K47" s="8"/>
      <c r="L47" s="8">
        <f t="shared" si="2"/>
        <v>656145000</v>
      </c>
      <c r="M47" s="10"/>
      <c r="N47" s="13"/>
      <c r="O47" s="8">
        <f t="shared" si="3"/>
        <v>656145000</v>
      </c>
      <c r="P47" s="26"/>
      <c r="Q47"/>
    </row>
    <row r="48" spans="1:17" x14ac:dyDescent="0.25">
      <c r="A48" s="1">
        <v>47</v>
      </c>
      <c r="B48" s="1" t="s">
        <v>284</v>
      </c>
      <c r="C48" s="54" t="s">
        <v>285</v>
      </c>
      <c r="D48" s="1">
        <v>6500000</v>
      </c>
      <c r="E48" s="10" t="s">
        <v>198</v>
      </c>
      <c r="F48" s="5">
        <v>20390</v>
      </c>
      <c r="G48" s="6">
        <v>63000</v>
      </c>
      <c r="H48" s="7">
        <v>50</v>
      </c>
      <c r="I48" s="8">
        <f t="shared" si="0"/>
        <v>642285000</v>
      </c>
      <c r="J48" s="9"/>
      <c r="K48" s="8"/>
      <c r="L48" s="8">
        <f t="shared" si="2"/>
        <v>642285000</v>
      </c>
      <c r="M48" s="10"/>
      <c r="N48" s="13"/>
      <c r="O48" s="8">
        <f t="shared" si="3"/>
        <v>642285000</v>
      </c>
      <c r="P48" s="26"/>
      <c r="Q48"/>
    </row>
    <row r="49" spans="1:17" x14ac:dyDescent="0.25">
      <c r="A49" s="1">
        <v>48</v>
      </c>
      <c r="B49" s="1" t="s">
        <v>284</v>
      </c>
      <c r="C49" s="54" t="s">
        <v>285</v>
      </c>
      <c r="D49" s="1">
        <v>6500000</v>
      </c>
      <c r="E49" s="10" t="s">
        <v>198</v>
      </c>
      <c r="F49" s="5">
        <v>20545</v>
      </c>
      <c r="G49" s="6">
        <v>63000</v>
      </c>
      <c r="H49" s="7">
        <v>50</v>
      </c>
      <c r="I49" s="8">
        <f t="shared" si="0"/>
        <v>647167500</v>
      </c>
      <c r="J49" s="9"/>
      <c r="K49" s="8"/>
      <c r="L49" s="8">
        <f t="shared" si="2"/>
        <v>647167500</v>
      </c>
      <c r="M49" s="10"/>
      <c r="N49" s="13"/>
      <c r="O49" s="8">
        <f t="shared" si="3"/>
        <v>647167500</v>
      </c>
      <c r="P49" s="26"/>
      <c r="Q49"/>
    </row>
    <row r="50" spans="1:17" x14ac:dyDescent="0.25">
      <c r="A50" s="1">
        <v>49</v>
      </c>
      <c r="B50" s="1" t="s">
        <v>284</v>
      </c>
      <c r="C50" s="54" t="s">
        <v>285</v>
      </c>
      <c r="D50" s="1">
        <v>6500000</v>
      </c>
      <c r="E50" s="10" t="s">
        <v>198</v>
      </c>
      <c r="F50" s="5">
        <v>21095</v>
      </c>
      <c r="G50" s="6">
        <v>63000</v>
      </c>
      <c r="H50" s="7">
        <v>50</v>
      </c>
      <c r="I50" s="8">
        <f t="shared" si="0"/>
        <v>664492500</v>
      </c>
      <c r="J50" s="9"/>
      <c r="K50" s="8"/>
      <c r="L50" s="8">
        <f t="shared" si="2"/>
        <v>664492500</v>
      </c>
      <c r="M50" s="10"/>
      <c r="N50" s="13"/>
      <c r="O50" s="8">
        <f t="shared" si="3"/>
        <v>664492500</v>
      </c>
      <c r="P50" s="26"/>
      <c r="Q50"/>
    </row>
    <row r="51" spans="1:17" x14ac:dyDescent="0.25">
      <c r="A51" s="1">
        <v>50</v>
      </c>
      <c r="B51" s="1" t="s">
        <v>284</v>
      </c>
      <c r="C51" s="54" t="s">
        <v>285</v>
      </c>
      <c r="D51" s="1">
        <v>6500000</v>
      </c>
      <c r="E51" s="10" t="s">
        <v>201</v>
      </c>
      <c r="F51" s="5">
        <v>20980</v>
      </c>
      <c r="G51" s="6">
        <v>63000</v>
      </c>
      <c r="H51" s="7">
        <v>50</v>
      </c>
      <c r="I51" s="8">
        <f t="shared" si="0"/>
        <v>660870000</v>
      </c>
      <c r="J51" s="9"/>
      <c r="K51" s="8"/>
      <c r="L51" s="8">
        <f t="shared" si="2"/>
        <v>660870000</v>
      </c>
      <c r="M51" s="10"/>
      <c r="N51" s="13"/>
      <c r="O51" s="8">
        <f t="shared" si="3"/>
        <v>660870000</v>
      </c>
      <c r="P51" s="26"/>
      <c r="Q51"/>
    </row>
    <row r="52" spans="1:17" x14ac:dyDescent="0.25">
      <c r="A52" s="1">
        <v>51</v>
      </c>
      <c r="B52" s="1" t="s">
        <v>284</v>
      </c>
      <c r="C52" s="54" t="s">
        <v>285</v>
      </c>
      <c r="D52" s="1">
        <v>6500000</v>
      </c>
      <c r="E52" s="10" t="s">
        <v>201</v>
      </c>
      <c r="F52" s="5">
        <v>21160</v>
      </c>
      <c r="G52" s="6">
        <v>63000</v>
      </c>
      <c r="H52" s="7">
        <v>50</v>
      </c>
      <c r="I52" s="8">
        <f t="shared" si="0"/>
        <v>666540000</v>
      </c>
      <c r="J52" s="9"/>
      <c r="K52" s="8"/>
      <c r="L52" s="8">
        <f t="shared" si="2"/>
        <v>666540000</v>
      </c>
      <c r="M52" s="10"/>
      <c r="N52" s="13"/>
      <c r="O52" s="8">
        <f t="shared" si="3"/>
        <v>666540000</v>
      </c>
      <c r="P52" s="26"/>
      <c r="Q52"/>
    </row>
    <row r="53" spans="1:17" x14ac:dyDescent="0.25">
      <c r="A53" s="1">
        <v>52</v>
      </c>
      <c r="B53" s="1" t="s">
        <v>284</v>
      </c>
      <c r="C53" s="54" t="s">
        <v>285</v>
      </c>
      <c r="D53" s="1">
        <v>6500000</v>
      </c>
      <c r="E53" s="10" t="s">
        <v>201</v>
      </c>
      <c r="F53" s="5">
        <v>20975</v>
      </c>
      <c r="G53" s="6">
        <v>63000</v>
      </c>
      <c r="H53" s="7">
        <v>50</v>
      </c>
      <c r="I53" s="8">
        <f t="shared" si="0"/>
        <v>660712500</v>
      </c>
      <c r="J53" s="9"/>
      <c r="K53" s="8"/>
      <c r="L53" s="8">
        <f t="shared" si="2"/>
        <v>660712500</v>
      </c>
      <c r="M53" s="10"/>
      <c r="N53" s="13"/>
      <c r="O53" s="8">
        <f t="shared" si="3"/>
        <v>660712500</v>
      </c>
      <c r="P53" s="26"/>
      <c r="Q53"/>
    </row>
    <row r="54" spans="1:17" x14ac:dyDescent="0.25">
      <c r="A54" s="1">
        <v>53</v>
      </c>
      <c r="B54" s="1" t="s">
        <v>284</v>
      </c>
      <c r="C54" s="54" t="s">
        <v>285</v>
      </c>
      <c r="D54" s="1">
        <v>6500000</v>
      </c>
      <c r="E54" s="10" t="s">
        <v>201</v>
      </c>
      <c r="F54" s="5">
        <v>20855</v>
      </c>
      <c r="G54" s="6">
        <v>63000</v>
      </c>
      <c r="H54" s="7">
        <v>50</v>
      </c>
      <c r="I54" s="8">
        <f t="shared" si="0"/>
        <v>656932500</v>
      </c>
      <c r="J54" s="9"/>
      <c r="K54" s="8"/>
      <c r="L54" s="8">
        <f t="shared" si="2"/>
        <v>656932500</v>
      </c>
      <c r="M54" s="10"/>
      <c r="N54" s="13"/>
      <c r="O54" s="8">
        <f t="shared" si="3"/>
        <v>656932500</v>
      </c>
      <c r="P54" s="26"/>
      <c r="Q54"/>
    </row>
    <row r="55" spans="1:17" x14ac:dyDescent="0.25">
      <c r="A55" s="1">
        <v>54</v>
      </c>
      <c r="B55" s="1" t="s">
        <v>284</v>
      </c>
      <c r="C55" s="54" t="s">
        <v>285</v>
      </c>
      <c r="D55" s="1">
        <v>6500000</v>
      </c>
      <c r="E55" s="10" t="s">
        <v>257</v>
      </c>
      <c r="F55" s="5">
        <v>20505</v>
      </c>
      <c r="G55" s="6">
        <v>63000</v>
      </c>
      <c r="H55" s="7">
        <v>50</v>
      </c>
      <c r="I55" s="8">
        <f t="shared" si="0"/>
        <v>645907500</v>
      </c>
      <c r="J55" s="9"/>
      <c r="K55" s="8"/>
      <c r="L55" s="8">
        <f t="shared" si="2"/>
        <v>645907500</v>
      </c>
      <c r="M55" s="10"/>
      <c r="N55" s="13"/>
      <c r="O55" s="8">
        <f t="shared" si="3"/>
        <v>645907500</v>
      </c>
      <c r="P55" s="26"/>
      <c r="Q55"/>
    </row>
    <row r="56" spans="1:17" x14ac:dyDescent="0.25">
      <c r="A56" s="1">
        <v>55</v>
      </c>
      <c r="B56" s="1" t="s">
        <v>284</v>
      </c>
      <c r="C56" s="54" t="s">
        <v>285</v>
      </c>
      <c r="D56" s="1">
        <v>6500000</v>
      </c>
      <c r="E56" s="10" t="s">
        <v>257</v>
      </c>
      <c r="F56" s="5">
        <v>20410</v>
      </c>
      <c r="G56" s="6">
        <v>63000</v>
      </c>
      <c r="H56" s="7">
        <v>50</v>
      </c>
      <c r="I56" s="8">
        <f t="shared" si="0"/>
        <v>642915000</v>
      </c>
      <c r="J56" s="9"/>
      <c r="K56" s="8"/>
      <c r="L56" s="8">
        <f t="shared" si="2"/>
        <v>642915000</v>
      </c>
      <c r="M56" s="10"/>
      <c r="N56" s="13"/>
      <c r="O56" s="8">
        <f t="shared" si="3"/>
        <v>642915000</v>
      </c>
      <c r="P56" s="26"/>
      <c r="Q56"/>
    </row>
    <row r="57" spans="1:17" x14ac:dyDescent="0.25">
      <c r="A57" s="1">
        <v>56</v>
      </c>
      <c r="B57" s="1" t="s">
        <v>284</v>
      </c>
      <c r="C57" s="54" t="s">
        <v>285</v>
      </c>
      <c r="D57" s="1">
        <v>6500000</v>
      </c>
      <c r="E57" s="10" t="s">
        <v>205</v>
      </c>
      <c r="F57" s="5">
        <v>21020</v>
      </c>
      <c r="G57" s="6">
        <v>63000</v>
      </c>
      <c r="H57" s="7">
        <v>50</v>
      </c>
      <c r="I57" s="8">
        <f t="shared" si="0"/>
        <v>662130000</v>
      </c>
      <c r="J57" s="9"/>
      <c r="K57" s="8"/>
      <c r="L57" s="8">
        <f t="shared" si="2"/>
        <v>662130000</v>
      </c>
      <c r="M57" s="10"/>
      <c r="N57" s="13"/>
      <c r="O57" s="8">
        <f t="shared" si="3"/>
        <v>662130000</v>
      </c>
      <c r="P57" s="26"/>
      <c r="Q57"/>
    </row>
    <row r="58" spans="1:17" x14ac:dyDescent="0.25">
      <c r="A58" s="1">
        <v>57</v>
      </c>
      <c r="B58" s="1" t="s">
        <v>284</v>
      </c>
      <c r="C58" s="54" t="s">
        <v>285</v>
      </c>
      <c r="D58" s="1">
        <v>6500000</v>
      </c>
      <c r="E58" s="10" t="s">
        <v>205</v>
      </c>
      <c r="F58" s="5">
        <v>20925</v>
      </c>
      <c r="G58" s="6">
        <v>63000</v>
      </c>
      <c r="H58" s="7">
        <v>50</v>
      </c>
      <c r="I58" s="8">
        <f t="shared" si="0"/>
        <v>659137500</v>
      </c>
      <c r="J58" s="9"/>
      <c r="K58" s="8"/>
      <c r="L58" s="8">
        <f t="shared" si="2"/>
        <v>659137500</v>
      </c>
      <c r="M58" s="10"/>
      <c r="N58" s="13"/>
      <c r="O58" s="8">
        <f t="shared" si="3"/>
        <v>659137500</v>
      </c>
      <c r="P58" s="26"/>
      <c r="Q58"/>
    </row>
    <row r="59" spans="1:17" x14ac:dyDescent="0.25">
      <c r="A59" s="1">
        <v>58</v>
      </c>
      <c r="B59" s="1" t="s">
        <v>284</v>
      </c>
      <c r="C59" s="54" t="s">
        <v>285</v>
      </c>
      <c r="D59" s="1">
        <v>6500000</v>
      </c>
      <c r="E59" s="10" t="s">
        <v>258</v>
      </c>
      <c r="F59" s="5">
        <v>20795</v>
      </c>
      <c r="G59" s="6">
        <v>63000</v>
      </c>
      <c r="H59" s="7">
        <v>50</v>
      </c>
      <c r="I59" s="8">
        <f t="shared" si="0"/>
        <v>655042500</v>
      </c>
      <c r="J59" s="9"/>
      <c r="K59" s="8"/>
      <c r="L59" s="8">
        <f t="shared" si="2"/>
        <v>655042500</v>
      </c>
      <c r="M59" s="10"/>
      <c r="N59" s="13"/>
      <c r="O59" s="8">
        <f t="shared" si="3"/>
        <v>655042500</v>
      </c>
      <c r="P59" s="26"/>
      <c r="Q59"/>
    </row>
    <row r="60" spans="1:17" x14ac:dyDescent="0.25">
      <c r="A60" s="1">
        <v>59</v>
      </c>
      <c r="B60" s="1" t="s">
        <v>284</v>
      </c>
      <c r="C60" s="54" t="s">
        <v>285</v>
      </c>
      <c r="D60" s="1">
        <v>6500000</v>
      </c>
      <c r="E60" s="10" t="s">
        <v>259</v>
      </c>
      <c r="F60" s="5">
        <v>20790</v>
      </c>
      <c r="G60" s="6">
        <v>63000</v>
      </c>
      <c r="H60" s="7">
        <v>50</v>
      </c>
      <c r="I60" s="8">
        <f t="shared" si="0"/>
        <v>654885000</v>
      </c>
      <c r="J60" s="9"/>
      <c r="K60" s="8"/>
      <c r="L60" s="8">
        <f t="shared" si="2"/>
        <v>654885000</v>
      </c>
      <c r="M60" s="10"/>
      <c r="N60" s="13"/>
      <c r="O60" s="8">
        <f t="shared" si="3"/>
        <v>654885000</v>
      </c>
      <c r="P60" s="26"/>
      <c r="Q60"/>
    </row>
    <row r="61" spans="1:17" x14ac:dyDescent="0.25">
      <c r="A61" s="1">
        <v>60</v>
      </c>
      <c r="B61" s="1" t="s">
        <v>284</v>
      </c>
      <c r="C61" s="54" t="s">
        <v>285</v>
      </c>
      <c r="D61" s="1">
        <v>6500000</v>
      </c>
      <c r="E61" s="10" t="s">
        <v>258</v>
      </c>
      <c r="F61" s="5">
        <v>20795</v>
      </c>
      <c r="G61" s="6">
        <v>63000</v>
      </c>
      <c r="H61" s="7">
        <v>50</v>
      </c>
      <c r="I61" s="8">
        <f t="shared" si="0"/>
        <v>655042500</v>
      </c>
      <c r="J61" s="9"/>
      <c r="K61" s="8"/>
      <c r="L61" s="8">
        <f t="shared" si="2"/>
        <v>655042500</v>
      </c>
      <c r="M61" s="10"/>
      <c r="N61" s="13"/>
      <c r="O61" s="8">
        <f t="shared" si="3"/>
        <v>655042500</v>
      </c>
      <c r="P61" s="26"/>
      <c r="Q61"/>
    </row>
    <row r="62" spans="1:17" x14ac:dyDescent="0.25">
      <c r="A62" s="1">
        <v>61</v>
      </c>
      <c r="B62" s="1" t="s">
        <v>284</v>
      </c>
      <c r="C62" s="54" t="s">
        <v>285</v>
      </c>
      <c r="D62" s="1">
        <v>6500000</v>
      </c>
      <c r="E62" s="10" t="s">
        <v>258</v>
      </c>
      <c r="F62" s="5">
        <v>20790</v>
      </c>
      <c r="G62" s="6">
        <v>63000</v>
      </c>
      <c r="H62" s="7">
        <v>50</v>
      </c>
      <c r="I62" s="8">
        <f t="shared" si="0"/>
        <v>654885000</v>
      </c>
      <c r="J62" s="9"/>
      <c r="K62" s="8"/>
      <c r="L62" s="8">
        <f t="shared" si="2"/>
        <v>654885000</v>
      </c>
      <c r="M62" s="10"/>
      <c r="N62" s="13"/>
      <c r="O62" s="8">
        <f t="shared" si="3"/>
        <v>654885000</v>
      </c>
      <c r="P62" s="26"/>
      <c r="Q62"/>
    </row>
    <row r="63" spans="1:17" x14ac:dyDescent="0.25">
      <c r="A63" s="1">
        <v>62</v>
      </c>
      <c r="B63" s="1" t="s">
        <v>284</v>
      </c>
      <c r="C63" s="54" t="s">
        <v>285</v>
      </c>
      <c r="D63" s="1">
        <v>6500000</v>
      </c>
      <c r="E63" s="10" t="s">
        <v>260</v>
      </c>
      <c r="F63" s="5">
        <v>20635</v>
      </c>
      <c r="G63" s="6">
        <v>63000</v>
      </c>
      <c r="H63" s="7">
        <v>50</v>
      </c>
      <c r="I63" s="8">
        <f t="shared" si="0"/>
        <v>650002500</v>
      </c>
      <c r="J63" s="9"/>
      <c r="K63" s="8"/>
      <c r="L63" s="8">
        <f t="shared" si="2"/>
        <v>650002500</v>
      </c>
      <c r="M63" s="10"/>
      <c r="N63" s="13"/>
      <c r="O63" s="8">
        <f t="shared" si="3"/>
        <v>650002500</v>
      </c>
      <c r="P63" s="26"/>
      <c r="Q63"/>
    </row>
    <row r="64" spans="1:17" x14ac:dyDescent="0.25">
      <c r="A64" s="1">
        <v>63</v>
      </c>
      <c r="B64" s="1" t="s">
        <v>284</v>
      </c>
      <c r="C64" s="54" t="s">
        <v>285</v>
      </c>
      <c r="D64" s="1">
        <v>6500000</v>
      </c>
      <c r="E64" s="10" t="s">
        <v>260</v>
      </c>
      <c r="F64" s="5">
        <v>20455</v>
      </c>
      <c r="G64" s="6">
        <v>63000</v>
      </c>
      <c r="H64" s="7">
        <v>50</v>
      </c>
      <c r="I64" s="8">
        <f t="shared" si="0"/>
        <v>644332500</v>
      </c>
      <c r="J64" s="9"/>
      <c r="K64" s="8"/>
      <c r="L64" s="8">
        <f t="shared" si="2"/>
        <v>644332500</v>
      </c>
      <c r="M64" s="10"/>
      <c r="N64" s="13"/>
      <c r="O64" s="8">
        <f t="shared" si="3"/>
        <v>644332500</v>
      </c>
      <c r="P64" s="26"/>
      <c r="Q64"/>
    </row>
    <row r="65" spans="1:17" x14ac:dyDescent="0.25">
      <c r="A65" s="1">
        <v>64</v>
      </c>
      <c r="B65" s="1" t="s">
        <v>284</v>
      </c>
      <c r="C65" s="54" t="s">
        <v>285</v>
      </c>
      <c r="D65" s="1">
        <v>6500000</v>
      </c>
      <c r="E65" s="10" t="s">
        <v>260</v>
      </c>
      <c r="F65" s="5">
        <v>20560</v>
      </c>
      <c r="G65" s="6">
        <v>63000</v>
      </c>
      <c r="H65" s="7">
        <v>50</v>
      </c>
      <c r="I65" s="8">
        <f t="shared" si="0"/>
        <v>647640000</v>
      </c>
      <c r="J65" s="9"/>
      <c r="K65" s="8"/>
      <c r="L65" s="8">
        <f t="shared" si="2"/>
        <v>647640000</v>
      </c>
      <c r="M65" s="10"/>
      <c r="N65" s="13"/>
      <c r="O65" s="8">
        <f t="shared" si="3"/>
        <v>647640000</v>
      </c>
      <c r="P65" s="26"/>
      <c r="Q65"/>
    </row>
    <row r="66" spans="1:17" x14ac:dyDescent="0.25">
      <c r="A66" s="1">
        <v>65</v>
      </c>
      <c r="B66" s="1" t="s">
        <v>284</v>
      </c>
      <c r="C66" s="54" t="s">
        <v>285</v>
      </c>
      <c r="D66" s="1">
        <v>6500000</v>
      </c>
      <c r="E66" s="10" t="s">
        <v>261</v>
      </c>
      <c r="F66" s="5">
        <v>20290</v>
      </c>
      <c r="G66" s="6">
        <v>63000</v>
      </c>
      <c r="H66" s="7">
        <v>50</v>
      </c>
      <c r="I66" s="8">
        <f t="shared" ref="I66:I129" si="4">((F66*G66)/100)*H66</f>
        <v>639135000</v>
      </c>
      <c r="J66" s="9"/>
      <c r="K66" s="8"/>
      <c r="L66" s="8">
        <f t="shared" si="2"/>
        <v>639135000</v>
      </c>
      <c r="M66" s="10"/>
      <c r="N66" s="13"/>
      <c r="O66" s="8">
        <f t="shared" si="3"/>
        <v>639135000</v>
      </c>
      <c r="P66" s="26"/>
      <c r="Q66"/>
    </row>
    <row r="67" spans="1:17" x14ac:dyDescent="0.25">
      <c r="A67" s="1">
        <v>66</v>
      </c>
      <c r="B67" s="1" t="s">
        <v>284</v>
      </c>
      <c r="C67" s="54" t="s">
        <v>285</v>
      </c>
      <c r="D67" s="1">
        <v>6500000</v>
      </c>
      <c r="E67" s="10" t="s">
        <v>261</v>
      </c>
      <c r="F67" s="5">
        <v>20460</v>
      </c>
      <c r="G67" s="6">
        <v>63000</v>
      </c>
      <c r="H67" s="7">
        <v>50</v>
      </c>
      <c r="I67" s="8">
        <f t="shared" si="4"/>
        <v>644490000</v>
      </c>
      <c r="J67" s="9"/>
      <c r="K67" s="8"/>
      <c r="L67" s="8">
        <f t="shared" si="2"/>
        <v>644490000</v>
      </c>
      <c r="M67" s="10"/>
      <c r="N67" s="13"/>
      <c r="O67" s="8">
        <f t="shared" si="3"/>
        <v>644490000</v>
      </c>
      <c r="P67" s="26"/>
      <c r="Q67"/>
    </row>
    <row r="68" spans="1:17" x14ac:dyDescent="0.25">
      <c r="A68" s="1">
        <v>67</v>
      </c>
      <c r="B68" s="1" t="s">
        <v>284</v>
      </c>
      <c r="C68" s="54" t="s">
        <v>285</v>
      </c>
      <c r="D68" s="1">
        <v>6500000</v>
      </c>
      <c r="E68" s="10" t="s">
        <v>261</v>
      </c>
      <c r="F68" s="5">
        <v>20455</v>
      </c>
      <c r="G68" s="6">
        <v>63000</v>
      </c>
      <c r="H68" s="7">
        <v>50</v>
      </c>
      <c r="I68" s="8">
        <f t="shared" si="4"/>
        <v>644332500</v>
      </c>
      <c r="J68" s="9"/>
      <c r="K68" s="8"/>
      <c r="L68" s="8">
        <f t="shared" ref="L68:L109" si="5">I68+K68</f>
        <v>644332500</v>
      </c>
      <c r="M68" s="10"/>
      <c r="N68" s="13"/>
      <c r="O68" s="8">
        <f t="shared" si="3"/>
        <v>644332500</v>
      </c>
      <c r="P68" s="26"/>
      <c r="Q68"/>
    </row>
    <row r="69" spans="1:17" x14ac:dyDescent="0.25">
      <c r="A69" s="1">
        <v>68</v>
      </c>
      <c r="B69" s="1" t="s">
        <v>284</v>
      </c>
      <c r="C69" s="54" t="s">
        <v>285</v>
      </c>
      <c r="D69" s="1">
        <v>6500000</v>
      </c>
      <c r="E69" s="10" t="s">
        <v>261</v>
      </c>
      <c r="F69" s="5">
        <v>20575</v>
      </c>
      <c r="G69" s="6">
        <v>63000</v>
      </c>
      <c r="H69" s="7">
        <v>50</v>
      </c>
      <c r="I69" s="8">
        <f t="shared" si="4"/>
        <v>648112500</v>
      </c>
      <c r="J69" s="9"/>
      <c r="K69" s="8"/>
      <c r="L69" s="8">
        <f t="shared" si="5"/>
        <v>648112500</v>
      </c>
      <c r="M69" s="10"/>
      <c r="N69" s="13"/>
      <c r="O69" s="8">
        <f t="shared" ref="O69:O109" si="6">L69-N69</f>
        <v>648112500</v>
      </c>
      <c r="P69" s="26"/>
      <c r="Q69"/>
    </row>
    <row r="70" spans="1:17" x14ac:dyDescent="0.25">
      <c r="A70" s="1">
        <v>69</v>
      </c>
      <c r="B70" s="1" t="s">
        <v>284</v>
      </c>
      <c r="C70" s="54" t="s">
        <v>285</v>
      </c>
      <c r="D70" s="1">
        <v>6500000</v>
      </c>
      <c r="E70" s="10" t="s">
        <v>262</v>
      </c>
      <c r="F70" s="5">
        <v>20840</v>
      </c>
      <c r="G70" s="6">
        <v>63000</v>
      </c>
      <c r="H70" s="7">
        <v>50</v>
      </c>
      <c r="I70" s="8">
        <f t="shared" si="4"/>
        <v>656460000</v>
      </c>
      <c r="J70" s="9"/>
      <c r="K70" s="8"/>
      <c r="L70" s="8">
        <f t="shared" si="5"/>
        <v>656460000</v>
      </c>
      <c r="M70" s="10"/>
      <c r="N70" s="13"/>
      <c r="O70" s="8">
        <f t="shared" si="6"/>
        <v>656460000</v>
      </c>
      <c r="P70" s="26"/>
      <c r="Q70"/>
    </row>
    <row r="71" spans="1:17" x14ac:dyDescent="0.25">
      <c r="A71" s="1">
        <v>70</v>
      </c>
      <c r="B71" s="1" t="s">
        <v>284</v>
      </c>
      <c r="C71" s="54" t="s">
        <v>285</v>
      </c>
      <c r="D71" s="1">
        <v>6500000</v>
      </c>
      <c r="E71" s="10" t="s">
        <v>263</v>
      </c>
      <c r="F71" s="5">
        <v>20655</v>
      </c>
      <c r="G71" s="6">
        <v>63000</v>
      </c>
      <c r="H71" s="7">
        <v>50</v>
      </c>
      <c r="I71" s="8">
        <f t="shared" si="4"/>
        <v>650632500</v>
      </c>
      <c r="J71" s="9"/>
      <c r="K71" s="8"/>
      <c r="L71" s="8">
        <f t="shared" si="5"/>
        <v>650632500</v>
      </c>
      <c r="M71" s="10"/>
      <c r="N71" s="13"/>
      <c r="O71" s="8">
        <f t="shared" si="6"/>
        <v>650632500</v>
      </c>
      <c r="P71" s="26"/>
      <c r="Q71"/>
    </row>
    <row r="72" spans="1:17" x14ac:dyDescent="0.25">
      <c r="A72" s="1">
        <v>71</v>
      </c>
      <c r="B72" s="1" t="s">
        <v>284</v>
      </c>
      <c r="C72" s="54" t="s">
        <v>285</v>
      </c>
      <c r="D72" s="1">
        <v>6500000</v>
      </c>
      <c r="E72" s="10" t="s">
        <v>263</v>
      </c>
      <c r="F72" s="5">
        <v>20925</v>
      </c>
      <c r="G72" s="6">
        <v>63000</v>
      </c>
      <c r="H72" s="7">
        <v>50</v>
      </c>
      <c r="I72" s="8">
        <f t="shared" si="4"/>
        <v>659137500</v>
      </c>
      <c r="J72" s="9"/>
      <c r="K72" s="8"/>
      <c r="L72" s="8">
        <f t="shared" si="5"/>
        <v>659137500</v>
      </c>
      <c r="M72" s="10"/>
      <c r="N72" s="13"/>
      <c r="O72" s="8">
        <f t="shared" si="6"/>
        <v>659137500</v>
      </c>
      <c r="P72" s="26"/>
      <c r="Q72"/>
    </row>
    <row r="73" spans="1:17" x14ac:dyDescent="0.25">
      <c r="A73" s="1">
        <v>72</v>
      </c>
      <c r="B73" s="1" t="s">
        <v>284</v>
      </c>
      <c r="C73" s="54" t="s">
        <v>285</v>
      </c>
      <c r="D73" s="1">
        <v>6500000</v>
      </c>
      <c r="E73" s="10" t="s">
        <v>264</v>
      </c>
      <c r="F73" s="5">
        <v>20495</v>
      </c>
      <c r="G73" s="6">
        <v>63000</v>
      </c>
      <c r="H73" s="7">
        <v>50</v>
      </c>
      <c r="I73" s="8">
        <f t="shared" si="4"/>
        <v>645592500</v>
      </c>
      <c r="J73" s="9"/>
      <c r="K73" s="8"/>
      <c r="L73" s="8">
        <f t="shared" si="5"/>
        <v>645592500</v>
      </c>
      <c r="M73" s="10"/>
      <c r="N73" s="13"/>
      <c r="O73" s="8">
        <f t="shared" si="6"/>
        <v>645592500</v>
      </c>
      <c r="P73" s="26"/>
      <c r="Q73"/>
    </row>
    <row r="74" spans="1:17" x14ac:dyDescent="0.25">
      <c r="A74" s="1">
        <v>73</v>
      </c>
      <c r="B74" s="1" t="s">
        <v>284</v>
      </c>
      <c r="C74" s="54" t="s">
        <v>285</v>
      </c>
      <c r="D74" s="1">
        <v>6500000</v>
      </c>
      <c r="E74" s="10" t="s">
        <v>264</v>
      </c>
      <c r="F74" s="5">
        <v>20505</v>
      </c>
      <c r="G74" s="6">
        <v>63000</v>
      </c>
      <c r="H74" s="7">
        <v>50</v>
      </c>
      <c r="I74" s="8">
        <f t="shared" si="4"/>
        <v>645907500</v>
      </c>
      <c r="J74" s="9"/>
      <c r="K74" s="8"/>
      <c r="L74" s="8">
        <f t="shared" si="5"/>
        <v>645907500</v>
      </c>
      <c r="M74" s="10"/>
      <c r="N74" s="13"/>
      <c r="O74" s="8">
        <f t="shared" si="6"/>
        <v>645907500</v>
      </c>
      <c r="P74" s="26"/>
      <c r="Q74"/>
    </row>
    <row r="75" spans="1:17" x14ac:dyDescent="0.25">
      <c r="A75" s="1">
        <v>74</v>
      </c>
      <c r="B75" s="1" t="s">
        <v>284</v>
      </c>
      <c r="C75" s="54" t="s">
        <v>285</v>
      </c>
      <c r="D75" s="1">
        <v>6500000</v>
      </c>
      <c r="E75" s="10" t="s">
        <v>202</v>
      </c>
      <c r="F75" s="5">
        <v>21230</v>
      </c>
      <c r="G75" s="6">
        <v>63000</v>
      </c>
      <c r="H75" s="7">
        <v>50</v>
      </c>
      <c r="I75" s="8">
        <f t="shared" si="4"/>
        <v>668745000</v>
      </c>
      <c r="J75" s="9"/>
      <c r="K75" s="8"/>
      <c r="L75" s="8">
        <f t="shared" si="5"/>
        <v>668745000</v>
      </c>
      <c r="M75" s="10"/>
      <c r="N75" s="13"/>
      <c r="O75" s="8">
        <f t="shared" si="6"/>
        <v>668745000</v>
      </c>
      <c r="P75" s="26"/>
      <c r="Q75"/>
    </row>
    <row r="76" spans="1:17" x14ac:dyDescent="0.25">
      <c r="A76" s="1">
        <v>75</v>
      </c>
      <c r="B76" s="1" t="s">
        <v>284</v>
      </c>
      <c r="C76" s="54" t="s">
        <v>285</v>
      </c>
      <c r="D76" s="1">
        <v>6500000</v>
      </c>
      <c r="E76" s="10" t="s">
        <v>202</v>
      </c>
      <c r="F76" s="5">
        <v>21110</v>
      </c>
      <c r="G76" s="6">
        <v>63000</v>
      </c>
      <c r="H76" s="7">
        <v>50</v>
      </c>
      <c r="I76" s="8">
        <f t="shared" si="4"/>
        <v>664965000</v>
      </c>
      <c r="J76" s="9"/>
      <c r="K76" s="8"/>
      <c r="L76" s="8">
        <f t="shared" si="5"/>
        <v>664965000</v>
      </c>
      <c r="M76" s="10"/>
      <c r="N76" s="13"/>
      <c r="O76" s="8">
        <f t="shared" si="6"/>
        <v>664965000</v>
      </c>
      <c r="P76" s="26"/>
      <c r="Q76"/>
    </row>
    <row r="77" spans="1:17" ht="15.6" x14ac:dyDescent="0.25">
      <c r="A77" s="1">
        <v>76</v>
      </c>
      <c r="B77" s="1" t="s">
        <v>284</v>
      </c>
      <c r="C77" s="54" t="s">
        <v>285</v>
      </c>
      <c r="D77" s="1">
        <v>6500000</v>
      </c>
      <c r="E77" s="10" t="s">
        <v>265</v>
      </c>
      <c r="F77" s="5">
        <v>20470</v>
      </c>
      <c r="G77" s="6">
        <v>63000</v>
      </c>
      <c r="H77" s="7">
        <v>50</v>
      </c>
      <c r="I77" s="8">
        <f t="shared" si="4"/>
        <v>644805000</v>
      </c>
      <c r="J77" s="9"/>
      <c r="K77" s="8"/>
      <c r="L77" s="8">
        <f t="shared" si="5"/>
        <v>644805000</v>
      </c>
      <c r="M77" s="10"/>
      <c r="N77" s="13"/>
      <c r="O77" s="8">
        <f t="shared" si="6"/>
        <v>644805000</v>
      </c>
      <c r="P77" s="33" t="s">
        <v>266</v>
      </c>
      <c r="Q77"/>
    </row>
    <row r="78" spans="1:17" x14ac:dyDescent="0.25">
      <c r="A78" s="1">
        <v>77</v>
      </c>
      <c r="B78" s="1" t="s">
        <v>284</v>
      </c>
      <c r="C78" s="54" t="s">
        <v>285</v>
      </c>
      <c r="D78" s="1">
        <v>6500000</v>
      </c>
      <c r="E78" s="10" t="s">
        <v>265</v>
      </c>
      <c r="F78" s="5">
        <v>20490</v>
      </c>
      <c r="G78" s="6">
        <v>63000</v>
      </c>
      <c r="H78" s="7">
        <v>50</v>
      </c>
      <c r="I78" s="8">
        <f t="shared" si="4"/>
        <v>645435000</v>
      </c>
      <c r="J78" s="9"/>
      <c r="K78" s="8"/>
      <c r="L78" s="8">
        <f t="shared" si="5"/>
        <v>645435000</v>
      </c>
      <c r="M78" s="10"/>
      <c r="N78" s="13"/>
      <c r="O78" s="8">
        <f t="shared" si="6"/>
        <v>645435000</v>
      </c>
      <c r="P78" s="26" t="s">
        <v>267</v>
      </c>
      <c r="Q78"/>
    </row>
    <row r="79" spans="1:17" x14ac:dyDescent="0.25">
      <c r="A79" s="1">
        <v>78</v>
      </c>
      <c r="B79" s="1" t="s">
        <v>284</v>
      </c>
      <c r="C79" s="54" t="s">
        <v>285</v>
      </c>
      <c r="D79" s="1">
        <v>6500000</v>
      </c>
      <c r="E79" s="10" t="s">
        <v>268</v>
      </c>
      <c r="F79" s="5">
        <v>20475</v>
      </c>
      <c r="G79" s="6">
        <v>63000</v>
      </c>
      <c r="H79" s="7">
        <v>50</v>
      </c>
      <c r="I79" s="8">
        <f t="shared" si="4"/>
        <v>644962500</v>
      </c>
      <c r="J79" s="9"/>
      <c r="K79" s="8"/>
      <c r="L79" s="8">
        <f t="shared" si="5"/>
        <v>644962500</v>
      </c>
      <c r="M79" s="10"/>
      <c r="N79" s="13"/>
      <c r="O79" s="8">
        <f t="shared" si="6"/>
        <v>644962500</v>
      </c>
      <c r="P79" s="26" t="s">
        <v>269</v>
      </c>
      <c r="Q79"/>
    </row>
    <row r="80" spans="1:17" x14ac:dyDescent="0.25">
      <c r="A80" s="1">
        <v>79</v>
      </c>
      <c r="B80" s="1" t="s">
        <v>284</v>
      </c>
      <c r="C80" s="54" t="s">
        <v>285</v>
      </c>
      <c r="D80" s="1">
        <v>6500000</v>
      </c>
      <c r="E80" s="10" t="s">
        <v>223</v>
      </c>
      <c r="F80" s="5">
        <v>20370</v>
      </c>
      <c r="G80" s="6">
        <v>63000</v>
      </c>
      <c r="H80" s="7">
        <v>50</v>
      </c>
      <c r="I80" s="8">
        <f t="shared" si="4"/>
        <v>641655000</v>
      </c>
      <c r="J80" s="9"/>
      <c r="K80" s="8"/>
      <c r="L80" s="8">
        <f t="shared" si="5"/>
        <v>641655000</v>
      </c>
      <c r="M80" s="10"/>
      <c r="N80" s="13"/>
      <c r="O80" s="8">
        <f t="shared" si="6"/>
        <v>641655000</v>
      </c>
      <c r="P80" s="26">
        <v>200</v>
      </c>
      <c r="Q80"/>
    </row>
    <row r="81" spans="1:17" ht="15.6" x14ac:dyDescent="0.25">
      <c r="A81" s="1">
        <v>80</v>
      </c>
      <c r="B81" s="1" t="s">
        <v>284</v>
      </c>
      <c r="C81" s="54" t="s">
        <v>285</v>
      </c>
      <c r="D81" s="1">
        <v>6500000</v>
      </c>
      <c r="E81" s="10" t="s">
        <v>270</v>
      </c>
      <c r="F81" s="5">
        <v>20780</v>
      </c>
      <c r="G81" s="6">
        <v>63000</v>
      </c>
      <c r="H81" s="7">
        <v>50</v>
      </c>
      <c r="I81" s="8">
        <f t="shared" si="4"/>
        <v>654570000</v>
      </c>
      <c r="J81" s="9"/>
      <c r="K81" s="8"/>
      <c r="L81" s="8">
        <f t="shared" si="5"/>
        <v>654570000</v>
      </c>
      <c r="M81" s="10"/>
      <c r="N81" s="13"/>
      <c r="O81" s="8">
        <f t="shared" si="6"/>
        <v>654570000</v>
      </c>
      <c r="P81" s="33" t="s">
        <v>266</v>
      </c>
      <c r="Q81"/>
    </row>
    <row r="82" spans="1:17" x14ac:dyDescent="0.25">
      <c r="A82" s="1">
        <v>81</v>
      </c>
      <c r="B82" s="1" t="s">
        <v>284</v>
      </c>
      <c r="C82" s="54" t="s">
        <v>285</v>
      </c>
      <c r="D82" s="1">
        <v>6500000</v>
      </c>
      <c r="E82" s="10" t="s">
        <v>270</v>
      </c>
      <c r="F82" s="5">
        <v>20565</v>
      </c>
      <c r="G82" s="6">
        <v>63000</v>
      </c>
      <c r="H82" s="7">
        <v>50</v>
      </c>
      <c r="I82" s="8">
        <f t="shared" si="4"/>
        <v>647797500</v>
      </c>
      <c r="J82" s="9"/>
      <c r="K82" s="8"/>
      <c r="L82" s="8">
        <f t="shared" si="5"/>
        <v>647797500</v>
      </c>
      <c r="M82" s="10"/>
      <c r="N82" s="13"/>
      <c r="O82" s="8">
        <f t="shared" si="6"/>
        <v>647797500</v>
      </c>
      <c r="P82" s="26" t="s">
        <v>271</v>
      </c>
      <c r="Q82"/>
    </row>
    <row r="83" spans="1:17" x14ac:dyDescent="0.25">
      <c r="A83" s="1">
        <v>82</v>
      </c>
      <c r="B83" s="1" t="s">
        <v>284</v>
      </c>
      <c r="C83" s="54" t="s">
        <v>285</v>
      </c>
      <c r="D83" s="1">
        <v>6500000</v>
      </c>
      <c r="E83" s="10" t="s">
        <v>270</v>
      </c>
      <c r="F83" s="5">
        <v>21070</v>
      </c>
      <c r="G83" s="6">
        <v>63000</v>
      </c>
      <c r="H83" s="7">
        <v>50</v>
      </c>
      <c r="I83" s="8">
        <f t="shared" si="4"/>
        <v>663705000</v>
      </c>
      <c r="J83" s="9"/>
      <c r="K83" s="8"/>
      <c r="L83" s="8">
        <f t="shared" si="5"/>
        <v>663705000</v>
      </c>
      <c r="M83" s="10"/>
      <c r="N83" s="13"/>
      <c r="O83" s="8">
        <f t="shared" si="6"/>
        <v>663705000</v>
      </c>
      <c r="P83" s="26"/>
      <c r="Q83"/>
    </row>
    <row r="84" spans="1:17" x14ac:dyDescent="0.25">
      <c r="A84" s="1">
        <v>83</v>
      </c>
      <c r="B84" s="1" t="s">
        <v>284</v>
      </c>
      <c r="C84" s="54" t="s">
        <v>285</v>
      </c>
      <c r="D84" s="1">
        <v>6500000</v>
      </c>
      <c r="E84" s="10" t="s">
        <v>272</v>
      </c>
      <c r="F84" s="5">
        <v>20615</v>
      </c>
      <c r="G84" s="6">
        <v>63000</v>
      </c>
      <c r="H84" s="7">
        <v>50</v>
      </c>
      <c r="I84" s="8">
        <f t="shared" si="4"/>
        <v>649372500</v>
      </c>
      <c r="J84" s="9"/>
      <c r="K84" s="8"/>
      <c r="L84" s="8">
        <f t="shared" si="5"/>
        <v>649372500</v>
      </c>
      <c r="M84" s="10"/>
      <c r="N84" s="13"/>
      <c r="O84" s="8">
        <f t="shared" si="6"/>
        <v>649372500</v>
      </c>
      <c r="P84" s="26"/>
      <c r="Q84"/>
    </row>
    <row r="85" spans="1:17" x14ac:dyDescent="0.25">
      <c r="A85" s="1">
        <v>84</v>
      </c>
      <c r="B85" s="1" t="s">
        <v>284</v>
      </c>
      <c r="C85" s="54" t="s">
        <v>285</v>
      </c>
      <c r="D85" s="1">
        <v>6500000</v>
      </c>
      <c r="E85" s="10" t="s">
        <v>272</v>
      </c>
      <c r="F85" s="5">
        <v>20515</v>
      </c>
      <c r="G85" s="6">
        <v>63000</v>
      </c>
      <c r="H85" s="7">
        <v>50</v>
      </c>
      <c r="I85" s="8">
        <f t="shared" si="4"/>
        <v>646222500</v>
      </c>
      <c r="J85" s="9"/>
      <c r="K85" s="8"/>
      <c r="L85" s="8">
        <f t="shared" si="5"/>
        <v>646222500</v>
      </c>
      <c r="M85" s="10"/>
      <c r="N85" s="13"/>
      <c r="O85" s="8">
        <f t="shared" si="6"/>
        <v>646222500</v>
      </c>
      <c r="P85" s="26"/>
      <c r="Q85"/>
    </row>
    <row r="86" spans="1:17" x14ac:dyDescent="0.25">
      <c r="A86" s="1">
        <v>85</v>
      </c>
      <c r="B86" s="1" t="s">
        <v>284</v>
      </c>
      <c r="C86" s="54" t="s">
        <v>285</v>
      </c>
      <c r="D86" s="1">
        <v>6500000</v>
      </c>
      <c r="E86" s="10" t="s">
        <v>272</v>
      </c>
      <c r="F86" s="5">
        <v>20460</v>
      </c>
      <c r="G86" s="6">
        <v>63000</v>
      </c>
      <c r="H86" s="7">
        <v>50</v>
      </c>
      <c r="I86" s="8">
        <f t="shared" si="4"/>
        <v>644490000</v>
      </c>
      <c r="J86" s="9"/>
      <c r="K86" s="8"/>
      <c r="L86" s="8">
        <f t="shared" si="5"/>
        <v>644490000</v>
      </c>
      <c r="M86" s="10"/>
      <c r="N86" s="13"/>
      <c r="O86" s="8">
        <f t="shared" si="6"/>
        <v>644490000</v>
      </c>
      <c r="P86" s="26"/>
      <c r="Q86"/>
    </row>
    <row r="87" spans="1:17" x14ac:dyDescent="0.25">
      <c r="A87" s="1">
        <v>86</v>
      </c>
      <c r="B87" s="1" t="s">
        <v>284</v>
      </c>
      <c r="C87" s="54" t="s">
        <v>285</v>
      </c>
      <c r="D87" s="1">
        <v>6500000</v>
      </c>
      <c r="E87" s="10" t="s">
        <v>273</v>
      </c>
      <c r="F87" s="5">
        <v>20935</v>
      </c>
      <c r="G87" s="6">
        <v>63000</v>
      </c>
      <c r="H87" s="7">
        <v>50</v>
      </c>
      <c r="I87" s="8">
        <f t="shared" si="4"/>
        <v>659452500</v>
      </c>
      <c r="J87" s="9"/>
      <c r="K87" s="8"/>
      <c r="L87" s="8">
        <f t="shared" si="5"/>
        <v>659452500</v>
      </c>
      <c r="M87" s="10"/>
      <c r="N87" s="13"/>
      <c r="O87" s="8">
        <f t="shared" si="6"/>
        <v>659452500</v>
      </c>
      <c r="P87" s="26"/>
      <c r="Q87"/>
    </row>
    <row r="88" spans="1:17" x14ac:dyDescent="0.25">
      <c r="A88" s="1">
        <v>87</v>
      </c>
      <c r="B88" s="1" t="s">
        <v>284</v>
      </c>
      <c r="C88" s="54" t="s">
        <v>285</v>
      </c>
      <c r="D88" s="1">
        <v>6500000</v>
      </c>
      <c r="E88" s="10" t="s">
        <v>273</v>
      </c>
      <c r="F88" s="5">
        <v>20990</v>
      </c>
      <c r="G88" s="6">
        <v>63000</v>
      </c>
      <c r="H88" s="7">
        <v>50</v>
      </c>
      <c r="I88" s="8">
        <f t="shared" si="4"/>
        <v>661185000</v>
      </c>
      <c r="J88" s="9"/>
      <c r="K88" s="8"/>
      <c r="L88" s="8">
        <f t="shared" si="5"/>
        <v>661185000</v>
      </c>
      <c r="M88" s="10"/>
      <c r="N88" s="13"/>
      <c r="O88" s="8">
        <f t="shared" si="6"/>
        <v>661185000</v>
      </c>
      <c r="P88" s="26"/>
      <c r="Q88"/>
    </row>
    <row r="89" spans="1:17" x14ac:dyDescent="0.25">
      <c r="A89" s="1">
        <v>88</v>
      </c>
      <c r="B89" s="1" t="s">
        <v>284</v>
      </c>
      <c r="C89" s="54" t="s">
        <v>285</v>
      </c>
      <c r="D89" s="1">
        <v>6500000</v>
      </c>
      <c r="E89" s="10" t="s">
        <v>274</v>
      </c>
      <c r="F89" s="5">
        <v>20370</v>
      </c>
      <c r="G89" s="6">
        <v>63000</v>
      </c>
      <c r="H89" s="7">
        <v>50</v>
      </c>
      <c r="I89" s="8">
        <f t="shared" si="4"/>
        <v>641655000</v>
      </c>
      <c r="J89" s="9"/>
      <c r="K89" s="8"/>
      <c r="L89" s="8">
        <f t="shared" si="5"/>
        <v>641655000</v>
      </c>
      <c r="M89" s="10"/>
      <c r="N89" s="13"/>
      <c r="O89" s="8">
        <f t="shared" si="6"/>
        <v>641655000</v>
      </c>
      <c r="P89" s="26"/>
      <c r="Q89"/>
    </row>
    <row r="90" spans="1:17" x14ac:dyDescent="0.25">
      <c r="A90" s="1">
        <v>89</v>
      </c>
      <c r="B90" s="1" t="s">
        <v>284</v>
      </c>
      <c r="C90" s="54" t="s">
        <v>285</v>
      </c>
      <c r="D90" s="1">
        <v>6500000</v>
      </c>
      <c r="E90" s="10" t="s">
        <v>274</v>
      </c>
      <c r="F90" s="5">
        <v>20555</v>
      </c>
      <c r="G90" s="6">
        <v>63000</v>
      </c>
      <c r="H90" s="7">
        <v>50</v>
      </c>
      <c r="I90" s="8">
        <f t="shared" si="4"/>
        <v>647482500</v>
      </c>
      <c r="J90" s="9"/>
      <c r="K90" s="8"/>
      <c r="L90" s="8">
        <f t="shared" si="5"/>
        <v>647482500</v>
      </c>
      <c r="M90" s="10"/>
      <c r="N90" s="13"/>
      <c r="O90" s="8">
        <f t="shared" si="6"/>
        <v>647482500</v>
      </c>
      <c r="P90" s="26"/>
      <c r="Q90"/>
    </row>
    <row r="91" spans="1:17" x14ac:dyDescent="0.25">
      <c r="A91" s="1">
        <v>90</v>
      </c>
      <c r="B91" s="1" t="s">
        <v>284</v>
      </c>
      <c r="C91" s="54" t="s">
        <v>285</v>
      </c>
      <c r="D91" s="1">
        <v>6500000</v>
      </c>
      <c r="E91" s="10" t="s">
        <v>274</v>
      </c>
      <c r="F91" s="5">
        <v>20420</v>
      </c>
      <c r="G91" s="6">
        <v>63000</v>
      </c>
      <c r="H91" s="7">
        <v>50</v>
      </c>
      <c r="I91" s="8">
        <f t="shared" si="4"/>
        <v>643230000</v>
      </c>
      <c r="J91" s="9"/>
      <c r="K91" s="8"/>
      <c r="L91" s="8">
        <f t="shared" si="5"/>
        <v>643230000</v>
      </c>
      <c r="M91" s="10"/>
      <c r="N91" s="13"/>
      <c r="O91" s="8">
        <f t="shared" si="6"/>
        <v>643230000</v>
      </c>
      <c r="P91" s="26"/>
      <c r="Q91"/>
    </row>
    <row r="92" spans="1:17" x14ac:dyDescent="0.25">
      <c r="A92" s="1">
        <v>91</v>
      </c>
      <c r="B92" s="1" t="s">
        <v>284</v>
      </c>
      <c r="C92" s="54" t="s">
        <v>285</v>
      </c>
      <c r="D92" s="1">
        <v>6500000</v>
      </c>
      <c r="E92" s="10" t="s">
        <v>275</v>
      </c>
      <c r="F92" s="5">
        <v>20955</v>
      </c>
      <c r="G92" s="6">
        <v>63000</v>
      </c>
      <c r="H92" s="7">
        <v>50</v>
      </c>
      <c r="I92" s="8">
        <f t="shared" si="4"/>
        <v>660082500</v>
      </c>
      <c r="J92" s="9"/>
      <c r="K92" s="8"/>
      <c r="L92" s="8">
        <f t="shared" si="5"/>
        <v>660082500</v>
      </c>
      <c r="M92" s="10"/>
      <c r="N92" s="13"/>
      <c r="O92" s="8">
        <f t="shared" si="6"/>
        <v>660082500</v>
      </c>
      <c r="P92" s="26"/>
      <c r="Q92"/>
    </row>
    <row r="93" spans="1:17" x14ac:dyDescent="0.25">
      <c r="A93" s="1">
        <v>92</v>
      </c>
      <c r="B93" s="1" t="s">
        <v>284</v>
      </c>
      <c r="C93" s="54" t="s">
        <v>285</v>
      </c>
      <c r="D93" s="1">
        <v>6500000</v>
      </c>
      <c r="E93" s="10" t="s">
        <v>275</v>
      </c>
      <c r="F93" s="5">
        <v>21005</v>
      </c>
      <c r="G93" s="6">
        <v>63000</v>
      </c>
      <c r="H93" s="7">
        <v>50</v>
      </c>
      <c r="I93" s="8">
        <f t="shared" si="4"/>
        <v>661657500</v>
      </c>
      <c r="J93" s="9"/>
      <c r="K93" s="8"/>
      <c r="L93" s="8">
        <f t="shared" si="5"/>
        <v>661657500</v>
      </c>
      <c r="M93" s="10"/>
      <c r="N93" s="13"/>
      <c r="O93" s="8">
        <f t="shared" si="6"/>
        <v>661657500</v>
      </c>
      <c r="P93" s="26"/>
      <c r="Q93"/>
    </row>
    <row r="94" spans="1:17" x14ac:dyDescent="0.25">
      <c r="A94" s="1">
        <v>93</v>
      </c>
      <c r="B94" s="1" t="s">
        <v>284</v>
      </c>
      <c r="C94" s="54" t="s">
        <v>285</v>
      </c>
      <c r="D94" s="1">
        <v>6500000</v>
      </c>
      <c r="E94" s="10" t="s">
        <v>276</v>
      </c>
      <c r="F94" s="5">
        <v>20460</v>
      </c>
      <c r="G94" s="6">
        <v>63000</v>
      </c>
      <c r="H94" s="7">
        <v>50</v>
      </c>
      <c r="I94" s="8">
        <f t="shared" si="4"/>
        <v>644490000</v>
      </c>
      <c r="J94" s="9"/>
      <c r="K94" s="8"/>
      <c r="L94" s="8">
        <f t="shared" si="5"/>
        <v>644490000</v>
      </c>
      <c r="M94" s="10"/>
      <c r="N94" s="13"/>
      <c r="O94" s="8">
        <f t="shared" si="6"/>
        <v>644490000</v>
      </c>
      <c r="P94" s="26"/>
      <c r="Q94"/>
    </row>
    <row r="95" spans="1:17" x14ac:dyDescent="0.25">
      <c r="A95" s="1">
        <v>94</v>
      </c>
      <c r="B95" s="1" t="s">
        <v>284</v>
      </c>
      <c r="C95" s="54" t="s">
        <v>285</v>
      </c>
      <c r="D95" s="1">
        <v>6500000</v>
      </c>
      <c r="E95" s="10" t="s">
        <v>276</v>
      </c>
      <c r="F95" s="5">
        <v>20685</v>
      </c>
      <c r="G95" s="6">
        <v>63000</v>
      </c>
      <c r="H95" s="7">
        <v>50</v>
      </c>
      <c r="I95" s="8">
        <f t="shared" si="4"/>
        <v>651577500</v>
      </c>
      <c r="J95" s="9"/>
      <c r="K95" s="8"/>
      <c r="L95" s="8">
        <f t="shared" si="5"/>
        <v>651577500</v>
      </c>
      <c r="M95" s="10"/>
      <c r="N95" s="13"/>
      <c r="O95" s="8">
        <f t="shared" si="6"/>
        <v>651577500</v>
      </c>
      <c r="P95" s="26"/>
      <c r="Q95"/>
    </row>
    <row r="96" spans="1:17" x14ac:dyDescent="0.25">
      <c r="A96" s="1">
        <v>95</v>
      </c>
      <c r="B96" s="1" t="s">
        <v>284</v>
      </c>
      <c r="C96" s="54" t="s">
        <v>285</v>
      </c>
      <c r="D96" s="1">
        <v>6500000</v>
      </c>
      <c r="E96" s="10" t="s">
        <v>277</v>
      </c>
      <c r="F96" s="5">
        <v>20950</v>
      </c>
      <c r="G96" s="6">
        <v>63000</v>
      </c>
      <c r="H96" s="7">
        <v>50</v>
      </c>
      <c r="I96" s="8">
        <f t="shared" si="4"/>
        <v>659925000</v>
      </c>
      <c r="J96" s="9"/>
      <c r="K96" s="8"/>
      <c r="L96" s="8">
        <f t="shared" si="5"/>
        <v>659925000</v>
      </c>
      <c r="M96" s="10"/>
      <c r="N96" s="13"/>
      <c r="O96" s="8">
        <f t="shared" si="6"/>
        <v>659925000</v>
      </c>
      <c r="P96" s="26"/>
      <c r="Q96"/>
    </row>
    <row r="97" spans="1:17" x14ac:dyDescent="0.25">
      <c r="A97" s="1">
        <v>96</v>
      </c>
      <c r="B97" s="1" t="s">
        <v>284</v>
      </c>
      <c r="C97" s="54" t="s">
        <v>285</v>
      </c>
      <c r="D97" s="1">
        <v>6500000</v>
      </c>
      <c r="E97" s="10" t="s">
        <v>277</v>
      </c>
      <c r="F97" s="5">
        <v>20940</v>
      </c>
      <c r="G97" s="6">
        <v>63000</v>
      </c>
      <c r="H97" s="7">
        <v>50</v>
      </c>
      <c r="I97" s="8">
        <f t="shared" si="4"/>
        <v>659610000</v>
      </c>
      <c r="J97" s="9"/>
      <c r="K97" s="8"/>
      <c r="L97" s="8">
        <f t="shared" si="5"/>
        <v>659610000</v>
      </c>
      <c r="M97" s="10"/>
      <c r="N97" s="13"/>
      <c r="O97" s="8">
        <f t="shared" si="6"/>
        <v>659610000</v>
      </c>
      <c r="P97" s="26"/>
      <c r="Q97"/>
    </row>
    <row r="98" spans="1:17" x14ac:dyDescent="0.25">
      <c r="A98" s="1">
        <v>97</v>
      </c>
      <c r="B98" s="1" t="s">
        <v>284</v>
      </c>
      <c r="C98" s="54" t="s">
        <v>285</v>
      </c>
      <c r="D98" s="1">
        <v>6500000</v>
      </c>
      <c r="E98" s="10" t="s">
        <v>278</v>
      </c>
      <c r="F98" s="5">
        <v>21040</v>
      </c>
      <c r="G98" s="6">
        <v>63000</v>
      </c>
      <c r="H98" s="7">
        <v>50</v>
      </c>
      <c r="I98" s="8">
        <f t="shared" si="4"/>
        <v>662760000</v>
      </c>
      <c r="J98" s="9"/>
      <c r="K98" s="8"/>
      <c r="L98" s="8">
        <f t="shared" si="5"/>
        <v>662760000</v>
      </c>
      <c r="M98" s="10"/>
      <c r="N98" s="13"/>
      <c r="O98" s="8">
        <f t="shared" si="6"/>
        <v>662760000</v>
      </c>
      <c r="P98" s="26"/>
      <c r="Q98"/>
    </row>
    <row r="99" spans="1:17" x14ac:dyDescent="0.25">
      <c r="A99" s="1">
        <v>98</v>
      </c>
      <c r="B99" s="1" t="s">
        <v>284</v>
      </c>
      <c r="C99" s="54" t="s">
        <v>285</v>
      </c>
      <c r="D99" s="1">
        <v>6500000</v>
      </c>
      <c r="E99" s="10" t="s">
        <v>278</v>
      </c>
      <c r="F99" s="5">
        <v>20935</v>
      </c>
      <c r="G99" s="6">
        <v>63000</v>
      </c>
      <c r="H99" s="7">
        <v>50</v>
      </c>
      <c r="I99" s="8">
        <f t="shared" si="4"/>
        <v>659452500</v>
      </c>
      <c r="J99" s="9"/>
      <c r="K99" s="8"/>
      <c r="L99" s="8">
        <f t="shared" si="5"/>
        <v>659452500</v>
      </c>
      <c r="M99" s="10"/>
      <c r="N99" s="13"/>
      <c r="O99" s="8">
        <f t="shared" si="6"/>
        <v>659452500</v>
      </c>
      <c r="P99" s="26"/>
      <c r="Q99"/>
    </row>
    <row r="100" spans="1:17" x14ac:dyDescent="0.25">
      <c r="A100" s="1">
        <v>99</v>
      </c>
      <c r="B100" s="1" t="s">
        <v>284</v>
      </c>
      <c r="C100" s="54" t="s">
        <v>285</v>
      </c>
      <c r="D100" s="1">
        <v>6500000</v>
      </c>
      <c r="E100" s="10" t="s">
        <v>279</v>
      </c>
      <c r="F100" s="5">
        <v>20410</v>
      </c>
      <c r="G100" s="6">
        <v>63000</v>
      </c>
      <c r="H100" s="7">
        <v>50</v>
      </c>
      <c r="I100" s="8">
        <f t="shared" si="4"/>
        <v>642915000</v>
      </c>
      <c r="J100" s="9"/>
      <c r="K100" s="8"/>
      <c r="L100" s="8">
        <f t="shared" si="5"/>
        <v>642915000</v>
      </c>
      <c r="M100" s="10"/>
      <c r="N100" s="13"/>
      <c r="O100" s="8">
        <f t="shared" si="6"/>
        <v>642915000</v>
      </c>
      <c r="P100" s="26"/>
      <c r="Q100"/>
    </row>
    <row r="101" spans="1:17" x14ac:dyDescent="0.25">
      <c r="A101" s="1">
        <v>100</v>
      </c>
      <c r="B101" s="1" t="s">
        <v>284</v>
      </c>
      <c r="C101" s="54" t="s">
        <v>285</v>
      </c>
      <c r="D101" s="1">
        <v>6500000</v>
      </c>
      <c r="E101" s="10" t="s">
        <v>279</v>
      </c>
      <c r="F101" s="5">
        <v>20465</v>
      </c>
      <c r="G101" s="6">
        <v>63000</v>
      </c>
      <c r="H101" s="7">
        <v>50</v>
      </c>
      <c r="I101" s="8">
        <f t="shared" si="4"/>
        <v>644647500</v>
      </c>
      <c r="J101" s="9"/>
      <c r="K101" s="8"/>
      <c r="L101" s="8">
        <f t="shared" si="5"/>
        <v>644647500</v>
      </c>
      <c r="M101" s="10"/>
      <c r="N101" s="13"/>
      <c r="O101" s="8">
        <f t="shared" si="6"/>
        <v>644647500</v>
      </c>
      <c r="P101" s="26"/>
      <c r="Q101"/>
    </row>
    <row r="102" spans="1:17" x14ac:dyDescent="0.25">
      <c r="A102" s="1">
        <v>101</v>
      </c>
      <c r="B102" s="1" t="s">
        <v>284</v>
      </c>
      <c r="C102" s="54" t="s">
        <v>285</v>
      </c>
      <c r="D102" s="1">
        <v>6500000</v>
      </c>
      <c r="E102" s="10" t="s">
        <v>280</v>
      </c>
      <c r="F102" s="5">
        <v>20585</v>
      </c>
      <c r="G102" s="6">
        <v>63000</v>
      </c>
      <c r="H102" s="7">
        <v>50</v>
      </c>
      <c r="I102" s="8">
        <f t="shared" si="4"/>
        <v>648427500</v>
      </c>
      <c r="J102" s="9"/>
      <c r="K102" s="8"/>
      <c r="L102" s="8">
        <f t="shared" si="5"/>
        <v>648427500</v>
      </c>
      <c r="M102" s="10"/>
      <c r="N102" s="13"/>
      <c r="O102" s="8">
        <f t="shared" si="6"/>
        <v>648427500</v>
      </c>
      <c r="P102" s="26"/>
      <c r="Q102"/>
    </row>
    <row r="103" spans="1:17" x14ac:dyDescent="0.25">
      <c r="A103" s="1">
        <v>102</v>
      </c>
      <c r="B103" s="1" t="s">
        <v>284</v>
      </c>
      <c r="C103" s="54" t="s">
        <v>285</v>
      </c>
      <c r="D103" s="1">
        <v>6500000</v>
      </c>
      <c r="E103" s="10" t="s">
        <v>280</v>
      </c>
      <c r="F103" s="5">
        <v>20400</v>
      </c>
      <c r="G103" s="6">
        <v>63000</v>
      </c>
      <c r="H103" s="7">
        <v>50</v>
      </c>
      <c r="I103" s="8">
        <f t="shared" si="4"/>
        <v>642600000</v>
      </c>
      <c r="J103" s="9"/>
      <c r="K103" s="8"/>
      <c r="L103" s="8">
        <f t="shared" si="5"/>
        <v>642600000</v>
      </c>
      <c r="M103" s="10"/>
      <c r="N103" s="13"/>
      <c r="O103" s="8">
        <f t="shared" si="6"/>
        <v>642600000</v>
      </c>
      <c r="P103" s="26"/>
      <c r="Q103"/>
    </row>
    <row r="104" spans="1:17" x14ac:dyDescent="0.25">
      <c r="A104" s="1">
        <v>103</v>
      </c>
      <c r="B104" s="1" t="s">
        <v>284</v>
      </c>
      <c r="C104" s="54" t="s">
        <v>285</v>
      </c>
      <c r="D104" s="1">
        <v>6500000</v>
      </c>
      <c r="E104" s="10" t="s">
        <v>281</v>
      </c>
      <c r="F104" s="5">
        <v>20555</v>
      </c>
      <c r="G104" s="6">
        <v>63000</v>
      </c>
      <c r="H104" s="7">
        <v>50</v>
      </c>
      <c r="I104" s="8">
        <f t="shared" si="4"/>
        <v>647482500</v>
      </c>
      <c r="J104" s="9"/>
      <c r="K104" s="8"/>
      <c r="L104" s="8">
        <f t="shared" si="5"/>
        <v>647482500</v>
      </c>
      <c r="M104" s="10"/>
      <c r="N104" s="13"/>
      <c r="O104" s="8">
        <f t="shared" si="6"/>
        <v>647482500</v>
      </c>
      <c r="P104" s="26"/>
      <c r="Q104"/>
    </row>
    <row r="105" spans="1:17" x14ac:dyDescent="0.25">
      <c r="A105" s="1">
        <v>104</v>
      </c>
      <c r="B105" s="1" t="s">
        <v>284</v>
      </c>
      <c r="C105" s="54" t="s">
        <v>285</v>
      </c>
      <c r="D105" s="1">
        <v>6500000</v>
      </c>
      <c r="E105" s="10" t="s">
        <v>281</v>
      </c>
      <c r="F105" s="5">
        <v>20300</v>
      </c>
      <c r="G105" s="6">
        <v>63000</v>
      </c>
      <c r="H105" s="7">
        <v>50</v>
      </c>
      <c r="I105" s="8">
        <f t="shared" si="4"/>
        <v>639450000</v>
      </c>
      <c r="J105" s="9"/>
      <c r="K105" s="8"/>
      <c r="L105" s="8">
        <f t="shared" si="5"/>
        <v>639450000</v>
      </c>
      <c r="M105" s="10"/>
      <c r="N105" s="13"/>
      <c r="O105" s="8">
        <f t="shared" si="6"/>
        <v>639450000</v>
      </c>
      <c r="P105" s="26"/>
      <c r="Q105"/>
    </row>
    <row r="106" spans="1:17" x14ac:dyDescent="0.25">
      <c r="A106" s="1">
        <v>105</v>
      </c>
      <c r="B106" s="1" t="s">
        <v>284</v>
      </c>
      <c r="C106" s="54" t="s">
        <v>285</v>
      </c>
      <c r="D106" s="1">
        <v>6500000</v>
      </c>
      <c r="E106" s="10" t="s">
        <v>282</v>
      </c>
      <c r="F106" s="5">
        <v>20455</v>
      </c>
      <c r="G106" s="6">
        <v>63000</v>
      </c>
      <c r="H106" s="7">
        <v>50</v>
      </c>
      <c r="I106" s="8">
        <f t="shared" si="4"/>
        <v>644332500</v>
      </c>
      <c r="J106" s="9"/>
      <c r="K106" s="8"/>
      <c r="L106" s="8">
        <f t="shared" si="5"/>
        <v>644332500</v>
      </c>
      <c r="M106" s="10"/>
      <c r="N106" s="13"/>
      <c r="O106" s="8">
        <f t="shared" si="6"/>
        <v>644332500</v>
      </c>
      <c r="P106" s="26"/>
      <c r="Q106"/>
    </row>
    <row r="107" spans="1:17" x14ac:dyDescent="0.25">
      <c r="A107" s="1">
        <v>106</v>
      </c>
      <c r="B107" s="1" t="s">
        <v>284</v>
      </c>
      <c r="C107" s="54" t="s">
        <v>285</v>
      </c>
      <c r="D107" s="1">
        <v>6500000</v>
      </c>
      <c r="E107" s="10" t="s">
        <v>282</v>
      </c>
      <c r="F107" s="5">
        <v>20500</v>
      </c>
      <c r="G107" s="6">
        <v>63000</v>
      </c>
      <c r="H107" s="7">
        <v>50</v>
      </c>
      <c r="I107" s="8">
        <f t="shared" si="4"/>
        <v>645750000</v>
      </c>
      <c r="J107" s="9"/>
      <c r="K107" s="8"/>
      <c r="L107" s="8">
        <f t="shared" si="5"/>
        <v>645750000</v>
      </c>
      <c r="M107" s="10"/>
      <c r="N107" s="13"/>
      <c r="O107" s="8">
        <f t="shared" si="6"/>
        <v>645750000</v>
      </c>
      <c r="P107" s="26"/>
      <c r="Q107"/>
    </row>
    <row r="108" spans="1:17" x14ac:dyDescent="0.25">
      <c r="A108" s="1">
        <v>107</v>
      </c>
      <c r="B108" s="1" t="s">
        <v>284</v>
      </c>
      <c r="C108" s="54" t="s">
        <v>285</v>
      </c>
      <c r="D108" s="1">
        <v>6500000</v>
      </c>
      <c r="E108" s="10" t="s">
        <v>283</v>
      </c>
      <c r="F108" s="5">
        <v>20565</v>
      </c>
      <c r="G108" s="6">
        <v>63000</v>
      </c>
      <c r="H108" s="7">
        <v>50</v>
      </c>
      <c r="I108" s="8">
        <f t="shared" si="4"/>
        <v>647797500</v>
      </c>
      <c r="J108" s="9"/>
      <c r="K108" s="8"/>
      <c r="L108" s="8">
        <f t="shared" si="5"/>
        <v>647797500</v>
      </c>
      <c r="M108" s="10"/>
      <c r="N108" s="13"/>
      <c r="O108" s="8">
        <f t="shared" si="6"/>
        <v>647797500</v>
      </c>
      <c r="P108" s="26"/>
      <c r="Q108"/>
    </row>
    <row r="109" spans="1:17" x14ac:dyDescent="0.25">
      <c r="A109" s="1">
        <v>108</v>
      </c>
      <c r="B109" s="1" t="s">
        <v>284</v>
      </c>
      <c r="C109" s="54" t="s">
        <v>285</v>
      </c>
      <c r="D109" s="1">
        <v>6500000</v>
      </c>
      <c r="E109" s="10" t="s">
        <v>283</v>
      </c>
      <c r="F109" s="5">
        <v>20410</v>
      </c>
      <c r="G109" s="6">
        <v>63000</v>
      </c>
      <c r="H109" s="7">
        <v>50</v>
      </c>
      <c r="I109" s="8">
        <f t="shared" si="4"/>
        <v>642915000</v>
      </c>
      <c r="J109" s="9"/>
      <c r="K109" s="8"/>
      <c r="L109" s="8">
        <f t="shared" si="5"/>
        <v>642915000</v>
      </c>
      <c r="M109" s="10"/>
      <c r="N109" s="13"/>
      <c r="O109" s="8">
        <f t="shared" si="6"/>
        <v>642915000</v>
      </c>
      <c r="P109" s="26"/>
      <c r="Q109"/>
    </row>
    <row r="110" spans="1:17" x14ac:dyDescent="0.25">
      <c r="A110" s="1">
        <v>109</v>
      </c>
      <c r="B110" s="1" t="s">
        <v>70</v>
      </c>
      <c r="C110" s="54" t="s">
        <v>290</v>
      </c>
      <c r="D110" s="1">
        <v>6500000</v>
      </c>
      <c r="E110" s="10" t="s">
        <v>286</v>
      </c>
      <c r="F110" s="5">
        <v>463170</v>
      </c>
      <c r="G110" s="6">
        <v>70000</v>
      </c>
      <c r="H110" s="7">
        <v>70</v>
      </c>
      <c r="I110" s="8">
        <f t="shared" si="4"/>
        <v>22695330000</v>
      </c>
      <c r="J110" s="7">
        <v>100</v>
      </c>
      <c r="K110" s="8">
        <f>((F110*G110)/100)*10</f>
        <v>3242190000</v>
      </c>
      <c r="L110" s="8">
        <f>I110+K110</f>
        <v>25937520000</v>
      </c>
      <c r="M110" s="10" t="s">
        <v>286</v>
      </c>
      <c r="N110" s="5">
        <v>25937520000</v>
      </c>
      <c r="O110" s="8">
        <f>L110-N110</f>
        <v>0</v>
      </c>
      <c r="P110" s="26" t="s">
        <v>287</v>
      </c>
      <c r="Q110"/>
    </row>
    <row r="111" spans="1:17" x14ac:dyDescent="0.25">
      <c r="A111" s="1">
        <v>110</v>
      </c>
      <c r="B111" s="1" t="s">
        <v>70</v>
      </c>
      <c r="C111" s="54" t="s">
        <v>290</v>
      </c>
      <c r="D111" s="1">
        <v>6500000</v>
      </c>
      <c r="E111" s="10" t="s">
        <v>240</v>
      </c>
      <c r="F111" s="5">
        <v>20175</v>
      </c>
      <c r="G111" s="6">
        <v>70000</v>
      </c>
      <c r="H111" s="7">
        <v>70</v>
      </c>
      <c r="I111" s="8">
        <f t="shared" si="4"/>
        <v>988575000</v>
      </c>
      <c r="J111" s="7">
        <v>100</v>
      </c>
      <c r="K111" s="8">
        <f>((F111*G111)/100)*10</f>
        <v>141225000</v>
      </c>
      <c r="L111" s="8">
        <f t="shared" ref="L111:L137" si="7">I111+K111</f>
        <v>1129800000</v>
      </c>
      <c r="M111" s="10" t="s">
        <v>288</v>
      </c>
      <c r="N111" s="13">
        <v>1129800000</v>
      </c>
      <c r="O111" s="8">
        <f t="shared" ref="O111:O112" si="8">L111-N111</f>
        <v>0</v>
      </c>
      <c r="P111" s="26"/>
      <c r="Q111"/>
    </row>
    <row r="112" spans="1:17" x14ac:dyDescent="0.25">
      <c r="A112" s="1">
        <v>111</v>
      </c>
      <c r="B112" s="1" t="s">
        <v>70</v>
      </c>
      <c r="C112" s="54" t="s">
        <v>290</v>
      </c>
      <c r="D112" s="1">
        <v>6500000</v>
      </c>
      <c r="E112" s="10" t="s">
        <v>178</v>
      </c>
      <c r="F112" s="5">
        <v>16655</v>
      </c>
      <c r="G112" s="6">
        <v>70000</v>
      </c>
      <c r="H112" s="7">
        <v>70</v>
      </c>
      <c r="I112" s="8">
        <f t="shared" si="4"/>
        <v>816095000</v>
      </c>
      <c r="J112" s="7">
        <v>100</v>
      </c>
      <c r="K112" s="8">
        <f>((F112*G112)/100)*10</f>
        <v>116585000</v>
      </c>
      <c r="L112" s="8">
        <f t="shared" si="7"/>
        <v>932680000</v>
      </c>
      <c r="M112" s="10" t="s">
        <v>288</v>
      </c>
      <c r="N112" s="13">
        <v>932680000</v>
      </c>
      <c r="O112" s="8">
        <f t="shared" si="8"/>
        <v>0</v>
      </c>
      <c r="P112" s="26" t="s">
        <v>289</v>
      </c>
      <c r="Q112"/>
    </row>
    <row r="113" spans="1:17" ht="22.8" x14ac:dyDescent="0.25">
      <c r="A113" s="1">
        <v>112</v>
      </c>
      <c r="B113" s="1" t="s">
        <v>70</v>
      </c>
      <c r="C113" s="54" t="s">
        <v>176</v>
      </c>
      <c r="D113" s="1">
        <v>320000</v>
      </c>
      <c r="E113" s="17" t="s">
        <v>178</v>
      </c>
      <c r="F113" s="5">
        <v>3250</v>
      </c>
      <c r="G113" s="6">
        <v>75000</v>
      </c>
      <c r="H113" s="7">
        <v>85</v>
      </c>
      <c r="I113" s="8">
        <f t="shared" si="4"/>
        <v>207187500</v>
      </c>
      <c r="J113" s="9"/>
      <c r="K113" s="8">
        <f>(I113/100)*10</f>
        <v>20718750</v>
      </c>
      <c r="L113" s="8">
        <f t="shared" si="7"/>
        <v>227906250</v>
      </c>
      <c r="M113" s="10" t="s">
        <v>291</v>
      </c>
      <c r="N113" s="5">
        <v>227906250</v>
      </c>
      <c r="O113" s="8">
        <f>L113-N113</f>
        <v>0</v>
      </c>
      <c r="P113" s="34" t="s">
        <v>292</v>
      </c>
      <c r="Q113"/>
    </row>
    <row r="114" spans="1:17" x14ac:dyDescent="0.25">
      <c r="A114" s="1">
        <v>113</v>
      </c>
      <c r="B114" s="1" t="s">
        <v>70</v>
      </c>
      <c r="C114" s="54" t="s">
        <v>176</v>
      </c>
      <c r="D114" s="1">
        <v>320000</v>
      </c>
      <c r="E114" s="10" t="s">
        <v>293</v>
      </c>
      <c r="F114" s="5">
        <v>5765</v>
      </c>
      <c r="G114" s="6">
        <v>75000</v>
      </c>
      <c r="H114" s="7">
        <v>85</v>
      </c>
      <c r="I114" s="8">
        <f t="shared" si="4"/>
        <v>367518750</v>
      </c>
      <c r="J114" s="9"/>
      <c r="K114" s="8">
        <f t="shared" ref="K114:K127" si="9">(I114/100)*10</f>
        <v>36751875</v>
      </c>
      <c r="L114" s="8">
        <f t="shared" si="7"/>
        <v>404270625</v>
      </c>
      <c r="M114" s="10" t="s">
        <v>196</v>
      </c>
      <c r="N114" s="13">
        <v>404270625</v>
      </c>
      <c r="O114" s="8">
        <f t="shared" ref="O114:O127" si="10">L114-N114</f>
        <v>0</v>
      </c>
      <c r="P114" s="26"/>
      <c r="Q114"/>
    </row>
    <row r="115" spans="1:17" x14ac:dyDescent="0.25">
      <c r="A115" s="1">
        <v>114</v>
      </c>
      <c r="B115" s="1" t="s">
        <v>70</v>
      </c>
      <c r="C115" s="54" t="s">
        <v>176</v>
      </c>
      <c r="D115" s="1">
        <v>320000</v>
      </c>
      <c r="E115" s="10" t="s">
        <v>293</v>
      </c>
      <c r="F115" s="5">
        <v>16170</v>
      </c>
      <c r="G115" s="6">
        <v>75000</v>
      </c>
      <c r="H115" s="7">
        <v>85</v>
      </c>
      <c r="I115" s="8">
        <f t="shared" si="4"/>
        <v>1030837500</v>
      </c>
      <c r="J115" s="9"/>
      <c r="K115" s="8">
        <f t="shared" si="9"/>
        <v>103083750</v>
      </c>
      <c r="L115" s="8">
        <f t="shared" si="7"/>
        <v>1133921250</v>
      </c>
      <c r="M115" s="10" t="s">
        <v>196</v>
      </c>
      <c r="N115" s="13">
        <v>1133921250</v>
      </c>
      <c r="O115" s="8">
        <f t="shared" si="10"/>
        <v>0</v>
      </c>
      <c r="P115" s="26"/>
      <c r="Q115"/>
    </row>
    <row r="116" spans="1:17" x14ac:dyDescent="0.25">
      <c r="A116" s="1">
        <v>115</v>
      </c>
      <c r="B116" s="1" t="s">
        <v>70</v>
      </c>
      <c r="C116" s="54" t="s">
        <v>176</v>
      </c>
      <c r="D116" s="1">
        <v>320000</v>
      </c>
      <c r="E116" s="10" t="s">
        <v>183</v>
      </c>
      <c r="F116" s="5">
        <v>19870</v>
      </c>
      <c r="G116" s="6">
        <v>75000</v>
      </c>
      <c r="H116" s="7">
        <v>85</v>
      </c>
      <c r="I116" s="8">
        <f t="shared" si="4"/>
        <v>1266712500</v>
      </c>
      <c r="J116" s="9"/>
      <c r="K116" s="8">
        <f t="shared" si="9"/>
        <v>126671250</v>
      </c>
      <c r="L116" s="8">
        <f t="shared" si="7"/>
        <v>1393383750</v>
      </c>
      <c r="M116" s="10" t="s">
        <v>250</v>
      </c>
      <c r="N116" s="13">
        <v>1393383750</v>
      </c>
      <c r="O116" s="8">
        <f t="shared" si="10"/>
        <v>0</v>
      </c>
      <c r="P116" s="26"/>
      <c r="Q116"/>
    </row>
    <row r="117" spans="1:17" x14ac:dyDescent="0.25">
      <c r="A117" s="1">
        <v>116</v>
      </c>
      <c r="B117" s="1" t="s">
        <v>70</v>
      </c>
      <c r="C117" s="54" t="s">
        <v>176</v>
      </c>
      <c r="D117" s="1">
        <v>320000</v>
      </c>
      <c r="E117" s="10" t="s">
        <v>193</v>
      </c>
      <c r="F117" s="5">
        <v>19955</v>
      </c>
      <c r="G117" s="6">
        <v>75000</v>
      </c>
      <c r="H117" s="7">
        <v>85</v>
      </c>
      <c r="I117" s="8">
        <f t="shared" si="4"/>
        <v>1272131250</v>
      </c>
      <c r="J117" s="9"/>
      <c r="K117" s="8">
        <f t="shared" si="9"/>
        <v>127213125</v>
      </c>
      <c r="L117" s="8">
        <f t="shared" si="7"/>
        <v>1399344375</v>
      </c>
      <c r="M117" s="10" t="s">
        <v>294</v>
      </c>
      <c r="N117" s="13">
        <v>1399344375</v>
      </c>
      <c r="O117" s="8">
        <f t="shared" si="10"/>
        <v>0</v>
      </c>
      <c r="P117" s="26"/>
      <c r="Q117"/>
    </row>
    <row r="118" spans="1:17" x14ac:dyDescent="0.25">
      <c r="A118" s="1">
        <v>117</v>
      </c>
      <c r="B118" s="1" t="s">
        <v>70</v>
      </c>
      <c r="C118" s="54" t="s">
        <v>176</v>
      </c>
      <c r="D118" s="1">
        <v>320000</v>
      </c>
      <c r="E118" s="10" t="s">
        <v>217</v>
      </c>
      <c r="F118" s="5">
        <v>19990</v>
      </c>
      <c r="G118" s="6">
        <v>75000</v>
      </c>
      <c r="H118" s="7">
        <v>85</v>
      </c>
      <c r="I118" s="8">
        <f t="shared" si="4"/>
        <v>1274362500</v>
      </c>
      <c r="J118" s="9"/>
      <c r="K118" s="8">
        <f t="shared" si="9"/>
        <v>127436250</v>
      </c>
      <c r="L118" s="8">
        <f t="shared" si="7"/>
        <v>1401798750</v>
      </c>
      <c r="M118" s="10" t="s">
        <v>294</v>
      </c>
      <c r="N118" s="13">
        <v>1401798750</v>
      </c>
      <c r="O118" s="8">
        <f t="shared" si="10"/>
        <v>0</v>
      </c>
      <c r="P118" s="26"/>
      <c r="Q118"/>
    </row>
    <row r="119" spans="1:17" x14ac:dyDescent="0.25">
      <c r="A119" s="1">
        <v>118</v>
      </c>
      <c r="B119" s="1" t="s">
        <v>70</v>
      </c>
      <c r="C119" s="54" t="s">
        <v>176</v>
      </c>
      <c r="D119" s="1">
        <v>320000</v>
      </c>
      <c r="E119" s="10" t="s">
        <v>166</v>
      </c>
      <c r="F119" s="5">
        <v>20025</v>
      </c>
      <c r="G119" s="6">
        <v>75000</v>
      </c>
      <c r="H119" s="7">
        <v>85</v>
      </c>
      <c r="I119" s="8">
        <f t="shared" si="4"/>
        <v>1276593750</v>
      </c>
      <c r="J119" s="9"/>
      <c r="K119" s="8">
        <f t="shared" si="9"/>
        <v>127659375</v>
      </c>
      <c r="L119" s="8">
        <f t="shared" si="7"/>
        <v>1404253125</v>
      </c>
      <c r="M119" s="10" t="s">
        <v>198</v>
      </c>
      <c r="N119" s="13">
        <v>1404253125</v>
      </c>
      <c r="O119" s="8">
        <f t="shared" si="10"/>
        <v>0</v>
      </c>
      <c r="P119" s="26"/>
      <c r="Q119"/>
    </row>
    <row r="120" spans="1:17" ht="17.399999999999999" x14ac:dyDescent="0.25">
      <c r="A120" s="1">
        <v>119</v>
      </c>
      <c r="B120" s="1" t="s">
        <v>70</v>
      </c>
      <c r="C120" s="54" t="s">
        <v>176</v>
      </c>
      <c r="D120" s="1">
        <v>320000</v>
      </c>
      <c r="E120" s="10" t="s">
        <v>163</v>
      </c>
      <c r="F120" s="5">
        <v>19870</v>
      </c>
      <c r="G120" s="6">
        <v>75000</v>
      </c>
      <c r="H120" s="7">
        <v>85</v>
      </c>
      <c r="I120" s="8">
        <f t="shared" si="4"/>
        <v>1266712500</v>
      </c>
      <c r="J120" s="9"/>
      <c r="K120" s="8">
        <f>(I120/100)*10</f>
        <v>126671250</v>
      </c>
      <c r="L120" s="8">
        <f t="shared" si="7"/>
        <v>1393383750</v>
      </c>
      <c r="M120" s="10" t="s">
        <v>198</v>
      </c>
      <c r="N120" s="13">
        <v>1393383750</v>
      </c>
      <c r="O120" s="8">
        <f t="shared" si="10"/>
        <v>0</v>
      </c>
      <c r="P120" s="35" t="s">
        <v>295</v>
      </c>
      <c r="Q120"/>
    </row>
    <row r="121" spans="1:17" x14ac:dyDescent="0.25">
      <c r="A121" s="1">
        <v>120</v>
      </c>
      <c r="B121" s="1" t="s">
        <v>70</v>
      </c>
      <c r="C121" s="54" t="s">
        <v>176</v>
      </c>
      <c r="D121" s="1">
        <v>320000</v>
      </c>
      <c r="E121" s="10" t="s">
        <v>201</v>
      </c>
      <c r="F121" s="5">
        <v>19910</v>
      </c>
      <c r="G121" s="6">
        <v>75000</v>
      </c>
      <c r="H121" s="7">
        <v>85</v>
      </c>
      <c r="I121" s="8">
        <f t="shared" si="4"/>
        <v>1269262500</v>
      </c>
      <c r="J121" s="9"/>
      <c r="K121" s="8">
        <f t="shared" si="9"/>
        <v>126926250</v>
      </c>
      <c r="L121" s="8">
        <f t="shared" si="7"/>
        <v>1396188750</v>
      </c>
      <c r="M121" s="10" t="s">
        <v>296</v>
      </c>
      <c r="N121" s="13">
        <v>1396188750</v>
      </c>
      <c r="O121" s="8">
        <f t="shared" si="10"/>
        <v>0</v>
      </c>
      <c r="P121" s="26"/>
      <c r="Q121"/>
    </row>
    <row r="122" spans="1:17" ht="18.600000000000001" x14ac:dyDescent="0.25">
      <c r="A122" s="1">
        <v>121</v>
      </c>
      <c r="B122" s="1" t="s">
        <v>70</v>
      </c>
      <c r="C122" s="54" t="s">
        <v>176</v>
      </c>
      <c r="D122" s="1">
        <v>320000</v>
      </c>
      <c r="E122" s="10" t="s">
        <v>297</v>
      </c>
      <c r="F122" s="5">
        <v>20140</v>
      </c>
      <c r="G122" s="6">
        <v>75000</v>
      </c>
      <c r="H122" s="7">
        <v>85</v>
      </c>
      <c r="I122" s="8">
        <f t="shared" si="4"/>
        <v>1283925000</v>
      </c>
      <c r="J122" s="9"/>
      <c r="K122" s="8">
        <f t="shared" si="9"/>
        <v>128392500</v>
      </c>
      <c r="L122" s="8">
        <f t="shared" si="7"/>
        <v>1412317500</v>
      </c>
      <c r="M122" s="19" t="s">
        <v>298</v>
      </c>
      <c r="N122" s="13">
        <v>1412317500</v>
      </c>
      <c r="O122" s="8">
        <f t="shared" si="10"/>
        <v>0</v>
      </c>
      <c r="P122" s="26"/>
      <c r="Q122"/>
    </row>
    <row r="123" spans="1:17" ht="18.600000000000001" x14ac:dyDescent="0.25">
      <c r="A123" s="1">
        <v>122</v>
      </c>
      <c r="B123" s="1" t="s">
        <v>70</v>
      </c>
      <c r="C123" s="54" t="s">
        <v>176</v>
      </c>
      <c r="D123" s="1">
        <v>320000</v>
      </c>
      <c r="E123" s="10" t="s">
        <v>299</v>
      </c>
      <c r="F123" s="5">
        <v>18040</v>
      </c>
      <c r="G123" s="6">
        <v>75000</v>
      </c>
      <c r="H123" s="7">
        <v>85</v>
      </c>
      <c r="I123" s="8">
        <f t="shared" si="4"/>
        <v>1150050000</v>
      </c>
      <c r="J123" s="9"/>
      <c r="K123" s="8">
        <f t="shared" si="9"/>
        <v>115005000</v>
      </c>
      <c r="L123" s="8">
        <f t="shared" si="7"/>
        <v>1265055000</v>
      </c>
      <c r="M123" s="19" t="s">
        <v>298</v>
      </c>
      <c r="N123" s="13">
        <v>1265055000</v>
      </c>
      <c r="O123" s="8">
        <f t="shared" si="10"/>
        <v>0</v>
      </c>
      <c r="P123" s="26"/>
      <c r="Q123"/>
    </row>
    <row r="124" spans="1:17" x14ac:dyDescent="0.25">
      <c r="A124" s="1">
        <v>123</v>
      </c>
      <c r="B124" s="1" t="s">
        <v>70</v>
      </c>
      <c r="C124" s="54" t="s">
        <v>176</v>
      </c>
      <c r="D124" s="1">
        <v>320000</v>
      </c>
      <c r="E124" s="10" t="s">
        <v>300</v>
      </c>
      <c r="F124" s="5">
        <v>20040</v>
      </c>
      <c r="G124" s="6">
        <v>75000</v>
      </c>
      <c r="H124" s="7">
        <v>85</v>
      </c>
      <c r="I124" s="8">
        <f t="shared" si="4"/>
        <v>1277550000</v>
      </c>
      <c r="J124" s="9"/>
      <c r="K124" s="8">
        <f t="shared" si="9"/>
        <v>127755000</v>
      </c>
      <c r="L124" s="8">
        <f t="shared" si="7"/>
        <v>1405305000</v>
      </c>
      <c r="M124" s="10" t="s">
        <v>273</v>
      </c>
      <c r="N124" s="13">
        <v>1405305000</v>
      </c>
      <c r="O124" s="8">
        <f t="shared" si="10"/>
        <v>0</v>
      </c>
      <c r="P124" s="26"/>
      <c r="Q124"/>
    </row>
    <row r="125" spans="1:17" x14ac:dyDescent="0.25">
      <c r="A125" s="1">
        <v>124</v>
      </c>
      <c r="B125" s="1" t="s">
        <v>70</v>
      </c>
      <c r="C125" s="54" t="s">
        <v>176</v>
      </c>
      <c r="D125" s="1">
        <v>320000</v>
      </c>
      <c r="E125" s="10" t="s">
        <v>301</v>
      </c>
      <c r="F125" s="5">
        <v>19930</v>
      </c>
      <c r="G125" s="6">
        <v>75000</v>
      </c>
      <c r="H125" s="7">
        <v>85</v>
      </c>
      <c r="I125" s="8">
        <f t="shared" si="4"/>
        <v>1270537500</v>
      </c>
      <c r="J125" s="9"/>
      <c r="K125" s="8">
        <f t="shared" si="9"/>
        <v>127053750</v>
      </c>
      <c r="L125" s="8">
        <f t="shared" si="7"/>
        <v>1397591250</v>
      </c>
      <c r="M125" s="10" t="s">
        <v>276</v>
      </c>
      <c r="N125" s="13">
        <v>1397591250</v>
      </c>
      <c r="O125" s="8">
        <f t="shared" si="10"/>
        <v>0</v>
      </c>
      <c r="P125" s="26"/>
      <c r="Q125"/>
    </row>
    <row r="126" spans="1:17" x14ac:dyDescent="0.25">
      <c r="A126" s="1">
        <v>125</v>
      </c>
      <c r="B126" s="1" t="s">
        <v>70</v>
      </c>
      <c r="C126" s="54" t="s">
        <v>176</v>
      </c>
      <c r="D126" s="1">
        <v>320000</v>
      </c>
      <c r="E126" s="10" t="s">
        <v>280</v>
      </c>
      <c r="F126" s="5">
        <v>20255</v>
      </c>
      <c r="G126" s="6">
        <v>75000</v>
      </c>
      <c r="H126" s="7">
        <v>85</v>
      </c>
      <c r="I126" s="8">
        <f t="shared" si="4"/>
        <v>1291256250</v>
      </c>
      <c r="J126" s="9"/>
      <c r="K126" s="8">
        <f t="shared" si="9"/>
        <v>129125625</v>
      </c>
      <c r="L126" s="8">
        <f t="shared" si="7"/>
        <v>1420381875</v>
      </c>
      <c r="M126" s="10" t="s">
        <v>282</v>
      </c>
      <c r="N126" s="13">
        <v>1420381875</v>
      </c>
      <c r="O126" s="8">
        <f t="shared" si="10"/>
        <v>0</v>
      </c>
      <c r="P126" s="26"/>
      <c r="Q126"/>
    </row>
    <row r="127" spans="1:17" x14ac:dyDescent="0.25">
      <c r="A127" s="1">
        <v>126</v>
      </c>
      <c r="B127" s="1" t="s">
        <v>70</v>
      </c>
      <c r="C127" s="54" t="s">
        <v>176</v>
      </c>
      <c r="D127" s="1">
        <v>320000</v>
      </c>
      <c r="E127" s="10" t="s">
        <v>282</v>
      </c>
      <c r="F127" s="5">
        <v>20005</v>
      </c>
      <c r="G127" s="6">
        <v>75000</v>
      </c>
      <c r="H127" s="7">
        <v>85</v>
      </c>
      <c r="I127" s="8">
        <f t="shared" si="4"/>
        <v>1275318750</v>
      </c>
      <c r="J127" s="9"/>
      <c r="K127" s="8">
        <f t="shared" si="9"/>
        <v>127531875</v>
      </c>
      <c r="L127" s="8">
        <f t="shared" si="7"/>
        <v>1402850625</v>
      </c>
      <c r="M127" s="10" t="s">
        <v>302</v>
      </c>
      <c r="N127" s="13">
        <v>1402850625</v>
      </c>
      <c r="O127" s="8">
        <f t="shared" si="10"/>
        <v>0</v>
      </c>
      <c r="P127" s="26"/>
      <c r="Q127"/>
    </row>
    <row r="128" spans="1:17" ht="18.600000000000001" x14ac:dyDescent="0.25">
      <c r="A128" s="1">
        <v>127</v>
      </c>
      <c r="B128" s="1" t="s">
        <v>43</v>
      </c>
      <c r="C128" s="54" t="s">
        <v>308</v>
      </c>
      <c r="D128" s="1">
        <v>200000</v>
      </c>
      <c r="E128" s="20" t="s">
        <v>45</v>
      </c>
      <c r="F128" s="5">
        <v>27680</v>
      </c>
      <c r="G128" s="6">
        <v>70000</v>
      </c>
      <c r="H128" s="7">
        <v>70</v>
      </c>
      <c r="I128" s="8">
        <f t="shared" si="4"/>
        <v>1356320000</v>
      </c>
      <c r="J128" s="9"/>
      <c r="K128" s="8">
        <f>(I128/100)*10</f>
        <v>135632000</v>
      </c>
      <c r="L128" s="8">
        <f t="shared" si="7"/>
        <v>1491952000</v>
      </c>
      <c r="M128" s="10" t="s">
        <v>245</v>
      </c>
      <c r="N128" s="5">
        <v>1491952000</v>
      </c>
      <c r="O128" s="8">
        <f>L128-N128</f>
        <v>0</v>
      </c>
      <c r="P128" s="36" t="s">
        <v>303</v>
      </c>
      <c r="Q128"/>
    </row>
    <row r="129" spans="1:17" x14ac:dyDescent="0.25">
      <c r="A129" s="1">
        <v>128</v>
      </c>
      <c r="B129" s="1" t="s">
        <v>43</v>
      </c>
      <c r="C129" s="54" t="s">
        <v>308</v>
      </c>
      <c r="D129" s="1">
        <v>200000</v>
      </c>
      <c r="E129" s="10" t="s">
        <v>178</v>
      </c>
      <c r="F129" s="5">
        <v>18065</v>
      </c>
      <c r="G129" s="6">
        <v>70000</v>
      </c>
      <c r="H129" s="7">
        <v>70</v>
      </c>
      <c r="I129" s="8">
        <f t="shared" si="4"/>
        <v>885185000</v>
      </c>
      <c r="J129" s="9"/>
      <c r="K129" s="8">
        <f t="shared" ref="K129:K137" si="11">(I129/100)*10</f>
        <v>88518500</v>
      </c>
      <c r="L129" s="8">
        <f>I129+K129</f>
        <v>973703500</v>
      </c>
      <c r="M129" s="10" t="s">
        <v>195</v>
      </c>
      <c r="N129" s="13">
        <v>973703500</v>
      </c>
      <c r="O129" s="8">
        <f t="shared" ref="O129:O137" si="12">L129-N129</f>
        <v>0</v>
      </c>
      <c r="P129" s="26"/>
      <c r="Q129"/>
    </row>
    <row r="130" spans="1:17" x14ac:dyDescent="0.25">
      <c r="A130" s="1">
        <v>129</v>
      </c>
      <c r="B130" s="1" t="s">
        <v>43</v>
      </c>
      <c r="C130" s="54" t="s">
        <v>308</v>
      </c>
      <c r="D130" s="1">
        <v>200000</v>
      </c>
      <c r="E130" s="10" t="s">
        <v>178</v>
      </c>
      <c r="F130" s="5">
        <v>20070</v>
      </c>
      <c r="G130" s="6">
        <v>70000</v>
      </c>
      <c r="H130" s="7">
        <v>70</v>
      </c>
      <c r="I130" s="8">
        <f t="shared" ref="I130:I193" si="13">((F130*G130)/100)*H130</f>
        <v>983430000</v>
      </c>
      <c r="J130" s="9"/>
      <c r="K130" s="8">
        <f t="shared" si="11"/>
        <v>98343000</v>
      </c>
      <c r="L130" s="8">
        <f t="shared" si="7"/>
        <v>1081773000</v>
      </c>
      <c r="M130" s="10" t="s">
        <v>304</v>
      </c>
      <c r="N130" s="13">
        <v>1081773000</v>
      </c>
      <c r="O130" s="8">
        <f t="shared" si="12"/>
        <v>0</v>
      </c>
      <c r="P130" s="26"/>
      <c r="Q130"/>
    </row>
    <row r="131" spans="1:17" x14ac:dyDescent="0.25">
      <c r="A131" s="1">
        <v>130</v>
      </c>
      <c r="B131" s="1" t="s">
        <v>43</v>
      </c>
      <c r="C131" s="54" t="s">
        <v>308</v>
      </c>
      <c r="D131" s="1">
        <v>200000</v>
      </c>
      <c r="E131" s="10" t="s">
        <v>246</v>
      </c>
      <c r="F131" s="5">
        <v>20025</v>
      </c>
      <c r="G131" s="6">
        <v>70000</v>
      </c>
      <c r="H131" s="7">
        <v>70</v>
      </c>
      <c r="I131" s="8">
        <f t="shared" si="13"/>
        <v>981225000</v>
      </c>
      <c r="J131" s="9"/>
      <c r="K131" s="8">
        <f t="shared" si="11"/>
        <v>98122500</v>
      </c>
      <c r="L131" s="8">
        <f t="shared" si="7"/>
        <v>1079347500</v>
      </c>
      <c r="M131" s="10" t="s">
        <v>305</v>
      </c>
      <c r="N131" s="13">
        <v>1079347500</v>
      </c>
      <c r="O131" s="8">
        <f t="shared" si="12"/>
        <v>0</v>
      </c>
      <c r="P131" s="26"/>
      <c r="Q131"/>
    </row>
    <row r="132" spans="1:17" x14ac:dyDescent="0.25">
      <c r="A132" s="1">
        <v>131</v>
      </c>
      <c r="B132" s="1" t="s">
        <v>43</v>
      </c>
      <c r="C132" s="54" t="s">
        <v>308</v>
      </c>
      <c r="D132" s="1">
        <v>200000</v>
      </c>
      <c r="E132" s="10" t="s">
        <v>192</v>
      </c>
      <c r="F132" s="5">
        <v>17950</v>
      </c>
      <c r="G132" s="6">
        <v>70000</v>
      </c>
      <c r="H132" s="7">
        <v>70</v>
      </c>
      <c r="I132" s="8">
        <f t="shared" si="13"/>
        <v>879550000</v>
      </c>
      <c r="J132" s="9"/>
      <c r="K132" s="8">
        <f t="shared" si="11"/>
        <v>87955000</v>
      </c>
      <c r="L132" s="8">
        <f t="shared" si="7"/>
        <v>967505000</v>
      </c>
      <c r="M132" s="10" t="s">
        <v>247</v>
      </c>
      <c r="N132" s="13">
        <v>967505000</v>
      </c>
      <c r="O132" s="8">
        <f t="shared" si="12"/>
        <v>0</v>
      </c>
      <c r="P132" s="26"/>
      <c r="Q132"/>
    </row>
    <row r="133" spans="1:17" x14ac:dyDescent="0.25">
      <c r="A133" s="1">
        <v>132</v>
      </c>
      <c r="B133" s="1" t="s">
        <v>43</v>
      </c>
      <c r="C133" s="54" t="s">
        <v>308</v>
      </c>
      <c r="D133" s="1">
        <v>200000</v>
      </c>
      <c r="E133" s="10" t="s">
        <v>306</v>
      </c>
      <c r="F133" s="5">
        <v>18115</v>
      </c>
      <c r="G133" s="6">
        <v>70000</v>
      </c>
      <c r="H133" s="7">
        <v>70</v>
      </c>
      <c r="I133" s="8">
        <f t="shared" si="13"/>
        <v>887635000</v>
      </c>
      <c r="J133" s="9"/>
      <c r="K133" s="8">
        <f t="shared" si="11"/>
        <v>88763500</v>
      </c>
      <c r="L133" s="8">
        <f t="shared" si="7"/>
        <v>976398500</v>
      </c>
      <c r="M133" s="10" t="s">
        <v>247</v>
      </c>
      <c r="N133" s="13">
        <v>976398500</v>
      </c>
      <c r="O133" s="8">
        <f t="shared" si="12"/>
        <v>0</v>
      </c>
      <c r="P133" s="26"/>
      <c r="Q133"/>
    </row>
    <row r="134" spans="1:17" x14ac:dyDescent="0.25">
      <c r="A134" s="1">
        <v>133</v>
      </c>
      <c r="B134" s="1" t="s">
        <v>43</v>
      </c>
      <c r="C134" s="54" t="s">
        <v>308</v>
      </c>
      <c r="D134" s="1">
        <v>200000</v>
      </c>
      <c r="E134" s="10" t="s">
        <v>146</v>
      </c>
      <c r="F134" s="5">
        <v>18125</v>
      </c>
      <c r="G134" s="6">
        <v>70000</v>
      </c>
      <c r="H134" s="7">
        <v>70</v>
      </c>
      <c r="I134" s="8">
        <f t="shared" si="13"/>
        <v>888125000</v>
      </c>
      <c r="J134" s="9"/>
      <c r="K134" s="8">
        <f t="shared" si="11"/>
        <v>88812500</v>
      </c>
      <c r="L134" s="8">
        <f t="shared" si="7"/>
        <v>976937500</v>
      </c>
      <c r="M134" s="10" t="s">
        <v>168</v>
      </c>
      <c r="N134" s="13">
        <v>976937500</v>
      </c>
      <c r="O134" s="8">
        <f t="shared" si="12"/>
        <v>0</v>
      </c>
      <c r="P134" s="26"/>
      <c r="Q134"/>
    </row>
    <row r="135" spans="1:17" x14ac:dyDescent="0.25">
      <c r="A135" s="1">
        <v>134</v>
      </c>
      <c r="B135" s="1" t="s">
        <v>43</v>
      </c>
      <c r="C135" s="54" t="s">
        <v>308</v>
      </c>
      <c r="D135" s="1">
        <v>200000</v>
      </c>
      <c r="E135" s="10" t="s">
        <v>247</v>
      </c>
      <c r="F135" s="5">
        <v>18000</v>
      </c>
      <c r="G135" s="6">
        <v>70000</v>
      </c>
      <c r="H135" s="7">
        <v>70</v>
      </c>
      <c r="I135" s="8">
        <f t="shared" si="13"/>
        <v>882000000</v>
      </c>
      <c r="J135" s="9"/>
      <c r="K135" s="8">
        <f t="shared" si="11"/>
        <v>88200000</v>
      </c>
      <c r="L135" s="8">
        <f t="shared" si="7"/>
        <v>970200000</v>
      </c>
      <c r="M135" s="10" t="s">
        <v>168</v>
      </c>
      <c r="N135" s="13">
        <v>970200000</v>
      </c>
      <c r="O135" s="8">
        <f t="shared" si="12"/>
        <v>0</v>
      </c>
      <c r="P135" s="26"/>
      <c r="Q135"/>
    </row>
    <row r="136" spans="1:17" x14ac:dyDescent="0.25">
      <c r="A136" s="1">
        <v>135</v>
      </c>
      <c r="B136" s="1" t="s">
        <v>43</v>
      </c>
      <c r="C136" s="54" t="s">
        <v>308</v>
      </c>
      <c r="D136" s="1">
        <v>200000</v>
      </c>
      <c r="E136" s="10" t="s">
        <v>190</v>
      </c>
      <c r="F136" s="5">
        <v>22010</v>
      </c>
      <c r="G136" s="6">
        <v>70000</v>
      </c>
      <c r="H136" s="7">
        <v>70</v>
      </c>
      <c r="I136" s="8">
        <f t="shared" si="13"/>
        <v>1078490000</v>
      </c>
      <c r="J136" s="9"/>
      <c r="K136" s="8">
        <f t="shared" si="11"/>
        <v>107849000</v>
      </c>
      <c r="L136" s="8">
        <f t="shared" si="7"/>
        <v>1186339000</v>
      </c>
      <c r="M136" s="22" t="s">
        <v>168</v>
      </c>
      <c r="N136" s="13">
        <v>1186339000</v>
      </c>
      <c r="O136" s="8">
        <f t="shared" si="12"/>
        <v>0</v>
      </c>
      <c r="P136" s="26"/>
      <c r="Q136"/>
    </row>
    <row r="137" spans="1:17" x14ac:dyDescent="0.25">
      <c r="A137" s="1">
        <v>136</v>
      </c>
      <c r="B137" s="1" t="s">
        <v>43</v>
      </c>
      <c r="C137" s="54" t="s">
        <v>308</v>
      </c>
      <c r="D137" s="1">
        <v>200000</v>
      </c>
      <c r="E137" s="10" t="s">
        <v>168</v>
      </c>
      <c r="F137" s="5">
        <v>19960</v>
      </c>
      <c r="G137" s="6">
        <v>70000</v>
      </c>
      <c r="H137" s="7">
        <v>70</v>
      </c>
      <c r="I137" s="8">
        <f t="shared" si="13"/>
        <v>978040000</v>
      </c>
      <c r="J137" s="9"/>
      <c r="K137" s="8">
        <f t="shared" si="11"/>
        <v>97804000</v>
      </c>
      <c r="L137" s="8">
        <f t="shared" si="7"/>
        <v>1075844000</v>
      </c>
      <c r="M137" s="10" t="s">
        <v>185</v>
      </c>
      <c r="N137" s="13">
        <v>1075844000</v>
      </c>
      <c r="O137" s="8">
        <f t="shared" si="12"/>
        <v>0</v>
      </c>
      <c r="P137" s="26" t="s">
        <v>307</v>
      </c>
      <c r="Q137"/>
    </row>
    <row r="138" spans="1:17" x14ac:dyDescent="0.25">
      <c r="A138" s="1">
        <v>137</v>
      </c>
      <c r="B138" s="1" t="s">
        <v>43</v>
      </c>
      <c r="C138" s="54" t="s">
        <v>323</v>
      </c>
      <c r="D138" s="1">
        <v>300000</v>
      </c>
      <c r="E138" s="10" t="s">
        <v>168</v>
      </c>
      <c r="F138" s="5">
        <v>130</v>
      </c>
      <c r="G138" s="6">
        <v>80000</v>
      </c>
      <c r="H138" s="7">
        <v>80</v>
      </c>
      <c r="I138" s="8">
        <f t="shared" si="13"/>
        <v>8320000</v>
      </c>
      <c r="J138" s="9"/>
      <c r="K138" s="8">
        <f>(I138/100)*10</f>
        <v>832000</v>
      </c>
      <c r="L138" s="8">
        <f>I138+K138</f>
        <v>9152000</v>
      </c>
      <c r="M138" s="10" t="s">
        <v>185</v>
      </c>
      <c r="N138" s="5">
        <v>9152000</v>
      </c>
      <c r="O138" s="8">
        <f>L138-N138</f>
        <v>0</v>
      </c>
      <c r="P138" s="26" t="s">
        <v>309</v>
      </c>
      <c r="Q138"/>
    </row>
    <row r="139" spans="1:17" x14ac:dyDescent="0.25">
      <c r="A139" s="1">
        <v>138</v>
      </c>
      <c r="B139" s="1" t="s">
        <v>43</v>
      </c>
      <c r="C139" s="54" t="s">
        <v>323</v>
      </c>
      <c r="D139" s="1">
        <v>300000</v>
      </c>
      <c r="E139" s="10" t="s">
        <v>168</v>
      </c>
      <c r="F139" s="5">
        <v>14090</v>
      </c>
      <c r="G139" s="6">
        <v>80000</v>
      </c>
      <c r="H139" s="7">
        <v>80</v>
      </c>
      <c r="I139" s="8">
        <f t="shared" si="13"/>
        <v>901760000</v>
      </c>
      <c r="J139" s="9"/>
      <c r="K139" s="8">
        <f>(I139/100)*10</f>
        <v>90176000</v>
      </c>
      <c r="L139" s="8">
        <f t="shared" ref="L139:L168" si="14">I139+K139</f>
        <v>991936000</v>
      </c>
      <c r="M139" s="10" t="s">
        <v>185</v>
      </c>
      <c r="N139" s="13">
        <v>991936000</v>
      </c>
      <c r="O139" s="8">
        <f t="shared" ref="O139:O168" si="15">L139-N139</f>
        <v>0</v>
      </c>
      <c r="P139" s="26"/>
      <c r="Q139"/>
    </row>
    <row r="140" spans="1:17" x14ac:dyDescent="0.25">
      <c r="A140" s="1">
        <v>139</v>
      </c>
      <c r="B140" s="1" t="s">
        <v>43</v>
      </c>
      <c r="C140" s="54" t="s">
        <v>323</v>
      </c>
      <c r="D140" s="1">
        <v>300000</v>
      </c>
      <c r="E140" s="10" t="s">
        <v>183</v>
      </c>
      <c r="F140" s="5">
        <v>20015</v>
      </c>
      <c r="G140" s="6">
        <v>80000</v>
      </c>
      <c r="H140" s="7">
        <v>80</v>
      </c>
      <c r="I140" s="8">
        <f t="shared" si="13"/>
        <v>1280960000</v>
      </c>
      <c r="J140" s="9"/>
      <c r="K140" s="8">
        <f>(I140/100)*10</f>
        <v>128096000</v>
      </c>
      <c r="L140" s="8">
        <f t="shared" si="14"/>
        <v>1409056000</v>
      </c>
      <c r="M140" s="10" t="s">
        <v>251</v>
      </c>
      <c r="N140" s="13">
        <v>1409056000</v>
      </c>
      <c r="O140" s="8">
        <f t="shared" si="15"/>
        <v>0</v>
      </c>
      <c r="P140" s="26"/>
      <c r="Q140"/>
    </row>
    <row r="141" spans="1:17" x14ac:dyDescent="0.25">
      <c r="A141" s="1">
        <v>140</v>
      </c>
      <c r="B141" s="1" t="s">
        <v>43</v>
      </c>
      <c r="C141" s="54" t="s">
        <v>323</v>
      </c>
      <c r="D141" s="1">
        <v>300000</v>
      </c>
      <c r="E141" s="10" t="s">
        <v>196</v>
      </c>
      <c r="F141" s="5">
        <v>18020</v>
      </c>
      <c r="G141" s="6">
        <v>80000</v>
      </c>
      <c r="H141" s="7">
        <v>80</v>
      </c>
      <c r="I141" s="8">
        <f t="shared" si="13"/>
        <v>1153280000</v>
      </c>
      <c r="J141" s="9"/>
      <c r="K141" s="8">
        <f t="shared" ref="K141:K168" si="16">(I141/100)*10</f>
        <v>115328000</v>
      </c>
      <c r="L141" s="8">
        <f t="shared" si="14"/>
        <v>1268608000</v>
      </c>
      <c r="M141" s="10" t="s">
        <v>193</v>
      </c>
      <c r="N141" s="13">
        <v>1268608000</v>
      </c>
      <c r="O141" s="8">
        <f t="shared" si="15"/>
        <v>0</v>
      </c>
      <c r="P141" s="26"/>
      <c r="Q141"/>
    </row>
    <row r="142" spans="1:17" x14ac:dyDescent="0.25">
      <c r="A142" s="1">
        <v>141</v>
      </c>
      <c r="B142" s="1" t="s">
        <v>43</v>
      </c>
      <c r="C142" s="54" t="s">
        <v>323</v>
      </c>
      <c r="D142" s="1">
        <v>300000</v>
      </c>
      <c r="E142" s="10" t="s">
        <v>251</v>
      </c>
      <c r="F142" s="5">
        <v>20310</v>
      </c>
      <c r="G142" s="6">
        <v>80000</v>
      </c>
      <c r="H142" s="7">
        <v>80</v>
      </c>
      <c r="I142" s="8">
        <f t="shared" si="13"/>
        <v>1299840000</v>
      </c>
      <c r="J142" s="9"/>
      <c r="K142" s="8">
        <f t="shared" si="16"/>
        <v>129984000</v>
      </c>
      <c r="L142" s="8">
        <f t="shared" si="14"/>
        <v>1429824000</v>
      </c>
      <c r="M142" s="10" t="s">
        <v>252</v>
      </c>
      <c r="N142" s="13">
        <v>1429824000</v>
      </c>
      <c r="O142" s="8">
        <f t="shared" si="15"/>
        <v>0</v>
      </c>
      <c r="P142" s="26"/>
      <c r="Q142"/>
    </row>
    <row r="143" spans="1:17" x14ac:dyDescent="0.25">
      <c r="A143" s="1">
        <v>142</v>
      </c>
      <c r="B143" s="1" t="s">
        <v>43</v>
      </c>
      <c r="C143" s="54" t="s">
        <v>323</v>
      </c>
      <c r="D143" s="1">
        <v>300000</v>
      </c>
      <c r="E143" s="10" t="s">
        <v>193</v>
      </c>
      <c r="F143" s="5">
        <v>20050</v>
      </c>
      <c r="G143" s="6">
        <v>80000</v>
      </c>
      <c r="H143" s="7">
        <v>80</v>
      </c>
      <c r="I143" s="8">
        <f t="shared" si="13"/>
        <v>1283200000</v>
      </c>
      <c r="J143" s="9"/>
      <c r="K143" s="8">
        <f t="shared" si="16"/>
        <v>128320000</v>
      </c>
      <c r="L143" s="8">
        <f t="shared" si="14"/>
        <v>1411520000</v>
      </c>
      <c r="M143" s="10" t="s">
        <v>108</v>
      </c>
      <c r="N143" s="13">
        <v>1411523000</v>
      </c>
      <c r="O143" s="8">
        <f t="shared" si="15"/>
        <v>-3000</v>
      </c>
      <c r="P143" s="26"/>
      <c r="Q143"/>
    </row>
    <row r="144" spans="1:17" x14ac:dyDescent="0.25">
      <c r="A144" s="1">
        <v>143</v>
      </c>
      <c r="B144" s="1" t="s">
        <v>43</v>
      </c>
      <c r="C144" s="54" t="s">
        <v>323</v>
      </c>
      <c r="D144" s="1">
        <v>300000</v>
      </c>
      <c r="E144" s="10" t="s">
        <v>217</v>
      </c>
      <c r="F144" s="5">
        <v>21940</v>
      </c>
      <c r="G144" s="6">
        <v>80000</v>
      </c>
      <c r="H144" s="7">
        <v>80</v>
      </c>
      <c r="I144" s="8">
        <f t="shared" si="13"/>
        <v>1404160000</v>
      </c>
      <c r="J144" s="9"/>
      <c r="K144" s="8">
        <f t="shared" si="16"/>
        <v>140416000</v>
      </c>
      <c r="L144" s="8">
        <f t="shared" si="14"/>
        <v>1544576000</v>
      </c>
      <c r="M144" s="10" t="s">
        <v>200</v>
      </c>
      <c r="N144" s="13">
        <v>1544586000</v>
      </c>
      <c r="O144" s="8">
        <f t="shared" si="15"/>
        <v>-10000</v>
      </c>
      <c r="P144" s="26"/>
      <c r="Q144"/>
    </row>
    <row r="145" spans="1:17" x14ac:dyDescent="0.25">
      <c r="A145" s="1">
        <v>144</v>
      </c>
      <c r="B145" s="1" t="s">
        <v>43</v>
      </c>
      <c r="C145" s="54" t="s">
        <v>323</v>
      </c>
      <c r="D145" s="1">
        <v>300000</v>
      </c>
      <c r="E145" s="10" t="s">
        <v>166</v>
      </c>
      <c r="F145" s="5">
        <v>20100</v>
      </c>
      <c r="G145" s="6">
        <v>80000</v>
      </c>
      <c r="H145" s="7">
        <v>80</v>
      </c>
      <c r="I145" s="8">
        <f t="shared" si="13"/>
        <v>1286400000</v>
      </c>
      <c r="J145" s="9"/>
      <c r="K145" s="8">
        <f t="shared" si="16"/>
        <v>128640000</v>
      </c>
      <c r="L145" s="8">
        <f t="shared" si="14"/>
        <v>1415040000</v>
      </c>
      <c r="M145" s="10" t="s">
        <v>160</v>
      </c>
      <c r="N145" s="13">
        <v>1415040000</v>
      </c>
      <c r="O145" s="8">
        <f t="shared" si="15"/>
        <v>0</v>
      </c>
      <c r="P145" s="26"/>
      <c r="Q145"/>
    </row>
    <row r="146" spans="1:17" x14ac:dyDescent="0.25">
      <c r="A146" s="1">
        <v>145</v>
      </c>
      <c r="B146" s="1" t="s">
        <v>43</v>
      </c>
      <c r="C146" s="54" t="s">
        <v>323</v>
      </c>
      <c r="D146" s="1">
        <v>300000</v>
      </c>
      <c r="E146" s="10" t="s">
        <v>256</v>
      </c>
      <c r="F146" s="5">
        <v>18090</v>
      </c>
      <c r="G146" s="6">
        <v>80000</v>
      </c>
      <c r="H146" s="7">
        <v>80</v>
      </c>
      <c r="I146" s="8">
        <f t="shared" si="13"/>
        <v>1157760000</v>
      </c>
      <c r="J146" s="9"/>
      <c r="K146" s="8">
        <f t="shared" si="16"/>
        <v>115776000</v>
      </c>
      <c r="L146" s="8">
        <f t="shared" si="14"/>
        <v>1273536000</v>
      </c>
      <c r="M146" s="10" t="s">
        <v>62</v>
      </c>
      <c r="N146" s="13">
        <v>1273536000</v>
      </c>
      <c r="O146" s="8">
        <f t="shared" si="15"/>
        <v>0</v>
      </c>
      <c r="P146" s="26"/>
      <c r="Q146"/>
    </row>
    <row r="147" spans="1:17" x14ac:dyDescent="0.25">
      <c r="A147" s="1">
        <v>146</v>
      </c>
      <c r="B147" s="1" t="s">
        <v>43</v>
      </c>
      <c r="C147" s="54" t="s">
        <v>323</v>
      </c>
      <c r="D147" s="1">
        <v>300000</v>
      </c>
      <c r="E147" s="10" t="s">
        <v>310</v>
      </c>
      <c r="F147" s="5">
        <v>5290</v>
      </c>
      <c r="G147" s="6">
        <v>80000</v>
      </c>
      <c r="H147" s="7">
        <v>80</v>
      </c>
      <c r="I147" s="8">
        <f t="shared" si="13"/>
        <v>338560000</v>
      </c>
      <c r="J147" s="9"/>
      <c r="K147" s="8">
        <f t="shared" si="16"/>
        <v>33856000</v>
      </c>
      <c r="L147" s="8">
        <f t="shared" si="14"/>
        <v>372416000</v>
      </c>
      <c r="M147" s="10" t="s">
        <v>62</v>
      </c>
      <c r="N147" s="13">
        <v>372416000</v>
      </c>
      <c r="O147" s="8">
        <f t="shared" si="15"/>
        <v>0</v>
      </c>
      <c r="P147" s="26"/>
      <c r="Q147"/>
    </row>
    <row r="148" spans="1:17" x14ac:dyDescent="0.25">
      <c r="A148" s="1">
        <v>147</v>
      </c>
      <c r="B148" s="1" t="s">
        <v>43</v>
      </c>
      <c r="C148" s="54" t="s">
        <v>323</v>
      </c>
      <c r="D148" s="1">
        <v>300000</v>
      </c>
      <c r="E148" s="10" t="s">
        <v>311</v>
      </c>
      <c r="F148" s="5">
        <v>5380</v>
      </c>
      <c r="G148" s="6">
        <v>80000</v>
      </c>
      <c r="H148" s="7">
        <v>80</v>
      </c>
      <c r="I148" s="8">
        <f t="shared" si="13"/>
        <v>344320000</v>
      </c>
      <c r="J148" s="9"/>
      <c r="K148" s="8">
        <f t="shared" si="16"/>
        <v>34432000</v>
      </c>
      <c r="L148" s="8">
        <f t="shared" si="14"/>
        <v>378752000</v>
      </c>
      <c r="M148" s="10" t="s">
        <v>62</v>
      </c>
      <c r="N148" s="13">
        <v>378752000</v>
      </c>
      <c r="O148" s="8">
        <f t="shared" si="15"/>
        <v>0</v>
      </c>
      <c r="P148" s="26"/>
      <c r="Q148"/>
    </row>
    <row r="149" spans="1:17" x14ac:dyDescent="0.25">
      <c r="A149" s="1">
        <v>148</v>
      </c>
      <c r="B149" s="1" t="s">
        <v>43</v>
      </c>
      <c r="C149" s="54" t="s">
        <v>323</v>
      </c>
      <c r="D149" s="1">
        <v>300000</v>
      </c>
      <c r="E149" s="10" t="s">
        <v>311</v>
      </c>
      <c r="F149" s="5">
        <v>5325</v>
      </c>
      <c r="G149" s="6">
        <v>80000</v>
      </c>
      <c r="H149" s="7">
        <v>80</v>
      </c>
      <c r="I149" s="8">
        <f t="shared" si="13"/>
        <v>340800000</v>
      </c>
      <c r="J149" s="9"/>
      <c r="K149" s="8">
        <f t="shared" si="16"/>
        <v>34080000</v>
      </c>
      <c r="L149" s="8">
        <f t="shared" si="14"/>
        <v>374880000</v>
      </c>
      <c r="M149" s="10" t="s">
        <v>62</v>
      </c>
      <c r="N149" s="13">
        <v>374880000</v>
      </c>
      <c r="O149" s="8">
        <f t="shared" si="15"/>
        <v>0</v>
      </c>
      <c r="P149" s="26"/>
      <c r="Q149"/>
    </row>
    <row r="150" spans="1:17" x14ac:dyDescent="0.25">
      <c r="A150" s="1">
        <v>149</v>
      </c>
      <c r="B150" s="1" t="s">
        <v>43</v>
      </c>
      <c r="C150" s="54" t="s">
        <v>323</v>
      </c>
      <c r="D150" s="1">
        <v>300000</v>
      </c>
      <c r="E150" s="10" t="s">
        <v>311</v>
      </c>
      <c r="F150" s="5">
        <v>5465</v>
      </c>
      <c r="G150" s="6">
        <v>80000</v>
      </c>
      <c r="H150" s="7">
        <v>80</v>
      </c>
      <c r="I150" s="8">
        <f t="shared" si="13"/>
        <v>349760000</v>
      </c>
      <c r="J150" s="9"/>
      <c r="K150" s="8">
        <f t="shared" si="16"/>
        <v>34976000</v>
      </c>
      <c r="L150" s="8">
        <f t="shared" si="14"/>
        <v>384736000</v>
      </c>
      <c r="M150" s="10" t="s">
        <v>62</v>
      </c>
      <c r="N150" s="13">
        <v>384736000</v>
      </c>
      <c r="O150" s="8">
        <f t="shared" si="15"/>
        <v>0</v>
      </c>
      <c r="P150" s="26"/>
      <c r="Q150"/>
    </row>
    <row r="151" spans="1:17" x14ac:dyDescent="0.25">
      <c r="A151" s="1">
        <v>150</v>
      </c>
      <c r="B151" s="1" t="s">
        <v>43</v>
      </c>
      <c r="C151" s="54" t="s">
        <v>323</v>
      </c>
      <c r="D151" s="1">
        <v>300000</v>
      </c>
      <c r="E151" s="10" t="s">
        <v>312</v>
      </c>
      <c r="F151" s="5">
        <v>5305</v>
      </c>
      <c r="G151" s="6">
        <v>80000</v>
      </c>
      <c r="H151" s="7">
        <v>80</v>
      </c>
      <c r="I151" s="8">
        <f t="shared" si="13"/>
        <v>339520000</v>
      </c>
      <c r="J151" s="9"/>
      <c r="K151" s="8">
        <f t="shared" si="16"/>
        <v>33952000</v>
      </c>
      <c r="L151" s="8">
        <f t="shared" si="14"/>
        <v>373472000</v>
      </c>
      <c r="M151" s="10" t="s">
        <v>62</v>
      </c>
      <c r="N151" s="13">
        <v>373472000</v>
      </c>
      <c r="O151" s="8">
        <f t="shared" si="15"/>
        <v>0</v>
      </c>
      <c r="P151" s="26"/>
      <c r="Q151"/>
    </row>
    <row r="152" spans="1:17" x14ac:dyDescent="0.25">
      <c r="A152" s="1">
        <v>151</v>
      </c>
      <c r="B152" s="1" t="s">
        <v>43</v>
      </c>
      <c r="C152" s="54" t="s">
        <v>323</v>
      </c>
      <c r="D152" s="1">
        <v>300000</v>
      </c>
      <c r="E152" s="10" t="s">
        <v>312</v>
      </c>
      <c r="F152" s="5">
        <v>5440</v>
      </c>
      <c r="G152" s="6">
        <v>80000</v>
      </c>
      <c r="H152" s="7">
        <v>80</v>
      </c>
      <c r="I152" s="8">
        <f t="shared" si="13"/>
        <v>348160000</v>
      </c>
      <c r="J152" s="9"/>
      <c r="K152" s="8">
        <f t="shared" si="16"/>
        <v>34816000</v>
      </c>
      <c r="L152" s="8">
        <f t="shared" si="14"/>
        <v>382976000</v>
      </c>
      <c r="M152" s="10" t="s">
        <v>62</v>
      </c>
      <c r="N152" s="13">
        <v>382976000</v>
      </c>
      <c r="O152" s="8">
        <f t="shared" si="15"/>
        <v>0</v>
      </c>
      <c r="P152" s="26"/>
      <c r="Q152"/>
    </row>
    <row r="153" spans="1:17" x14ac:dyDescent="0.25">
      <c r="A153" s="1">
        <v>152</v>
      </c>
      <c r="B153" s="1" t="s">
        <v>43</v>
      </c>
      <c r="C153" s="54" t="s">
        <v>323</v>
      </c>
      <c r="D153" s="1">
        <v>300000</v>
      </c>
      <c r="E153" s="10" t="s">
        <v>297</v>
      </c>
      <c r="F153" s="5">
        <v>5420</v>
      </c>
      <c r="G153" s="6">
        <v>80000</v>
      </c>
      <c r="H153" s="7">
        <v>80</v>
      </c>
      <c r="I153" s="8">
        <f t="shared" si="13"/>
        <v>346880000</v>
      </c>
      <c r="J153" s="9"/>
      <c r="K153" s="8">
        <f t="shared" si="16"/>
        <v>34688000</v>
      </c>
      <c r="L153" s="8">
        <f t="shared" si="14"/>
        <v>381568000</v>
      </c>
      <c r="M153" s="10" t="s">
        <v>62</v>
      </c>
      <c r="N153" s="13">
        <v>381568000</v>
      </c>
      <c r="O153" s="8">
        <f t="shared" si="15"/>
        <v>0</v>
      </c>
      <c r="P153" s="26">
        <v>2276384000</v>
      </c>
      <c r="Q153"/>
    </row>
    <row r="154" spans="1:17" x14ac:dyDescent="0.25">
      <c r="A154" s="1">
        <v>153</v>
      </c>
      <c r="B154" s="1" t="s">
        <v>43</v>
      </c>
      <c r="C154" s="54" t="s">
        <v>323</v>
      </c>
      <c r="D154" s="1">
        <v>300000</v>
      </c>
      <c r="E154" s="10" t="s">
        <v>297</v>
      </c>
      <c r="F154" s="5">
        <v>5355</v>
      </c>
      <c r="G154" s="6">
        <v>80000</v>
      </c>
      <c r="H154" s="7">
        <v>80</v>
      </c>
      <c r="I154" s="8">
        <f t="shared" si="13"/>
        <v>342720000</v>
      </c>
      <c r="J154" s="9"/>
      <c r="K154" s="8">
        <f t="shared" si="16"/>
        <v>34272000</v>
      </c>
      <c r="L154" s="8">
        <f t="shared" si="14"/>
        <v>376992000</v>
      </c>
      <c r="M154" s="10" t="s">
        <v>62</v>
      </c>
      <c r="N154" s="13">
        <v>376992000</v>
      </c>
      <c r="O154" s="8">
        <f t="shared" si="15"/>
        <v>0</v>
      </c>
      <c r="P154" s="26"/>
      <c r="Q154"/>
    </row>
    <row r="155" spans="1:17" x14ac:dyDescent="0.25">
      <c r="A155" s="1">
        <v>154</v>
      </c>
      <c r="B155" s="1" t="s">
        <v>43</v>
      </c>
      <c r="C155" s="54" t="s">
        <v>323</v>
      </c>
      <c r="D155" s="1">
        <v>300000</v>
      </c>
      <c r="E155" s="10" t="s">
        <v>313</v>
      </c>
      <c r="F155" s="5">
        <v>5290</v>
      </c>
      <c r="G155" s="6">
        <v>80000</v>
      </c>
      <c r="H155" s="7">
        <v>80</v>
      </c>
      <c r="I155" s="8">
        <f t="shared" si="13"/>
        <v>338560000</v>
      </c>
      <c r="J155" s="9"/>
      <c r="K155" s="8">
        <f t="shared" si="16"/>
        <v>33856000</v>
      </c>
      <c r="L155" s="8">
        <f t="shared" si="14"/>
        <v>372416000</v>
      </c>
      <c r="M155" s="10" t="s">
        <v>62</v>
      </c>
      <c r="N155" s="13">
        <v>372416000</v>
      </c>
      <c r="O155" s="8">
        <f t="shared" si="15"/>
        <v>0</v>
      </c>
      <c r="P155" s="26"/>
      <c r="Q155"/>
    </row>
    <row r="156" spans="1:17" x14ac:dyDescent="0.25">
      <c r="A156" s="1">
        <v>155</v>
      </c>
      <c r="B156" s="1" t="s">
        <v>43</v>
      </c>
      <c r="C156" s="54" t="s">
        <v>323</v>
      </c>
      <c r="D156" s="1">
        <v>300000</v>
      </c>
      <c r="E156" s="10" t="s">
        <v>314</v>
      </c>
      <c r="F156" s="5">
        <v>5405</v>
      </c>
      <c r="G156" s="6">
        <v>80000</v>
      </c>
      <c r="H156" s="7">
        <v>80</v>
      </c>
      <c r="I156" s="8">
        <f t="shared" si="13"/>
        <v>345920000</v>
      </c>
      <c r="J156" s="9"/>
      <c r="K156" s="8">
        <f t="shared" si="16"/>
        <v>34592000</v>
      </c>
      <c r="L156" s="8">
        <f t="shared" si="14"/>
        <v>380512000</v>
      </c>
      <c r="M156" s="10" t="s">
        <v>62</v>
      </c>
      <c r="N156" s="13">
        <v>380512000</v>
      </c>
      <c r="O156" s="8">
        <f t="shared" si="15"/>
        <v>0</v>
      </c>
      <c r="P156" s="26"/>
      <c r="Q156"/>
    </row>
    <row r="157" spans="1:17" x14ac:dyDescent="0.25">
      <c r="A157" s="1">
        <v>156</v>
      </c>
      <c r="B157" s="1" t="s">
        <v>43</v>
      </c>
      <c r="C157" s="54" t="s">
        <v>323</v>
      </c>
      <c r="D157" s="1">
        <v>300000</v>
      </c>
      <c r="E157" s="10" t="s">
        <v>314</v>
      </c>
      <c r="F157" s="5">
        <v>5390</v>
      </c>
      <c r="G157" s="6">
        <v>80000</v>
      </c>
      <c r="H157" s="7">
        <v>80</v>
      </c>
      <c r="I157" s="8">
        <f t="shared" si="13"/>
        <v>344960000</v>
      </c>
      <c r="J157" s="9"/>
      <c r="K157" s="8">
        <f t="shared" si="16"/>
        <v>34496000</v>
      </c>
      <c r="L157" s="8">
        <f t="shared" si="14"/>
        <v>379456000</v>
      </c>
      <c r="M157" s="10" t="s">
        <v>62</v>
      </c>
      <c r="N157" s="13">
        <v>379456000</v>
      </c>
      <c r="O157" s="8">
        <f t="shared" si="15"/>
        <v>0</v>
      </c>
      <c r="P157" s="26"/>
      <c r="Q157"/>
    </row>
    <row r="158" spans="1:17" x14ac:dyDescent="0.25">
      <c r="A158" s="1">
        <v>157</v>
      </c>
      <c r="B158" s="1" t="s">
        <v>43</v>
      </c>
      <c r="C158" s="54" t="s">
        <v>323</v>
      </c>
      <c r="D158" s="1">
        <v>300000</v>
      </c>
      <c r="E158" s="10" t="s">
        <v>315</v>
      </c>
      <c r="F158" s="5">
        <v>5435</v>
      </c>
      <c r="G158" s="6">
        <v>80000</v>
      </c>
      <c r="H158" s="7">
        <v>80</v>
      </c>
      <c r="I158" s="8">
        <f t="shared" si="13"/>
        <v>347840000</v>
      </c>
      <c r="J158" s="9"/>
      <c r="K158" s="8">
        <f t="shared" si="16"/>
        <v>34784000</v>
      </c>
      <c r="L158" s="8">
        <f t="shared" si="14"/>
        <v>382624000</v>
      </c>
      <c r="M158" s="10" t="s">
        <v>62</v>
      </c>
      <c r="N158" s="13">
        <v>382624000</v>
      </c>
      <c r="O158" s="8">
        <f t="shared" si="15"/>
        <v>0</v>
      </c>
      <c r="P158" s="26"/>
      <c r="Q158"/>
    </row>
    <row r="159" spans="1:17" x14ac:dyDescent="0.25">
      <c r="A159" s="1">
        <v>158</v>
      </c>
      <c r="B159" s="1" t="s">
        <v>43</v>
      </c>
      <c r="C159" s="54" t="s">
        <v>323</v>
      </c>
      <c r="D159" s="1">
        <v>300000</v>
      </c>
      <c r="E159" s="10" t="s">
        <v>315</v>
      </c>
      <c r="F159" s="5">
        <v>5405</v>
      </c>
      <c r="G159" s="6">
        <v>80000</v>
      </c>
      <c r="H159" s="7">
        <v>80</v>
      </c>
      <c r="I159" s="8">
        <f t="shared" si="13"/>
        <v>345920000</v>
      </c>
      <c r="J159" s="9"/>
      <c r="K159" s="8">
        <f t="shared" si="16"/>
        <v>34592000</v>
      </c>
      <c r="L159" s="8">
        <f t="shared" si="14"/>
        <v>380512000</v>
      </c>
      <c r="M159" s="10" t="s">
        <v>62</v>
      </c>
      <c r="N159" s="13">
        <v>380512000</v>
      </c>
      <c r="O159" s="8">
        <f t="shared" si="15"/>
        <v>0</v>
      </c>
      <c r="P159" s="26">
        <v>2272512000</v>
      </c>
      <c r="Q159"/>
    </row>
    <row r="160" spans="1:17" x14ac:dyDescent="0.25">
      <c r="A160" s="1">
        <v>159</v>
      </c>
      <c r="B160" s="1" t="s">
        <v>43</v>
      </c>
      <c r="C160" s="54" t="s">
        <v>323</v>
      </c>
      <c r="D160" s="1">
        <v>300000</v>
      </c>
      <c r="E160" s="10" t="s">
        <v>61</v>
      </c>
      <c r="F160" s="5">
        <v>5445</v>
      </c>
      <c r="G160" s="6">
        <v>80000</v>
      </c>
      <c r="H160" s="7">
        <v>80</v>
      </c>
      <c r="I160" s="8">
        <f t="shared" si="13"/>
        <v>348480000</v>
      </c>
      <c r="J160" s="9"/>
      <c r="K160" s="8">
        <f t="shared" si="16"/>
        <v>34848000</v>
      </c>
      <c r="L160" s="8">
        <f t="shared" si="14"/>
        <v>383328000</v>
      </c>
      <c r="M160" s="10" t="s">
        <v>316</v>
      </c>
      <c r="N160" s="13">
        <v>383328000</v>
      </c>
      <c r="O160" s="8">
        <f t="shared" si="15"/>
        <v>0</v>
      </c>
      <c r="P160" s="26"/>
      <c r="Q160"/>
    </row>
    <row r="161" spans="1:17" x14ac:dyDescent="0.25">
      <c r="A161" s="1">
        <v>160</v>
      </c>
      <c r="B161" s="1" t="s">
        <v>43</v>
      </c>
      <c r="C161" s="54" t="s">
        <v>323</v>
      </c>
      <c r="D161" s="1">
        <v>300000</v>
      </c>
      <c r="E161" s="10" t="s">
        <v>62</v>
      </c>
      <c r="F161" s="5">
        <v>5405</v>
      </c>
      <c r="G161" s="6">
        <v>80000</v>
      </c>
      <c r="H161" s="7">
        <v>80</v>
      </c>
      <c r="I161" s="8">
        <f t="shared" si="13"/>
        <v>345920000</v>
      </c>
      <c r="J161" s="9"/>
      <c r="K161" s="8">
        <f t="shared" si="16"/>
        <v>34592000</v>
      </c>
      <c r="L161" s="8">
        <f t="shared" si="14"/>
        <v>380512000</v>
      </c>
      <c r="M161" s="10" t="s">
        <v>316</v>
      </c>
      <c r="N161" s="13">
        <v>380512000</v>
      </c>
      <c r="O161" s="8">
        <f t="shared" si="15"/>
        <v>0</v>
      </c>
      <c r="P161" s="26"/>
      <c r="Q161"/>
    </row>
    <row r="162" spans="1:17" x14ac:dyDescent="0.25">
      <c r="A162" s="1">
        <v>161</v>
      </c>
      <c r="B162" s="1" t="s">
        <v>43</v>
      </c>
      <c r="C162" s="54" t="s">
        <v>323</v>
      </c>
      <c r="D162" s="1">
        <v>300000</v>
      </c>
      <c r="E162" s="10" t="s">
        <v>62</v>
      </c>
      <c r="F162" s="5">
        <v>5410</v>
      </c>
      <c r="G162" s="6">
        <v>80000</v>
      </c>
      <c r="H162" s="7">
        <v>80</v>
      </c>
      <c r="I162" s="8">
        <f t="shared" si="13"/>
        <v>346240000</v>
      </c>
      <c r="J162" s="9"/>
      <c r="K162" s="8">
        <f t="shared" si="16"/>
        <v>34624000</v>
      </c>
      <c r="L162" s="8">
        <f t="shared" si="14"/>
        <v>380864000</v>
      </c>
      <c r="M162" s="10" t="s">
        <v>317</v>
      </c>
      <c r="N162" s="13">
        <v>380864000</v>
      </c>
      <c r="O162" s="8">
        <f t="shared" si="15"/>
        <v>0</v>
      </c>
      <c r="P162" s="26"/>
      <c r="Q162"/>
    </row>
    <row r="163" spans="1:17" x14ac:dyDescent="0.25">
      <c r="A163" s="1">
        <v>162</v>
      </c>
      <c r="B163" s="1" t="s">
        <v>43</v>
      </c>
      <c r="C163" s="54" t="s">
        <v>323</v>
      </c>
      <c r="D163" s="1">
        <v>300000</v>
      </c>
      <c r="E163" s="10" t="s">
        <v>62</v>
      </c>
      <c r="F163" s="5">
        <v>5440</v>
      </c>
      <c r="G163" s="6">
        <v>80000</v>
      </c>
      <c r="H163" s="7">
        <v>80</v>
      </c>
      <c r="I163" s="8">
        <f t="shared" si="13"/>
        <v>348160000</v>
      </c>
      <c r="J163" s="9"/>
      <c r="K163" s="8">
        <f t="shared" si="16"/>
        <v>34816000</v>
      </c>
      <c r="L163" s="8">
        <f t="shared" si="14"/>
        <v>382976000</v>
      </c>
      <c r="M163" s="10" t="s">
        <v>317</v>
      </c>
      <c r="N163" s="13">
        <v>382976000</v>
      </c>
      <c r="O163" s="8">
        <f t="shared" si="15"/>
        <v>0</v>
      </c>
      <c r="P163" s="26"/>
      <c r="Q163"/>
    </row>
    <row r="164" spans="1:17" x14ac:dyDescent="0.25">
      <c r="A164" s="1">
        <v>163</v>
      </c>
      <c r="B164" s="1" t="s">
        <v>43</v>
      </c>
      <c r="C164" s="54" t="s">
        <v>323</v>
      </c>
      <c r="D164" s="1">
        <v>300000</v>
      </c>
      <c r="E164" s="10" t="s">
        <v>316</v>
      </c>
      <c r="F164" s="5">
        <v>5240</v>
      </c>
      <c r="G164" s="6">
        <v>80000</v>
      </c>
      <c r="H164" s="7">
        <v>80</v>
      </c>
      <c r="I164" s="8">
        <f t="shared" si="13"/>
        <v>335360000</v>
      </c>
      <c r="J164" s="9"/>
      <c r="K164" s="8">
        <f t="shared" si="16"/>
        <v>33536000</v>
      </c>
      <c r="L164" s="8">
        <f t="shared" si="14"/>
        <v>368896000</v>
      </c>
      <c r="M164" s="10" t="s">
        <v>317</v>
      </c>
      <c r="N164" s="13">
        <v>368896000</v>
      </c>
      <c r="O164" s="8">
        <f t="shared" si="15"/>
        <v>0</v>
      </c>
      <c r="P164" s="26"/>
      <c r="Q164"/>
    </row>
    <row r="165" spans="1:17" x14ac:dyDescent="0.25">
      <c r="A165" s="1">
        <v>164</v>
      </c>
      <c r="B165" s="1" t="s">
        <v>43</v>
      </c>
      <c r="C165" s="54" t="s">
        <v>323</v>
      </c>
      <c r="D165" s="1">
        <v>300000</v>
      </c>
      <c r="E165" s="10" t="s">
        <v>299</v>
      </c>
      <c r="F165" s="5">
        <v>5050</v>
      </c>
      <c r="G165" s="6">
        <v>80000</v>
      </c>
      <c r="H165" s="7">
        <v>80</v>
      </c>
      <c r="I165" s="8">
        <f t="shared" si="13"/>
        <v>323200000</v>
      </c>
      <c r="J165" s="9"/>
      <c r="K165" s="8">
        <f t="shared" si="16"/>
        <v>32320000</v>
      </c>
      <c r="L165" s="8">
        <f t="shared" si="14"/>
        <v>355520000</v>
      </c>
      <c r="M165" s="10" t="s">
        <v>318</v>
      </c>
      <c r="N165" s="13">
        <v>355520000</v>
      </c>
      <c r="O165" s="8">
        <f t="shared" si="15"/>
        <v>0</v>
      </c>
      <c r="P165" s="26"/>
      <c r="Q165"/>
    </row>
    <row r="166" spans="1:17" x14ac:dyDescent="0.25">
      <c r="A166" s="1">
        <v>165</v>
      </c>
      <c r="B166" s="1" t="s">
        <v>43</v>
      </c>
      <c r="C166" s="54" t="s">
        <v>323</v>
      </c>
      <c r="D166" s="1">
        <v>300000</v>
      </c>
      <c r="E166" s="10" t="s">
        <v>317</v>
      </c>
      <c r="F166" s="5">
        <v>12065</v>
      </c>
      <c r="G166" s="6">
        <v>80000</v>
      </c>
      <c r="H166" s="7">
        <v>80</v>
      </c>
      <c r="I166" s="8">
        <f t="shared" si="13"/>
        <v>772160000</v>
      </c>
      <c r="J166" s="9"/>
      <c r="K166" s="8">
        <f t="shared" si="16"/>
        <v>77216000</v>
      </c>
      <c r="L166" s="8">
        <f t="shared" si="14"/>
        <v>849376000</v>
      </c>
      <c r="M166" s="10" t="s">
        <v>268</v>
      </c>
      <c r="N166" s="13">
        <v>849376000</v>
      </c>
      <c r="O166" s="8">
        <f t="shared" si="15"/>
        <v>0</v>
      </c>
      <c r="P166" s="26"/>
      <c r="Q166"/>
    </row>
    <row r="167" spans="1:17" x14ac:dyDescent="0.25">
      <c r="A167" s="1">
        <v>166</v>
      </c>
      <c r="B167" s="1" t="s">
        <v>43</v>
      </c>
      <c r="C167" s="54" t="s">
        <v>323</v>
      </c>
      <c r="D167" s="1">
        <v>300000</v>
      </c>
      <c r="E167" s="10" t="s">
        <v>319</v>
      </c>
      <c r="F167" s="5">
        <v>19975</v>
      </c>
      <c r="G167" s="6">
        <v>80000</v>
      </c>
      <c r="H167" s="7">
        <v>80</v>
      </c>
      <c r="I167" s="8">
        <f t="shared" si="13"/>
        <v>1278400000</v>
      </c>
      <c r="J167" s="9"/>
      <c r="K167" s="8">
        <f t="shared" si="16"/>
        <v>127840000</v>
      </c>
      <c r="L167" s="8">
        <f t="shared" si="14"/>
        <v>1406240000</v>
      </c>
      <c r="M167" s="10" t="s">
        <v>320</v>
      </c>
      <c r="N167" s="13">
        <v>1406240000</v>
      </c>
      <c r="O167" s="8">
        <f>L167-N167</f>
        <v>0</v>
      </c>
      <c r="P167" s="26"/>
      <c r="Q167"/>
    </row>
    <row r="168" spans="1:17" x14ac:dyDescent="0.25">
      <c r="A168" s="1">
        <v>167</v>
      </c>
      <c r="B168" s="1" t="s">
        <v>43</v>
      </c>
      <c r="C168" s="54" t="s">
        <v>323</v>
      </c>
      <c r="D168" s="1">
        <v>300000</v>
      </c>
      <c r="E168" s="10" t="s">
        <v>270</v>
      </c>
      <c r="F168" s="5">
        <v>13320</v>
      </c>
      <c r="G168" s="6">
        <v>80000</v>
      </c>
      <c r="H168" s="7">
        <v>80</v>
      </c>
      <c r="I168" s="8">
        <f t="shared" si="13"/>
        <v>852480000</v>
      </c>
      <c r="J168" s="9"/>
      <c r="K168" s="8">
        <f t="shared" si="16"/>
        <v>85248000</v>
      </c>
      <c r="L168" s="8">
        <f t="shared" si="14"/>
        <v>937728000</v>
      </c>
      <c r="M168" s="10" t="s">
        <v>321</v>
      </c>
      <c r="N168" s="13">
        <v>937728000</v>
      </c>
      <c r="O168" s="8">
        <f t="shared" si="15"/>
        <v>0</v>
      </c>
      <c r="P168" s="26" t="s">
        <v>322</v>
      </c>
      <c r="Q168"/>
    </row>
    <row r="169" spans="1:17" x14ac:dyDescent="0.25">
      <c r="A169" s="1">
        <v>168</v>
      </c>
      <c r="B169" s="1" t="s">
        <v>43</v>
      </c>
      <c r="C169" s="54" t="s">
        <v>187</v>
      </c>
      <c r="D169" s="1">
        <v>1000000</v>
      </c>
      <c r="E169" s="10" t="s">
        <v>270</v>
      </c>
      <c r="F169" s="5">
        <v>7705</v>
      </c>
      <c r="G169" s="6">
        <v>80000</v>
      </c>
      <c r="H169" s="7">
        <v>80</v>
      </c>
      <c r="I169" s="8">
        <f t="shared" si="13"/>
        <v>493120000</v>
      </c>
      <c r="J169" s="9"/>
      <c r="K169" s="8">
        <f>(I169/100)*10</f>
        <v>49312000</v>
      </c>
      <c r="L169" s="8">
        <f>I169+K169</f>
        <v>542432000</v>
      </c>
      <c r="M169" s="10" t="s">
        <v>321</v>
      </c>
      <c r="N169" s="5">
        <v>542432000</v>
      </c>
      <c r="O169" s="8">
        <f>L169-N169</f>
        <v>0</v>
      </c>
      <c r="P169" s="26" t="s">
        <v>324</v>
      </c>
      <c r="Q169"/>
    </row>
    <row r="170" spans="1:17" x14ac:dyDescent="0.25">
      <c r="A170" s="1">
        <v>169</v>
      </c>
      <c r="B170" s="1" t="s">
        <v>43</v>
      </c>
      <c r="C170" s="54" t="s">
        <v>328</v>
      </c>
      <c r="D170" s="1">
        <v>1000000</v>
      </c>
      <c r="E170" s="10" t="s">
        <v>301</v>
      </c>
      <c r="F170" s="5">
        <v>20005</v>
      </c>
      <c r="G170" s="6">
        <v>80000</v>
      </c>
      <c r="H170" s="7">
        <v>80</v>
      </c>
      <c r="I170" s="8">
        <f t="shared" si="13"/>
        <v>1280320000</v>
      </c>
      <c r="J170" s="9"/>
      <c r="K170" s="8">
        <f>(I170/100)*10</f>
        <v>128032000</v>
      </c>
      <c r="L170" s="8">
        <f t="shared" ref="L170:L225" si="17">I170+K170</f>
        <v>1408352000</v>
      </c>
      <c r="M170" s="10" t="s">
        <v>325</v>
      </c>
      <c r="N170" s="13">
        <v>1408352000</v>
      </c>
      <c r="O170" s="8">
        <f>L170-N170</f>
        <v>0</v>
      </c>
      <c r="P170" s="26"/>
      <c r="Q170"/>
    </row>
    <row r="171" spans="1:17" x14ac:dyDescent="0.25">
      <c r="A171" s="1">
        <v>170</v>
      </c>
      <c r="B171" s="1" t="s">
        <v>43</v>
      </c>
      <c r="C171" s="54" t="s">
        <v>329</v>
      </c>
      <c r="D171" s="1">
        <v>1000000</v>
      </c>
      <c r="E171" s="10" t="s">
        <v>326</v>
      </c>
      <c r="F171" s="5">
        <v>20090</v>
      </c>
      <c r="G171" s="6">
        <v>80000</v>
      </c>
      <c r="H171" s="7">
        <v>80</v>
      </c>
      <c r="I171" s="8">
        <f t="shared" si="13"/>
        <v>1285760000</v>
      </c>
      <c r="J171" s="9"/>
      <c r="K171" s="8">
        <f t="shared" ref="K171:K172" si="18">(I171/100)*10</f>
        <v>128576000</v>
      </c>
      <c r="L171" s="8">
        <f t="shared" si="17"/>
        <v>1414336000</v>
      </c>
      <c r="M171" s="10"/>
      <c r="N171" s="13"/>
      <c r="O171" s="8">
        <f t="shared" ref="O171:O172" si="19">L171-N171</f>
        <v>1414336000</v>
      </c>
      <c r="P171" s="26"/>
      <c r="Q171"/>
    </row>
    <row r="172" spans="1:17" x14ac:dyDescent="0.25">
      <c r="A172" s="1">
        <v>171</v>
      </c>
      <c r="B172" s="1" t="s">
        <v>43</v>
      </c>
      <c r="C172" s="54" t="s">
        <v>330</v>
      </c>
      <c r="D172" s="1">
        <v>1000000</v>
      </c>
      <c r="E172" s="10" t="s">
        <v>327</v>
      </c>
      <c r="F172" s="5">
        <v>22020</v>
      </c>
      <c r="G172" s="6">
        <v>80000</v>
      </c>
      <c r="H172" s="7">
        <v>80</v>
      </c>
      <c r="I172" s="8">
        <f t="shared" si="13"/>
        <v>1409280000</v>
      </c>
      <c r="J172" s="9"/>
      <c r="K172" s="8">
        <f t="shared" si="18"/>
        <v>140928000</v>
      </c>
      <c r="L172" s="8">
        <f t="shared" si="17"/>
        <v>1550208000</v>
      </c>
      <c r="M172" s="10"/>
      <c r="N172" s="13"/>
      <c r="O172" s="8">
        <f t="shared" si="19"/>
        <v>1550208000</v>
      </c>
      <c r="P172" s="26"/>
      <c r="Q172"/>
    </row>
    <row r="173" spans="1:17" ht="15.6" x14ac:dyDescent="0.25">
      <c r="A173" s="1">
        <v>172</v>
      </c>
      <c r="B173" s="1" t="s">
        <v>67</v>
      </c>
      <c r="C173" s="54" t="s">
        <v>342</v>
      </c>
      <c r="D173" s="1">
        <v>4000000</v>
      </c>
      <c r="E173" s="11" t="s">
        <v>331</v>
      </c>
      <c r="F173" s="5">
        <v>2446220</v>
      </c>
      <c r="G173" s="6">
        <v>68500</v>
      </c>
      <c r="H173" s="7">
        <v>70</v>
      </c>
      <c r="I173" s="8">
        <f t="shared" si="13"/>
        <v>117296249000</v>
      </c>
      <c r="J173" s="9"/>
      <c r="K173" s="8">
        <f>(I173/100)*10</f>
        <v>11729624900</v>
      </c>
      <c r="L173" s="8">
        <f t="shared" si="17"/>
        <v>129025873900</v>
      </c>
      <c r="M173" s="20" t="s">
        <v>45</v>
      </c>
      <c r="N173" s="5">
        <v>129025873900</v>
      </c>
      <c r="O173" s="8">
        <f>L173-N173</f>
        <v>0</v>
      </c>
      <c r="P173" s="33" t="s">
        <v>332</v>
      </c>
      <c r="Q173"/>
    </row>
    <row r="174" spans="1:17" x14ac:dyDescent="0.25">
      <c r="A174" s="1">
        <v>173</v>
      </c>
      <c r="B174" s="1" t="s">
        <v>67</v>
      </c>
      <c r="C174" s="54" t="s">
        <v>342</v>
      </c>
      <c r="D174" s="1">
        <v>4000000</v>
      </c>
      <c r="E174" s="10" t="s">
        <v>240</v>
      </c>
      <c r="F174" s="5">
        <v>18090</v>
      </c>
      <c r="G174" s="6">
        <v>68500</v>
      </c>
      <c r="H174" s="7">
        <v>70</v>
      </c>
      <c r="I174" s="8">
        <f t="shared" si="13"/>
        <v>867415500</v>
      </c>
      <c r="J174" s="9"/>
      <c r="K174" s="8">
        <f t="shared" ref="K174:K213" si="20">(I174/100)*10</f>
        <v>86741550</v>
      </c>
      <c r="L174" s="8">
        <f t="shared" si="17"/>
        <v>954157050</v>
      </c>
      <c r="M174" s="10" t="s">
        <v>178</v>
      </c>
      <c r="N174" s="13">
        <v>954157050</v>
      </c>
      <c r="O174" s="8">
        <f t="shared" ref="O174:O213" si="21">L174-N174</f>
        <v>0</v>
      </c>
      <c r="P174" s="26"/>
      <c r="Q174"/>
    </row>
    <row r="175" spans="1:17" x14ac:dyDescent="0.25">
      <c r="A175" s="1">
        <v>174</v>
      </c>
      <c r="B175" s="1" t="s">
        <v>67</v>
      </c>
      <c r="C175" s="54" t="s">
        <v>342</v>
      </c>
      <c r="D175" s="1">
        <v>4000000</v>
      </c>
      <c r="E175" s="10" t="s">
        <v>162</v>
      </c>
      <c r="F175" s="5">
        <v>20060</v>
      </c>
      <c r="G175" s="6">
        <v>68500</v>
      </c>
      <c r="H175" s="7">
        <v>70</v>
      </c>
      <c r="I175" s="8">
        <f t="shared" si="13"/>
        <v>961877000</v>
      </c>
      <c r="J175" s="9"/>
      <c r="K175" s="8">
        <f t="shared" si="20"/>
        <v>96187700</v>
      </c>
      <c r="L175" s="8">
        <f t="shared" si="17"/>
        <v>1058064700</v>
      </c>
      <c r="M175" s="10" t="s">
        <v>178</v>
      </c>
      <c r="N175" s="13">
        <v>1058064700</v>
      </c>
      <c r="O175" s="8">
        <f t="shared" si="21"/>
        <v>0</v>
      </c>
      <c r="P175" s="26"/>
      <c r="Q175"/>
    </row>
    <row r="176" spans="1:17" x14ac:dyDescent="0.25">
      <c r="A176" s="1">
        <v>175</v>
      </c>
      <c r="B176" s="1" t="s">
        <v>67</v>
      </c>
      <c r="C176" s="54" t="s">
        <v>342</v>
      </c>
      <c r="D176" s="1">
        <v>4000000</v>
      </c>
      <c r="E176" s="10" t="s">
        <v>162</v>
      </c>
      <c r="F176" s="5">
        <v>19980</v>
      </c>
      <c r="G176" s="6">
        <v>68500</v>
      </c>
      <c r="H176" s="7">
        <v>70</v>
      </c>
      <c r="I176" s="8">
        <f t="shared" si="13"/>
        <v>958041000</v>
      </c>
      <c r="J176" s="9"/>
      <c r="K176" s="8">
        <f t="shared" si="20"/>
        <v>95804100</v>
      </c>
      <c r="L176" s="8">
        <f t="shared" si="17"/>
        <v>1053845100</v>
      </c>
      <c r="M176" s="10" t="s">
        <v>178</v>
      </c>
      <c r="N176" s="13">
        <v>1053845100</v>
      </c>
      <c r="O176" s="8">
        <f t="shared" si="21"/>
        <v>0</v>
      </c>
      <c r="P176" s="26"/>
      <c r="Q176"/>
    </row>
    <row r="177" spans="1:17" x14ac:dyDescent="0.25">
      <c r="A177" s="1">
        <v>176</v>
      </c>
      <c r="B177" s="1" t="s">
        <v>67</v>
      </c>
      <c r="C177" s="54" t="s">
        <v>342</v>
      </c>
      <c r="D177" s="1">
        <v>4000000</v>
      </c>
      <c r="E177" s="10" t="s">
        <v>178</v>
      </c>
      <c r="F177" s="5">
        <v>20120</v>
      </c>
      <c r="G177" s="6">
        <v>68500</v>
      </c>
      <c r="H177" s="7">
        <v>70</v>
      </c>
      <c r="I177" s="8">
        <f t="shared" si="13"/>
        <v>964754000</v>
      </c>
      <c r="J177" s="9"/>
      <c r="K177" s="8">
        <f t="shared" si="20"/>
        <v>96475400</v>
      </c>
      <c r="L177" s="8">
        <f t="shared" si="17"/>
        <v>1061229400</v>
      </c>
      <c r="M177" s="10" t="s">
        <v>178</v>
      </c>
      <c r="N177" s="13">
        <v>1061229400</v>
      </c>
      <c r="O177" s="8">
        <f t="shared" si="21"/>
        <v>0</v>
      </c>
      <c r="P177" s="26"/>
      <c r="Q177"/>
    </row>
    <row r="178" spans="1:17" x14ac:dyDescent="0.25">
      <c r="A178" s="1">
        <v>177</v>
      </c>
      <c r="B178" s="1" t="s">
        <v>67</v>
      </c>
      <c r="C178" s="54" t="s">
        <v>342</v>
      </c>
      <c r="D178" s="1">
        <v>4000000</v>
      </c>
      <c r="E178" s="10" t="s">
        <v>178</v>
      </c>
      <c r="F178" s="5">
        <v>19950</v>
      </c>
      <c r="G178" s="6">
        <v>68500</v>
      </c>
      <c r="H178" s="7">
        <v>70</v>
      </c>
      <c r="I178" s="8">
        <f t="shared" si="13"/>
        <v>956602500</v>
      </c>
      <c r="J178" s="9"/>
      <c r="K178" s="8">
        <f t="shared" si="20"/>
        <v>95660250</v>
      </c>
      <c r="L178" s="8">
        <f t="shared" si="17"/>
        <v>1052262750</v>
      </c>
      <c r="M178" s="10" t="s">
        <v>305</v>
      </c>
      <c r="N178" s="13">
        <v>1052262750</v>
      </c>
      <c r="O178" s="8">
        <f t="shared" si="21"/>
        <v>0</v>
      </c>
      <c r="P178" s="26"/>
      <c r="Q178"/>
    </row>
    <row r="179" spans="1:17" x14ac:dyDescent="0.25">
      <c r="A179" s="1">
        <v>178</v>
      </c>
      <c r="B179" s="1" t="s">
        <v>67</v>
      </c>
      <c r="C179" s="54" t="s">
        <v>342</v>
      </c>
      <c r="D179" s="1">
        <v>4000000</v>
      </c>
      <c r="E179" s="10" t="s">
        <v>245</v>
      </c>
      <c r="F179" s="5">
        <v>20045</v>
      </c>
      <c r="G179" s="6">
        <v>68500</v>
      </c>
      <c r="H179" s="7">
        <v>70</v>
      </c>
      <c r="I179" s="8">
        <f t="shared" si="13"/>
        <v>961157750</v>
      </c>
      <c r="J179" s="9"/>
      <c r="K179" s="8">
        <f t="shared" si="20"/>
        <v>96115775</v>
      </c>
      <c r="L179" s="8">
        <f t="shared" si="17"/>
        <v>1057273525</v>
      </c>
      <c r="M179" s="10" t="s">
        <v>305</v>
      </c>
      <c r="N179" s="13">
        <v>1057273525</v>
      </c>
      <c r="O179" s="8">
        <f t="shared" si="21"/>
        <v>0</v>
      </c>
      <c r="P179" s="26"/>
      <c r="Q179"/>
    </row>
    <row r="180" spans="1:17" x14ac:dyDescent="0.25">
      <c r="A180" s="1">
        <v>179</v>
      </c>
      <c r="B180" s="1" t="s">
        <v>67</v>
      </c>
      <c r="C180" s="54" t="s">
        <v>342</v>
      </c>
      <c r="D180" s="1">
        <v>4000000</v>
      </c>
      <c r="E180" s="10" t="s">
        <v>195</v>
      </c>
      <c r="F180" s="5">
        <v>3480</v>
      </c>
      <c r="G180" s="6">
        <v>68500</v>
      </c>
      <c r="H180" s="7">
        <v>70</v>
      </c>
      <c r="I180" s="8">
        <f t="shared" si="13"/>
        <v>166866000</v>
      </c>
      <c r="J180" s="9"/>
      <c r="K180" s="8">
        <f t="shared" si="20"/>
        <v>16686600</v>
      </c>
      <c r="L180" s="8">
        <f t="shared" si="17"/>
        <v>183552600</v>
      </c>
      <c r="M180" s="10" t="s">
        <v>305</v>
      </c>
      <c r="N180" s="13">
        <v>183552600</v>
      </c>
      <c r="O180" s="8">
        <f t="shared" si="21"/>
        <v>0</v>
      </c>
      <c r="P180" s="26"/>
      <c r="Q180"/>
    </row>
    <row r="181" spans="1:17" x14ac:dyDescent="0.25">
      <c r="A181" s="1">
        <v>180</v>
      </c>
      <c r="B181" s="1" t="s">
        <v>67</v>
      </c>
      <c r="C181" s="54" t="s">
        <v>342</v>
      </c>
      <c r="D181" s="1">
        <v>4000000</v>
      </c>
      <c r="E181" s="10" t="s">
        <v>305</v>
      </c>
      <c r="F181" s="5">
        <v>20115</v>
      </c>
      <c r="G181" s="6">
        <v>68500</v>
      </c>
      <c r="H181" s="7">
        <v>70</v>
      </c>
      <c r="I181" s="8">
        <f t="shared" si="13"/>
        <v>964514250</v>
      </c>
      <c r="J181" s="9"/>
      <c r="K181" s="8">
        <f t="shared" si="20"/>
        <v>96451425</v>
      </c>
      <c r="L181" s="8">
        <f t="shared" si="17"/>
        <v>1060965675</v>
      </c>
      <c r="M181" s="10" t="s">
        <v>192</v>
      </c>
      <c r="N181" s="13">
        <v>1060965675</v>
      </c>
      <c r="O181" s="8">
        <f t="shared" si="21"/>
        <v>0</v>
      </c>
      <c r="P181" s="26"/>
      <c r="Q181"/>
    </row>
    <row r="182" spans="1:17" x14ac:dyDescent="0.25">
      <c r="A182" s="1">
        <v>181</v>
      </c>
      <c r="B182" s="1" t="s">
        <v>67</v>
      </c>
      <c r="C182" s="54" t="s">
        <v>342</v>
      </c>
      <c r="D182" s="1">
        <v>4000000</v>
      </c>
      <c r="E182" s="10" t="s">
        <v>192</v>
      </c>
      <c r="F182" s="5">
        <v>19095</v>
      </c>
      <c r="G182" s="6">
        <v>68500</v>
      </c>
      <c r="H182" s="7">
        <v>70</v>
      </c>
      <c r="I182" s="8">
        <f t="shared" si="13"/>
        <v>915605250</v>
      </c>
      <c r="J182" s="9"/>
      <c r="K182" s="8">
        <f t="shared" si="20"/>
        <v>91560525</v>
      </c>
      <c r="L182" s="8">
        <f t="shared" si="17"/>
        <v>1007165775</v>
      </c>
      <c r="M182" s="10" t="s">
        <v>151</v>
      </c>
      <c r="N182" s="13">
        <v>1007165775</v>
      </c>
      <c r="O182" s="8">
        <f t="shared" si="21"/>
        <v>0</v>
      </c>
      <c r="P182" s="26"/>
      <c r="Q182"/>
    </row>
    <row r="183" spans="1:17" x14ac:dyDescent="0.25">
      <c r="A183" s="1">
        <v>182</v>
      </c>
      <c r="B183" s="1" t="s">
        <v>67</v>
      </c>
      <c r="C183" s="54" t="s">
        <v>342</v>
      </c>
      <c r="D183" s="1">
        <v>4000000</v>
      </c>
      <c r="E183" s="10" t="s">
        <v>247</v>
      </c>
      <c r="F183" s="5">
        <v>20020</v>
      </c>
      <c r="G183" s="6">
        <v>68500</v>
      </c>
      <c r="H183" s="7">
        <v>70</v>
      </c>
      <c r="I183" s="8">
        <f t="shared" si="13"/>
        <v>959959000</v>
      </c>
      <c r="J183" s="9"/>
      <c r="K183" s="8">
        <f t="shared" si="20"/>
        <v>95995900</v>
      </c>
      <c r="L183" s="8">
        <f t="shared" si="17"/>
        <v>1055954900</v>
      </c>
      <c r="M183" s="10" t="s">
        <v>151</v>
      </c>
      <c r="N183" s="13">
        <v>1055954900</v>
      </c>
      <c r="O183" s="8">
        <f t="shared" si="21"/>
        <v>0</v>
      </c>
      <c r="P183" s="26"/>
      <c r="Q183"/>
    </row>
    <row r="184" spans="1:17" x14ac:dyDescent="0.25">
      <c r="A184" s="1">
        <v>183</v>
      </c>
      <c r="B184" s="1" t="s">
        <v>67</v>
      </c>
      <c r="C184" s="54" t="s">
        <v>342</v>
      </c>
      <c r="D184" s="1">
        <v>4000000</v>
      </c>
      <c r="E184" s="10" t="s">
        <v>249</v>
      </c>
      <c r="F184" s="5">
        <v>20105</v>
      </c>
      <c r="G184" s="6">
        <v>68500</v>
      </c>
      <c r="H184" s="7">
        <v>70</v>
      </c>
      <c r="I184" s="8">
        <f t="shared" si="13"/>
        <v>964034750</v>
      </c>
      <c r="J184" s="9"/>
      <c r="K184" s="8">
        <f t="shared" si="20"/>
        <v>96403475</v>
      </c>
      <c r="L184" s="8">
        <f t="shared" si="17"/>
        <v>1060438225</v>
      </c>
      <c r="M184" s="10" t="s">
        <v>151</v>
      </c>
      <c r="N184" s="13">
        <v>1060438225</v>
      </c>
      <c r="O184" s="8">
        <f t="shared" si="21"/>
        <v>0</v>
      </c>
      <c r="P184" s="26"/>
      <c r="Q184"/>
    </row>
    <row r="185" spans="1:17" x14ac:dyDescent="0.25">
      <c r="A185" s="1">
        <v>184</v>
      </c>
      <c r="B185" s="1" t="s">
        <v>67</v>
      </c>
      <c r="C185" s="54" t="s">
        <v>342</v>
      </c>
      <c r="D185" s="1">
        <v>4000000</v>
      </c>
      <c r="E185" s="10" t="s">
        <v>151</v>
      </c>
      <c r="F185" s="5">
        <v>18100</v>
      </c>
      <c r="G185" s="6">
        <v>68500</v>
      </c>
      <c r="H185" s="7">
        <v>70</v>
      </c>
      <c r="I185" s="8">
        <f t="shared" si="13"/>
        <v>867895000</v>
      </c>
      <c r="J185" s="9"/>
      <c r="K185" s="8">
        <f t="shared" si="20"/>
        <v>86789500</v>
      </c>
      <c r="L185" s="8">
        <f t="shared" si="17"/>
        <v>954684500</v>
      </c>
      <c r="M185" s="10" t="s">
        <v>151</v>
      </c>
      <c r="N185" s="13">
        <v>954684500</v>
      </c>
      <c r="O185" s="8">
        <f t="shared" si="21"/>
        <v>0</v>
      </c>
      <c r="P185" s="26"/>
      <c r="Q185"/>
    </row>
    <row r="186" spans="1:17" x14ac:dyDescent="0.25">
      <c r="A186" s="1">
        <v>185</v>
      </c>
      <c r="B186" s="1" t="s">
        <v>67</v>
      </c>
      <c r="C186" s="54" t="s">
        <v>342</v>
      </c>
      <c r="D186" s="1">
        <v>4000000</v>
      </c>
      <c r="E186" s="10" t="s">
        <v>333</v>
      </c>
      <c r="F186" s="5">
        <v>17735</v>
      </c>
      <c r="G186" s="6">
        <v>68500</v>
      </c>
      <c r="H186" s="7">
        <v>70</v>
      </c>
      <c r="I186" s="8">
        <f t="shared" si="13"/>
        <v>850393250</v>
      </c>
      <c r="J186" s="9"/>
      <c r="K186" s="8">
        <f t="shared" si="20"/>
        <v>85039325</v>
      </c>
      <c r="L186" s="8">
        <f t="shared" si="17"/>
        <v>935432575</v>
      </c>
      <c r="M186" s="10" t="s">
        <v>334</v>
      </c>
      <c r="N186" s="13">
        <v>935432575</v>
      </c>
      <c r="O186" s="8">
        <f t="shared" si="21"/>
        <v>0</v>
      </c>
      <c r="P186" s="26" t="s">
        <v>335</v>
      </c>
      <c r="Q186"/>
    </row>
    <row r="187" spans="1:17" x14ac:dyDescent="0.25">
      <c r="A187" s="1">
        <v>186</v>
      </c>
      <c r="B187" s="1" t="s">
        <v>67</v>
      </c>
      <c r="C187" s="54" t="s">
        <v>342</v>
      </c>
      <c r="D187" s="1">
        <v>4000000</v>
      </c>
      <c r="E187" s="10" t="s">
        <v>254</v>
      </c>
      <c r="F187" s="5">
        <v>20060</v>
      </c>
      <c r="G187" s="6">
        <v>68500</v>
      </c>
      <c r="H187" s="7">
        <v>70</v>
      </c>
      <c r="I187" s="8">
        <f t="shared" si="13"/>
        <v>961877000</v>
      </c>
      <c r="J187" s="9"/>
      <c r="K187" s="8">
        <f t="shared" si="20"/>
        <v>96187700</v>
      </c>
      <c r="L187" s="8">
        <f t="shared" si="17"/>
        <v>1058064700</v>
      </c>
      <c r="M187" s="10" t="s">
        <v>311</v>
      </c>
      <c r="N187" s="13">
        <v>1058064700</v>
      </c>
      <c r="O187" s="8">
        <f t="shared" si="21"/>
        <v>0</v>
      </c>
      <c r="P187" s="26"/>
      <c r="Q187"/>
    </row>
    <row r="188" spans="1:17" x14ac:dyDescent="0.25">
      <c r="A188" s="1">
        <v>187</v>
      </c>
      <c r="B188" s="1" t="s">
        <v>67</v>
      </c>
      <c r="C188" s="54" t="s">
        <v>342</v>
      </c>
      <c r="D188" s="1">
        <v>4000000</v>
      </c>
      <c r="E188" s="10" t="s">
        <v>198</v>
      </c>
      <c r="F188" s="5">
        <v>19100</v>
      </c>
      <c r="G188" s="6">
        <v>68500</v>
      </c>
      <c r="H188" s="7">
        <v>70</v>
      </c>
      <c r="I188" s="8">
        <f t="shared" si="13"/>
        <v>915845000</v>
      </c>
      <c r="J188" s="9"/>
      <c r="K188" s="8">
        <f t="shared" si="20"/>
        <v>91584500</v>
      </c>
      <c r="L188" s="8">
        <f t="shared" si="17"/>
        <v>1007429500</v>
      </c>
      <c r="M188" s="10" t="s">
        <v>311</v>
      </c>
      <c r="N188" s="13">
        <v>1007429500</v>
      </c>
      <c r="O188" s="8">
        <f t="shared" si="21"/>
        <v>0</v>
      </c>
      <c r="P188" s="26"/>
      <c r="Q188"/>
    </row>
    <row r="189" spans="1:17" x14ac:dyDescent="0.25">
      <c r="A189" s="1">
        <v>188</v>
      </c>
      <c r="B189" s="1" t="s">
        <v>67</v>
      </c>
      <c r="C189" s="54" t="s">
        <v>342</v>
      </c>
      <c r="D189" s="1">
        <v>4000000</v>
      </c>
      <c r="E189" s="10" t="s">
        <v>297</v>
      </c>
      <c r="F189" s="5">
        <v>19655</v>
      </c>
      <c r="G189" s="6">
        <v>68500</v>
      </c>
      <c r="H189" s="7">
        <v>70</v>
      </c>
      <c r="I189" s="8">
        <f t="shared" si="13"/>
        <v>942457250</v>
      </c>
      <c r="J189" s="9"/>
      <c r="K189" s="8">
        <f t="shared" si="20"/>
        <v>94245725</v>
      </c>
      <c r="L189" s="8">
        <f t="shared" si="17"/>
        <v>1036702975</v>
      </c>
      <c r="M189" s="10" t="s">
        <v>62</v>
      </c>
      <c r="N189" s="13">
        <v>1036702975</v>
      </c>
      <c r="O189" s="8">
        <f t="shared" si="21"/>
        <v>0</v>
      </c>
      <c r="P189" s="26"/>
      <c r="Q189"/>
    </row>
    <row r="190" spans="1:17" x14ac:dyDescent="0.25">
      <c r="A190" s="1">
        <v>189</v>
      </c>
      <c r="B190" s="1" t="s">
        <v>67</v>
      </c>
      <c r="C190" s="54" t="s">
        <v>342</v>
      </c>
      <c r="D190" s="1">
        <v>4000000</v>
      </c>
      <c r="E190" s="10" t="s">
        <v>313</v>
      </c>
      <c r="F190" s="5">
        <v>14040</v>
      </c>
      <c r="G190" s="6">
        <v>68500</v>
      </c>
      <c r="H190" s="7">
        <v>70</v>
      </c>
      <c r="I190" s="8">
        <f t="shared" si="13"/>
        <v>673218000</v>
      </c>
      <c r="J190" s="9"/>
      <c r="K190" s="8">
        <f t="shared" si="20"/>
        <v>67321800</v>
      </c>
      <c r="L190" s="8">
        <f t="shared" si="17"/>
        <v>740539800</v>
      </c>
      <c r="M190" s="10" t="s">
        <v>62</v>
      </c>
      <c r="N190" s="13">
        <v>740539800</v>
      </c>
      <c r="O190" s="8">
        <f t="shared" si="21"/>
        <v>0</v>
      </c>
      <c r="P190" s="26"/>
      <c r="Q190"/>
    </row>
    <row r="191" spans="1:17" x14ac:dyDescent="0.25">
      <c r="A191" s="1">
        <v>190</v>
      </c>
      <c r="B191" s="1" t="s">
        <v>67</v>
      </c>
      <c r="C191" s="54" t="s">
        <v>342</v>
      </c>
      <c r="D191" s="1">
        <v>4000000</v>
      </c>
      <c r="E191" s="10" t="s">
        <v>61</v>
      </c>
      <c r="F191" s="5">
        <v>19990</v>
      </c>
      <c r="G191" s="6">
        <v>68500</v>
      </c>
      <c r="H191" s="7">
        <v>70</v>
      </c>
      <c r="I191" s="8">
        <f t="shared" si="13"/>
        <v>958520500</v>
      </c>
      <c r="J191" s="9"/>
      <c r="K191" s="8">
        <f t="shared" si="20"/>
        <v>95852050</v>
      </c>
      <c r="L191" s="8">
        <f t="shared" si="17"/>
        <v>1054372550</v>
      </c>
      <c r="M191" s="10" t="s">
        <v>336</v>
      </c>
      <c r="N191" s="13">
        <v>1054372550</v>
      </c>
      <c r="O191" s="8">
        <f t="shared" si="21"/>
        <v>0</v>
      </c>
      <c r="P191" s="26"/>
      <c r="Q191"/>
    </row>
    <row r="192" spans="1:17" x14ac:dyDescent="0.25">
      <c r="A192" s="1">
        <v>191</v>
      </c>
      <c r="B192" s="1" t="s">
        <v>67</v>
      </c>
      <c r="C192" s="54" t="s">
        <v>342</v>
      </c>
      <c r="D192" s="1">
        <v>4000000</v>
      </c>
      <c r="E192" s="10" t="s">
        <v>260</v>
      </c>
      <c r="F192" s="5">
        <v>17900</v>
      </c>
      <c r="G192" s="6">
        <v>68500</v>
      </c>
      <c r="H192" s="7">
        <v>70</v>
      </c>
      <c r="I192" s="8">
        <f t="shared" si="13"/>
        <v>858305000</v>
      </c>
      <c r="J192" s="9"/>
      <c r="K192" s="8">
        <f t="shared" si="20"/>
        <v>85830500</v>
      </c>
      <c r="L192" s="8">
        <f t="shared" si="17"/>
        <v>944135500</v>
      </c>
      <c r="M192" s="10" t="s">
        <v>336</v>
      </c>
      <c r="N192" s="13">
        <v>944135500</v>
      </c>
      <c r="O192" s="8">
        <f t="shared" si="21"/>
        <v>0</v>
      </c>
      <c r="P192" s="26"/>
      <c r="Q192"/>
    </row>
    <row r="193" spans="1:17" x14ac:dyDescent="0.25">
      <c r="A193" s="1">
        <v>192</v>
      </c>
      <c r="B193" s="1" t="s">
        <v>67</v>
      </c>
      <c r="C193" s="54" t="s">
        <v>342</v>
      </c>
      <c r="D193" s="1">
        <v>4000000</v>
      </c>
      <c r="E193" s="10" t="s">
        <v>337</v>
      </c>
      <c r="F193" s="5">
        <v>19925</v>
      </c>
      <c r="G193" s="6">
        <v>68500</v>
      </c>
      <c r="H193" s="7">
        <v>70</v>
      </c>
      <c r="I193" s="8">
        <f t="shared" si="13"/>
        <v>955403750</v>
      </c>
      <c r="J193" s="9"/>
      <c r="K193" s="8">
        <f t="shared" si="20"/>
        <v>95540375</v>
      </c>
      <c r="L193" s="8">
        <f t="shared" si="17"/>
        <v>1050944125</v>
      </c>
      <c r="M193" s="10" t="s">
        <v>336</v>
      </c>
      <c r="N193" s="13">
        <v>1050944125</v>
      </c>
      <c r="O193" s="8">
        <f t="shared" si="21"/>
        <v>0</v>
      </c>
      <c r="P193" s="26"/>
      <c r="Q193"/>
    </row>
    <row r="194" spans="1:17" x14ac:dyDescent="0.25">
      <c r="A194" s="1">
        <v>193</v>
      </c>
      <c r="B194" s="1" t="s">
        <v>67</v>
      </c>
      <c r="C194" s="54" t="s">
        <v>342</v>
      </c>
      <c r="D194" s="1">
        <v>4000000</v>
      </c>
      <c r="E194" s="10" t="s">
        <v>299</v>
      </c>
      <c r="F194" s="5">
        <v>18135</v>
      </c>
      <c r="G194" s="6">
        <v>68500</v>
      </c>
      <c r="H194" s="7">
        <v>70</v>
      </c>
      <c r="I194" s="8">
        <f t="shared" ref="I194:I257" si="22">((F194*G194)/100)*H194</f>
        <v>869573250</v>
      </c>
      <c r="J194" s="9"/>
      <c r="K194" s="8">
        <f t="shared" si="20"/>
        <v>86957325</v>
      </c>
      <c r="L194" s="8">
        <f t="shared" si="17"/>
        <v>956530575</v>
      </c>
      <c r="M194" s="10" t="s">
        <v>265</v>
      </c>
      <c r="N194" s="13">
        <v>956530575</v>
      </c>
      <c r="O194" s="8">
        <f t="shared" si="21"/>
        <v>0</v>
      </c>
      <c r="P194" s="26"/>
      <c r="Q194"/>
    </row>
    <row r="195" spans="1:17" x14ac:dyDescent="0.25">
      <c r="A195" s="1">
        <v>194</v>
      </c>
      <c r="B195" s="1" t="s">
        <v>67</v>
      </c>
      <c r="C195" s="54" t="s">
        <v>342</v>
      </c>
      <c r="D195" s="1">
        <v>4000000</v>
      </c>
      <c r="E195" s="10" t="s">
        <v>264</v>
      </c>
      <c r="F195" s="5">
        <v>18020</v>
      </c>
      <c r="G195" s="6">
        <v>68500</v>
      </c>
      <c r="H195" s="7">
        <v>70</v>
      </c>
      <c r="I195" s="8">
        <f t="shared" si="22"/>
        <v>864059000</v>
      </c>
      <c r="J195" s="9"/>
      <c r="K195" s="8">
        <f t="shared" si="20"/>
        <v>86405900</v>
      </c>
      <c r="L195" s="8">
        <f t="shared" si="17"/>
        <v>950464900</v>
      </c>
      <c r="M195" s="10" t="s">
        <v>265</v>
      </c>
      <c r="N195" s="13">
        <v>950464900</v>
      </c>
      <c r="O195" s="8">
        <f t="shared" si="21"/>
        <v>0</v>
      </c>
      <c r="P195" s="26"/>
      <c r="Q195"/>
    </row>
    <row r="196" spans="1:17" x14ac:dyDescent="0.25">
      <c r="A196" s="1">
        <v>195</v>
      </c>
      <c r="B196" s="1" t="s">
        <v>67</v>
      </c>
      <c r="C196" s="54" t="s">
        <v>342</v>
      </c>
      <c r="D196" s="1">
        <v>4000000</v>
      </c>
      <c r="E196" s="10" t="s">
        <v>319</v>
      </c>
      <c r="F196" s="5">
        <v>17885</v>
      </c>
      <c r="G196" s="6">
        <v>68500</v>
      </c>
      <c r="H196" s="7">
        <v>70</v>
      </c>
      <c r="I196" s="8">
        <f t="shared" si="22"/>
        <v>857585750</v>
      </c>
      <c r="J196" s="9"/>
      <c r="K196" s="8">
        <f t="shared" si="20"/>
        <v>85758575</v>
      </c>
      <c r="L196" s="8">
        <f t="shared" si="17"/>
        <v>943344325</v>
      </c>
      <c r="M196" s="10" t="s">
        <v>338</v>
      </c>
      <c r="N196" s="13">
        <v>943344325</v>
      </c>
      <c r="O196" s="8">
        <f t="shared" si="21"/>
        <v>0</v>
      </c>
      <c r="P196" s="26"/>
      <c r="Q196"/>
    </row>
    <row r="197" spans="1:17" x14ac:dyDescent="0.25">
      <c r="A197" s="1">
        <v>196</v>
      </c>
      <c r="B197" s="1" t="s">
        <v>67</v>
      </c>
      <c r="C197" s="54" t="s">
        <v>342</v>
      </c>
      <c r="D197" s="1">
        <v>4000000</v>
      </c>
      <c r="E197" s="10" t="s">
        <v>265</v>
      </c>
      <c r="F197" s="5">
        <v>18145</v>
      </c>
      <c r="G197" s="6">
        <v>68500</v>
      </c>
      <c r="H197" s="7">
        <v>70</v>
      </c>
      <c r="I197" s="8">
        <f t="shared" si="22"/>
        <v>870052750</v>
      </c>
      <c r="J197" s="9"/>
      <c r="K197" s="8">
        <f t="shared" si="20"/>
        <v>87005275</v>
      </c>
      <c r="L197" s="8">
        <f t="shared" si="17"/>
        <v>957058025</v>
      </c>
      <c r="M197" s="10" t="s">
        <v>338</v>
      </c>
      <c r="N197" s="13">
        <v>957058025</v>
      </c>
      <c r="O197" s="8">
        <f t="shared" si="21"/>
        <v>0</v>
      </c>
      <c r="P197" s="26"/>
      <c r="Q197"/>
    </row>
    <row r="198" spans="1:17" x14ac:dyDescent="0.25">
      <c r="A198" s="1">
        <v>197</v>
      </c>
      <c r="B198" s="1" t="s">
        <v>67</v>
      </c>
      <c r="C198" s="54" t="s">
        <v>342</v>
      </c>
      <c r="D198" s="1">
        <v>4000000</v>
      </c>
      <c r="E198" s="10" t="s">
        <v>300</v>
      </c>
      <c r="F198" s="5">
        <v>18890</v>
      </c>
      <c r="G198" s="6">
        <v>68500</v>
      </c>
      <c r="H198" s="7">
        <v>70</v>
      </c>
      <c r="I198" s="8">
        <f t="shared" si="22"/>
        <v>905775500</v>
      </c>
      <c r="J198" s="9"/>
      <c r="K198" s="8">
        <f t="shared" si="20"/>
        <v>90577550</v>
      </c>
      <c r="L198" s="8">
        <f t="shared" si="17"/>
        <v>996353050</v>
      </c>
      <c r="M198" s="10" t="s">
        <v>274</v>
      </c>
      <c r="N198" s="13">
        <v>996353050</v>
      </c>
      <c r="O198" s="8">
        <f t="shared" si="21"/>
        <v>0</v>
      </c>
      <c r="P198" s="26"/>
      <c r="Q198"/>
    </row>
    <row r="199" spans="1:17" x14ac:dyDescent="0.25">
      <c r="A199" s="1">
        <v>198</v>
      </c>
      <c r="B199" s="1" t="s">
        <v>67</v>
      </c>
      <c r="C199" s="54" t="s">
        <v>342</v>
      </c>
      <c r="D199" s="1">
        <v>4000000</v>
      </c>
      <c r="E199" s="10" t="s">
        <v>300</v>
      </c>
      <c r="F199" s="5">
        <v>17875</v>
      </c>
      <c r="G199" s="6">
        <v>68500</v>
      </c>
      <c r="H199" s="7">
        <v>70</v>
      </c>
      <c r="I199" s="8">
        <f t="shared" si="22"/>
        <v>857106250</v>
      </c>
      <c r="J199" s="9"/>
      <c r="K199" s="8">
        <f t="shared" si="20"/>
        <v>85710625</v>
      </c>
      <c r="L199" s="8">
        <f t="shared" si="17"/>
        <v>942816875</v>
      </c>
      <c r="M199" s="10" t="s">
        <v>274</v>
      </c>
      <c r="N199" s="13">
        <v>942816875</v>
      </c>
      <c r="O199" s="8">
        <f t="shared" si="21"/>
        <v>0</v>
      </c>
      <c r="P199" s="26"/>
      <c r="Q199"/>
    </row>
    <row r="200" spans="1:17" x14ac:dyDescent="0.25">
      <c r="A200" s="1">
        <v>199</v>
      </c>
      <c r="B200" s="1" t="s">
        <v>67</v>
      </c>
      <c r="C200" s="54" t="s">
        <v>342</v>
      </c>
      <c r="D200" s="1">
        <v>4000000</v>
      </c>
      <c r="E200" s="10" t="s">
        <v>272</v>
      </c>
      <c r="F200" s="5">
        <v>7285</v>
      </c>
      <c r="G200" s="6">
        <v>68500</v>
      </c>
      <c r="H200" s="7">
        <v>70</v>
      </c>
      <c r="I200" s="8">
        <f t="shared" si="22"/>
        <v>349315750</v>
      </c>
      <c r="J200" s="9"/>
      <c r="K200" s="8">
        <f t="shared" si="20"/>
        <v>34931575</v>
      </c>
      <c r="L200" s="8">
        <f t="shared" si="17"/>
        <v>384247325</v>
      </c>
      <c r="M200" s="10" t="s">
        <v>274</v>
      </c>
      <c r="N200" s="13">
        <v>384247325</v>
      </c>
      <c r="O200" s="8">
        <f t="shared" si="21"/>
        <v>0</v>
      </c>
      <c r="P200" s="26"/>
      <c r="Q200"/>
    </row>
    <row r="201" spans="1:17" x14ac:dyDescent="0.25">
      <c r="A201" s="1">
        <v>200</v>
      </c>
      <c r="B201" s="1" t="s">
        <v>67</v>
      </c>
      <c r="C201" s="54" t="s">
        <v>342</v>
      </c>
      <c r="D201" s="1">
        <v>4000000</v>
      </c>
      <c r="E201" s="10" t="s">
        <v>321</v>
      </c>
      <c r="F201" s="5">
        <v>18965</v>
      </c>
      <c r="G201" s="6">
        <v>68500</v>
      </c>
      <c r="H201" s="7">
        <v>70</v>
      </c>
      <c r="I201" s="8">
        <f t="shared" si="22"/>
        <v>909371750</v>
      </c>
      <c r="J201" s="9"/>
      <c r="K201" s="8">
        <f t="shared" si="20"/>
        <v>90937175</v>
      </c>
      <c r="L201" s="8">
        <f t="shared" si="17"/>
        <v>1000308925</v>
      </c>
      <c r="M201" s="10" t="s">
        <v>277</v>
      </c>
      <c r="N201" s="13">
        <v>1000308925</v>
      </c>
      <c r="O201" s="8">
        <f t="shared" si="21"/>
        <v>0</v>
      </c>
      <c r="P201" s="26"/>
      <c r="Q201"/>
    </row>
    <row r="202" spans="1:17" x14ac:dyDescent="0.25">
      <c r="A202" s="1">
        <v>201</v>
      </c>
      <c r="B202" s="1" t="s">
        <v>67</v>
      </c>
      <c r="C202" s="54" t="s">
        <v>342</v>
      </c>
      <c r="D202" s="1">
        <v>4000000</v>
      </c>
      <c r="E202" s="10" t="s">
        <v>301</v>
      </c>
      <c r="F202" s="5">
        <v>7995</v>
      </c>
      <c r="G202" s="6">
        <v>68500</v>
      </c>
      <c r="H202" s="7">
        <v>70</v>
      </c>
      <c r="I202" s="8">
        <f t="shared" si="22"/>
        <v>383360250</v>
      </c>
      <c r="J202" s="9"/>
      <c r="K202" s="8">
        <f t="shared" si="20"/>
        <v>38336025</v>
      </c>
      <c r="L202" s="8">
        <f t="shared" si="17"/>
        <v>421696275</v>
      </c>
      <c r="M202" s="10" t="s">
        <v>277</v>
      </c>
      <c r="N202" s="13">
        <v>421696275</v>
      </c>
      <c r="O202" s="8">
        <f t="shared" si="21"/>
        <v>0</v>
      </c>
      <c r="P202" s="26"/>
      <c r="Q202"/>
    </row>
    <row r="203" spans="1:17" x14ac:dyDescent="0.25">
      <c r="A203" s="1">
        <v>202</v>
      </c>
      <c r="B203" s="1" t="s">
        <v>67</v>
      </c>
      <c r="C203" s="54" t="s">
        <v>342</v>
      </c>
      <c r="D203" s="1">
        <v>4000000</v>
      </c>
      <c r="E203" s="10" t="s">
        <v>275</v>
      </c>
      <c r="F203" s="5">
        <v>17940</v>
      </c>
      <c r="G203" s="6">
        <v>68500</v>
      </c>
      <c r="H203" s="7">
        <v>70</v>
      </c>
      <c r="I203" s="8">
        <f t="shared" si="22"/>
        <v>860223000</v>
      </c>
      <c r="J203" s="9"/>
      <c r="K203" s="8">
        <f t="shared" si="20"/>
        <v>86022300</v>
      </c>
      <c r="L203" s="8">
        <f t="shared" si="17"/>
        <v>946245300</v>
      </c>
      <c r="M203" s="10" t="s">
        <v>277</v>
      </c>
      <c r="N203" s="13">
        <v>946245300</v>
      </c>
      <c r="O203" s="8">
        <f t="shared" si="21"/>
        <v>0</v>
      </c>
      <c r="P203" s="26"/>
      <c r="Q203"/>
    </row>
    <row r="204" spans="1:17" x14ac:dyDescent="0.25">
      <c r="A204" s="1">
        <v>203</v>
      </c>
      <c r="B204" s="1" t="s">
        <v>67</v>
      </c>
      <c r="C204" s="54" t="s">
        <v>342</v>
      </c>
      <c r="D204" s="1">
        <v>4000000</v>
      </c>
      <c r="E204" s="10" t="s">
        <v>278</v>
      </c>
      <c r="F204" s="5">
        <v>19025</v>
      </c>
      <c r="G204" s="6">
        <v>68500</v>
      </c>
      <c r="H204" s="7">
        <v>70</v>
      </c>
      <c r="I204" s="8">
        <f t="shared" si="22"/>
        <v>912248750</v>
      </c>
      <c r="J204" s="9"/>
      <c r="K204" s="8">
        <f t="shared" si="20"/>
        <v>91224875</v>
      </c>
      <c r="L204" s="8">
        <f t="shared" si="17"/>
        <v>1003473625</v>
      </c>
      <c r="M204" s="10" t="s">
        <v>302</v>
      </c>
      <c r="N204" s="13">
        <v>1003473625</v>
      </c>
      <c r="O204" s="8">
        <f t="shared" si="21"/>
        <v>0</v>
      </c>
      <c r="P204" s="26"/>
      <c r="Q204"/>
    </row>
    <row r="205" spans="1:17" x14ac:dyDescent="0.25">
      <c r="A205" s="1">
        <v>204</v>
      </c>
      <c r="B205" s="1" t="s">
        <v>67</v>
      </c>
      <c r="C205" s="54" t="s">
        <v>342</v>
      </c>
      <c r="D205" s="1">
        <v>4000000</v>
      </c>
      <c r="E205" s="10" t="s">
        <v>279</v>
      </c>
      <c r="F205" s="5">
        <v>18110</v>
      </c>
      <c r="G205" s="6">
        <v>68500</v>
      </c>
      <c r="H205" s="7">
        <v>70</v>
      </c>
      <c r="I205" s="8">
        <f t="shared" si="22"/>
        <v>868374500</v>
      </c>
      <c r="J205" s="9"/>
      <c r="K205" s="8">
        <f t="shared" si="20"/>
        <v>86837450</v>
      </c>
      <c r="L205" s="8">
        <f t="shared" si="17"/>
        <v>955211950</v>
      </c>
      <c r="M205" s="10" t="s">
        <v>302</v>
      </c>
      <c r="N205" s="13">
        <v>955211950</v>
      </c>
      <c r="O205" s="8">
        <f t="shared" si="21"/>
        <v>0</v>
      </c>
      <c r="P205" s="26"/>
      <c r="Q205"/>
    </row>
    <row r="206" spans="1:17" x14ac:dyDescent="0.25">
      <c r="A206" s="1">
        <v>205</v>
      </c>
      <c r="B206" s="1" t="s">
        <v>67</v>
      </c>
      <c r="C206" s="54" t="s">
        <v>342</v>
      </c>
      <c r="D206" s="1">
        <v>4000000</v>
      </c>
      <c r="E206" s="10" t="s">
        <v>282</v>
      </c>
      <c r="F206" s="5">
        <v>18990</v>
      </c>
      <c r="G206" s="6">
        <v>68500</v>
      </c>
      <c r="H206" s="7">
        <v>70</v>
      </c>
      <c r="I206" s="8">
        <f t="shared" si="22"/>
        <v>910570500</v>
      </c>
      <c r="J206" s="9"/>
      <c r="K206" s="8">
        <f t="shared" si="20"/>
        <v>91057050</v>
      </c>
      <c r="L206" s="8">
        <f t="shared" si="17"/>
        <v>1001627550</v>
      </c>
      <c r="M206" s="10" t="s">
        <v>302</v>
      </c>
      <c r="N206" s="13">
        <v>1001627550</v>
      </c>
      <c r="O206" s="8">
        <f t="shared" si="21"/>
        <v>0</v>
      </c>
      <c r="P206" s="26"/>
      <c r="Q206"/>
    </row>
    <row r="207" spans="1:17" x14ac:dyDescent="0.25">
      <c r="A207" s="1">
        <v>206</v>
      </c>
      <c r="B207" s="1" t="s">
        <v>67</v>
      </c>
      <c r="C207" s="54" t="s">
        <v>342</v>
      </c>
      <c r="D207" s="1">
        <v>4000000</v>
      </c>
      <c r="E207" s="10" t="s">
        <v>283</v>
      </c>
      <c r="F207" s="5">
        <v>19990</v>
      </c>
      <c r="G207" s="6">
        <v>68500</v>
      </c>
      <c r="H207" s="7">
        <v>70</v>
      </c>
      <c r="I207" s="8">
        <f t="shared" si="22"/>
        <v>958520500</v>
      </c>
      <c r="J207" s="9"/>
      <c r="K207" s="8">
        <f t="shared" si="20"/>
        <v>95852050</v>
      </c>
      <c r="L207" s="8">
        <f t="shared" si="17"/>
        <v>1054372550</v>
      </c>
      <c r="M207" s="10" t="s">
        <v>302</v>
      </c>
      <c r="N207" s="13">
        <v>1054372550</v>
      </c>
      <c r="O207" s="8">
        <f t="shared" si="21"/>
        <v>0</v>
      </c>
      <c r="P207" s="37" t="s">
        <v>339</v>
      </c>
      <c r="Q207"/>
    </row>
    <row r="208" spans="1:17" x14ac:dyDescent="0.25">
      <c r="A208" s="1">
        <v>207</v>
      </c>
      <c r="B208" s="1" t="s">
        <v>67</v>
      </c>
      <c r="C208" s="54" t="s">
        <v>342</v>
      </c>
      <c r="D208" s="1">
        <v>4000000</v>
      </c>
      <c r="E208" s="10" t="s">
        <v>283</v>
      </c>
      <c r="F208" s="5">
        <v>18985</v>
      </c>
      <c r="G208" s="6">
        <v>68500</v>
      </c>
      <c r="H208" s="7">
        <v>70</v>
      </c>
      <c r="I208" s="8">
        <f t="shared" si="22"/>
        <v>910330750</v>
      </c>
      <c r="J208" s="9"/>
      <c r="K208" s="8">
        <f t="shared" si="20"/>
        <v>91033075</v>
      </c>
      <c r="L208" s="8">
        <f t="shared" si="17"/>
        <v>1001363825</v>
      </c>
      <c r="M208" s="10"/>
      <c r="N208" s="13"/>
      <c r="O208" s="8">
        <f t="shared" si="21"/>
        <v>1001363825</v>
      </c>
      <c r="P208" s="26"/>
      <c r="Q208"/>
    </row>
    <row r="209" spans="1:17" x14ac:dyDescent="0.25">
      <c r="A209" s="1">
        <v>208</v>
      </c>
      <c r="B209" s="1" t="s">
        <v>67</v>
      </c>
      <c r="C209" s="54" t="s">
        <v>342</v>
      </c>
      <c r="D209" s="1">
        <v>4000000</v>
      </c>
      <c r="E209" s="10" t="s">
        <v>283</v>
      </c>
      <c r="F209" s="5">
        <v>8015</v>
      </c>
      <c r="G209" s="6">
        <v>68500</v>
      </c>
      <c r="H209" s="7">
        <v>70</v>
      </c>
      <c r="I209" s="8">
        <f t="shared" si="22"/>
        <v>384319250</v>
      </c>
      <c r="J209" s="9"/>
      <c r="K209" s="8">
        <f t="shared" si="20"/>
        <v>38431925</v>
      </c>
      <c r="L209" s="8">
        <f t="shared" si="17"/>
        <v>422751175</v>
      </c>
      <c r="M209" s="10"/>
      <c r="N209" s="13"/>
      <c r="O209" s="8">
        <f t="shared" si="21"/>
        <v>422751175</v>
      </c>
      <c r="P209" s="26"/>
      <c r="Q209"/>
    </row>
    <row r="210" spans="1:17" x14ac:dyDescent="0.25">
      <c r="A210" s="1">
        <v>209</v>
      </c>
      <c r="B210" s="1" t="s">
        <v>67</v>
      </c>
      <c r="C210" s="54" t="s">
        <v>342</v>
      </c>
      <c r="D210" s="1">
        <v>4000000</v>
      </c>
      <c r="E210" s="10" t="s">
        <v>283</v>
      </c>
      <c r="F210" s="5">
        <v>19960</v>
      </c>
      <c r="G210" s="6">
        <v>68500</v>
      </c>
      <c r="H210" s="7">
        <v>70</v>
      </c>
      <c r="I210" s="8">
        <f t="shared" si="22"/>
        <v>957082000</v>
      </c>
      <c r="J210" s="9"/>
      <c r="K210" s="8">
        <f t="shared" si="20"/>
        <v>95708200</v>
      </c>
      <c r="L210" s="8">
        <f t="shared" si="17"/>
        <v>1052790200</v>
      </c>
      <c r="M210" s="10"/>
      <c r="N210" s="13"/>
      <c r="O210" s="8">
        <f t="shared" si="21"/>
        <v>1052790200</v>
      </c>
      <c r="P210" s="26"/>
      <c r="Q210"/>
    </row>
    <row r="211" spans="1:17" x14ac:dyDescent="0.25">
      <c r="A211" s="1">
        <v>210</v>
      </c>
      <c r="B211" s="1" t="s">
        <v>67</v>
      </c>
      <c r="C211" s="54" t="s">
        <v>342</v>
      </c>
      <c r="D211" s="1">
        <v>4000000</v>
      </c>
      <c r="E211" s="10" t="s">
        <v>340</v>
      </c>
      <c r="F211" s="5">
        <v>8125</v>
      </c>
      <c r="G211" s="6">
        <v>68500</v>
      </c>
      <c r="H211" s="7">
        <v>70</v>
      </c>
      <c r="I211" s="8">
        <f t="shared" si="22"/>
        <v>389593750</v>
      </c>
      <c r="J211" s="9"/>
      <c r="K211" s="8">
        <f t="shared" si="20"/>
        <v>38959375</v>
      </c>
      <c r="L211" s="8">
        <f t="shared" si="17"/>
        <v>428553125</v>
      </c>
      <c r="M211" s="10"/>
      <c r="N211" s="13"/>
      <c r="O211" s="8">
        <f t="shared" si="21"/>
        <v>428553125</v>
      </c>
      <c r="P211" s="26"/>
      <c r="Q211"/>
    </row>
    <row r="212" spans="1:17" x14ac:dyDescent="0.25">
      <c r="A212" s="1">
        <v>211</v>
      </c>
      <c r="B212" s="1" t="s">
        <v>67</v>
      </c>
      <c r="C212" s="54" t="s">
        <v>342</v>
      </c>
      <c r="D212" s="1">
        <v>4000000</v>
      </c>
      <c r="E212" s="10" t="s">
        <v>327</v>
      </c>
      <c r="F212" s="5">
        <v>17800</v>
      </c>
      <c r="G212" s="6">
        <v>68500</v>
      </c>
      <c r="H212" s="7">
        <v>70</v>
      </c>
      <c r="I212" s="8">
        <f t="shared" si="22"/>
        <v>853510000</v>
      </c>
      <c r="J212" s="9"/>
      <c r="K212" s="8">
        <f t="shared" si="20"/>
        <v>85351000</v>
      </c>
      <c r="L212" s="8">
        <f t="shared" si="17"/>
        <v>938861000</v>
      </c>
      <c r="M212" s="10"/>
      <c r="N212" s="13"/>
      <c r="O212" s="8">
        <f t="shared" si="21"/>
        <v>938861000</v>
      </c>
      <c r="P212" s="26"/>
      <c r="Q212"/>
    </row>
    <row r="213" spans="1:17" x14ac:dyDescent="0.25">
      <c r="A213" s="1">
        <v>212</v>
      </c>
      <c r="B213" s="1" t="s">
        <v>67</v>
      </c>
      <c r="C213" s="54" t="s">
        <v>342</v>
      </c>
      <c r="D213" s="1">
        <v>4000000</v>
      </c>
      <c r="E213" s="10" t="s">
        <v>341</v>
      </c>
      <c r="F213" s="5">
        <v>18135</v>
      </c>
      <c r="G213" s="6">
        <v>68500</v>
      </c>
      <c r="H213" s="7">
        <v>70</v>
      </c>
      <c r="I213" s="8">
        <f t="shared" si="22"/>
        <v>869573250</v>
      </c>
      <c r="J213" s="9"/>
      <c r="K213" s="8">
        <f t="shared" si="20"/>
        <v>86957325</v>
      </c>
      <c r="L213" s="8">
        <f t="shared" si="17"/>
        <v>956530575</v>
      </c>
      <c r="M213" s="10"/>
      <c r="N213" s="13"/>
      <c r="O213" s="8">
        <f t="shared" si="21"/>
        <v>956530575</v>
      </c>
      <c r="P213" s="26"/>
      <c r="Q213"/>
    </row>
    <row r="214" spans="1:17" x14ac:dyDescent="0.25">
      <c r="A214" s="1">
        <v>213</v>
      </c>
      <c r="B214" s="1" t="s">
        <v>67</v>
      </c>
      <c r="C214" s="54" t="s">
        <v>347</v>
      </c>
      <c r="D214" s="1">
        <v>50000</v>
      </c>
      <c r="E214" s="10" t="s">
        <v>154</v>
      </c>
      <c r="F214" s="5">
        <v>13370</v>
      </c>
      <c r="G214" s="6">
        <v>75000</v>
      </c>
      <c r="H214" s="7">
        <v>0</v>
      </c>
      <c r="I214" s="8">
        <f t="shared" si="22"/>
        <v>0</v>
      </c>
      <c r="J214" s="9"/>
      <c r="K214" s="8">
        <f>(I214/100)*10</f>
        <v>0</v>
      </c>
      <c r="L214" s="8">
        <f t="shared" si="17"/>
        <v>0</v>
      </c>
      <c r="M214" s="10" t="s">
        <v>242</v>
      </c>
      <c r="N214" s="5">
        <v>100275000</v>
      </c>
      <c r="O214" s="8">
        <f>L214-N214</f>
        <v>-100275000</v>
      </c>
      <c r="P214" s="26" t="s">
        <v>343</v>
      </c>
      <c r="Q214"/>
    </row>
    <row r="215" spans="1:17" x14ac:dyDescent="0.25">
      <c r="A215" s="1">
        <v>214</v>
      </c>
      <c r="B215" s="1" t="s">
        <v>67</v>
      </c>
      <c r="C215" s="54" t="s">
        <v>347</v>
      </c>
      <c r="D215" s="1">
        <v>50000</v>
      </c>
      <c r="E215" s="10" t="s">
        <v>159</v>
      </c>
      <c r="F215" s="5">
        <v>20075</v>
      </c>
      <c r="G215" s="6">
        <v>75000</v>
      </c>
      <c r="H215" s="7">
        <v>0</v>
      </c>
      <c r="I215" s="8">
        <f t="shared" si="22"/>
        <v>0</v>
      </c>
      <c r="J215" s="9"/>
      <c r="K215" s="8">
        <f t="shared" ref="K215:K216" si="23">(I215/100)*10</f>
        <v>0</v>
      </c>
      <c r="L215" s="8">
        <f t="shared" si="17"/>
        <v>0</v>
      </c>
      <c r="M215" s="10" t="s">
        <v>242</v>
      </c>
      <c r="N215" s="13">
        <v>150562500</v>
      </c>
      <c r="O215" s="8">
        <f t="shared" ref="O215:O216" si="24">L215-N215</f>
        <v>-150562500</v>
      </c>
      <c r="P215" s="26"/>
      <c r="Q215"/>
    </row>
    <row r="216" spans="1:17" x14ac:dyDescent="0.25">
      <c r="A216" s="1">
        <v>215</v>
      </c>
      <c r="B216" s="1" t="s">
        <v>67</v>
      </c>
      <c r="C216" s="54" t="s">
        <v>347</v>
      </c>
      <c r="D216" s="1">
        <v>50000</v>
      </c>
      <c r="E216" s="10" t="s">
        <v>195</v>
      </c>
      <c r="F216" s="5">
        <v>16555</v>
      </c>
      <c r="G216" s="6">
        <v>75000</v>
      </c>
      <c r="H216" s="7">
        <v>0</v>
      </c>
      <c r="I216" s="8">
        <f t="shared" si="22"/>
        <v>0</v>
      </c>
      <c r="J216" s="9"/>
      <c r="K216" s="8">
        <f t="shared" si="23"/>
        <v>0</v>
      </c>
      <c r="L216" s="8">
        <f t="shared" si="17"/>
        <v>0</v>
      </c>
      <c r="M216" s="10" t="s">
        <v>242</v>
      </c>
      <c r="N216" s="13">
        <v>124162500</v>
      </c>
      <c r="O216" s="8">
        <f t="shared" si="24"/>
        <v>-124162500</v>
      </c>
      <c r="P216" s="26" t="s">
        <v>344</v>
      </c>
      <c r="Q216"/>
    </row>
    <row r="217" spans="1:17" x14ac:dyDescent="0.25">
      <c r="A217" s="1">
        <v>216</v>
      </c>
      <c r="B217" s="1" t="s">
        <v>67</v>
      </c>
      <c r="C217" s="54" t="s">
        <v>348</v>
      </c>
      <c r="D217" s="1">
        <v>50000</v>
      </c>
      <c r="E217" s="10" t="s">
        <v>196</v>
      </c>
      <c r="F217" s="5">
        <v>19985</v>
      </c>
      <c r="G217" s="6">
        <v>92180</v>
      </c>
      <c r="H217" s="7">
        <v>0</v>
      </c>
      <c r="I217" s="8">
        <f t="shared" si="22"/>
        <v>0</v>
      </c>
      <c r="J217" s="9"/>
      <c r="K217" s="8">
        <f>((F217*G217)/100)*10</f>
        <v>184221730</v>
      </c>
      <c r="L217" s="8">
        <f t="shared" si="17"/>
        <v>184221730</v>
      </c>
      <c r="M217" s="10"/>
      <c r="N217" s="5"/>
      <c r="O217" s="8">
        <f>L217-N217</f>
        <v>184221730</v>
      </c>
      <c r="P217" s="26"/>
      <c r="Q217"/>
    </row>
    <row r="218" spans="1:17" x14ac:dyDescent="0.25">
      <c r="A218" s="1">
        <v>217</v>
      </c>
      <c r="B218" s="1" t="s">
        <v>67</v>
      </c>
      <c r="C218" s="54" t="s">
        <v>348</v>
      </c>
      <c r="D218" s="1">
        <v>50000</v>
      </c>
      <c r="E218" s="10" t="s">
        <v>250</v>
      </c>
      <c r="F218" s="5">
        <v>20065</v>
      </c>
      <c r="G218" s="6">
        <v>92180</v>
      </c>
      <c r="H218" s="7">
        <v>0</v>
      </c>
      <c r="I218" s="8">
        <f t="shared" si="22"/>
        <v>0</v>
      </c>
      <c r="J218" s="9"/>
      <c r="K218" s="8">
        <f>((F218*G218)/100)*10</f>
        <v>184959170</v>
      </c>
      <c r="L218" s="8">
        <f t="shared" si="17"/>
        <v>184959170</v>
      </c>
      <c r="M218" s="10"/>
      <c r="N218" s="13"/>
      <c r="O218" s="8">
        <f t="shared" ref="O218:O219" si="25">L218-N218</f>
        <v>184959170</v>
      </c>
      <c r="P218" s="26"/>
      <c r="Q218"/>
    </row>
    <row r="219" spans="1:17" x14ac:dyDescent="0.25">
      <c r="A219" s="1">
        <v>218</v>
      </c>
      <c r="B219" s="1" t="s">
        <v>67</v>
      </c>
      <c r="C219" s="54" t="s">
        <v>348</v>
      </c>
      <c r="D219" s="1">
        <v>50000</v>
      </c>
      <c r="E219" s="10" t="s">
        <v>193</v>
      </c>
      <c r="F219" s="5">
        <v>9950</v>
      </c>
      <c r="G219" s="6">
        <v>92180</v>
      </c>
      <c r="H219" s="7">
        <v>0</v>
      </c>
      <c r="I219" s="8">
        <f t="shared" si="22"/>
        <v>0</v>
      </c>
      <c r="J219" s="9"/>
      <c r="K219" s="8">
        <f>((F219*G219)/100)*10</f>
        <v>91719100</v>
      </c>
      <c r="L219" s="8">
        <f t="shared" si="17"/>
        <v>91719100</v>
      </c>
      <c r="M219" s="10"/>
      <c r="N219" s="13"/>
      <c r="O219" s="8">
        <f t="shared" si="25"/>
        <v>91719100</v>
      </c>
      <c r="P219" s="26" t="s">
        <v>345</v>
      </c>
      <c r="Q219"/>
    </row>
    <row r="220" spans="1:17" x14ac:dyDescent="0.25">
      <c r="A220" s="1">
        <v>219</v>
      </c>
      <c r="B220" s="1" t="s">
        <v>67</v>
      </c>
      <c r="C220" s="54" t="s">
        <v>191</v>
      </c>
      <c r="D220" s="1">
        <v>85900</v>
      </c>
      <c r="E220" s="10" t="s">
        <v>193</v>
      </c>
      <c r="F220" s="5">
        <v>10060</v>
      </c>
      <c r="G220" s="6">
        <v>65000</v>
      </c>
      <c r="H220" s="7">
        <v>85</v>
      </c>
      <c r="I220" s="8">
        <f t="shared" si="22"/>
        <v>555815000</v>
      </c>
      <c r="J220" s="9"/>
      <c r="K220" s="8">
        <f>(I220/100)*10</f>
        <v>55581500</v>
      </c>
      <c r="L220" s="8">
        <f t="shared" si="17"/>
        <v>611396500</v>
      </c>
      <c r="M220" s="10" t="s">
        <v>222</v>
      </c>
      <c r="N220" s="5">
        <v>611396500</v>
      </c>
      <c r="O220" s="8">
        <f>L220-N220</f>
        <v>0</v>
      </c>
      <c r="P220" s="26" t="s">
        <v>345</v>
      </c>
      <c r="Q220"/>
    </row>
    <row r="221" spans="1:17" x14ac:dyDescent="0.25">
      <c r="A221" s="1">
        <v>220</v>
      </c>
      <c r="B221" s="1" t="s">
        <v>67</v>
      </c>
      <c r="C221" s="54" t="s">
        <v>191</v>
      </c>
      <c r="D221" s="1">
        <v>85900</v>
      </c>
      <c r="E221" s="10" t="s">
        <v>252</v>
      </c>
      <c r="F221" s="5">
        <v>20020</v>
      </c>
      <c r="G221" s="6">
        <v>65000</v>
      </c>
      <c r="H221" s="7">
        <v>85</v>
      </c>
      <c r="I221" s="8">
        <f t="shared" si="22"/>
        <v>1106105000</v>
      </c>
      <c r="J221" s="9"/>
      <c r="K221" s="8">
        <f t="shared" ref="K221:K225" si="26">(I221/100)*10</f>
        <v>110610500</v>
      </c>
      <c r="L221" s="8">
        <f t="shared" si="17"/>
        <v>1216715500</v>
      </c>
      <c r="M221" s="10" t="s">
        <v>222</v>
      </c>
      <c r="N221" s="13">
        <v>1216715500</v>
      </c>
      <c r="O221" s="8">
        <f t="shared" ref="O221:O225" si="27">L221-N221</f>
        <v>0</v>
      </c>
      <c r="P221" s="26"/>
      <c r="Q221"/>
    </row>
    <row r="222" spans="1:17" x14ac:dyDescent="0.25">
      <c r="A222" s="1">
        <v>221</v>
      </c>
      <c r="B222" s="1" t="s">
        <v>67</v>
      </c>
      <c r="C222" s="54" t="s">
        <v>191</v>
      </c>
      <c r="D222" s="1">
        <v>85900</v>
      </c>
      <c r="E222" s="10" t="s">
        <v>294</v>
      </c>
      <c r="F222" s="5">
        <v>18450</v>
      </c>
      <c r="G222" s="6">
        <v>65000</v>
      </c>
      <c r="H222" s="7">
        <v>85</v>
      </c>
      <c r="I222" s="8">
        <f t="shared" si="22"/>
        <v>1019362500</v>
      </c>
      <c r="J222" s="9"/>
      <c r="K222" s="8">
        <f t="shared" si="26"/>
        <v>101936250</v>
      </c>
      <c r="L222" s="8">
        <f t="shared" si="17"/>
        <v>1121298750</v>
      </c>
      <c r="M222" s="10" t="s">
        <v>222</v>
      </c>
      <c r="N222" s="13">
        <v>1121298750</v>
      </c>
      <c r="O222" s="8">
        <f t="shared" si="27"/>
        <v>0</v>
      </c>
      <c r="P222" s="26"/>
      <c r="Q222"/>
    </row>
    <row r="223" spans="1:17" x14ac:dyDescent="0.25">
      <c r="A223" s="1">
        <v>222</v>
      </c>
      <c r="B223" s="1" t="s">
        <v>67</v>
      </c>
      <c r="C223" s="54" t="s">
        <v>191</v>
      </c>
      <c r="D223" s="1">
        <v>85900</v>
      </c>
      <c r="E223" s="10" t="s">
        <v>222</v>
      </c>
      <c r="F223" s="5">
        <v>18985</v>
      </c>
      <c r="G223" s="6">
        <v>65000</v>
      </c>
      <c r="H223" s="7">
        <v>85</v>
      </c>
      <c r="I223" s="8">
        <f t="shared" si="22"/>
        <v>1048921250</v>
      </c>
      <c r="J223" s="9"/>
      <c r="K223" s="8">
        <f t="shared" si="26"/>
        <v>104892125</v>
      </c>
      <c r="L223" s="8">
        <f t="shared" si="17"/>
        <v>1153813375</v>
      </c>
      <c r="M223" s="10" t="s">
        <v>334</v>
      </c>
      <c r="N223" s="13">
        <v>1153813375</v>
      </c>
      <c r="O223" s="8">
        <f t="shared" si="27"/>
        <v>0</v>
      </c>
      <c r="P223" s="26"/>
      <c r="Q223"/>
    </row>
    <row r="224" spans="1:17" x14ac:dyDescent="0.25">
      <c r="A224" s="1">
        <v>223</v>
      </c>
      <c r="B224" s="1" t="s">
        <v>67</v>
      </c>
      <c r="C224" s="54" t="s">
        <v>191</v>
      </c>
      <c r="D224" s="1">
        <v>85900</v>
      </c>
      <c r="E224" s="10" t="s">
        <v>200</v>
      </c>
      <c r="F224" s="5">
        <v>18105</v>
      </c>
      <c r="G224" s="6">
        <v>65000</v>
      </c>
      <c r="H224" s="7">
        <v>85</v>
      </c>
      <c r="I224" s="8">
        <f t="shared" si="22"/>
        <v>1000301250</v>
      </c>
      <c r="J224" s="9"/>
      <c r="K224" s="8">
        <f t="shared" si="26"/>
        <v>100030125</v>
      </c>
      <c r="L224" s="8">
        <f t="shared" si="17"/>
        <v>1100331375</v>
      </c>
      <c r="M224" s="10" t="s">
        <v>334</v>
      </c>
      <c r="N224" s="13">
        <v>1100331375</v>
      </c>
      <c r="O224" s="8">
        <f t="shared" si="27"/>
        <v>0</v>
      </c>
      <c r="P224" s="26"/>
      <c r="Q224"/>
    </row>
    <row r="225" spans="1:17" x14ac:dyDescent="0.25">
      <c r="A225" s="1">
        <v>224</v>
      </c>
      <c r="B225" s="1" t="s">
        <v>67</v>
      </c>
      <c r="C225" s="54" t="s">
        <v>191</v>
      </c>
      <c r="D225" s="1">
        <v>85900</v>
      </c>
      <c r="E225" s="10" t="s">
        <v>333</v>
      </c>
      <c r="F225" s="5">
        <v>280</v>
      </c>
      <c r="G225" s="6">
        <v>65000</v>
      </c>
      <c r="H225" s="7">
        <v>85</v>
      </c>
      <c r="I225" s="8">
        <f t="shared" si="22"/>
        <v>15470000</v>
      </c>
      <c r="J225" s="9"/>
      <c r="K225" s="8">
        <f t="shared" si="26"/>
        <v>1547000</v>
      </c>
      <c r="L225" s="8">
        <f t="shared" si="17"/>
        <v>17017000</v>
      </c>
      <c r="M225" s="10" t="s">
        <v>334</v>
      </c>
      <c r="N225" s="13">
        <v>17017000</v>
      </c>
      <c r="O225" s="8">
        <f t="shared" si="27"/>
        <v>0</v>
      </c>
      <c r="P225" s="26" t="s">
        <v>346</v>
      </c>
      <c r="Q225"/>
    </row>
    <row r="226" spans="1:17" x14ac:dyDescent="0.25">
      <c r="A226" s="1">
        <v>225</v>
      </c>
      <c r="B226" s="1" t="s">
        <v>17</v>
      </c>
      <c r="C226" s="54" t="s">
        <v>197</v>
      </c>
      <c r="D226" s="1">
        <v>34360</v>
      </c>
      <c r="E226" s="10" t="s">
        <v>272</v>
      </c>
      <c r="F226" s="5">
        <v>10240</v>
      </c>
      <c r="G226" s="6">
        <v>65000</v>
      </c>
      <c r="H226" s="7">
        <v>85</v>
      </c>
      <c r="I226" s="8">
        <f t="shared" si="22"/>
        <v>565760000</v>
      </c>
      <c r="J226" s="7">
        <v>0</v>
      </c>
      <c r="K226" s="8">
        <f>(I226/100)*10</f>
        <v>56576000</v>
      </c>
      <c r="L226" s="8">
        <f>I226+K226</f>
        <v>622336000</v>
      </c>
      <c r="M226" s="10" t="s">
        <v>321</v>
      </c>
      <c r="N226" s="5">
        <v>622336000</v>
      </c>
      <c r="O226" s="8">
        <f>L226-N226</f>
        <v>0</v>
      </c>
      <c r="P226" s="26"/>
      <c r="Q226"/>
    </row>
    <row r="227" spans="1:17" x14ac:dyDescent="0.25">
      <c r="A227" s="1">
        <v>226</v>
      </c>
      <c r="B227" s="1" t="s">
        <v>17</v>
      </c>
      <c r="C227" s="54" t="s">
        <v>197</v>
      </c>
      <c r="D227" s="1">
        <v>34360</v>
      </c>
      <c r="E227" s="10" t="s">
        <v>325</v>
      </c>
      <c r="F227" s="5">
        <v>20060</v>
      </c>
      <c r="G227" s="6">
        <v>65000</v>
      </c>
      <c r="H227" s="7">
        <v>85</v>
      </c>
      <c r="I227" s="8">
        <f t="shared" si="22"/>
        <v>1108315000</v>
      </c>
      <c r="J227" s="7">
        <v>0</v>
      </c>
      <c r="K227" s="8">
        <f t="shared" ref="K227:K228" si="28">(I227/100)*10</f>
        <v>110831500</v>
      </c>
      <c r="L227" s="8">
        <f t="shared" ref="L227:L228" si="29">I227+K227</f>
        <v>1219146500</v>
      </c>
      <c r="M227" s="10" t="s">
        <v>302</v>
      </c>
      <c r="N227" s="13">
        <v>1219146500</v>
      </c>
      <c r="O227" s="8">
        <f t="shared" ref="O227:O228" si="30">L227-N227</f>
        <v>0</v>
      </c>
      <c r="P227" s="26"/>
      <c r="Q227"/>
    </row>
    <row r="228" spans="1:17" x14ac:dyDescent="0.25">
      <c r="A228" s="1">
        <v>227</v>
      </c>
      <c r="B228" s="1" t="s">
        <v>17</v>
      </c>
      <c r="C228" s="54" t="s">
        <v>197</v>
      </c>
      <c r="D228" s="1">
        <v>34360</v>
      </c>
      <c r="E228" s="10" t="s">
        <v>280</v>
      </c>
      <c r="F228" s="5">
        <v>4060</v>
      </c>
      <c r="G228" s="6">
        <v>65000</v>
      </c>
      <c r="H228" s="7">
        <v>85</v>
      </c>
      <c r="I228" s="8">
        <f t="shared" si="22"/>
        <v>224315000</v>
      </c>
      <c r="J228" s="7">
        <v>0</v>
      </c>
      <c r="K228" s="8">
        <f t="shared" si="28"/>
        <v>22431500</v>
      </c>
      <c r="L228" s="8">
        <f t="shared" si="29"/>
        <v>246746500</v>
      </c>
      <c r="M228" s="10" t="s">
        <v>282</v>
      </c>
      <c r="N228" s="13">
        <v>246746500</v>
      </c>
      <c r="O228" s="8">
        <f t="shared" si="30"/>
        <v>0</v>
      </c>
      <c r="P228" s="26" t="s">
        <v>349</v>
      </c>
      <c r="Q228"/>
    </row>
    <row r="229" spans="1:17" x14ac:dyDescent="0.25">
      <c r="A229" s="1">
        <v>228</v>
      </c>
      <c r="B229" s="1" t="s">
        <v>17</v>
      </c>
      <c r="C229" s="54" t="s">
        <v>186</v>
      </c>
      <c r="D229" s="1">
        <v>50000</v>
      </c>
      <c r="E229" s="10" t="s">
        <v>280</v>
      </c>
      <c r="F229" s="5">
        <v>15840</v>
      </c>
      <c r="G229" s="6">
        <v>151200</v>
      </c>
      <c r="H229" s="7">
        <v>100</v>
      </c>
      <c r="I229" s="8">
        <f t="shared" si="22"/>
        <v>2395008000</v>
      </c>
      <c r="J229" s="7">
        <v>0</v>
      </c>
      <c r="K229" s="8">
        <f>(I229/100)*10</f>
        <v>239500800</v>
      </c>
      <c r="L229" s="8">
        <f>I229+K229</f>
        <v>2634508800</v>
      </c>
      <c r="M229" s="10"/>
      <c r="N229" s="5"/>
      <c r="O229" s="8">
        <f>L229-N229</f>
        <v>2634508800</v>
      </c>
      <c r="P229" s="26" t="s">
        <v>350</v>
      </c>
      <c r="Q229"/>
    </row>
    <row r="230" spans="1:17" x14ac:dyDescent="0.25">
      <c r="A230" s="1">
        <v>229</v>
      </c>
      <c r="B230" s="1" t="s">
        <v>17</v>
      </c>
      <c r="C230" s="54" t="s">
        <v>186</v>
      </c>
      <c r="D230" s="1">
        <v>50000</v>
      </c>
      <c r="E230" s="10" t="s">
        <v>302</v>
      </c>
      <c r="F230" s="5">
        <v>22025</v>
      </c>
      <c r="G230" s="6">
        <v>151200</v>
      </c>
      <c r="H230" s="7">
        <v>100</v>
      </c>
      <c r="I230" s="8">
        <f t="shared" si="22"/>
        <v>3330180000</v>
      </c>
      <c r="J230" s="7">
        <v>0</v>
      </c>
      <c r="K230" s="8">
        <f t="shared" ref="K230" si="31">(I230/100)*10</f>
        <v>333018000</v>
      </c>
      <c r="L230" s="8">
        <f t="shared" ref="L230" si="32">I230+K230</f>
        <v>3663198000</v>
      </c>
      <c r="M230" s="10"/>
      <c r="N230" s="13"/>
      <c r="O230" s="8">
        <f t="shared" ref="O230" si="33">L230-N230</f>
        <v>3663198000</v>
      </c>
      <c r="P230" s="26"/>
      <c r="Q230"/>
    </row>
    <row r="231" spans="1:17" x14ac:dyDescent="0.25">
      <c r="A231" s="1">
        <v>230</v>
      </c>
      <c r="B231" s="1" t="s">
        <v>17</v>
      </c>
      <c r="C231" s="54" t="s">
        <v>197</v>
      </c>
      <c r="D231" s="1">
        <v>34360</v>
      </c>
      <c r="E231" s="10"/>
      <c r="F231" s="5"/>
      <c r="G231" s="6"/>
      <c r="H231" s="7">
        <v>85</v>
      </c>
      <c r="I231" s="8">
        <f t="shared" si="22"/>
        <v>0</v>
      </c>
      <c r="J231" s="7">
        <v>0</v>
      </c>
      <c r="K231" s="8">
        <f>(I231/100)*10</f>
        <v>0</v>
      </c>
      <c r="L231" s="8">
        <f>I231+K231</f>
        <v>0</v>
      </c>
      <c r="M231" s="10" t="s">
        <v>321</v>
      </c>
      <c r="N231" s="5">
        <v>622336000</v>
      </c>
      <c r="O231" s="8">
        <f>L231-N231</f>
        <v>-622336000</v>
      </c>
      <c r="P231" s="26"/>
      <c r="Q231"/>
    </row>
    <row r="232" spans="1:17" x14ac:dyDescent="0.25">
      <c r="A232" s="1">
        <v>231</v>
      </c>
      <c r="B232" s="1" t="s">
        <v>17</v>
      </c>
      <c r="C232" s="54" t="s">
        <v>348</v>
      </c>
      <c r="D232" s="1">
        <v>20000</v>
      </c>
      <c r="E232" s="10" t="s">
        <v>351</v>
      </c>
      <c r="F232" s="5">
        <v>10045</v>
      </c>
      <c r="G232" s="6">
        <v>92180</v>
      </c>
      <c r="H232" s="7">
        <v>0</v>
      </c>
      <c r="I232" s="8">
        <f t="shared" si="22"/>
        <v>0</v>
      </c>
      <c r="J232" s="7">
        <v>0</v>
      </c>
      <c r="K232" s="8">
        <f>((F232*G232)/100)*10</f>
        <v>92594810</v>
      </c>
      <c r="L232" s="8">
        <f>I232+K232</f>
        <v>92594810</v>
      </c>
      <c r="M232" s="10"/>
      <c r="N232" s="5"/>
      <c r="O232" s="8">
        <f>L232-N232</f>
        <v>92594810</v>
      </c>
      <c r="P232" s="26" t="s">
        <v>352</v>
      </c>
      <c r="Q232"/>
    </row>
    <row r="233" spans="1:17" x14ac:dyDescent="0.25">
      <c r="A233" s="1">
        <v>232</v>
      </c>
      <c r="B233" s="1" t="s">
        <v>17</v>
      </c>
      <c r="C233" s="54" t="s">
        <v>348</v>
      </c>
      <c r="D233" s="1">
        <v>20000</v>
      </c>
      <c r="E233" s="10" t="s">
        <v>353</v>
      </c>
      <c r="F233" s="5">
        <v>9955</v>
      </c>
      <c r="G233" s="6">
        <v>92180</v>
      </c>
      <c r="H233" s="7">
        <v>0</v>
      </c>
      <c r="I233" s="8">
        <f t="shared" si="22"/>
        <v>0</v>
      </c>
      <c r="J233" s="7">
        <v>0</v>
      </c>
      <c r="K233" s="8">
        <f>((F233*G233)/100)*10</f>
        <v>91765190</v>
      </c>
      <c r="L233" s="8">
        <f t="shared" ref="L233" si="34">I233+K233</f>
        <v>91765190</v>
      </c>
      <c r="M233" s="10"/>
      <c r="N233" s="13"/>
      <c r="O233" s="8">
        <f t="shared" ref="O233" si="35">L233-N233</f>
        <v>91765190</v>
      </c>
      <c r="P233" s="26" t="s">
        <v>354</v>
      </c>
      <c r="Q233"/>
    </row>
    <row r="234" spans="1:17" x14ac:dyDescent="0.25">
      <c r="A234" s="1">
        <v>233</v>
      </c>
      <c r="B234" s="1" t="s">
        <v>17</v>
      </c>
      <c r="C234" s="54" t="s">
        <v>355</v>
      </c>
      <c r="D234" s="1">
        <v>20000</v>
      </c>
      <c r="E234" s="10" t="s">
        <v>351</v>
      </c>
      <c r="F234" s="5">
        <v>10045</v>
      </c>
      <c r="G234" s="6">
        <v>92180</v>
      </c>
      <c r="H234" s="7">
        <v>0</v>
      </c>
      <c r="I234" s="8">
        <f t="shared" si="22"/>
        <v>0</v>
      </c>
      <c r="J234" s="7">
        <v>0</v>
      </c>
      <c r="K234" s="8">
        <f>((F234*G234)/100)*10</f>
        <v>92594810</v>
      </c>
      <c r="L234" s="8">
        <f>I234+K234</f>
        <v>92594810</v>
      </c>
      <c r="M234" s="10"/>
      <c r="N234" s="5"/>
      <c r="O234" s="8">
        <f>L234-N234</f>
        <v>92594810</v>
      </c>
      <c r="P234" s="26" t="s">
        <v>352</v>
      </c>
      <c r="Q234"/>
    </row>
    <row r="235" spans="1:17" x14ac:dyDescent="0.25">
      <c r="A235" s="1">
        <v>234</v>
      </c>
      <c r="B235" s="1" t="s">
        <v>17</v>
      </c>
      <c r="C235" s="54" t="s">
        <v>355</v>
      </c>
      <c r="D235" s="1">
        <v>20000</v>
      </c>
      <c r="E235" s="10" t="s">
        <v>353</v>
      </c>
      <c r="F235" s="5">
        <v>9955</v>
      </c>
      <c r="G235" s="6">
        <v>92180</v>
      </c>
      <c r="H235" s="7">
        <v>0</v>
      </c>
      <c r="I235" s="8">
        <f t="shared" si="22"/>
        <v>0</v>
      </c>
      <c r="J235" s="7">
        <v>0</v>
      </c>
      <c r="K235" s="8">
        <f>((F235*G235)/100)*10</f>
        <v>91765190</v>
      </c>
      <c r="L235" s="8">
        <f t="shared" ref="L235:L292" si="36">I235+K235</f>
        <v>91765190</v>
      </c>
      <c r="M235" s="10"/>
      <c r="N235" s="13"/>
      <c r="O235" s="8">
        <f t="shared" ref="O235" si="37">L235-N235</f>
        <v>91765190</v>
      </c>
      <c r="P235" s="26" t="s">
        <v>354</v>
      </c>
      <c r="Q235"/>
    </row>
    <row r="236" spans="1:17" ht="19.2" x14ac:dyDescent="0.25">
      <c r="A236" s="1">
        <v>235</v>
      </c>
      <c r="B236" s="1" t="s">
        <v>356</v>
      </c>
      <c r="C236" s="54" t="s">
        <v>362</v>
      </c>
      <c r="D236" s="1">
        <v>200000</v>
      </c>
      <c r="E236" s="18" t="s">
        <v>357</v>
      </c>
      <c r="F236" s="5">
        <v>119770</v>
      </c>
      <c r="G236" s="6">
        <v>65000</v>
      </c>
      <c r="H236" s="7">
        <v>100</v>
      </c>
      <c r="I236" s="8">
        <f t="shared" si="22"/>
        <v>7785050000</v>
      </c>
      <c r="J236" s="9"/>
      <c r="K236" s="8">
        <f>(I236/100)*10</f>
        <v>778505000</v>
      </c>
      <c r="L236" s="8">
        <f t="shared" si="36"/>
        <v>8563555000</v>
      </c>
      <c r="M236" s="10" t="s">
        <v>358</v>
      </c>
      <c r="N236" s="5">
        <v>8563555000</v>
      </c>
      <c r="O236" s="8">
        <f>L236-N236</f>
        <v>0</v>
      </c>
      <c r="P236" s="26" t="s">
        <v>359</v>
      </c>
      <c r="Q236"/>
    </row>
    <row r="237" spans="1:17" x14ac:dyDescent="0.25">
      <c r="A237" s="1">
        <v>236</v>
      </c>
      <c r="B237" s="1" t="s">
        <v>356</v>
      </c>
      <c r="C237" s="54" t="s">
        <v>362</v>
      </c>
      <c r="D237" s="1">
        <v>200000</v>
      </c>
      <c r="E237" s="10" t="s">
        <v>178</v>
      </c>
      <c r="F237" s="5">
        <v>11920</v>
      </c>
      <c r="G237" s="6">
        <v>65000</v>
      </c>
      <c r="H237" s="7">
        <v>100</v>
      </c>
      <c r="I237" s="8">
        <f t="shared" si="22"/>
        <v>774800000</v>
      </c>
      <c r="J237" s="9"/>
      <c r="K237" s="8">
        <f t="shared" ref="K237:K244" si="38">(I237/100)*10</f>
        <v>77480000</v>
      </c>
      <c r="L237" s="8">
        <f t="shared" si="36"/>
        <v>852280000</v>
      </c>
      <c r="M237" s="10" t="s">
        <v>358</v>
      </c>
      <c r="N237" s="13">
        <v>852280000</v>
      </c>
      <c r="O237" s="8">
        <f t="shared" ref="O237:O244" si="39">L237-N237</f>
        <v>0</v>
      </c>
      <c r="P237" s="26"/>
      <c r="Q237"/>
    </row>
    <row r="238" spans="1:17" x14ac:dyDescent="0.25">
      <c r="A238" s="1">
        <v>237</v>
      </c>
      <c r="B238" s="1" t="s">
        <v>356</v>
      </c>
      <c r="C238" s="54" t="s">
        <v>362</v>
      </c>
      <c r="D238" s="1">
        <v>200000</v>
      </c>
      <c r="E238" s="10" t="s">
        <v>192</v>
      </c>
      <c r="F238" s="5">
        <v>7065</v>
      </c>
      <c r="G238" s="6">
        <v>65000</v>
      </c>
      <c r="H238" s="7">
        <v>100</v>
      </c>
      <c r="I238" s="8">
        <f t="shared" si="22"/>
        <v>459225000</v>
      </c>
      <c r="J238" s="9"/>
      <c r="K238" s="8">
        <f t="shared" si="38"/>
        <v>45922500</v>
      </c>
      <c r="L238" s="8">
        <f t="shared" si="36"/>
        <v>505147500</v>
      </c>
      <c r="M238" s="10" t="s">
        <v>358</v>
      </c>
      <c r="N238" s="13">
        <v>505147500</v>
      </c>
      <c r="O238" s="8">
        <f t="shared" si="39"/>
        <v>0</v>
      </c>
      <c r="P238" s="26"/>
      <c r="Q238"/>
    </row>
    <row r="239" spans="1:17" x14ac:dyDescent="0.25">
      <c r="A239" s="1">
        <v>238</v>
      </c>
      <c r="B239" s="1" t="s">
        <v>356</v>
      </c>
      <c r="C239" s="54" t="s">
        <v>362</v>
      </c>
      <c r="D239" s="1">
        <v>200000</v>
      </c>
      <c r="E239" s="10" t="s">
        <v>190</v>
      </c>
      <c r="F239" s="5">
        <v>11590</v>
      </c>
      <c r="G239" s="6">
        <v>65000</v>
      </c>
      <c r="H239" s="7">
        <v>100</v>
      </c>
      <c r="I239" s="8">
        <f t="shared" si="22"/>
        <v>753350000</v>
      </c>
      <c r="J239" s="9"/>
      <c r="K239" s="8">
        <f t="shared" si="38"/>
        <v>75335000</v>
      </c>
      <c r="L239" s="8">
        <f t="shared" si="36"/>
        <v>828685000</v>
      </c>
      <c r="M239" s="10" t="s">
        <v>358</v>
      </c>
      <c r="N239" s="13">
        <v>828685000</v>
      </c>
      <c r="O239" s="8">
        <f t="shared" si="39"/>
        <v>0</v>
      </c>
      <c r="P239" s="26"/>
      <c r="Q239"/>
    </row>
    <row r="240" spans="1:17" x14ac:dyDescent="0.25">
      <c r="A240" s="1">
        <v>239</v>
      </c>
      <c r="B240" s="1" t="s">
        <v>356</v>
      </c>
      <c r="C240" s="54" t="s">
        <v>362</v>
      </c>
      <c r="D240" s="1">
        <v>200000</v>
      </c>
      <c r="E240" s="10" t="s">
        <v>293</v>
      </c>
      <c r="F240" s="5">
        <v>11900</v>
      </c>
      <c r="G240" s="6">
        <v>65000</v>
      </c>
      <c r="H240" s="7">
        <v>100</v>
      </c>
      <c r="I240" s="8">
        <f t="shared" si="22"/>
        <v>773500000</v>
      </c>
      <c r="J240" s="9"/>
      <c r="K240" s="8">
        <f>(I240/100)*10</f>
        <v>77350000</v>
      </c>
      <c r="L240" s="8">
        <f t="shared" si="36"/>
        <v>850850000</v>
      </c>
      <c r="M240" s="10" t="s">
        <v>358</v>
      </c>
      <c r="N240" s="13">
        <v>850850000</v>
      </c>
      <c r="O240" s="8">
        <f t="shared" si="39"/>
        <v>0</v>
      </c>
      <c r="P240" s="26"/>
      <c r="Q240"/>
    </row>
    <row r="241" spans="1:17" x14ac:dyDescent="0.25">
      <c r="A241" s="1">
        <v>240</v>
      </c>
      <c r="B241" s="1" t="s">
        <v>356</v>
      </c>
      <c r="C241" s="54" t="s">
        <v>362</v>
      </c>
      <c r="D241" s="1">
        <v>200000</v>
      </c>
      <c r="E241" s="10" t="s">
        <v>360</v>
      </c>
      <c r="F241" s="5">
        <v>11695</v>
      </c>
      <c r="G241" s="6">
        <v>65000</v>
      </c>
      <c r="H241" s="7">
        <v>100</v>
      </c>
      <c r="I241" s="8">
        <f t="shared" si="22"/>
        <v>760175000</v>
      </c>
      <c r="J241" s="9"/>
      <c r="K241" s="8">
        <f t="shared" si="38"/>
        <v>76017500</v>
      </c>
      <c r="L241" s="8">
        <f t="shared" si="36"/>
        <v>836192500</v>
      </c>
      <c r="M241" s="10" t="s">
        <v>358</v>
      </c>
      <c r="N241" s="13">
        <v>836192500</v>
      </c>
      <c r="O241" s="8">
        <f t="shared" si="39"/>
        <v>0</v>
      </c>
      <c r="P241" s="26"/>
      <c r="Q241"/>
    </row>
    <row r="242" spans="1:17" x14ac:dyDescent="0.25">
      <c r="A242" s="1">
        <v>241</v>
      </c>
      <c r="B242" s="1" t="s">
        <v>356</v>
      </c>
      <c r="C242" s="54" t="s">
        <v>362</v>
      </c>
      <c r="D242" s="1">
        <v>200000</v>
      </c>
      <c r="E242" s="10" t="s">
        <v>250</v>
      </c>
      <c r="F242" s="5">
        <v>10125</v>
      </c>
      <c r="G242" s="6">
        <v>65000</v>
      </c>
      <c r="H242" s="7">
        <v>100</v>
      </c>
      <c r="I242" s="8">
        <f t="shared" si="22"/>
        <v>658125000</v>
      </c>
      <c r="J242" s="9"/>
      <c r="K242" s="8">
        <f t="shared" si="38"/>
        <v>65812500</v>
      </c>
      <c r="L242" s="8">
        <f t="shared" si="36"/>
        <v>723937500</v>
      </c>
      <c r="M242" s="10" t="s">
        <v>358</v>
      </c>
      <c r="N242" s="13">
        <v>723937500</v>
      </c>
      <c r="O242" s="8">
        <f t="shared" si="39"/>
        <v>0</v>
      </c>
      <c r="P242" s="26"/>
      <c r="Q242"/>
    </row>
    <row r="243" spans="1:17" x14ac:dyDescent="0.25">
      <c r="A243" s="1">
        <v>242</v>
      </c>
      <c r="B243" s="1" t="s">
        <v>356</v>
      </c>
      <c r="C243" s="54" t="s">
        <v>362</v>
      </c>
      <c r="D243" s="1">
        <v>200000</v>
      </c>
      <c r="E243" s="10" t="s">
        <v>171</v>
      </c>
      <c r="F243" s="5">
        <v>11945</v>
      </c>
      <c r="G243" s="6">
        <v>65000</v>
      </c>
      <c r="H243" s="7">
        <v>100</v>
      </c>
      <c r="I243" s="8">
        <f t="shared" si="22"/>
        <v>776425000</v>
      </c>
      <c r="J243" s="9"/>
      <c r="K243" s="8">
        <f t="shared" si="38"/>
        <v>77642500</v>
      </c>
      <c r="L243" s="8">
        <f t="shared" si="36"/>
        <v>854067500</v>
      </c>
      <c r="M243" s="10" t="s">
        <v>358</v>
      </c>
      <c r="N243" s="13">
        <v>854067500</v>
      </c>
      <c r="O243" s="8">
        <f t="shared" si="39"/>
        <v>0</v>
      </c>
      <c r="P243" s="26"/>
      <c r="Q243"/>
    </row>
    <row r="244" spans="1:17" ht="18.600000000000001" x14ac:dyDescent="0.25">
      <c r="A244" s="1">
        <v>243</v>
      </c>
      <c r="B244" s="1" t="s">
        <v>356</v>
      </c>
      <c r="C244" s="54" t="s">
        <v>362</v>
      </c>
      <c r="D244" s="1">
        <v>200000</v>
      </c>
      <c r="E244" s="10" t="s">
        <v>108</v>
      </c>
      <c r="F244" s="5">
        <v>3990</v>
      </c>
      <c r="G244" s="6">
        <v>65000</v>
      </c>
      <c r="H244" s="7">
        <v>100</v>
      </c>
      <c r="I244" s="8">
        <f t="shared" si="22"/>
        <v>259350000</v>
      </c>
      <c r="J244" s="9"/>
      <c r="K244" s="8">
        <f t="shared" si="38"/>
        <v>25935000</v>
      </c>
      <c r="L244" s="8">
        <f t="shared" si="36"/>
        <v>285285000</v>
      </c>
      <c r="M244" s="10" t="s">
        <v>358</v>
      </c>
      <c r="N244" s="13">
        <v>285285000</v>
      </c>
      <c r="O244" s="8">
        <f t="shared" si="39"/>
        <v>0</v>
      </c>
      <c r="P244" s="38" t="s">
        <v>361</v>
      </c>
      <c r="Q244"/>
    </row>
    <row r="245" spans="1:17" x14ac:dyDescent="0.25">
      <c r="A245" s="1">
        <v>244</v>
      </c>
      <c r="B245" s="1" t="s">
        <v>356</v>
      </c>
      <c r="C245" s="54" t="s">
        <v>107</v>
      </c>
      <c r="D245" s="1">
        <v>500000</v>
      </c>
      <c r="E245" s="10" t="s">
        <v>108</v>
      </c>
      <c r="F245" s="5">
        <v>8095</v>
      </c>
      <c r="G245" s="6">
        <v>70000</v>
      </c>
      <c r="H245" s="7">
        <v>50</v>
      </c>
      <c r="I245" s="8">
        <f t="shared" si="22"/>
        <v>283325000</v>
      </c>
      <c r="J245" s="9"/>
      <c r="K245" s="8">
        <f>(I245/100)*10</f>
        <v>28332500</v>
      </c>
      <c r="L245" s="8">
        <f t="shared" si="36"/>
        <v>311657500</v>
      </c>
      <c r="M245" s="10" t="s">
        <v>163</v>
      </c>
      <c r="N245" s="5">
        <v>311657500</v>
      </c>
      <c r="O245" s="8">
        <f>L245-N245</f>
        <v>0</v>
      </c>
      <c r="P245" s="26"/>
      <c r="Q245"/>
    </row>
    <row r="246" spans="1:17" x14ac:dyDescent="0.25">
      <c r="A246" s="1">
        <v>245</v>
      </c>
      <c r="B246" s="1" t="s">
        <v>356</v>
      </c>
      <c r="C246" s="54" t="s">
        <v>107</v>
      </c>
      <c r="D246" s="1">
        <v>500000</v>
      </c>
      <c r="E246" s="10" t="s">
        <v>200</v>
      </c>
      <c r="F246" s="5">
        <v>11405</v>
      </c>
      <c r="G246" s="6">
        <v>70000</v>
      </c>
      <c r="H246" s="7">
        <v>50</v>
      </c>
      <c r="I246" s="8">
        <f t="shared" si="22"/>
        <v>399175000</v>
      </c>
      <c r="J246" s="9"/>
      <c r="K246" s="8">
        <f t="shared" ref="K246:K263" si="40">(I246/100)*10</f>
        <v>39917500</v>
      </c>
      <c r="L246" s="8">
        <f t="shared" si="36"/>
        <v>439092500</v>
      </c>
      <c r="M246" s="10" t="s">
        <v>163</v>
      </c>
      <c r="N246" s="13">
        <v>439092500</v>
      </c>
      <c r="O246" s="8">
        <f t="shared" ref="O246:O263" si="41">L246-N246</f>
        <v>0</v>
      </c>
      <c r="P246" s="26"/>
      <c r="Q246"/>
    </row>
    <row r="247" spans="1:17" x14ac:dyDescent="0.25">
      <c r="A247" s="1">
        <v>246</v>
      </c>
      <c r="B247" s="1" t="s">
        <v>356</v>
      </c>
      <c r="C247" s="54" t="s">
        <v>107</v>
      </c>
      <c r="D247" s="1">
        <v>500000</v>
      </c>
      <c r="E247" s="10" t="s">
        <v>254</v>
      </c>
      <c r="F247" s="5">
        <v>11790</v>
      </c>
      <c r="G247" s="6">
        <v>70000</v>
      </c>
      <c r="H247" s="7">
        <v>50</v>
      </c>
      <c r="I247" s="8">
        <f t="shared" si="22"/>
        <v>412650000</v>
      </c>
      <c r="J247" s="9"/>
      <c r="K247" s="8">
        <f t="shared" si="40"/>
        <v>41265000</v>
      </c>
      <c r="L247" s="8">
        <f t="shared" si="36"/>
        <v>453915000</v>
      </c>
      <c r="M247" s="10" t="s">
        <v>163</v>
      </c>
      <c r="N247" s="13">
        <v>453915000</v>
      </c>
      <c r="O247" s="8">
        <f t="shared" si="41"/>
        <v>0</v>
      </c>
      <c r="P247" s="26"/>
      <c r="Q247"/>
    </row>
    <row r="248" spans="1:17" x14ac:dyDescent="0.25">
      <c r="A248" s="1">
        <v>247</v>
      </c>
      <c r="B248" s="1" t="s">
        <v>356</v>
      </c>
      <c r="C248" s="54" t="s">
        <v>107</v>
      </c>
      <c r="D248" s="1">
        <v>500000</v>
      </c>
      <c r="E248" s="10" t="s">
        <v>201</v>
      </c>
      <c r="F248" s="5">
        <v>11490</v>
      </c>
      <c r="G248" s="6">
        <v>70000</v>
      </c>
      <c r="H248" s="7">
        <v>50</v>
      </c>
      <c r="I248" s="8">
        <f t="shared" si="22"/>
        <v>402150000</v>
      </c>
      <c r="J248" s="9"/>
      <c r="K248" s="8">
        <f t="shared" si="40"/>
        <v>40215000</v>
      </c>
      <c r="L248" s="8">
        <f t="shared" si="36"/>
        <v>442365000</v>
      </c>
      <c r="M248" s="10" t="s">
        <v>296</v>
      </c>
      <c r="N248" s="13">
        <v>442365000</v>
      </c>
      <c r="O248" s="8">
        <f t="shared" si="41"/>
        <v>0</v>
      </c>
      <c r="P248" s="26"/>
      <c r="Q248"/>
    </row>
    <row r="249" spans="1:17" x14ac:dyDescent="0.25">
      <c r="A249" s="1">
        <v>248</v>
      </c>
      <c r="B249" s="1" t="s">
        <v>356</v>
      </c>
      <c r="C249" s="54" t="s">
        <v>107</v>
      </c>
      <c r="D249" s="1">
        <v>500000</v>
      </c>
      <c r="E249" s="10" t="s">
        <v>257</v>
      </c>
      <c r="F249" s="5">
        <v>9805</v>
      </c>
      <c r="G249" s="6">
        <v>70000</v>
      </c>
      <c r="H249" s="7">
        <v>50</v>
      </c>
      <c r="I249" s="8">
        <f t="shared" si="22"/>
        <v>343175000</v>
      </c>
      <c r="J249" s="9"/>
      <c r="K249" s="8">
        <f t="shared" si="40"/>
        <v>34317500</v>
      </c>
      <c r="L249" s="8">
        <f t="shared" si="36"/>
        <v>377492500</v>
      </c>
      <c r="M249" s="10" t="s">
        <v>313</v>
      </c>
      <c r="N249" s="13">
        <v>377492500</v>
      </c>
      <c r="O249" s="8">
        <f t="shared" si="41"/>
        <v>0</v>
      </c>
      <c r="P249" s="26"/>
      <c r="Q249"/>
    </row>
    <row r="250" spans="1:17" x14ac:dyDescent="0.25">
      <c r="A250" s="1">
        <v>249</v>
      </c>
      <c r="B250" s="1" t="s">
        <v>356</v>
      </c>
      <c r="C250" s="54" t="s">
        <v>107</v>
      </c>
      <c r="D250" s="1">
        <v>500000</v>
      </c>
      <c r="E250" s="10" t="s">
        <v>61</v>
      </c>
      <c r="F250" s="5">
        <v>11835</v>
      </c>
      <c r="G250" s="6">
        <v>70000</v>
      </c>
      <c r="H250" s="7">
        <v>50</v>
      </c>
      <c r="I250" s="8">
        <f t="shared" si="22"/>
        <v>414225000</v>
      </c>
      <c r="J250" s="9"/>
      <c r="K250" s="8">
        <f t="shared" si="40"/>
        <v>41422500</v>
      </c>
      <c r="L250" s="8">
        <f t="shared" si="36"/>
        <v>455647500</v>
      </c>
      <c r="M250" s="10" t="s">
        <v>337</v>
      </c>
      <c r="N250" s="13">
        <v>455647500</v>
      </c>
      <c r="O250" s="8">
        <f t="shared" si="41"/>
        <v>0</v>
      </c>
      <c r="P250" s="26"/>
      <c r="Q250"/>
    </row>
    <row r="251" spans="1:17" x14ac:dyDescent="0.25">
      <c r="A251" s="1">
        <v>250</v>
      </c>
      <c r="B251" s="1" t="s">
        <v>356</v>
      </c>
      <c r="C251" s="54" t="s">
        <v>107</v>
      </c>
      <c r="D251" s="1">
        <v>500000</v>
      </c>
      <c r="E251" s="10" t="s">
        <v>260</v>
      </c>
      <c r="F251" s="5">
        <v>11795</v>
      </c>
      <c r="G251" s="6">
        <v>70000</v>
      </c>
      <c r="H251" s="7">
        <v>50</v>
      </c>
      <c r="I251" s="8">
        <f t="shared" si="22"/>
        <v>412825000</v>
      </c>
      <c r="J251" s="9"/>
      <c r="K251" s="8">
        <f>(I251/100)*10</f>
        <v>41282500</v>
      </c>
      <c r="L251" s="8">
        <f t="shared" si="36"/>
        <v>454107500</v>
      </c>
      <c r="M251" s="10" t="s">
        <v>337</v>
      </c>
      <c r="N251" s="13">
        <v>454107500</v>
      </c>
      <c r="O251" s="8">
        <f t="shared" si="41"/>
        <v>0</v>
      </c>
      <c r="P251" s="26"/>
      <c r="Q251"/>
    </row>
    <row r="252" spans="1:17" x14ac:dyDescent="0.25">
      <c r="A252" s="1">
        <v>251</v>
      </c>
      <c r="B252" s="1" t="s">
        <v>356</v>
      </c>
      <c r="C252" s="54" t="s">
        <v>107</v>
      </c>
      <c r="D252" s="1">
        <v>500000</v>
      </c>
      <c r="E252" s="10" t="s">
        <v>316</v>
      </c>
      <c r="F252" s="5">
        <v>11710</v>
      </c>
      <c r="G252" s="6">
        <v>70000</v>
      </c>
      <c r="H252" s="7">
        <v>50</v>
      </c>
      <c r="I252" s="8">
        <f t="shared" si="22"/>
        <v>409850000</v>
      </c>
      <c r="J252" s="9"/>
      <c r="K252" s="8">
        <f t="shared" si="40"/>
        <v>40985000</v>
      </c>
      <c r="L252" s="8">
        <f t="shared" si="36"/>
        <v>450835000</v>
      </c>
      <c r="M252" s="10" t="s">
        <v>272</v>
      </c>
      <c r="N252" s="13">
        <v>450835000</v>
      </c>
      <c r="O252" s="8">
        <f t="shared" si="41"/>
        <v>0</v>
      </c>
      <c r="P252" s="26"/>
      <c r="Q252"/>
    </row>
    <row r="253" spans="1:17" x14ac:dyDescent="0.25">
      <c r="A253" s="1">
        <v>252</v>
      </c>
      <c r="B253" s="1" t="s">
        <v>356</v>
      </c>
      <c r="C253" s="54" t="s">
        <v>107</v>
      </c>
      <c r="D253" s="1">
        <v>500000</v>
      </c>
      <c r="E253" s="10" t="s">
        <v>336</v>
      </c>
      <c r="F253" s="5">
        <v>11490</v>
      </c>
      <c r="G253" s="6">
        <v>70000</v>
      </c>
      <c r="H253" s="7">
        <v>50</v>
      </c>
      <c r="I253" s="8">
        <f t="shared" si="22"/>
        <v>402150000</v>
      </c>
      <c r="J253" s="9"/>
      <c r="K253" s="8">
        <f t="shared" si="40"/>
        <v>40215000</v>
      </c>
      <c r="L253" s="8">
        <f t="shared" si="36"/>
        <v>442365000</v>
      </c>
      <c r="M253" s="10" t="s">
        <v>268</v>
      </c>
      <c r="N253" s="13">
        <v>442365000</v>
      </c>
      <c r="O253" s="8">
        <f t="shared" si="41"/>
        <v>0</v>
      </c>
      <c r="P253" s="26"/>
      <c r="Q253"/>
    </row>
    <row r="254" spans="1:17" x14ac:dyDescent="0.25">
      <c r="A254" s="1">
        <v>253</v>
      </c>
      <c r="B254" s="1" t="s">
        <v>356</v>
      </c>
      <c r="C254" s="54" t="s">
        <v>107</v>
      </c>
      <c r="D254" s="1">
        <v>500000</v>
      </c>
      <c r="E254" s="10" t="s">
        <v>202</v>
      </c>
      <c r="F254" s="5">
        <v>11920</v>
      </c>
      <c r="G254" s="6">
        <v>70000</v>
      </c>
      <c r="H254" s="7">
        <v>50</v>
      </c>
      <c r="I254" s="8">
        <f t="shared" si="22"/>
        <v>417200000</v>
      </c>
      <c r="J254" s="9"/>
      <c r="K254" s="8">
        <f t="shared" si="40"/>
        <v>41720000</v>
      </c>
      <c r="L254" s="8">
        <f t="shared" si="36"/>
        <v>458920000</v>
      </c>
      <c r="M254" s="10" t="s">
        <v>268</v>
      </c>
      <c r="N254" s="13">
        <v>458920000</v>
      </c>
      <c r="O254" s="8">
        <f t="shared" si="41"/>
        <v>0</v>
      </c>
      <c r="P254" s="26"/>
      <c r="Q254"/>
    </row>
    <row r="255" spans="1:17" x14ac:dyDescent="0.25">
      <c r="A255" s="1">
        <v>254</v>
      </c>
      <c r="B255" s="1" t="s">
        <v>356</v>
      </c>
      <c r="C255" s="54" t="s">
        <v>107</v>
      </c>
      <c r="D255" s="1">
        <v>500000</v>
      </c>
      <c r="E255" s="10" t="s">
        <v>351</v>
      </c>
      <c r="F255" s="5">
        <v>10495</v>
      </c>
      <c r="G255" s="6">
        <v>70000</v>
      </c>
      <c r="H255" s="7">
        <v>50</v>
      </c>
      <c r="I255" s="8">
        <f t="shared" si="22"/>
        <v>367325000</v>
      </c>
      <c r="J255" s="9"/>
      <c r="K255" s="8">
        <f t="shared" si="40"/>
        <v>36732500</v>
      </c>
      <c r="L255" s="8">
        <f t="shared" si="36"/>
        <v>404057500</v>
      </c>
      <c r="M255" s="10" t="s">
        <v>272</v>
      </c>
      <c r="N255" s="13">
        <v>404057500</v>
      </c>
      <c r="O255" s="8">
        <f t="shared" si="41"/>
        <v>0</v>
      </c>
      <c r="P255" s="26"/>
      <c r="Q255"/>
    </row>
    <row r="256" spans="1:17" x14ac:dyDescent="0.25">
      <c r="A256" s="1">
        <v>255</v>
      </c>
      <c r="B256" s="1" t="s">
        <v>356</v>
      </c>
      <c r="C256" s="54" t="s">
        <v>107</v>
      </c>
      <c r="D256" s="1">
        <v>500000</v>
      </c>
      <c r="E256" s="10" t="s">
        <v>300</v>
      </c>
      <c r="F256" s="5">
        <v>12030</v>
      </c>
      <c r="G256" s="6">
        <v>70000</v>
      </c>
      <c r="H256" s="7">
        <v>50</v>
      </c>
      <c r="I256" s="8">
        <f t="shared" si="22"/>
        <v>421050000</v>
      </c>
      <c r="J256" s="9"/>
      <c r="K256" s="8">
        <f t="shared" si="40"/>
        <v>42105000</v>
      </c>
      <c r="L256" s="8">
        <f t="shared" si="36"/>
        <v>463155000</v>
      </c>
      <c r="M256" s="10" t="s">
        <v>301</v>
      </c>
      <c r="N256" s="13">
        <v>463155000</v>
      </c>
      <c r="O256" s="8">
        <f t="shared" si="41"/>
        <v>0</v>
      </c>
      <c r="P256" s="26"/>
      <c r="Q256"/>
    </row>
    <row r="257" spans="1:17" x14ac:dyDescent="0.25">
      <c r="A257" s="1">
        <v>256</v>
      </c>
      <c r="B257" s="1" t="s">
        <v>356</v>
      </c>
      <c r="C257" s="54" t="s">
        <v>107</v>
      </c>
      <c r="D257" s="1">
        <v>500000</v>
      </c>
      <c r="E257" s="10" t="s">
        <v>338</v>
      </c>
      <c r="F257" s="5">
        <v>11305</v>
      </c>
      <c r="G257" s="6">
        <v>70000</v>
      </c>
      <c r="H257" s="7">
        <v>50</v>
      </c>
      <c r="I257" s="8">
        <f t="shared" si="22"/>
        <v>395675000</v>
      </c>
      <c r="J257" s="9"/>
      <c r="K257" s="8">
        <f t="shared" si="40"/>
        <v>39567500</v>
      </c>
      <c r="L257" s="8">
        <f t="shared" si="36"/>
        <v>435242500</v>
      </c>
      <c r="M257" s="10" t="s">
        <v>301</v>
      </c>
      <c r="N257" s="13">
        <v>435242500</v>
      </c>
      <c r="O257" s="8">
        <f t="shared" si="41"/>
        <v>0</v>
      </c>
      <c r="P257" s="26"/>
      <c r="Q257"/>
    </row>
    <row r="258" spans="1:17" x14ac:dyDescent="0.25">
      <c r="A258" s="1">
        <v>257</v>
      </c>
      <c r="B258" s="1" t="s">
        <v>356</v>
      </c>
      <c r="C258" s="54" t="s">
        <v>107</v>
      </c>
      <c r="D258" s="1">
        <v>500000</v>
      </c>
      <c r="E258" s="10" t="s">
        <v>321</v>
      </c>
      <c r="F258" s="5">
        <v>11585</v>
      </c>
      <c r="G258" s="6">
        <v>70000</v>
      </c>
      <c r="H258" s="7">
        <v>50</v>
      </c>
      <c r="I258" s="8">
        <f t="shared" ref="I258:I321" si="42">((F258*G258)/100)*H258</f>
        <v>405475000</v>
      </c>
      <c r="J258" s="9"/>
      <c r="K258" s="8">
        <f t="shared" si="40"/>
        <v>40547500</v>
      </c>
      <c r="L258" s="8">
        <f t="shared" si="36"/>
        <v>446022500</v>
      </c>
      <c r="M258" s="10" t="s">
        <v>326</v>
      </c>
      <c r="N258" s="13">
        <v>446022500</v>
      </c>
      <c r="O258" s="8">
        <f t="shared" si="41"/>
        <v>0</v>
      </c>
      <c r="P258" s="26"/>
      <c r="Q258"/>
    </row>
    <row r="259" spans="1:17" x14ac:dyDescent="0.25">
      <c r="A259" s="1">
        <v>258</v>
      </c>
      <c r="B259" s="1" t="s">
        <v>356</v>
      </c>
      <c r="C259" s="54" t="s">
        <v>107</v>
      </c>
      <c r="D259" s="1">
        <v>500000</v>
      </c>
      <c r="E259" s="10" t="s">
        <v>363</v>
      </c>
      <c r="F259" s="5">
        <v>11325</v>
      </c>
      <c r="G259" s="6">
        <v>70000</v>
      </c>
      <c r="H259" s="7">
        <v>50</v>
      </c>
      <c r="I259" s="8">
        <f t="shared" si="42"/>
        <v>396375000</v>
      </c>
      <c r="J259" s="9"/>
      <c r="K259" s="8">
        <f t="shared" si="40"/>
        <v>39637500</v>
      </c>
      <c r="L259" s="8">
        <f t="shared" si="36"/>
        <v>436012500</v>
      </c>
      <c r="M259" s="10" t="s">
        <v>326</v>
      </c>
      <c r="N259" s="13">
        <v>436012500</v>
      </c>
      <c r="O259" s="8">
        <f t="shared" si="41"/>
        <v>0</v>
      </c>
      <c r="P259" s="26"/>
      <c r="Q259"/>
    </row>
    <row r="260" spans="1:17" x14ac:dyDescent="0.25">
      <c r="A260" s="1">
        <v>259</v>
      </c>
      <c r="B260" s="1" t="s">
        <v>356</v>
      </c>
      <c r="C260" s="54" t="s">
        <v>107</v>
      </c>
      <c r="D260" s="1">
        <v>500000</v>
      </c>
      <c r="E260" s="10" t="s">
        <v>280</v>
      </c>
      <c r="F260" s="5">
        <v>11860</v>
      </c>
      <c r="G260" s="6">
        <v>70000</v>
      </c>
      <c r="H260" s="7">
        <v>50</v>
      </c>
      <c r="I260" s="8">
        <f t="shared" si="42"/>
        <v>415100000</v>
      </c>
      <c r="J260" s="9"/>
      <c r="K260" s="8">
        <f t="shared" si="40"/>
        <v>41510000</v>
      </c>
      <c r="L260" s="8">
        <f t="shared" si="36"/>
        <v>456610000</v>
      </c>
      <c r="M260" s="10" t="s">
        <v>282</v>
      </c>
      <c r="N260" s="13">
        <v>456610000</v>
      </c>
      <c r="O260" s="8">
        <f t="shared" si="41"/>
        <v>0</v>
      </c>
      <c r="P260" s="26"/>
      <c r="Q260"/>
    </row>
    <row r="261" spans="1:17" x14ac:dyDescent="0.25">
      <c r="A261" s="1">
        <v>260</v>
      </c>
      <c r="B261" s="1" t="s">
        <v>356</v>
      </c>
      <c r="C261" s="54" t="s">
        <v>107</v>
      </c>
      <c r="D261" s="1">
        <v>500000</v>
      </c>
      <c r="E261" s="10" t="s">
        <v>364</v>
      </c>
      <c r="F261" s="5">
        <v>11475</v>
      </c>
      <c r="G261" s="6">
        <v>70000</v>
      </c>
      <c r="H261" s="7">
        <v>50</v>
      </c>
      <c r="I261" s="8">
        <f t="shared" si="42"/>
        <v>401625000</v>
      </c>
      <c r="J261" s="9"/>
      <c r="K261" s="8">
        <f t="shared" si="40"/>
        <v>40162500</v>
      </c>
      <c r="L261" s="8">
        <f t="shared" si="36"/>
        <v>441787500</v>
      </c>
      <c r="M261" s="10" t="s">
        <v>282</v>
      </c>
      <c r="N261" s="13">
        <v>441787500</v>
      </c>
      <c r="O261" s="8">
        <f t="shared" si="41"/>
        <v>0</v>
      </c>
      <c r="P261" s="26"/>
      <c r="Q261"/>
    </row>
    <row r="262" spans="1:17" x14ac:dyDescent="0.25">
      <c r="A262" s="1">
        <v>261</v>
      </c>
      <c r="B262" s="1" t="s">
        <v>356</v>
      </c>
      <c r="C262" s="54" t="s">
        <v>107</v>
      </c>
      <c r="D262" s="1">
        <v>500000</v>
      </c>
      <c r="E262" s="10" t="s">
        <v>302</v>
      </c>
      <c r="F262" s="5">
        <v>11620</v>
      </c>
      <c r="G262" s="6">
        <v>70000</v>
      </c>
      <c r="H262" s="7">
        <v>50</v>
      </c>
      <c r="I262" s="8">
        <f t="shared" si="42"/>
        <v>406700000</v>
      </c>
      <c r="J262" s="9"/>
      <c r="K262" s="8">
        <f t="shared" si="40"/>
        <v>40670000</v>
      </c>
      <c r="L262" s="8">
        <f t="shared" si="36"/>
        <v>447370000</v>
      </c>
      <c r="M262" s="10"/>
      <c r="N262" s="13"/>
      <c r="O262" s="8">
        <f t="shared" si="41"/>
        <v>447370000</v>
      </c>
      <c r="P262" s="26"/>
      <c r="Q262"/>
    </row>
    <row r="263" spans="1:17" x14ac:dyDescent="0.25">
      <c r="A263" s="1">
        <v>262</v>
      </c>
      <c r="B263" s="1" t="s">
        <v>356</v>
      </c>
      <c r="C263" s="54" t="s">
        <v>107</v>
      </c>
      <c r="D263" s="1">
        <v>500000</v>
      </c>
      <c r="E263" s="10" t="s">
        <v>365</v>
      </c>
      <c r="F263" s="5">
        <v>11545</v>
      </c>
      <c r="G263" s="6">
        <v>70000</v>
      </c>
      <c r="H263" s="7">
        <v>50</v>
      </c>
      <c r="I263" s="8">
        <f t="shared" si="42"/>
        <v>404075000</v>
      </c>
      <c r="J263" s="9"/>
      <c r="K263" s="8">
        <f t="shared" si="40"/>
        <v>40407500</v>
      </c>
      <c r="L263" s="8">
        <f t="shared" si="36"/>
        <v>444482500</v>
      </c>
      <c r="M263" s="10"/>
      <c r="N263" s="13"/>
      <c r="O263" s="8">
        <f t="shared" si="41"/>
        <v>444482500</v>
      </c>
      <c r="P263" s="26"/>
      <c r="Q263"/>
    </row>
    <row r="264" spans="1:17" ht="19.2" x14ac:dyDescent="0.25">
      <c r="A264" s="1">
        <v>263</v>
      </c>
      <c r="B264" s="1" t="s">
        <v>370</v>
      </c>
      <c r="C264" s="54" t="s">
        <v>376</v>
      </c>
      <c r="D264" s="1">
        <v>600000</v>
      </c>
      <c r="E264" s="18" t="s">
        <v>366</v>
      </c>
      <c r="F264" s="5">
        <v>581805</v>
      </c>
      <c r="G264" s="6">
        <v>85000</v>
      </c>
      <c r="H264" s="7">
        <v>60</v>
      </c>
      <c r="I264" s="8">
        <f t="shared" si="42"/>
        <v>29672055000</v>
      </c>
      <c r="J264" s="9"/>
      <c r="K264" s="8">
        <f>(I264/100)*10</f>
        <v>2967205500</v>
      </c>
      <c r="L264" s="8">
        <f t="shared" si="36"/>
        <v>32639260500</v>
      </c>
      <c r="M264" s="10" t="s">
        <v>367</v>
      </c>
      <c r="N264" s="5">
        <v>32467875000</v>
      </c>
      <c r="O264" s="8">
        <f>L264-N264</f>
        <v>171385500</v>
      </c>
      <c r="P264" s="39" t="s">
        <v>368</v>
      </c>
      <c r="Q264"/>
    </row>
    <row r="265" spans="1:17" ht="17.399999999999999" x14ac:dyDescent="0.25">
      <c r="A265" s="1">
        <v>264</v>
      </c>
      <c r="B265" s="1" t="s">
        <v>370</v>
      </c>
      <c r="C265" s="54" t="s">
        <v>376</v>
      </c>
      <c r="D265" s="1">
        <v>600000</v>
      </c>
      <c r="E265" s="10" t="s">
        <v>250</v>
      </c>
      <c r="F265" s="5">
        <v>18125</v>
      </c>
      <c r="G265" s="6">
        <v>85000</v>
      </c>
      <c r="H265" s="7">
        <v>60</v>
      </c>
      <c r="I265" s="8">
        <f t="shared" si="42"/>
        <v>924375000</v>
      </c>
      <c r="J265" s="9"/>
      <c r="K265" s="8">
        <f t="shared" ref="K265" si="43">(I265/100)*10</f>
        <v>92437500</v>
      </c>
      <c r="L265" s="8">
        <f t="shared" si="36"/>
        <v>1016812500</v>
      </c>
      <c r="M265" s="10" t="s">
        <v>254</v>
      </c>
      <c r="N265" s="13">
        <v>1016812500</v>
      </c>
      <c r="O265" s="8">
        <f t="shared" ref="O265" si="44">L265-N265</f>
        <v>0</v>
      </c>
      <c r="P265" s="40" t="s">
        <v>369</v>
      </c>
      <c r="Q265"/>
    </row>
    <row r="266" spans="1:17" x14ac:dyDescent="0.25">
      <c r="A266" s="1">
        <v>265</v>
      </c>
      <c r="B266" s="1" t="s">
        <v>370</v>
      </c>
      <c r="C266" s="54" t="s">
        <v>186</v>
      </c>
      <c r="D266" s="1">
        <v>50000</v>
      </c>
      <c r="E266" s="10" t="s">
        <v>166</v>
      </c>
      <c r="F266" s="5">
        <v>17950</v>
      </c>
      <c r="G266" s="6">
        <v>92180</v>
      </c>
      <c r="H266" s="7">
        <v>0</v>
      </c>
      <c r="I266" s="8">
        <f t="shared" si="42"/>
        <v>0</v>
      </c>
      <c r="J266" s="9"/>
      <c r="K266" s="8">
        <f>((F266*G266)/100)*10</f>
        <v>165463100</v>
      </c>
      <c r="L266" s="8">
        <f t="shared" si="36"/>
        <v>165463100</v>
      </c>
      <c r="M266" s="10"/>
      <c r="N266" s="5"/>
      <c r="O266" s="8">
        <f>L266-N266</f>
        <v>165463100</v>
      </c>
      <c r="P266" s="26"/>
      <c r="Q266"/>
    </row>
    <row r="267" spans="1:17" x14ac:dyDescent="0.25">
      <c r="A267" s="1">
        <v>266</v>
      </c>
      <c r="B267" s="1" t="s">
        <v>370</v>
      </c>
      <c r="C267" s="54" t="s">
        <v>186</v>
      </c>
      <c r="D267" s="1">
        <v>50000</v>
      </c>
      <c r="E267" s="10" t="s">
        <v>371</v>
      </c>
      <c r="F267" s="5">
        <v>14020</v>
      </c>
      <c r="G267" s="6">
        <v>92180</v>
      </c>
      <c r="H267" s="7">
        <v>0</v>
      </c>
      <c r="I267" s="8">
        <f t="shared" si="42"/>
        <v>0</v>
      </c>
      <c r="J267" s="9"/>
      <c r="K267" s="8">
        <f>((F267*G267)/100)*10</f>
        <v>129236360</v>
      </c>
      <c r="L267" s="8">
        <f t="shared" si="36"/>
        <v>129236360</v>
      </c>
      <c r="M267" s="10"/>
      <c r="N267" s="13"/>
      <c r="O267" s="8">
        <f t="shared" ref="O267:O268" si="45">L267-N267</f>
        <v>129236360</v>
      </c>
      <c r="P267" s="26"/>
      <c r="Q267"/>
    </row>
    <row r="268" spans="1:17" x14ac:dyDescent="0.25">
      <c r="A268" s="1">
        <v>267</v>
      </c>
      <c r="B268" s="1" t="s">
        <v>370</v>
      </c>
      <c r="C268" s="54" t="s">
        <v>186</v>
      </c>
      <c r="D268" s="1">
        <v>50000</v>
      </c>
      <c r="E268" s="10" t="s">
        <v>163</v>
      </c>
      <c r="F268" s="5">
        <v>18030</v>
      </c>
      <c r="G268" s="6">
        <v>92180</v>
      </c>
      <c r="H268" s="7">
        <v>0</v>
      </c>
      <c r="I268" s="8">
        <f t="shared" si="42"/>
        <v>0</v>
      </c>
      <c r="J268" s="9"/>
      <c r="K268" s="8">
        <f>((F268*G268)/100)*10</f>
        <v>166200540</v>
      </c>
      <c r="L268" s="8">
        <f t="shared" si="36"/>
        <v>166200540</v>
      </c>
      <c r="M268" s="10"/>
      <c r="N268" s="13"/>
      <c r="O268" s="8">
        <f t="shared" si="45"/>
        <v>166200540</v>
      </c>
      <c r="P268" s="26"/>
      <c r="Q268"/>
    </row>
    <row r="269" spans="1:17" x14ac:dyDescent="0.25">
      <c r="A269" s="1">
        <v>268</v>
      </c>
      <c r="B269" s="1" t="s">
        <v>370</v>
      </c>
      <c r="C269" s="54" t="s">
        <v>161</v>
      </c>
      <c r="D269" s="1">
        <v>85900</v>
      </c>
      <c r="E269" s="10" t="s">
        <v>163</v>
      </c>
      <c r="F269" s="5">
        <v>810</v>
      </c>
      <c r="G269" s="6">
        <v>65000</v>
      </c>
      <c r="H269" s="7">
        <v>85</v>
      </c>
      <c r="I269" s="8">
        <f t="shared" si="42"/>
        <v>44752500</v>
      </c>
      <c r="J269" s="9"/>
      <c r="K269" s="8">
        <f>(I269/100)*10</f>
        <v>4475250</v>
      </c>
      <c r="L269" s="8">
        <f t="shared" si="36"/>
        <v>49227750</v>
      </c>
      <c r="M269" s="10" t="s">
        <v>372</v>
      </c>
      <c r="N269" s="5">
        <v>49227750</v>
      </c>
      <c r="O269" s="8">
        <f>L269-N269</f>
        <v>0</v>
      </c>
      <c r="P269" s="26"/>
      <c r="Q269"/>
    </row>
    <row r="270" spans="1:17" x14ac:dyDescent="0.25">
      <c r="A270" s="1">
        <v>269</v>
      </c>
      <c r="B270" s="1" t="s">
        <v>370</v>
      </c>
      <c r="C270" s="54" t="s">
        <v>161</v>
      </c>
      <c r="D270" s="1">
        <v>85900</v>
      </c>
      <c r="E270" s="10" t="s">
        <v>256</v>
      </c>
      <c r="F270" s="5">
        <v>17970</v>
      </c>
      <c r="G270" s="6">
        <v>65000</v>
      </c>
      <c r="H270" s="7">
        <v>85</v>
      </c>
      <c r="I270" s="8">
        <f t="shared" si="42"/>
        <v>992842500</v>
      </c>
      <c r="J270" s="9"/>
      <c r="K270" s="8">
        <f t="shared" ref="K270:K274" si="46">(I270/100)*10</f>
        <v>99284250</v>
      </c>
      <c r="L270" s="8">
        <f t="shared" si="36"/>
        <v>1092126750</v>
      </c>
      <c r="M270" s="10" t="s">
        <v>372</v>
      </c>
      <c r="N270" s="13">
        <v>1092126750</v>
      </c>
      <c r="O270" s="8">
        <f t="shared" ref="O270:O274" si="47">L270-N270</f>
        <v>0</v>
      </c>
      <c r="P270" s="26"/>
      <c r="Q270"/>
    </row>
    <row r="271" spans="1:17" x14ac:dyDescent="0.25">
      <c r="A271" s="1">
        <v>270</v>
      </c>
      <c r="B271" s="1" t="s">
        <v>370</v>
      </c>
      <c r="C271" s="54" t="s">
        <v>161</v>
      </c>
      <c r="D271" s="1">
        <v>85900</v>
      </c>
      <c r="E271" s="10" t="s">
        <v>202</v>
      </c>
      <c r="F271" s="5">
        <v>17975</v>
      </c>
      <c r="G271" s="6">
        <v>65000</v>
      </c>
      <c r="H271" s="7">
        <v>85</v>
      </c>
      <c r="I271" s="8">
        <f t="shared" si="42"/>
        <v>993118750</v>
      </c>
      <c r="J271" s="9"/>
      <c r="K271" s="8">
        <f t="shared" si="46"/>
        <v>99311875</v>
      </c>
      <c r="L271" s="8">
        <f t="shared" si="36"/>
        <v>1092430625</v>
      </c>
      <c r="M271" s="10" t="s">
        <v>278</v>
      </c>
      <c r="N271" s="13">
        <v>1092430625</v>
      </c>
      <c r="O271" s="8">
        <f t="shared" si="47"/>
        <v>0</v>
      </c>
      <c r="P271" s="26"/>
      <c r="Q271"/>
    </row>
    <row r="272" spans="1:17" x14ac:dyDescent="0.25">
      <c r="A272" s="1">
        <v>271</v>
      </c>
      <c r="B272" s="1" t="s">
        <v>370</v>
      </c>
      <c r="C272" s="54" t="s">
        <v>161</v>
      </c>
      <c r="D272" s="1">
        <v>85900</v>
      </c>
      <c r="E272" s="10" t="s">
        <v>326</v>
      </c>
      <c r="F272" s="5">
        <v>18590</v>
      </c>
      <c r="G272" s="6">
        <v>65000</v>
      </c>
      <c r="H272" s="7">
        <v>85</v>
      </c>
      <c r="I272" s="8">
        <f t="shared" si="42"/>
        <v>1027097500</v>
      </c>
      <c r="J272" s="9"/>
      <c r="K272" s="8">
        <f t="shared" si="46"/>
        <v>102709750</v>
      </c>
      <c r="L272" s="8">
        <f t="shared" si="36"/>
        <v>1129807250</v>
      </c>
      <c r="M272" s="10" t="s">
        <v>281</v>
      </c>
      <c r="N272" s="13">
        <v>1129807250</v>
      </c>
      <c r="O272" s="8">
        <f t="shared" si="47"/>
        <v>0</v>
      </c>
      <c r="P272" s="26"/>
      <c r="Q272"/>
    </row>
    <row r="273" spans="1:17" x14ac:dyDescent="0.25">
      <c r="A273" s="1">
        <v>272</v>
      </c>
      <c r="B273" s="1" t="s">
        <v>370</v>
      </c>
      <c r="C273" s="54" t="s">
        <v>161</v>
      </c>
      <c r="D273" s="1">
        <v>85900</v>
      </c>
      <c r="E273" s="10" t="s">
        <v>281</v>
      </c>
      <c r="F273" s="5">
        <v>17965</v>
      </c>
      <c r="G273" s="6">
        <v>65000</v>
      </c>
      <c r="H273" s="7">
        <v>85</v>
      </c>
      <c r="I273" s="8">
        <f t="shared" si="42"/>
        <v>992566250</v>
      </c>
      <c r="J273" s="9"/>
      <c r="K273" s="8">
        <f t="shared" si="46"/>
        <v>99256625</v>
      </c>
      <c r="L273" s="8">
        <f t="shared" si="36"/>
        <v>1091822875</v>
      </c>
      <c r="M273" s="10"/>
      <c r="N273" s="13"/>
      <c r="O273" s="8">
        <f t="shared" si="47"/>
        <v>1091822875</v>
      </c>
      <c r="P273" s="26"/>
      <c r="Q273"/>
    </row>
    <row r="274" spans="1:17" x14ac:dyDescent="0.25">
      <c r="A274" s="1">
        <v>273</v>
      </c>
      <c r="B274" s="1" t="s">
        <v>370</v>
      </c>
      <c r="C274" s="54" t="s">
        <v>161</v>
      </c>
      <c r="D274" s="1">
        <v>85900</v>
      </c>
      <c r="E274" s="10" t="s">
        <v>373</v>
      </c>
      <c r="F274" s="5">
        <v>12590</v>
      </c>
      <c r="G274" s="6">
        <v>65000</v>
      </c>
      <c r="H274" s="7">
        <v>85</v>
      </c>
      <c r="I274" s="8">
        <f t="shared" si="42"/>
        <v>695597500</v>
      </c>
      <c r="J274" s="9"/>
      <c r="K274" s="8">
        <f t="shared" si="46"/>
        <v>69559750</v>
      </c>
      <c r="L274" s="8">
        <f t="shared" si="36"/>
        <v>765157250</v>
      </c>
      <c r="M274" s="10"/>
      <c r="N274" s="13"/>
      <c r="O274" s="8">
        <f t="shared" si="47"/>
        <v>765157250</v>
      </c>
      <c r="P274" s="26" t="s">
        <v>374</v>
      </c>
      <c r="Q274"/>
    </row>
    <row r="275" spans="1:17" x14ac:dyDescent="0.25">
      <c r="A275" s="1">
        <v>274</v>
      </c>
      <c r="B275" s="1" t="s">
        <v>370</v>
      </c>
      <c r="C275" s="54" t="s">
        <v>186</v>
      </c>
      <c r="D275" s="1">
        <v>50000</v>
      </c>
      <c r="E275" s="10" t="s">
        <v>373</v>
      </c>
      <c r="F275" s="5">
        <v>5325</v>
      </c>
      <c r="G275" s="6">
        <v>83800</v>
      </c>
      <c r="H275" s="7">
        <v>0</v>
      </c>
      <c r="I275" s="8">
        <f t="shared" si="42"/>
        <v>0</v>
      </c>
      <c r="J275" s="9"/>
      <c r="K275" s="8">
        <f>((F275*G275)/100)*10</f>
        <v>44623500</v>
      </c>
      <c r="L275" s="8">
        <f t="shared" si="36"/>
        <v>44623500</v>
      </c>
      <c r="M275" s="10"/>
      <c r="N275" s="5"/>
      <c r="O275" s="8">
        <f>L275-N275</f>
        <v>44623500</v>
      </c>
      <c r="P275" s="26" t="s">
        <v>375</v>
      </c>
      <c r="Q275"/>
    </row>
    <row r="276" spans="1:17" ht="17.399999999999999" x14ac:dyDescent="0.25">
      <c r="A276" s="1">
        <v>275</v>
      </c>
      <c r="B276" s="1" t="s">
        <v>156</v>
      </c>
      <c r="C276" s="54" t="s">
        <v>382</v>
      </c>
      <c r="D276" s="1">
        <v>400000</v>
      </c>
      <c r="E276" s="4" t="s">
        <v>377</v>
      </c>
      <c r="F276" s="5">
        <v>109060</v>
      </c>
      <c r="G276" s="6">
        <v>75000</v>
      </c>
      <c r="H276" s="7">
        <v>85</v>
      </c>
      <c r="I276" s="8">
        <f t="shared" si="42"/>
        <v>6952575000</v>
      </c>
      <c r="J276" s="9"/>
      <c r="K276" s="8">
        <f>(I276/100)*10</f>
        <v>695257500</v>
      </c>
      <c r="L276" s="8">
        <f t="shared" si="36"/>
        <v>7647832500</v>
      </c>
      <c r="M276" s="20" t="s">
        <v>121</v>
      </c>
      <c r="N276" s="5">
        <v>7647832500</v>
      </c>
      <c r="O276" s="8">
        <f>L276-N276</f>
        <v>0</v>
      </c>
      <c r="P276" s="26"/>
      <c r="Q276"/>
    </row>
    <row r="277" spans="1:17" x14ac:dyDescent="0.25">
      <c r="A277" s="1">
        <v>276</v>
      </c>
      <c r="B277" s="1" t="s">
        <v>156</v>
      </c>
      <c r="C277" s="54" t="s">
        <v>382</v>
      </c>
      <c r="D277" s="1">
        <v>400000</v>
      </c>
      <c r="E277" s="10" t="s">
        <v>178</v>
      </c>
      <c r="F277" s="5">
        <v>10070</v>
      </c>
      <c r="G277" s="6">
        <v>75000</v>
      </c>
      <c r="H277" s="7">
        <v>85</v>
      </c>
      <c r="I277" s="8">
        <f t="shared" si="42"/>
        <v>641962500</v>
      </c>
      <c r="J277" s="9"/>
      <c r="K277" s="8">
        <f>(I277/100)*10</f>
        <v>64196250</v>
      </c>
      <c r="L277" s="8">
        <f t="shared" si="36"/>
        <v>706158750</v>
      </c>
      <c r="M277" s="10" t="s">
        <v>188</v>
      </c>
      <c r="N277" s="13">
        <v>706158750</v>
      </c>
      <c r="O277" s="8">
        <f t="shared" ref="O277:O292" si="48">L277-N277</f>
        <v>0</v>
      </c>
      <c r="P277" s="26"/>
      <c r="Q277"/>
    </row>
    <row r="278" spans="1:17" x14ac:dyDescent="0.25">
      <c r="A278" s="1">
        <v>277</v>
      </c>
      <c r="B278" s="1" t="s">
        <v>156</v>
      </c>
      <c r="C278" s="54" t="s">
        <v>382</v>
      </c>
      <c r="D278" s="1">
        <v>400000</v>
      </c>
      <c r="E278" s="10" t="s">
        <v>195</v>
      </c>
      <c r="F278" s="5">
        <v>10240</v>
      </c>
      <c r="G278" s="6">
        <v>75000</v>
      </c>
      <c r="H278" s="7">
        <v>85</v>
      </c>
      <c r="I278" s="8">
        <f t="shared" si="42"/>
        <v>652800000</v>
      </c>
      <c r="J278" s="9"/>
      <c r="K278" s="8">
        <f t="shared" ref="K278:K292" si="49">(I278/100)*10</f>
        <v>65280000</v>
      </c>
      <c r="L278" s="8">
        <f t="shared" si="36"/>
        <v>718080000</v>
      </c>
      <c r="M278" s="10" t="s">
        <v>188</v>
      </c>
      <c r="N278" s="13">
        <v>718080000</v>
      </c>
      <c r="O278" s="8">
        <f t="shared" si="48"/>
        <v>0</v>
      </c>
      <c r="P278" s="26"/>
      <c r="Q278"/>
    </row>
    <row r="279" spans="1:17" x14ac:dyDescent="0.25">
      <c r="A279" s="1">
        <v>278</v>
      </c>
      <c r="B279" s="1" t="s">
        <v>156</v>
      </c>
      <c r="C279" s="54" t="s">
        <v>382</v>
      </c>
      <c r="D279" s="1">
        <v>400000</v>
      </c>
      <c r="E279" s="10" t="s">
        <v>195</v>
      </c>
      <c r="F279" s="5">
        <v>10055</v>
      </c>
      <c r="G279" s="6">
        <v>75000</v>
      </c>
      <c r="H279" s="7">
        <v>85</v>
      </c>
      <c r="I279" s="8">
        <f t="shared" si="42"/>
        <v>641006250</v>
      </c>
      <c r="J279" s="9"/>
      <c r="K279" s="8">
        <f t="shared" si="49"/>
        <v>64100625</v>
      </c>
      <c r="L279" s="8">
        <f t="shared" si="36"/>
        <v>705106875</v>
      </c>
      <c r="M279" s="10" t="s">
        <v>188</v>
      </c>
      <c r="N279" s="13">
        <v>705106875</v>
      </c>
      <c r="O279" s="8">
        <f t="shared" si="48"/>
        <v>0</v>
      </c>
      <c r="P279" s="26"/>
      <c r="Q279"/>
    </row>
    <row r="280" spans="1:17" x14ac:dyDescent="0.25">
      <c r="A280" s="1">
        <v>279</v>
      </c>
      <c r="B280" s="1" t="s">
        <v>156</v>
      </c>
      <c r="C280" s="54" t="s">
        <v>382</v>
      </c>
      <c r="D280" s="1">
        <v>400000</v>
      </c>
      <c r="E280" s="10" t="s">
        <v>304</v>
      </c>
      <c r="F280" s="5">
        <v>20165</v>
      </c>
      <c r="G280" s="6">
        <v>75000</v>
      </c>
      <c r="H280" s="7">
        <v>85</v>
      </c>
      <c r="I280" s="8">
        <f t="shared" si="42"/>
        <v>1285518750</v>
      </c>
      <c r="J280" s="9"/>
      <c r="K280" s="8">
        <f t="shared" si="49"/>
        <v>128551875</v>
      </c>
      <c r="L280" s="8">
        <f t="shared" si="36"/>
        <v>1414070625</v>
      </c>
      <c r="M280" s="10" t="s">
        <v>192</v>
      </c>
      <c r="N280" s="13">
        <v>1414070625</v>
      </c>
      <c r="O280" s="8">
        <f t="shared" si="48"/>
        <v>0</v>
      </c>
      <c r="P280" s="26"/>
      <c r="Q280"/>
    </row>
    <row r="281" spans="1:17" x14ac:dyDescent="0.25">
      <c r="A281" s="1">
        <v>280</v>
      </c>
      <c r="B281" s="1" t="s">
        <v>156</v>
      </c>
      <c r="C281" s="54" t="s">
        <v>382</v>
      </c>
      <c r="D281" s="1">
        <v>400000</v>
      </c>
      <c r="E281" s="10" t="s">
        <v>306</v>
      </c>
      <c r="F281" s="5">
        <v>10065</v>
      </c>
      <c r="G281" s="6">
        <v>75000</v>
      </c>
      <c r="H281" s="7">
        <v>85</v>
      </c>
      <c r="I281" s="8">
        <f t="shared" si="42"/>
        <v>641643750</v>
      </c>
      <c r="J281" s="9"/>
      <c r="K281" s="8">
        <f t="shared" si="49"/>
        <v>64164375</v>
      </c>
      <c r="L281" s="8">
        <f t="shared" si="36"/>
        <v>705808125</v>
      </c>
      <c r="M281" s="10" t="s">
        <v>247</v>
      </c>
      <c r="N281" s="13">
        <v>705808125</v>
      </c>
      <c r="O281" s="8">
        <f t="shared" si="48"/>
        <v>0</v>
      </c>
      <c r="P281" s="26"/>
      <c r="Q281"/>
    </row>
    <row r="282" spans="1:17" x14ac:dyDescent="0.25">
      <c r="A282" s="1">
        <v>281</v>
      </c>
      <c r="B282" s="1" t="s">
        <v>156</v>
      </c>
      <c r="C282" s="54" t="s">
        <v>382</v>
      </c>
      <c r="D282" s="1">
        <v>400000</v>
      </c>
      <c r="E282" s="10" t="s">
        <v>190</v>
      </c>
      <c r="F282" s="5">
        <v>20270</v>
      </c>
      <c r="G282" s="6">
        <v>75000</v>
      </c>
      <c r="H282" s="7">
        <v>85</v>
      </c>
      <c r="I282" s="8">
        <f t="shared" si="42"/>
        <v>1292212500</v>
      </c>
      <c r="J282" s="9"/>
      <c r="K282" s="8">
        <f t="shared" si="49"/>
        <v>129221250</v>
      </c>
      <c r="L282" s="8">
        <f t="shared" si="36"/>
        <v>1421433750</v>
      </c>
      <c r="M282" s="10" t="s">
        <v>190</v>
      </c>
      <c r="N282" s="13">
        <v>1421433750</v>
      </c>
      <c r="O282" s="8">
        <f t="shared" si="48"/>
        <v>0</v>
      </c>
      <c r="P282" s="26"/>
      <c r="Q282"/>
    </row>
    <row r="283" spans="1:17" x14ac:dyDescent="0.25">
      <c r="A283" s="1">
        <v>282</v>
      </c>
      <c r="B283" s="1" t="s">
        <v>156</v>
      </c>
      <c r="C283" s="54" t="s">
        <v>382</v>
      </c>
      <c r="D283" s="1">
        <v>400000</v>
      </c>
      <c r="E283" s="10" t="s">
        <v>183</v>
      </c>
      <c r="F283" s="5">
        <v>19995</v>
      </c>
      <c r="G283" s="6">
        <v>75000</v>
      </c>
      <c r="H283" s="7">
        <v>85</v>
      </c>
      <c r="I283" s="8">
        <f t="shared" si="42"/>
        <v>1274681250</v>
      </c>
      <c r="J283" s="9"/>
      <c r="K283" s="8">
        <f t="shared" si="49"/>
        <v>127468125</v>
      </c>
      <c r="L283" s="8">
        <f t="shared" si="36"/>
        <v>1402149375</v>
      </c>
      <c r="M283" s="10" t="s">
        <v>378</v>
      </c>
      <c r="N283" s="13">
        <v>1402149375</v>
      </c>
      <c r="O283" s="8">
        <f t="shared" si="48"/>
        <v>0</v>
      </c>
      <c r="P283" s="26"/>
      <c r="Q283"/>
    </row>
    <row r="284" spans="1:17" x14ac:dyDescent="0.25">
      <c r="A284" s="1">
        <v>283</v>
      </c>
      <c r="B284" s="1" t="s">
        <v>156</v>
      </c>
      <c r="C284" s="54" t="s">
        <v>382</v>
      </c>
      <c r="D284" s="1">
        <v>400000</v>
      </c>
      <c r="E284" s="10" t="s">
        <v>378</v>
      </c>
      <c r="F284" s="5">
        <v>22095</v>
      </c>
      <c r="G284" s="6">
        <v>75000</v>
      </c>
      <c r="H284" s="7">
        <v>85</v>
      </c>
      <c r="I284" s="8">
        <f t="shared" si="42"/>
        <v>1408556250</v>
      </c>
      <c r="J284" s="9"/>
      <c r="K284" s="8">
        <f t="shared" si="49"/>
        <v>140855625</v>
      </c>
      <c r="L284" s="8">
        <f t="shared" si="36"/>
        <v>1549411875</v>
      </c>
      <c r="M284" s="10" t="s">
        <v>171</v>
      </c>
      <c r="N284" s="13">
        <v>1549411875</v>
      </c>
      <c r="O284" s="8">
        <f t="shared" si="48"/>
        <v>0</v>
      </c>
      <c r="P284" s="26"/>
      <c r="Q284"/>
    </row>
    <row r="285" spans="1:17" x14ac:dyDescent="0.25">
      <c r="A285" s="1">
        <v>284</v>
      </c>
      <c r="B285" s="1" t="s">
        <v>156</v>
      </c>
      <c r="C285" s="54" t="s">
        <v>382</v>
      </c>
      <c r="D285" s="1">
        <v>400000</v>
      </c>
      <c r="E285" s="10" t="s">
        <v>252</v>
      </c>
      <c r="F285" s="5">
        <v>18050</v>
      </c>
      <c r="G285" s="6">
        <v>75000</v>
      </c>
      <c r="H285" s="7">
        <v>85</v>
      </c>
      <c r="I285" s="8">
        <f t="shared" si="42"/>
        <v>1150687500</v>
      </c>
      <c r="J285" s="9"/>
      <c r="K285" s="8">
        <f t="shared" si="49"/>
        <v>115068750</v>
      </c>
      <c r="L285" s="8">
        <f t="shared" si="36"/>
        <v>1265756250</v>
      </c>
      <c r="M285" s="10" t="s">
        <v>294</v>
      </c>
      <c r="N285" s="13">
        <v>1265756250</v>
      </c>
      <c r="O285" s="8">
        <f t="shared" si="48"/>
        <v>0</v>
      </c>
      <c r="P285" s="26"/>
      <c r="Q285"/>
    </row>
    <row r="286" spans="1:17" x14ac:dyDescent="0.25">
      <c r="A286" s="1">
        <v>285</v>
      </c>
      <c r="B286" s="1" t="s">
        <v>156</v>
      </c>
      <c r="C286" s="54" t="s">
        <v>382</v>
      </c>
      <c r="D286" s="1">
        <v>400000</v>
      </c>
      <c r="E286" s="10" t="s">
        <v>222</v>
      </c>
      <c r="F286" s="5">
        <v>10380</v>
      </c>
      <c r="G286" s="6">
        <v>75000</v>
      </c>
      <c r="H286" s="7">
        <v>85</v>
      </c>
      <c r="I286" s="8">
        <f t="shared" si="42"/>
        <v>661725000</v>
      </c>
      <c r="J286" s="9"/>
      <c r="K286" s="8">
        <f t="shared" si="49"/>
        <v>66172500</v>
      </c>
      <c r="L286" s="8">
        <f t="shared" si="36"/>
        <v>727897500</v>
      </c>
      <c r="M286" s="10" t="s">
        <v>379</v>
      </c>
      <c r="N286" s="13">
        <v>827897500</v>
      </c>
      <c r="O286" s="8">
        <f t="shared" si="48"/>
        <v>-100000000</v>
      </c>
      <c r="P286" s="26" t="s">
        <v>380</v>
      </c>
      <c r="Q286"/>
    </row>
    <row r="287" spans="1:17" x14ac:dyDescent="0.25">
      <c r="A287" s="1">
        <v>286</v>
      </c>
      <c r="B287" s="1" t="s">
        <v>156</v>
      </c>
      <c r="C287" s="54" t="s">
        <v>382</v>
      </c>
      <c r="D287" s="1">
        <v>400000</v>
      </c>
      <c r="E287" s="10" t="s">
        <v>222</v>
      </c>
      <c r="F287" s="5">
        <v>10330</v>
      </c>
      <c r="G287" s="6">
        <v>75000</v>
      </c>
      <c r="H287" s="7">
        <v>85</v>
      </c>
      <c r="I287" s="8">
        <f t="shared" si="42"/>
        <v>658537500</v>
      </c>
      <c r="J287" s="9"/>
      <c r="K287" s="8">
        <f>(I287/100)*10</f>
        <v>65853750</v>
      </c>
      <c r="L287" s="8">
        <f t="shared" si="36"/>
        <v>724391250</v>
      </c>
      <c r="M287" s="10" t="s">
        <v>379</v>
      </c>
      <c r="N287" s="13">
        <v>724391250</v>
      </c>
      <c r="O287" s="8">
        <f t="shared" si="48"/>
        <v>0</v>
      </c>
      <c r="P287" s="26"/>
      <c r="Q287"/>
    </row>
    <row r="288" spans="1:17" x14ac:dyDescent="0.25">
      <c r="A288" s="1">
        <v>287</v>
      </c>
      <c r="B288" s="1" t="s">
        <v>156</v>
      </c>
      <c r="C288" s="54" t="s">
        <v>382</v>
      </c>
      <c r="D288" s="1">
        <v>400000</v>
      </c>
      <c r="E288" s="10" t="s">
        <v>334</v>
      </c>
      <c r="F288" s="5">
        <v>20030</v>
      </c>
      <c r="G288" s="6">
        <v>75000</v>
      </c>
      <c r="H288" s="7">
        <v>85</v>
      </c>
      <c r="I288" s="8">
        <f t="shared" si="42"/>
        <v>1276912500</v>
      </c>
      <c r="J288" s="9"/>
      <c r="K288" s="8">
        <f t="shared" si="49"/>
        <v>127691250</v>
      </c>
      <c r="L288" s="8">
        <f t="shared" si="36"/>
        <v>1404603750</v>
      </c>
      <c r="M288" s="10" t="s">
        <v>198</v>
      </c>
      <c r="N288" s="13">
        <v>1404603750</v>
      </c>
      <c r="O288" s="8">
        <f t="shared" si="48"/>
        <v>0</v>
      </c>
      <c r="P288" s="26"/>
      <c r="Q288"/>
    </row>
    <row r="289" spans="1:17" x14ac:dyDescent="0.25">
      <c r="A289" s="1">
        <v>288</v>
      </c>
      <c r="B289" s="1" t="s">
        <v>156</v>
      </c>
      <c r="C289" s="54" t="s">
        <v>382</v>
      </c>
      <c r="D289" s="1">
        <v>400000</v>
      </c>
      <c r="E289" s="10" t="s">
        <v>319</v>
      </c>
      <c r="F289" s="5">
        <v>19860</v>
      </c>
      <c r="G289" s="6">
        <v>75000</v>
      </c>
      <c r="H289" s="7">
        <v>85</v>
      </c>
      <c r="I289" s="8">
        <f t="shared" si="42"/>
        <v>1266075000</v>
      </c>
      <c r="J289" s="9"/>
      <c r="K289" s="8">
        <f t="shared" si="49"/>
        <v>126607500</v>
      </c>
      <c r="L289" s="8">
        <f t="shared" si="36"/>
        <v>1392682500</v>
      </c>
      <c r="M289" s="10" t="s">
        <v>270</v>
      </c>
      <c r="N289" s="13">
        <v>1292682500</v>
      </c>
      <c r="O289" s="8">
        <f t="shared" si="48"/>
        <v>100000000</v>
      </c>
      <c r="P289" s="26" t="s">
        <v>381</v>
      </c>
      <c r="Q289"/>
    </row>
    <row r="290" spans="1:17" x14ac:dyDescent="0.25">
      <c r="A290" s="1">
        <v>289</v>
      </c>
      <c r="B290" s="1" t="s">
        <v>156</v>
      </c>
      <c r="C290" s="54" t="s">
        <v>382</v>
      </c>
      <c r="D290" s="1">
        <v>400000</v>
      </c>
      <c r="E290" s="10" t="s">
        <v>278</v>
      </c>
      <c r="F290" s="5">
        <v>20045</v>
      </c>
      <c r="G290" s="6">
        <v>75000</v>
      </c>
      <c r="H290" s="7">
        <v>85</v>
      </c>
      <c r="I290" s="8">
        <f t="shared" si="42"/>
        <v>1277868750</v>
      </c>
      <c r="J290" s="9"/>
      <c r="K290" s="8">
        <f t="shared" si="49"/>
        <v>127786875</v>
      </c>
      <c r="L290" s="8">
        <f t="shared" si="36"/>
        <v>1405655625</v>
      </c>
      <c r="M290" s="10" t="s">
        <v>280</v>
      </c>
      <c r="N290" s="13">
        <v>1405655625</v>
      </c>
      <c r="O290" s="8">
        <f t="shared" si="48"/>
        <v>0</v>
      </c>
      <c r="P290" s="26"/>
      <c r="Q290"/>
    </row>
    <row r="291" spans="1:17" x14ac:dyDescent="0.25">
      <c r="A291" s="1">
        <v>290</v>
      </c>
      <c r="B291" s="1" t="s">
        <v>156</v>
      </c>
      <c r="C291" s="54" t="s">
        <v>382</v>
      </c>
      <c r="D291" s="1">
        <v>400000</v>
      </c>
      <c r="E291" s="10" t="s">
        <v>280</v>
      </c>
      <c r="F291" s="5">
        <v>19960</v>
      </c>
      <c r="G291" s="6">
        <v>75000</v>
      </c>
      <c r="H291" s="7">
        <v>85</v>
      </c>
      <c r="I291" s="8">
        <f t="shared" si="42"/>
        <v>1272450000</v>
      </c>
      <c r="J291" s="9"/>
      <c r="K291" s="8">
        <f t="shared" si="49"/>
        <v>127245000</v>
      </c>
      <c r="L291" s="8">
        <f t="shared" si="36"/>
        <v>1399695000</v>
      </c>
      <c r="M291" s="10" t="s">
        <v>283</v>
      </c>
      <c r="N291" s="13">
        <v>1399695000</v>
      </c>
      <c r="O291" s="8">
        <f t="shared" si="48"/>
        <v>0</v>
      </c>
      <c r="P291" s="26"/>
      <c r="Q291"/>
    </row>
    <row r="292" spans="1:17" x14ac:dyDescent="0.25">
      <c r="A292" s="1">
        <v>291</v>
      </c>
      <c r="B292" s="1" t="s">
        <v>156</v>
      </c>
      <c r="C292" s="54" t="s">
        <v>382</v>
      </c>
      <c r="D292" s="1">
        <v>400000</v>
      </c>
      <c r="E292" s="10" t="s">
        <v>341</v>
      </c>
      <c r="F292" s="5">
        <v>19875</v>
      </c>
      <c r="G292" s="6">
        <v>75000</v>
      </c>
      <c r="H292" s="7">
        <v>85</v>
      </c>
      <c r="I292" s="8">
        <f t="shared" si="42"/>
        <v>1267031250</v>
      </c>
      <c r="J292" s="9"/>
      <c r="K292" s="8">
        <f t="shared" si="49"/>
        <v>126703125</v>
      </c>
      <c r="L292" s="8">
        <f t="shared" si="36"/>
        <v>1393734375</v>
      </c>
      <c r="M292" s="10"/>
      <c r="N292" s="13"/>
      <c r="O292" s="8">
        <f t="shared" si="48"/>
        <v>1393734375</v>
      </c>
      <c r="P292" s="26"/>
      <c r="Q292"/>
    </row>
    <row r="293" spans="1:17" ht="19.2" x14ac:dyDescent="0.25">
      <c r="A293" s="1">
        <v>292</v>
      </c>
      <c r="B293" s="1" t="s">
        <v>390</v>
      </c>
      <c r="C293" s="54" t="s">
        <v>109</v>
      </c>
      <c r="D293" s="1">
        <v>3500000</v>
      </c>
      <c r="E293" s="18" t="s">
        <v>383</v>
      </c>
      <c r="F293" s="5">
        <v>995590</v>
      </c>
      <c r="G293" s="6">
        <v>70000</v>
      </c>
      <c r="H293" s="7">
        <v>75</v>
      </c>
      <c r="I293" s="8">
        <f t="shared" si="42"/>
        <v>52268475000</v>
      </c>
      <c r="J293" s="7">
        <v>100</v>
      </c>
      <c r="K293" s="8">
        <f t="shared" ref="K293:K324" si="50">((F293*G293)/100)*10</f>
        <v>6969130000</v>
      </c>
      <c r="L293" s="8">
        <f>I293+K293</f>
        <v>59237605000</v>
      </c>
      <c r="M293" s="10" t="s">
        <v>45</v>
      </c>
      <c r="N293" s="5">
        <v>59237605000</v>
      </c>
      <c r="O293" s="8">
        <f>L293-N293</f>
        <v>0</v>
      </c>
      <c r="P293" s="26"/>
      <c r="Q293"/>
    </row>
    <row r="294" spans="1:17" x14ac:dyDescent="0.25">
      <c r="A294" s="1">
        <v>293</v>
      </c>
      <c r="B294" s="1" t="s">
        <v>390</v>
      </c>
      <c r="C294" s="54" t="s">
        <v>109</v>
      </c>
      <c r="D294" s="1">
        <v>3500000</v>
      </c>
      <c r="E294" s="10" t="s">
        <v>162</v>
      </c>
      <c r="F294" s="5">
        <v>19075</v>
      </c>
      <c r="G294" s="6">
        <v>70000</v>
      </c>
      <c r="H294" s="7">
        <v>75</v>
      </c>
      <c r="I294" s="8">
        <f t="shared" si="42"/>
        <v>1001437500</v>
      </c>
      <c r="J294" s="7">
        <v>100</v>
      </c>
      <c r="K294" s="8">
        <f t="shared" si="50"/>
        <v>133525000</v>
      </c>
      <c r="L294" s="8">
        <f t="shared" ref="L294:L338" si="51">I294+K294</f>
        <v>1134962500</v>
      </c>
      <c r="M294" s="10" t="s">
        <v>245</v>
      </c>
      <c r="N294" s="13">
        <v>1134962500</v>
      </c>
      <c r="O294" s="8">
        <f t="shared" ref="O294:O338" si="52">L294-N294</f>
        <v>0</v>
      </c>
      <c r="P294" s="26"/>
      <c r="Q294"/>
    </row>
    <row r="295" spans="1:17" x14ac:dyDescent="0.25">
      <c r="A295" s="1">
        <v>294</v>
      </c>
      <c r="B295" s="1" t="s">
        <v>390</v>
      </c>
      <c r="C295" s="54" t="s">
        <v>109</v>
      </c>
      <c r="D295" s="1">
        <v>3500000</v>
      </c>
      <c r="E295" s="10" t="s">
        <v>245</v>
      </c>
      <c r="F295" s="5">
        <v>18560</v>
      </c>
      <c r="G295" s="6">
        <v>70000</v>
      </c>
      <c r="H295" s="7">
        <v>75</v>
      </c>
      <c r="I295" s="8">
        <f t="shared" si="42"/>
        <v>974400000</v>
      </c>
      <c r="J295" s="7">
        <v>100</v>
      </c>
      <c r="K295" s="8">
        <f t="shared" si="50"/>
        <v>129920000</v>
      </c>
      <c r="L295" s="8">
        <f t="shared" si="51"/>
        <v>1104320000</v>
      </c>
      <c r="M295" s="10" t="s">
        <v>291</v>
      </c>
      <c r="N295" s="13">
        <v>1104320000</v>
      </c>
      <c r="O295" s="8">
        <f t="shared" si="52"/>
        <v>0</v>
      </c>
      <c r="P295" s="26"/>
      <c r="Q295"/>
    </row>
    <row r="296" spans="1:17" x14ac:dyDescent="0.25">
      <c r="A296" s="1">
        <v>295</v>
      </c>
      <c r="B296" s="1" t="s">
        <v>390</v>
      </c>
      <c r="C296" s="54" t="s">
        <v>109</v>
      </c>
      <c r="D296" s="1">
        <v>3500000</v>
      </c>
      <c r="E296" s="10" t="s">
        <v>188</v>
      </c>
      <c r="F296" s="5">
        <v>19010</v>
      </c>
      <c r="G296" s="6">
        <v>70000</v>
      </c>
      <c r="H296" s="7">
        <v>75</v>
      </c>
      <c r="I296" s="8">
        <f t="shared" si="42"/>
        <v>998025000</v>
      </c>
      <c r="J296" s="7">
        <v>100</v>
      </c>
      <c r="K296" s="8">
        <f t="shared" si="50"/>
        <v>133070000</v>
      </c>
      <c r="L296" s="8">
        <f t="shared" si="51"/>
        <v>1131095000</v>
      </c>
      <c r="M296" s="10" t="s">
        <v>291</v>
      </c>
      <c r="N296" s="13">
        <v>1131095000</v>
      </c>
      <c r="O296" s="8">
        <f t="shared" si="52"/>
        <v>0</v>
      </c>
      <c r="P296" s="26"/>
      <c r="Q296"/>
    </row>
    <row r="297" spans="1:17" x14ac:dyDescent="0.25">
      <c r="A297" s="1">
        <v>296</v>
      </c>
      <c r="B297" s="1" t="s">
        <v>390</v>
      </c>
      <c r="C297" s="54" t="s">
        <v>109</v>
      </c>
      <c r="D297" s="1">
        <v>3500000</v>
      </c>
      <c r="E297" s="10" t="s">
        <v>246</v>
      </c>
      <c r="F297" s="5">
        <v>18910</v>
      </c>
      <c r="G297" s="6">
        <v>70000</v>
      </c>
      <c r="H297" s="7">
        <v>75</v>
      </c>
      <c r="I297" s="8">
        <f t="shared" si="42"/>
        <v>992775000</v>
      </c>
      <c r="J297" s="7">
        <v>100</v>
      </c>
      <c r="K297" s="8">
        <f t="shared" si="50"/>
        <v>132370000</v>
      </c>
      <c r="L297" s="8">
        <f t="shared" si="51"/>
        <v>1125145000</v>
      </c>
      <c r="M297" s="10" t="s">
        <v>192</v>
      </c>
      <c r="N297" s="13">
        <v>1125145000</v>
      </c>
      <c r="O297" s="8">
        <f t="shared" si="52"/>
        <v>0</v>
      </c>
      <c r="P297" s="26"/>
      <c r="Q297"/>
    </row>
    <row r="298" spans="1:17" x14ac:dyDescent="0.25">
      <c r="A298" s="1">
        <v>297</v>
      </c>
      <c r="B298" s="1" t="s">
        <v>390</v>
      </c>
      <c r="C298" s="54" t="s">
        <v>109</v>
      </c>
      <c r="D298" s="1">
        <v>3500000</v>
      </c>
      <c r="E298" s="10" t="s">
        <v>305</v>
      </c>
      <c r="F298" s="5">
        <v>18980</v>
      </c>
      <c r="G298" s="6">
        <v>70000</v>
      </c>
      <c r="H298" s="7">
        <v>75</v>
      </c>
      <c r="I298" s="8">
        <f t="shared" si="42"/>
        <v>996450000</v>
      </c>
      <c r="J298" s="7">
        <v>100</v>
      </c>
      <c r="K298" s="8">
        <f t="shared" si="50"/>
        <v>132860000</v>
      </c>
      <c r="L298" s="8">
        <f t="shared" si="51"/>
        <v>1129310000</v>
      </c>
      <c r="M298" s="10" t="s">
        <v>192</v>
      </c>
      <c r="N298" s="13">
        <v>1129310000</v>
      </c>
      <c r="O298" s="8">
        <f t="shared" si="52"/>
        <v>0</v>
      </c>
      <c r="P298" s="26"/>
      <c r="Q298"/>
    </row>
    <row r="299" spans="1:17" x14ac:dyDescent="0.25">
      <c r="A299" s="1">
        <v>298</v>
      </c>
      <c r="B299" s="1" t="s">
        <v>390</v>
      </c>
      <c r="C299" s="54" t="s">
        <v>109</v>
      </c>
      <c r="D299" s="1">
        <v>3500000</v>
      </c>
      <c r="E299" s="10" t="s">
        <v>306</v>
      </c>
      <c r="F299" s="5">
        <v>19045</v>
      </c>
      <c r="G299" s="6">
        <v>70000</v>
      </c>
      <c r="H299" s="7">
        <v>75</v>
      </c>
      <c r="I299" s="8">
        <f t="shared" si="42"/>
        <v>999862500</v>
      </c>
      <c r="J299" s="7">
        <v>100</v>
      </c>
      <c r="K299" s="8">
        <f t="shared" si="50"/>
        <v>133315000</v>
      </c>
      <c r="L299" s="8">
        <f t="shared" si="51"/>
        <v>1133177500</v>
      </c>
      <c r="M299" s="10" t="s">
        <v>190</v>
      </c>
      <c r="N299" s="13">
        <v>1133177500</v>
      </c>
      <c r="O299" s="8">
        <f t="shared" si="52"/>
        <v>0</v>
      </c>
      <c r="P299" s="26"/>
      <c r="Q299"/>
    </row>
    <row r="300" spans="1:17" x14ac:dyDescent="0.25">
      <c r="A300" s="1">
        <v>299</v>
      </c>
      <c r="B300" s="1" t="s">
        <v>390</v>
      </c>
      <c r="C300" s="54" t="s">
        <v>109</v>
      </c>
      <c r="D300" s="1">
        <v>3500000</v>
      </c>
      <c r="E300" s="10" t="s">
        <v>247</v>
      </c>
      <c r="F300" s="5">
        <v>18980</v>
      </c>
      <c r="G300" s="6">
        <v>70000</v>
      </c>
      <c r="H300" s="7">
        <v>75</v>
      </c>
      <c r="I300" s="8">
        <f t="shared" si="42"/>
        <v>996450000</v>
      </c>
      <c r="J300" s="7">
        <v>100</v>
      </c>
      <c r="K300" s="8">
        <f t="shared" si="50"/>
        <v>132860000</v>
      </c>
      <c r="L300" s="8">
        <f t="shared" si="51"/>
        <v>1129310000</v>
      </c>
      <c r="M300" s="10" t="s">
        <v>190</v>
      </c>
      <c r="N300" s="13">
        <v>1129310000</v>
      </c>
      <c r="O300" s="8">
        <f t="shared" si="52"/>
        <v>0</v>
      </c>
      <c r="P300" s="26"/>
      <c r="Q300"/>
    </row>
    <row r="301" spans="1:17" x14ac:dyDescent="0.25">
      <c r="A301" s="1">
        <v>300</v>
      </c>
      <c r="B301" s="1" t="s">
        <v>390</v>
      </c>
      <c r="C301" s="54" t="s">
        <v>109</v>
      </c>
      <c r="D301" s="1">
        <v>3500000</v>
      </c>
      <c r="E301" s="10" t="s">
        <v>151</v>
      </c>
      <c r="F301" s="5">
        <v>17970</v>
      </c>
      <c r="G301" s="6">
        <v>70000</v>
      </c>
      <c r="H301" s="7">
        <v>75</v>
      </c>
      <c r="I301" s="8">
        <f t="shared" si="42"/>
        <v>943425000</v>
      </c>
      <c r="J301" s="7">
        <v>100</v>
      </c>
      <c r="K301" s="8">
        <f t="shared" si="50"/>
        <v>125790000</v>
      </c>
      <c r="L301" s="8">
        <f t="shared" si="51"/>
        <v>1069215000</v>
      </c>
      <c r="M301" s="10" t="s">
        <v>250</v>
      </c>
      <c r="N301" s="13">
        <v>1069215000</v>
      </c>
      <c r="O301" s="8">
        <f t="shared" si="52"/>
        <v>0</v>
      </c>
      <c r="P301" s="26"/>
      <c r="Q301"/>
    </row>
    <row r="302" spans="1:17" x14ac:dyDescent="0.25">
      <c r="A302" s="1">
        <v>301</v>
      </c>
      <c r="B302" s="1" t="s">
        <v>390</v>
      </c>
      <c r="C302" s="54" t="s">
        <v>109</v>
      </c>
      <c r="D302" s="1">
        <v>3500000</v>
      </c>
      <c r="E302" s="10" t="s">
        <v>360</v>
      </c>
      <c r="F302" s="5">
        <v>18940</v>
      </c>
      <c r="G302" s="6">
        <v>70000</v>
      </c>
      <c r="H302" s="7">
        <v>75</v>
      </c>
      <c r="I302" s="8">
        <f t="shared" si="42"/>
        <v>994350000</v>
      </c>
      <c r="J302" s="7">
        <v>100</v>
      </c>
      <c r="K302" s="8">
        <f t="shared" si="50"/>
        <v>132580000</v>
      </c>
      <c r="L302" s="8">
        <f t="shared" si="51"/>
        <v>1126930000</v>
      </c>
      <c r="M302" s="10" t="s">
        <v>250</v>
      </c>
      <c r="N302" s="13">
        <v>1126930000</v>
      </c>
      <c r="O302" s="8">
        <f t="shared" si="52"/>
        <v>0</v>
      </c>
      <c r="P302" s="26"/>
      <c r="Q302"/>
    </row>
    <row r="303" spans="1:17" x14ac:dyDescent="0.25">
      <c r="A303" s="1">
        <v>302</v>
      </c>
      <c r="B303" s="1" t="s">
        <v>390</v>
      </c>
      <c r="C303" s="54" t="s">
        <v>109</v>
      </c>
      <c r="D303" s="1">
        <v>3500000</v>
      </c>
      <c r="E303" s="10" t="s">
        <v>250</v>
      </c>
      <c r="F303" s="5">
        <v>9935</v>
      </c>
      <c r="G303" s="6">
        <v>70000</v>
      </c>
      <c r="H303" s="7">
        <v>75</v>
      </c>
      <c r="I303" s="8">
        <f t="shared" si="42"/>
        <v>521587500</v>
      </c>
      <c r="J303" s="7">
        <v>100</v>
      </c>
      <c r="K303" s="8">
        <f t="shared" si="50"/>
        <v>69545000</v>
      </c>
      <c r="L303" s="8">
        <f t="shared" si="51"/>
        <v>591132500</v>
      </c>
      <c r="M303" s="10" t="s">
        <v>252</v>
      </c>
      <c r="N303" s="13">
        <v>591132500</v>
      </c>
      <c r="O303" s="8">
        <f t="shared" si="52"/>
        <v>0</v>
      </c>
      <c r="P303" s="26"/>
      <c r="Q303"/>
    </row>
    <row r="304" spans="1:17" x14ac:dyDescent="0.25">
      <c r="A304" s="1">
        <v>303</v>
      </c>
      <c r="B304" s="1" t="s">
        <v>390</v>
      </c>
      <c r="C304" s="54" t="s">
        <v>109</v>
      </c>
      <c r="D304" s="1">
        <v>3500000</v>
      </c>
      <c r="E304" s="10" t="s">
        <v>250</v>
      </c>
      <c r="F304" s="5">
        <v>19095</v>
      </c>
      <c r="G304" s="6">
        <v>70000</v>
      </c>
      <c r="H304" s="7">
        <v>75</v>
      </c>
      <c r="I304" s="8">
        <f t="shared" si="42"/>
        <v>1002487500</v>
      </c>
      <c r="J304" s="7">
        <v>100</v>
      </c>
      <c r="K304" s="8">
        <f t="shared" si="50"/>
        <v>133665000</v>
      </c>
      <c r="L304" s="8">
        <f t="shared" si="51"/>
        <v>1136152500</v>
      </c>
      <c r="M304" s="10" t="s">
        <v>252</v>
      </c>
      <c r="N304" s="13">
        <v>1136152500</v>
      </c>
      <c r="O304" s="8">
        <f t="shared" si="52"/>
        <v>0</v>
      </c>
      <c r="P304" s="26"/>
      <c r="Q304"/>
    </row>
    <row r="305" spans="1:17" x14ac:dyDescent="0.25">
      <c r="A305" s="1">
        <v>304</v>
      </c>
      <c r="B305" s="1" t="s">
        <v>390</v>
      </c>
      <c r="C305" s="54" t="s">
        <v>109</v>
      </c>
      <c r="D305" s="1">
        <v>3500000</v>
      </c>
      <c r="E305" s="10" t="s">
        <v>193</v>
      </c>
      <c r="F305" s="5">
        <v>18960</v>
      </c>
      <c r="G305" s="6">
        <v>70000</v>
      </c>
      <c r="H305" s="7">
        <v>75</v>
      </c>
      <c r="I305" s="8">
        <f t="shared" si="42"/>
        <v>995400000</v>
      </c>
      <c r="J305" s="7">
        <v>100</v>
      </c>
      <c r="K305" s="8">
        <f t="shared" si="50"/>
        <v>132720000</v>
      </c>
      <c r="L305" s="8">
        <f t="shared" si="51"/>
        <v>1128120000</v>
      </c>
      <c r="M305" s="10" t="s">
        <v>252</v>
      </c>
      <c r="N305" s="13">
        <v>1128120000</v>
      </c>
      <c r="O305" s="8">
        <f t="shared" si="52"/>
        <v>0</v>
      </c>
      <c r="P305" s="26"/>
      <c r="Q305"/>
    </row>
    <row r="306" spans="1:17" x14ac:dyDescent="0.25">
      <c r="A306" s="1">
        <v>305</v>
      </c>
      <c r="B306" s="1" t="s">
        <v>390</v>
      </c>
      <c r="C306" s="54" t="s">
        <v>109</v>
      </c>
      <c r="D306" s="1">
        <v>3500000</v>
      </c>
      <c r="E306" s="10" t="s">
        <v>252</v>
      </c>
      <c r="F306" s="5">
        <v>19050</v>
      </c>
      <c r="G306" s="6">
        <v>70000</v>
      </c>
      <c r="H306" s="7">
        <v>75</v>
      </c>
      <c r="I306" s="8">
        <f t="shared" si="42"/>
        <v>1000125000</v>
      </c>
      <c r="J306" s="7">
        <v>100</v>
      </c>
      <c r="K306" s="8">
        <f t="shared" si="50"/>
        <v>133350000</v>
      </c>
      <c r="L306" s="8">
        <f t="shared" si="51"/>
        <v>1133475000</v>
      </c>
      <c r="M306" s="10" t="s">
        <v>222</v>
      </c>
      <c r="N306" s="13">
        <v>1133475000</v>
      </c>
      <c r="O306" s="8">
        <f t="shared" si="52"/>
        <v>0</v>
      </c>
      <c r="P306" s="26"/>
      <c r="Q306"/>
    </row>
    <row r="307" spans="1:17" x14ac:dyDescent="0.25">
      <c r="A307" s="1">
        <v>306</v>
      </c>
      <c r="B307" s="1" t="s">
        <v>390</v>
      </c>
      <c r="C307" s="54" t="s">
        <v>109</v>
      </c>
      <c r="D307" s="1">
        <v>3500000</v>
      </c>
      <c r="E307" s="10" t="s">
        <v>294</v>
      </c>
      <c r="F307" s="5">
        <v>19020</v>
      </c>
      <c r="G307" s="6">
        <v>70000</v>
      </c>
      <c r="H307" s="7">
        <v>75</v>
      </c>
      <c r="I307" s="8">
        <f t="shared" si="42"/>
        <v>998550000</v>
      </c>
      <c r="J307" s="7">
        <v>100</v>
      </c>
      <c r="K307" s="8">
        <f t="shared" si="50"/>
        <v>133140000</v>
      </c>
      <c r="L307" s="8">
        <f t="shared" si="51"/>
        <v>1131690000</v>
      </c>
      <c r="M307" s="10" t="s">
        <v>222</v>
      </c>
      <c r="N307" s="13">
        <v>1131690000</v>
      </c>
      <c r="O307" s="8">
        <f t="shared" si="52"/>
        <v>0</v>
      </c>
      <c r="P307" s="26"/>
      <c r="Q307"/>
    </row>
    <row r="308" spans="1:17" x14ac:dyDescent="0.25">
      <c r="A308" s="1">
        <v>307</v>
      </c>
      <c r="B308" s="1" t="s">
        <v>390</v>
      </c>
      <c r="C308" s="54" t="s">
        <v>109</v>
      </c>
      <c r="D308" s="1">
        <v>3500000</v>
      </c>
      <c r="E308" s="10" t="s">
        <v>166</v>
      </c>
      <c r="F308" s="5">
        <v>18950</v>
      </c>
      <c r="G308" s="6">
        <v>70000</v>
      </c>
      <c r="H308" s="7">
        <v>75</v>
      </c>
      <c r="I308" s="8">
        <f t="shared" si="42"/>
        <v>994875000</v>
      </c>
      <c r="J308" s="7">
        <v>100</v>
      </c>
      <c r="K308" s="8">
        <f t="shared" si="50"/>
        <v>132650000</v>
      </c>
      <c r="L308" s="8">
        <f t="shared" si="51"/>
        <v>1127525000</v>
      </c>
      <c r="M308" s="10" t="s">
        <v>160</v>
      </c>
      <c r="N308" s="13">
        <v>1127525000</v>
      </c>
      <c r="O308" s="8">
        <f t="shared" si="52"/>
        <v>0</v>
      </c>
      <c r="P308" s="26"/>
      <c r="Q308"/>
    </row>
    <row r="309" spans="1:17" x14ac:dyDescent="0.25">
      <c r="A309" s="1">
        <v>308</v>
      </c>
      <c r="B309" s="1" t="s">
        <v>390</v>
      </c>
      <c r="C309" s="54" t="s">
        <v>109</v>
      </c>
      <c r="D309" s="1">
        <v>3500000</v>
      </c>
      <c r="E309" s="10" t="s">
        <v>253</v>
      </c>
      <c r="F309" s="5">
        <v>18300</v>
      </c>
      <c r="G309" s="6">
        <v>70000</v>
      </c>
      <c r="H309" s="7">
        <v>75</v>
      </c>
      <c r="I309" s="8">
        <f t="shared" si="42"/>
        <v>960750000</v>
      </c>
      <c r="J309" s="7">
        <v>100</v>
      </c>
      <c r="K309" s="8">
        <f t="shared" si="50"/>
        <v>128100000</v>
      </c>
      <c r="L309" s="8">
        <f t="shared" si="51"/>
        <v>1088850000</v>
      </c>
      <c r="M309" s="10" t="s">
        <v>160</v>
      </c>
      <c r="N309" s="13">
        <v>1088850000</v>
      </c>
      <c r="O309" s="8">
        <f t="shared" si="52"/>
        <v>0</v>
      </c>
      <c r="P309" s="26"/>
      <c r="Q309"/>
    </row>
    <row r="310" spans="1:17" x14ac:dyDescent="0.25">
      <c r="A310" s="1">
        <v>309</v>
      </c>
      <c r="B310" s="1" t="s">
        <v>390</v>
      </c>
      <c r="C310" s="54" t="s">
        <v>109</v>
      </c>
      <c r="D310" s="1">
        <v>3500000</v>
      </c>
      <c r="E310" s="10" t="s">
        <v>384</v>
      </c>
      <c r="F310" s="5">
        <v>17980</v>
      </c>
      <c r="G310" s="6">
        <v>70000</v>
      </c>
      <c r="H310" s="7">
        <v>75</v>
      </c>
      <c r="I310" s="8">
        <f t="shared" si="42"/>
        <v>943950000</v>
      </c>
      <c r="J310" s="7">
        <v>100</v>
      </c>
      <c r="K310" s="8">
        <f t="shared" si="50"/>
        <v>125860000</v>
      </c>
      <c r="L310" s="8">
        <f t="shared" si="51"/>
        <v>1069810000</v>
      </c>
      <c r="M310" s="10" t="s">
        <v>254</v>
      </c>
      <c r="N310" s="13">
        <v>1069810000</v>
      </c>
      <c r="O310" s="8">
        <f t="shared" si="52"/>
        <v>0</v>
      </c>
      <c r="P310" s="26"/>
      <c r="Q310"/>
    </row>
    <row r="311" spans="1:17" x14ac:dyDescent="0.25">
      <c r="A311" s="1">
        <v>310</v>
      </c>
      <c r="B311" s="1" t="s">
        <v>390</v>
      </c>
      <c r="C311" s="54" t="s">
        <v>109</v>
      </c>
      <c r="D311" s="1">
        <v>3500000</v>
      </c>
      <c r="E311" s="10" t="s">
        <v>334</v>
      </c>
      <c r="F311" s="5">
        <v>19045</v>
      </c>
      <c r="G311" s="6">
        <v>70000</v>
      </c>
      <c r="H311" s="7">
        <v>75</v>
      </c>
      <c r="I311" s="8">
        <f t="shared" si="42"/>
        <v>999862500</v>
      </c>
      <c r="J311" s="7">
        <v>100</v>
      </c>
      <c r="K311" s="8">
        <f t="shared" si="50"/>
        <v>133315000</v>
      </c>
      <c r="L311" s="8">
        <f t="shared" si="51"/>
        <v>1133177500</v>
      </c>
      <c r="M311" s="10" t="s">
        <v>254</v>
      </c>
      <c r="N311" s="13">
        <v>1133177500</v>
      </c>
      <c r="O311" s="8">
        <f t="shared" si="52"/>
        <v>0</v>
      </c>
      <c r="P311" s="26"/>
      <c r="Q311"/>
    </row>
    <row r="312" spans="1:17" x14ac:dyDescent="0.25">
      <c r="A312" s="1">
        <v>311</v>
      </c>
      <c r="B312" s="1" t="s">
        <v>390</v>
      </c>
      <c r="C312" s="54" t="s">
        <v>109</v>
      </c>
      <c r="D312" s="1">
        <v>3500000</v>
      </c>
      <c r="E312" s="10" t="s">
        <v>254</v>
      </c>
      <c r="F312" s="5">
        <v>19055</v>
      </c>
      <c r="G312" s="6">
        <v>70000</v>
      </c>
      <c r="H312" s="7">
        <v>75</v>
      </c>
      <c r="I312" s="8">
        <f t="shared" si="42"/>
        <v>1000387500</v>
      </c>
      <c r="J312" s="7">
        <v>100</v>
      </c>
      <c r="K312" s="8">
        <f t="shared" si="50"/>
        <v>133385000</v>
      </c>
      <c r="L312" s="8">
        <f t="shared" si="51"/>
        <v>1133772500</v>
      </c>
      <c r="M312" s="10" t="s">
        <v>201</v>
      </c>
      <c r="N312" s="13">
        <v>1133772500</v>
      </c>
      <c r="O312" s="8">
        <f t="shared" si="52"/>
        <v>0</v>
      </c>
      <c r="P312" s="26"/>
      <c r="Q312"/>
    </row>
    <row r="313" spans="1:17" x14ac:dyDescent="0.25">
      <c r="A313" s="1">
        <v>312</v>
      </c>
      <c r="B313" s="1" t="s">
        <v>390</v>
      </c>
      <c r="C313" s="54" t="s">
        <v>109</v>
      </c>
      <c r="D313" s="1">
        <v>3500000</v>
      </c>
      <c r="E313" s="10" t="s">
        <v>256</v>
      </c>
      <c r="F313" s="5">
        <v>18980</v>
      </c>
      <c r="G313" s="6">
        <v>70000</v>
      </c>
      <c r="H313" s="7">
        <v>75</v>
      </c>
      <c r="I313" s="8">
        <f t="shared" si="42"/>
        <v>996450000</v>
      </c>
      <c r="J313" s="7">
        <v>100</v>
      </c>
      <c r="K313" s="8">
        <f t="shared" si="50"/>
        <v>132860000</v>
      </c>
      <c r="L313" s="8">
        <f t="shared" si="51"/>
        <v>1129310000</v>
      </c>
      <c r="M313" s="10" t="s">
        <v>201</v>
      </c>
      <c r="N313" s="13">
        <v>1129310000</v>
      </c>
      <c r="O313" s="8">
        <f t="shared" si="52"/>
        <v>0</v>
      </c>
      <c r="P313" s="26"/>
      <c r="Q313"/>
    </row>
    <row r="314" spans="1:17" x14ac:dyDescent="0.25">
      <c r="A314" s="1">
        <v>313</v>
      </c>
      <c r="B314" s="1" t="s">
        <v>390</v>
      </c>
      <c r="C314" s="54" t="s">
        <v>109</v>
      </c>
      <c r="D314" s="1">
        <v>3500000</v>
      </c>
      <c r="E314" s="10" t="s">
        <v>372</v>
      </c>
      <c r="F314" s="5">
        <v>18895</v>
      </c>
      <c r="G314" s="6">
        <v>70000</v>
      </c>
      <c r="H314" s="7">
        <v>75</v>
      </c>
      <c r="I314" s="8">
        <f t="shared" si="42"/>
        <v>991987500</v>
      </c>
      <c r="J314" s="7">
        <v>100</v>
      </c>
      <c r="K314" s="8">
        <f t="shared" si="50"/>
        <v>132265000</v>
      </c>
      <c r="L314" s="8">
        <f t="shared" si="51"/>
        <v>1124252500</v>
      </c>
      <c r="M314" s="10" t="s">
        <v>201</v>
      </c>
      <c r="N314" s="13">
        <v>1124252500</v>
      </c>
      <c r="O314" s="8">
        <f t="shared" si="52"/>
        <v>0</v>
      </c>
      <c r="P314" s="26"/>
      <c r="Q314"/>
    </row>
    <row r="315" spans="1:17" x14ac:dyDescent="0.25">
      <c r="A315" s="1">
        <v>314</v>
      </c>
      <c r="B315" s="1" t="s">
        <v>390</v>
      </c>
      <c r="C315" s="54" t="s">
        <v>109</v>
      </c>
      <c r="D315" s="1">
        <v>3500000</v>
      </c>
      <c r="E315" s="10" t="s">
        <v>198</v>
      </c>
      <c r="F315" s="5">
        <v>19105</v>
      </c>
      <c r="G315" s="6">
        <v>70000</v>
      </c>
      <c r="H315" s="7">
        <v>75</v>
      </c>
      <c r="I315" s="8">
        <f t="shared" si="42"/>
        <v>1003012500</v>
      </c>
      <c r="J315" s="7">
        <v>100</v>
      </c>
      <c r="K315" s="8">
        <f t="shared" si="50"/>
        <v>133735000</v>
      </c>
      <c r="L315" s="8">
        <f t="shared" si="51"/>
        <v>1136747500</v>
      </c>
      <c r="M315" s="10" t="s">
        <v>296</v>
      </c>
      <c r="N315" s="13">
        <v>1136747500</v>
      </c>
      <c r="O315" s="8">
        <f t="shared" si="52"/>
        <v>0</v>
      </c>
      <c r="P315" s="26"/>
      <c r="Q315"/>
    </row>
    <row r="316" spans="1:17" x14ac:dyDescent="0.25">
      <c r="A316" s="1">
        <v>315</v>
      </c>
      <c r="B316" s="1" t="s">
        <v>390</v>
      </c>
      <c r="C316" s="54" t="s">
        <v>109</v>
      </c>
      <c r="D316" s="1">
        <v>3500000</v>
      </c>
      <c r="E316" s="10" t="s">
        <v>296</v>
      </c>
      <c r="F316" s="5">
        <v>19115</v>
      </c>
      <c r="G316" s="6">
        <v>70000</v>
      </c>
      <c r="H316" s="7">
        <v>75</v>
      </c>
      <c r="I316" s="8">
        <f t="shared" si="42"/>
        <v>1003537500</v>
      </c>
      <c r="J316" s="7">
        <v>100</v>
      </c>
      <c r="K316" s="8">
        <f t="shared" si="50"/>
        <v>133805000</v>
      </c>
      <c r="L316" s="8">
        <f t="shared" si="51"/>
        <v>1137342500</v>
      </c>
      <c r="M316" s="10" t="s">
        <v>296</v>
      </c>
      <c r="N316" s="13">
        <v>1130500000</v>
      </c>
      <c r="O316" s="8">
        <f t="shared" si="52"/>
        <v>6842500</v>
      </c>
      <c r="P316" s="37" t="s">
        <v>385</v>
      </c>
      <c r="Q316"/>
    </row>
    <row r="317" spans="1:17" x14ac:dyDescent="0.25">
      <c r="A317" s="1">
        <v>316</v>
      </c>
      <c r="B317" s="1" t="s">
        <v>390</v>
      </c>
      <c r="C317" s="54" t="s">
        <v>109</v>
      </c>
      <c r="D317" s="1">
        <v>3500000</v>
      </c>
      <c r="E317" s="10" t="s">
        <v>257</v>
      </c>
      <c r="F317" s="5">
        <v>19030</v>
      </c>
      <c r="G317" s="6">
        <v>70000</v>
      </c>
      <c r="H317" s="7">
        <v>75</v>
      </c>
      <c r="I317" s="8">
        <f t="shared" si="42"/>
        <v>999075000</v>
      </c>
      <c r="J317" s="7">
        <v>100</v>
      </c>
      <c r="K317" s="8">
        <f t="shared" si="50"/>
        <v>133210000</v>
      </c>
      <c r="L317" s="8">
        <f t="shared" si="51"/>
        <v>1132285000</v>
      </c>
      <c r="M317" s="10" t="s">
        <v>311</v>
      </c>
      <c r="N317" s="13">
        <v>1132285000</v>
      </c>
      <c r="O317" s="8">
        <f t="shared" si="52"/>
        <v>0</v>
      </c>
      <c r="P317" s="26"/>
      <c r="Q317"/>
    </row>
    <row r="318" spans="1:17" x14ac:dyDescent="0.25">
      <c r="A318" s="1">
        <v>317</v>
      </c>
      <c r="B318" s="1" t="s">
        <v>390</v>
      </c>
      <c r="C318" s="54" t="s">
        <v>109</v>
      </c>
      <c r="D318" s="1">
        <v>3500000</v>
      </c>
      <c r="E318" s="10" t="s">
        <v>205</v>
      </c>
      <c r="F318" s="5">
        <v>18700</v>
      </c>
      <c r="G318" s="6">
        <v>70000</v>
      </c>
      <c r="H318" s="7">
        <v>75</v>
      </c>
      <c r="I318" s="8">
        <f t="shared" si="42"/>
        <v>981750000</v>
      </c>
      <c r="J318" s="7">
        <v>100</v>
      </c>
      <c r="K318" s="8">
        <f t="shared" si="50"/>
        <v>130900000</v>
      </c>
      <c r="L318" s="8">
        <f t="shared" si="51"/>
        <v>1112650000</v>
      </c>
      <c r="M318" s="10" t="s">
        <v>311</v>
      </c>
      <c r="N318" s="13">
        <v>1112650000</v>
      </c>
      <c r="O318" s="8">
        <f t="shared" si="52"/>
        <v>0</v>
      </c>
      <c r="P318" s="41" t="s">
        <v>386</v>
      </c>
      <c r="Q318"/>
    </row>
    <row r="319" spans="1:17" x14ac:dyDescent="0.25">
      <c r="A319" s="1">
        <v>318</v>
      </c>
      <c r="B319" s="1" t="s">
        <v>390</v>
      </c>
      <c r="C319" s="54" t="s">
        <v>109</v>
      </c>
      <c r="D319" s="1">
        <v>3500000</v>
      </c>
      <c r="E319" s="10" t="s">
        <v>310</v>
      </c>
      <c r="F319" s="5">
        <v>19045</v>
      </c>
      <c r="G319" s="6">
        <v>70000</v>
      </c>
      <c r="H319" s="7">
        <v>75</v>
      </c>
      <c r="I319" s="8">
        <f t="shared" si="42"/>
        <v>999862500</v>
      </c>
      <c r="J319" s="7">
        <v>100</v>
      </c>
      <c r="K319" s="8">
        <f t="shared" si="50"/>
        <v>133315000</v>
      </c>
      <c r="L319" s="8">
        <f t="shared" si="51"/>
        <v>1133177500</v>
      </c>
      <c r="M319" s="10" t="s">
        <v>314</v>
      </c>
      <c r="N319" s="13">
        <v>1133177500</v>
      </c>
      <c r="O319" s="8">
        <f t="shared" si="52"/>
        <v>0</v>
      </c>
      <c r="P319" s="26"/>
      <c r="Q319"/>
    </row>
    <row r="320" spans="1:17" x14ac:dyDescent="0.25">
      <c r="A320" s="1">
        <v>319</v>
      </c>
      <c r="B320" s="1" t="s">
        <v>390</v>
      </c>
      <c r="C320" s="54" t="s">
        <v>109</v>
      </c>
      <c r="D320" s="1">
        <v>3500000</v>
      </c>
      <c r="E320" s="10" t="s">
        <v>311</v>
      </c>
      <c r="F320" s="5">
        <v>19000</v>
      </c>
      <c r="G320" s="6">
        <v>70000</v>
      </c>
      <c r="H320" s="7">
        <v>75</v>
      </c>
      <c r="I320" s="8">
        <f t="shared" si="42"/>
        <v>997500000</v>
      </c>
      <c r="J320" s="7">
        <v>100</v>
      </c>
      <c r="K320" s="8">
        <f t="shared" si="50"/>
        <v>133000000</v>
      </c>
      <c r="L320" s="8">
        <f t="shared" si="51"/>
        <v>1130500000</v>
      </c>
      <c r="M320" s="10" t="s">
        <v>314</v>
      </c>
      <c r="N320" s="13">
        <v>1130500000</v>
      </c>
      <c r="O320" s="8">
        <f t="shared" si="52"/>
        <v>0</v>
      </c>
      <c r="P320" s="26"/>
      <c r="Q320"/>
    </row>
    <row r="321" spans="1:17" x14ac:dyDescent="0.25">
      <c r="A321" s="1">
        <v>320</v>
      </c>
      <c r="B321" s="1" t="s">
        <v>390</v>
      </c>
      <c r="C321" s="54" t="s">
        <v>109</v>
      </c>
      <c r="D321" s="1">
        <v>3500000</v>
      </c>
      <c r="E321" s="10" t="s">
        <v>314</v>
      </c>
      <c r="F321" s="5">
        <v>18840</v>
      </c>
      <c r="G321" s="6">
        <v>70000</v>
      </c>
      <c r="H321" s="7">
        <v>75</v>
      </c>
      <c r="I321" s="8">
        <f t="shared" si="42"/>
        <v>989100000</v>
      </c>
      <c r="J321" s="7">
        <v>100</v>
      </c>
      <c r="K321" s="8">
        <f t="shared" si="50"/>
        <v>131880000</v>
      </c>
      <c r="L321" s="8">
        <f t="shared" si="51"/>
        <v>1120980000</v>
      </c>
      <c r="M321" s="10" t="s">
        <v>260</v>
      </c>
      <c r="N321" s="13">
        <v>1120980000</v>
      </c>
      <c r="O321" s="8">
        <f t="shared" si="52"/>
        <v>0</v>
      </c>
      <c r="P321" s="26"/>
      <c r="Q321"/>
    </row>
    <row r="322" spans="1:17" x14ac:dyDescent="0.25">
      <c r="A322" s="1">
        <v>321</v>
      </c>
      <c r="B322" s="1" t="s">
        <v>390</v>
      </c>
      <c r="C322" s="54" t="s">
        <v>109</v>
      </c>
      <c r="D322" s="1">
        <v>3500000</v>
      </c>
      <c r="E322" s="10" t="s">
        <v>258</v>
      </c>
      <c r="F322" s="5">
        <v>19205</v>
      </c>
      <c r="G322" s="6">
        <v>70000</v>
      </c>
      <c r="H322" s="7">
        <v>75</v>
      </c>
      <c r="I322" s="8">
        <f t="shared" ref="I322:I385" si="53">((F322*G322)/100)*H322</f>
        <v>1008262500</v>
      </c>
      <c r="J322" s="7">
        <v>100</v>
      </c>
      <c r="K322" s="8">
        <f t="shared" si="50"/>
        <v>134435000</v>
      </c>
      <c r="L322" s="8">
        <f t="shared" si="51"/>
        <v>1142697500</v>
      </c>
      <c r="M322" s="10" t="s">
        <v>260</v>
      </c>
      <c r="N322" s="13">
        <v>1142697500</v>
      </c>
      <c r="O322" s="8">
        <f t="shared" si="52"/>
        <v>0</v>
      </c>
      <c r="P322" s="26"/>
      <c r="Q322"/>
    </row>
    <row r="323" spans="1:17" x14ac:dyDescent="0.25">
      <c r="A323" s="1">
        <v>322</v>
      </c>
      <c r="B323" s="1" t="s">
        <v>390</v>
      </c>
      <c r="C323" s="54" t="s">
        <v>109</v>
      </c>
      <c r="D323" s="1">
        <v>3500000</v>
      </c>
      <c r="E323" s="10" t="s">
        <v>261</v>
      </c>
      <c r="F323" s="5">
        <v>18995</v>
      </c>
      <c r="G323" s="6">
        <v>70000</v>
      </c>
      <c r="H323" s="7">
        <v>75</v>
      </c>
      <c r="I323" s="8">
        <f t="shared" si="53"/>
        <v>997237500</v>
      </c>
      <c r="J323" s="7">
        <v>100</v>
      </c>
      <c r="K323" s="8">
        <f t="shared" si="50"/>
        <v>132965000</v>
      </c>
      <c r="L323" s="8">
        <f t="shared" si="51"/>
        <v>1130202500</v>
      </c>
      <c r="M323" s="10" t="s">
        <v>387</v>
      </c>
      <c r="N323" s="13">
        <v>1130202500</v>
      </c>
      <c r="O323" s="8">
        <f t="shared" si="52"/>
        <v>0</v>
      </c>
      <c r="P323" s="26"/>
      <c r="Q323"/>
    </row>
    <row r="324" spans="1:17" x14ac:dyDescent="0.25">
      <c r="A324" s="1">
        <v>323</v>
      </c>
      <c r="B324" s="1" t="s">
        <v>390</v>
      </c>
      <c r="C324" s="54" t="s">
        <v>109</v>
      </c>
      <c r="D324" s="1">
        <v>3500000</v>
      </c>
      <c r="E324" s="10" t="s">
        <v>337</v>
      </c>
      <c r="F324" s="5">
        <v>18895</v>
      </c>
      <c r="G324" s="6">
        <v>70000</v>
      </c>
      <c r="H324" s="7">
        <v>75</v>
      </c>
      <c r="I324" s="8">
        <f t="shared" si="53"/>
        <v>991987500</v>
      </c>
      <c r="J324" s="7">
        <v>100</v>
      </c>
      <c r="K324" s="8">
        <f t="shared" si="50"/>
        <v>132265000</v>
      </c>
      <c r="L324" s="8">
        <f t="shared" si="51"/>
        <v>1124252500</v>
      </c>
      <c r="M324" s="10">
        <v>1404.0123000000001</v>
      </c>
      <c r="N324" s="13">
        <v>1124252500</v>
      </c>
      <c r="O324" s="8">
        <f t="shared" si="52"/>
        <v>0</v>
      </c>
      <c r="P324" s="26"/>
      <c r="Q324"/>
    </row>
    <row r="325" spans="1:17" x14ac:dyDescent="0.25">
      <c r="A325" s="1">
        <v>324</v>
      </c>
      <c r="B325" s="1" t="s">
        <v>390</v>
      </c>
      <c r="C325" s="54" t="s">
        <v>109</v>
      </c>
      <c r="D325" s="1">
        <v>3500000</v>
      </c>
      <c r="E325" s="10" t="s">
        <v>388</v>
      </c>
      <c r="F325" s="5">
        <v>18895</v>
      </c>
      <c r="G325" s="6">
        <v>70000</v>
      </c>
      <c r="H325" s="7">
        <v>75</v>
      </c>
      <c r="I325" s="8">
        <f t="shared" si="53"/>
        <v>991987500</v>
      </c>
      <c r="J325" s="7">
        <v>100</v>
      </c>
      <c r="K325" s="8">
        <f t="shared" ref="K325:K356" si="54">((F325*G325)/100)*10</f>
        <v>132265000</v>
      </c>
      <c r="L325" s="8">
        <f t="shared" si="51"/>
        <v>1124252500</v>
      </c>
      <c r="M325" s="10" t="s">
        <v>262</v>
      </c>
      <c r="N325" s="13">
        <v>1124252500</v>
      </c>
      <c r="O325" s="8">
        <f t="shared" si="52"/>
        <v>0</v>
      </c>
      <c r="P325" s="26"/>
      <c r="Q325"/>
    </row>
    <row r="326" spans="1:17" x14ac:dyDescent="0.25">
      <c r="A326" s="1">
        <v>325</v>
      </c>
      <c r="B326" s="1" t="s">
        <v>390</v>
      </c>
      <c r="C326" s="54" t="s">
        <v>109</v>
      </c>
      <c r="D326" s="1">
        <v>3500000</v>
      </c>
      <c r="E326" s="10" t="s">
        <v>299</v>
      </c>
      <c r="F326" s="5">
        <v>17920</v>
      </c>
      <c r="G326" s="6">
        <v>70000</v>
      </c>
      <c r="H326" s="7">
        <v>75</v>
      </c>
      <c r="I326" s="8">
        <f t="shared" si="53"/>
        <v>940800000</v>
      </c>
      <c r="J326" s="7">
        <v>100</v>
      </c>
      <c r="K326" s="8">
        <f t="shared" si="54"/>
        <v>125440000</v>
      </c>
      <c r="L326" s="8">
        <f t="shared" si="51"/>
        <v>1066240000</v>
      </c>
      <c r="M326" s="10" t="s">
        <v>387</v>
      </c>
      <c r="N326" s="13">
        <v>1066240000</v>
      </c>
      <c r="O326" s="8">
        <f t="shared" si="52"/>
        <v>0</v>
      </c>
      <c r="P326" s="26"/>
      <c r="Q326"/>
    </row>
    <row r="327" spans="1:17" x14ac:dyDescent="0.25">
      <c r="A327" s="1">
        <v>326</v>
      </c>
      <c r="B327" s="1" t="s">
        <v>390</v>
      </c>
      <c r="C327" s="54" t="s">
        <v>109</v>
      </c>
      <c r="D327" s="1">
        <v>3500000</v>
      </c>
      <c r="E327" s="10" t="s">
        <v>387</v>
      </c>
      <c r="F327" s="5">
        <v>18040</v>
      </c>
      <c r="G327" s="6">
        <v>70000</v>
      </c>
      <c r="H327" s="7">
        <v>75</v>
      </c>
      <c r="I327" s="8">
        <f t="shared" si="53"/>
        <v>947100000</v>
      </c>
      <c r="J327" s="7">
        <v>100</v>
      </c>
      <c r="K327" s="8">
        <f t="shared" si="54"/>
        <v>126280000</v>
      </c>
      <c r="L327" s="8">
        <f t="shared" si="51"/>
        <v>1073380000</v>
      </c>
      <c r="M327" s="10" t="s">
        <v>320</v>
      </c>
      <c r="N327" s="13">
        <v>1073380000</v>
      </c>
      <c r="O327" s="8">
        <f t="shared" si="52"/>
        <v>0</v>
      </c>
      <c r="P327" s="26"/>
      <c r="Q327"/>
    </row>
    <row r="328" spans="1:17" x14ac:dyDescent="0.25">
      <c r="A328" s="1">
        <v>327</v>
      </c>
      <c r="B328" s="1" t="s">
        <v>390</v>
      </c>
      <c r="C328" s="54" t="s">
        <v>109</v>
      </c>
      <c r="D328" s="1">
        <v>3500000</v>
      </c>
      <c r="E328" s="10" t="s">
        <v>265</v>
      </c>
      <c r="F328" s="5">
        <v>18925</v>
      </c>
      <c r="G328" s="6">
        <v>70000</v>
      </c>
      <c r="H328" s="7">
        <v>75</v>
      </c>
      <c r="I328" s="8">
        <f t="shared" si="53"/>
        <v>993562500</v>
      </c>
      <c r="J328" s="7">
        <v>100</v>
      </c>
      <c r="K328" s="8">
        <f t="shared" si="54"/>
        <v>132475000</v>
      </c>
      <c r="L328" s="8">
        <f t="shared" si="51"/>
        <v>1126037500</v>
      </c>
      <c r="M328" s="10" t="s">
        <v>320</v>
      </c>
      <c r="N328" s="13">
        <v>1126037500</v>
      </c>
      <c r="O328" s="8">
        <f t="shared" si="52"/>
        <v>0</v>
      </c>
      <c r="P328" s="26"/>
      <c r="Q328"/>
    </row>
    <row r="329" spans="1:17" x14ac:dyDescent="0.25">
      <c r="A329" s="1">
        <v>328</v>
      </c>
      <c r="B329" s="1" t="s">
        <v>390</v>
      </c>
      <c r="C329" s="54" t="s">
        <v>109</v>
      </c>
      <c r="D329" s="1">
        <v>3500000</v>
      </c>
      <c r="E329" s="10" t="s">
        <v>223</v>
      </c>
      <c r="F329" s="5">
        <v>17880</v>
      </c>
      <c r="G329" s="6">
        <v>70000</v>
      </c>
      <c r="H329" s="7">
        <v>75</v>
      </c>
      <c r="I329" s="8">
        <f t="shared" si="53"/>
        <v>938700000</v>
      </c>
      <c r="J329" s="7">
        <v>100</v>
      </c>
      <c r="K329" s="8">
        <f t="shared" si="54"/>
        <v>125160000</v>
      </c>
      <c r="L329" s="8">
        <f t="shared" si="51"/>
        <v>1063860000</v>
      </c>
      <c r="M329" s="10" t="s">
        <v>272</v>
      </c>
      <c r="N329" s="13">
        <v>1063860000</v>
      </c>
      <c r="O329" s="8">
        <f t="shared" si="52"/>
        <v>0</v>
      </c>
      <c r="P329" s="26"/>
      <c r="Q329"/>
    </row>
    <row r="330" spans="1:17" x14ac:dyDescent="0.25">
      <c r="A330" s="1">
        <v>329</v>
      </c>
      <c r="B330" s="1" t="s">
        <v>390</v>
      </c>
      <c r="C330" s="54" t="s">
        <v>109</v>
      </c>
      <c r="D330" s="1">
        <v>3500000</v>
      </c>
      <c r="E330" s="10" t="s">
        <v>351</v>
      </c>
      <c r="F330" s="5">
        <v>17765</v>
      </c>
      <c r="G330" s="6">
        <v>70000</v>
      </c>
      <c r="H330" s="7">
        <v>75</v>
      </c>
      <c r="I330" s="8">
        <f t="shared" si="53"/>
        <v>932662500</v>
      </c>
      <c r="J330" s="7">
        <v>100</v>
      </c>
      <c r="K330" s="8">
        <f t="shared" si="54"/>
        <v>124355000</v>
      </c>
      <c r="L330" s="8">
        <f t="shared" si="51"/>
        <v>1057017500</v>
      </c>
      <c r="M330" s="10" t="s">
        <v>273</v>
      </c>
      <c r="N330" s="13">
        <v>1057017500</v>
      </c>
      <c r="O330" s="8">
        <f t="shared" si="52"/>
        <v>0</v>
      </c>
      <c r="P330" s="26"/>
      <c r="Q330"/>
    </row>
    <row r="331" spans="1:17" x14ac:dyDescent="0.25">
      <c r="A331" s="1">
        <v>330</v>
      </c>
      <c r="B331" s="1" t="s">
        <v>390</v>
      </c>
      <c r="C331" s="54" t="s">
        <v>109</v>
      </c>
      <c r="D331" s="1">
        <v>3500000</v>
      </c>
      <c r="E331" s="10" t="s">
        <v>320</v>
      </c>
      <c r="F331" s="5">
        <v>9955</v>
      </c>
      <c r="G331" s="6">
        <v>70000</v>
      </c>
      <c r="H331" s="7">
        <v>75</v>
      </c>
      <c r="I331" s="8">
        <f t="shared" si="53"/>
        <v>522637500</v>
      </c>
      <c r="J331" s="7">
        <v>100</v>
      </c>
      <c r="K331" s="8">
        <f t="shared" si="54"/>
        <v>69685000</v>
      </c>
      <c r="L331" s="8">
        <f t="shared" si="51"/>
        <v>592322500</v>
      </c>
      <c r="M331" s="10" t="s">
        <v>272</v>
      </c>
      <c r="N331" s="13">
        <v>592322500</v>
      </c>
      <c r="O331" s="8">
        <f t="shared" si="52"/>
        <v>0</v>
      </c>
      <c r="P331" s="26"/>
      <c r="Q331"/>
    </row>
    <row r="332" spans="1:17" x14ac:dyDescent="0.25">
      <c r="A332" s="1">
        <v>331</v>
      </c>
      <c r="B332" s="1" t="s">
        <v>390</v>
      </c>
      <c r="C332" s="54" t="s">
        <v>109</v>
      </c>
      <c r="D332" s="1">
        <v>3500000</v>
      </c>
      <c r="E332" s="10" t="s">
        <v>270</v>
      </c>
      <c r="F332" s="5">
        <v>18765</v>
      </c>
      <c r="G332" s="6">
        <v>70000</v>
      </c>
      <c r="H332" s="7">
        <v>75</v>
      </c>
      <c r="I332" s="8">
        <f t="shared" si="53"/>
        <v>985162500</v>
      </c>
      <c r="J332" s="7">
        <v>100</v>
      </c>
      <c r="K332" s="8">
        <f t="shared" si="54"/>
        <v>131355000</v>
      </c>
      <c r="L332" s="8">
        <f t="shared" si="51"/>
        <v>1116517500</v>
      </c>
      <c r="M332" s="10" t="s">
        <v>273</v>
      </c>
      <c r="N332" s="13">
        <v>1116517500</v>
      </c>
      <c r="O332" s="8">
        <f t="shared" si="52"/>
        <v>0</v>
      </c>
      <c r="P332" s="26"/>
      <c r="Q332"/>
    </row>
    <row r="333" spans="1:17" x14ac:dyDescent="0.25">
      <c r="A333" s="1">
        <v>332</v>
      </c>
      <c r="B333" s="1" t="s">
        <v>390</v>
      </c>
      <c r="C333" s="54" t="s">
        <v>109</v>
      </c>
      <c r="D333" s="1">
        <v>3500000</v>
      </c>
      <c r="E333" s="10" t="s">
        <v>274</v>
      </c>
      <c r="F333" s="5">
        <v>18800</v>
      </c>
      <c r="G333" s="6">
        <v>70000</v>
      </c>
      <c r="H333" s="7">
        <v>75</v>
      </c>
      <c r="I333" s="8">
        <f t="shared" si="53"/>
        <v>987000000</v>
      </c>
      <c r="J333" s="7">
        <v>100</v>
      </c>
      <c r="K333" s="8">
        <f t="shared" si="54"/>
        <v>131600000</v>
      </c>
      <c r="L333" s="8">
        <f t="shared" si="51"/>
        <v>1118600000</v>
      </c>
      <c r="M333" s="10" t="s">
        <v>277</v>
      </c>
      <c r="N333" s="13">
        <v>1118600000</v>
      </c>
      <c r="O333" s="8">
        <f t="shared" si="52"/>
        <v>0</v>
      </c>
      <c r="P333" s="26"/>
      <c r="Q333"/>
    </row>
    <row r="334" spans="1:17" x14ac:dyDescent="0.25">
      <c r="A334" s="1">
        <v>333</v>
      </c>
      <c r="B334" s="1" t="s">
        <v>390</v>
      </c>
      <c r="C334" s="54" t="s">
        <v>109</v>
      </c>
      <c r="D334" s="1">
        <v>3500000</v>
      </c>
      <c r="E334" s="10" t="s">
        <v>325</v>
      </c>
      <c r="F334" s="5">
        <v>17755</v>
      </c>
      <c r="G334" s="6">
        <v>70000</v>
      </c>
      <c r="H334" s="7">
        <v>75</v>
      </c>
      <c r="I334" s="8">
        <f t="shared" si="53"/>
        <v>932137500</v>
      </c>
      <c r="J334" s="7">
        <v>100</v>
      </c>
      <c r="K334" s="8">
        <f t="shared" si="54"/>
        <v>124285000</v>
      </c>
      <c r="L334" s="8">
        <f t="shared" si="51"/>
        <v>1056422500</v>
      </c>
      <c r="M334" s="10" t="s">
        <v>277</v>
      </c>
      <c r="N334" s="13">
        <v>1056422500</v>
      </c>
      <c r="O334" s="8">
        <f t="shared" si="52"/>
        <v>0</v>
      </c>
      <c r="P334" s="26"/>
      <c r="Q334"/>
    </row>
    <row r="335" spans="1:17" x14ac:dyDescent="0.25">
      <c r="A335" s="1">
        <v>334</v>
      </c>
      <c r="B335" s="1" t="s">
        <v>390</v>
      </c>
      <c r="C335" s="54" t="s">
        <v>109</v>
      </c>
      <c r="D335" s="1">
        <v>3500000</v>
      </c>
      <c r="E335" s="10" t="s">
        <v>277</v>
      </c>
      <c r="F335" s="5">
        <v>18945</v>
      </c>
      <c r="G335" s="6">
        <v>70000</v>
      </c>
      <c r="H335" s="7">
        <v>75</v>
      </c>
      <c r="I335" s="8">
        <f t="shared" si="53"/>
        <v>994612500</v>
      </c>
      <c r="J335" s="7">
        <v>100</v>
      </c>
      <c r="K335" s="8">
        <f t="shared" si="54"/>
        <v>132615000</v>
      </c>
      <c r="L335" s="8">
        <f t="shared" si="51"/>
        <v>1127227500</v>
      </c>
      <c r="M335" s="10" t="s">
        <v>282</v>
      </c>
      <c r="N335" s="13">
        <v>1127227500</v>
      </c>
      <c r="O335" s="8">
        <f t="shared" si="52"/>
        <v>0</v>
      </c>
      <c r="P335" s="26"/>
      <c r="Q335"/>
    </row>
    <row r="336" spans="1:17" ht="17.399999999999999" x14ac:dyDescent="0.25">
      <c r="A336" s="1">
        <v>335</v>
      </c>
      <c r="B336" s="1" t="s">
        <v>390</v>
      </c>
      <c r="C336" s="54" t="s">
        <v>109</v>
      </c>
      <c r="D336" s="1">
        <v>3500000</v>
      </c>
      <c r="E336" s="10" t="s">
        <v>280</v>
      </c>
      <c r="F336" s="5">
        <v>18355</v>
      </c>
      <c r="G336" s="6">
        <v>70000</v>
      </c>
      <c r="H336" s="7">
        <v>75</v>
      </c>
      <c r="I336" s="8">
        <f t="shared" si="53"/>
        <v>963637500</v>
      </c>
      <c r="J336" s="7">
        <v>100</v>
      </c>
      <c r="K336" s="8">
        <f t="shared" si="54"/>
        <v>128485000</v>
      </c>
      <c r="L336" s="8">
        <f t="shared" si="51"/>
        <v>1092122500</v>
      </c>
      <c r="M336" s="10" t="s">
        <v>282</v>
      </c>
      <c r="N336" s="13">
        <v>1092122500</v>
      </c>
      <c r="O336" s="8">
        <f t="shared" si="52"/>
        <v>0</v>
      </c>
      <c r="P336" s="42" t="s">
        <v>389</v>
      </c>
      <c r="Q336"/>
    </row>
    <row r="337" spans="1:17" x14ac:dyDescent="0.25">
      <c r="A337" s="1">
        <v>336</v>
      </c>
      <c r="B337" s="1" t="s">
        <v>390</v>
      </c>
      <c r="C337" s="54" t="s">
        <v>109</v>
      </c>
      <c r="D337" s="1">
        <v>3500000</v>
      </c>
      <c r="E337" s="10" t="s">
        <v>364</v>
      </c>
      <c r="F337" s="5">
        <v>19110</v>
      </c>
      <c r="G337" s="6">
        <v>70000</v>
      </c>
      <c r="H337" s="7">
        <v>75</v>
      </c>
      <c r="I337" s="8">
        <f t="shared" si="53"/>
        <v>1003275000</v>
      </c>
      <c r="J337" s="7">
        <v>100</v>
      </c>
      <c r="K337" s="8">
        <f t="shared" si="54"/>
        <v>133770000</v>
      </c>
      <c r="L337" s="8">
        <f t="shared" si="51"/>
        <v>1137045000</v>
      </c>
      <c r="M337" s="10" t="s">
        <v>302</v>
      </c>
      <c r="N337" s="13">
        <v>1137045000</v>
      </c>
      <c r="O337" s="8">
        <f t="shared" si="52"/>
        <v>0</v>
      </c>
      <c r="P337" s="26"/>
      <c r="Q337"/>
    </row>
    <row r="338" spans="1:17" x14ac:dyDescent="0.25">
      <c r="A338" s="1">
        <v>337</v>
      </c>
      <c r="B338" s="1" t="s">
        <v>390</v>
      </c>
      <c r="C338" s="54" t="s">
        <v>109</v>
      </c>
      <c r="D338" s="1">
        <v>3500000</v>
      </c>
      <c r="E338" s="10" t="s">
        <v>282</v>
      </c>
      <c r="F338" s="5">
        <v>19000</v>
      </c>
      <c r="G338" s="6">
        <v>70000</v>
      </c>
      <c r="H338" s="7">
        <v>75</v>
      </c>
      <c r="I338" s="8">
        <f t="shared" si="53"/>
        <v>997500000</v>
      </c>
      <c r="J338" s="7">
        <v>100</v>
      </c>
      <c r="K338" s="8">
        <f t="shared" si="54"/>
        <v>133000000</v>
      </c>
      <c r="L338" s="8">
        <f t="shared" si="51"/>
        <v>1130500000</v>
      </c>
      <c r="M338" s="10" t="s">
        <v>302</v>
      </c>
      <c r="N338" s="13">
        <v>1130500000</v>
      </c>
      <c r="O338" s="8">
        <f t="shared" si="52"/>
        <v>0</v>
      </c>
      <c r="P338" s="26"/>
      <c r="Q338"/>
    </row>
    <row r="339" spans="1:17" ht="15.6" x14ac:dyDescent="0.25">
      <c r="A339" s="1">
        <v>338</v>
      </c>
      <c r="B339" s="1" t="s">
        <v>395</v>
      </c>
      <c r="C339" s="54" t="s">
        <v>128</v>
      </c>
      <c r="D339" s="1">
        <v>420000</v>
      </c>
      <c r="E339" s="16" t="s">
        <v>391</v>
      </c>
      <c r="F339" s="5">
        <v>107060</v>
      </c>
      <c r="G339" s="6">
        <v>80000</v>
      </c>
      <c r="H339" s="7">
        <v>70</v>
      </c>
      <c r="I339" s="8">
        <f t="shared" si="53"/>
        <v>5995360000</v>
      </c>
      <c r="J339" s="7">
        <v>100</v>
      </c>
      <c r="K339" s="8">
        <f t="shared" si="54"/>
        <v>856480000</v>
      </c>
      <c r="L339" s="8">
        <f>I339+K339</f>
        <v>6851840000</v>
      </c>
      <c r="M339" s="10" t="s">
        <v>178</v>
      </c>
      <c r="N339" s="5">
        <v>6851840000</v>
      </c>
      <c r="O339" s="8">
        <f>L339-N339</f>
        <v>0</v>
      </c>
      <c r="P339" s="26"/>
      <c r="Q339"/>
    </row>
    <row r="340" spans="1:17" x14ac:dyDescent="0.25">
      <c r="A340" s="1">
        <v>339</v>
      </c>
      <c r="B340" s="1" t="s">
        <v>395</v>
      </c>
      <c r="C340" s="54" t="s">
        <v>128</v>
      </c>
      <c r="D340" s="1">
        <v>420000</v>
      </c>
      <c r="E340" s="10" t="s">
        <v>162</v>
      </c>
      <c r="F340" s="5">
        <v>9125</v>
      </c>
      <c r="G340" s="6">
        <v>80000</v>
      </c>
      <c r="H340" s="7">
        <v>70</v>
      </c>
      <c r="I340" s="8">
        <f t="shared" si="53"/>
        <v>511000000</v>
      </c>
      <c r="J340" s="7">
        <v>100</v>
      </c>
      <c r="K340" s="8">
        <f t="shared" si="54"/>
        <v>73000000</v>
      </c>
      <c r="L340" s="8">
        <f t="shared" ref="L340:L383" si="55">I340+K340</f>
        <v>584000000</v>
      </c>
      <c r="M340" s="10" t="s">
        <v>178</v>
      </c>
      <c r="N340" s="13">
        <v>584000000</v>
      </c>
      <c r="O340" s="8">
        <f t="shared" ref="O340:O373" si="56">L340-N340</f>
        <v>0</v>
      </c>
      <c r="P340" s="26"/>
      <c r="Q340"/>
    </row>
    <row r="341" spans="1:17" x14ac:dyDescent="0.25">
      <c r="A341" s="1">
        <v>340</v>
      </c>
      <c r="B341" s="1" t="s">
        <v>395</v>
      </c>
      <c r="C341" s="54" t="s">
        <v>128</v>
      </c>
      <c r="D341" s="1">
        <v>420000</v>
      </c>
      <c r="E341" s="10" t="s">
        <v>162</v>
      </c>
      <c r="F341" s="5">
        <v>9020</v>
      </c>
      <c r="G341" s="6">
        <v>80000</v>
      </c>
      <c r="H341" s="7">
        <v>70</v>
      </c>
      <c r="I341" s="8">
        <f t="shared" si="53"/>
        <v>505120000</v>
      </c>
      <c r="J341" s="7">
        <v>100</v>
      </c>
      <c r="K341" s="8">
        <f t="shared" si="54"/>
        <v>72160000</v>
      </c>
      <c r="L341" s="8">
        <f t="shared" si="55"/>
        <v>577280000</v>
      </c>
      <c r="M341" s="10" t="s">
        <v>392</v>
      </c>
      <c r="N341" s="13">
        <v>577280000</v>
      </c>
      <c r="O341" s="8">
        <f t="shared" si="56"/>
        <v>0</v>
      </c>
      <c r="P341" s="26"/>
      <c r="Q341"/>
    </row>
    <row r="342" spans="1:17" x14ac:dyDescent="0.25">
      <c r="A342" s="1">
        <v>341</v>
      </c>
      <c r="B342" s="1" t="s">
        <v>395</v>
      </c>
      <c r="C342" s="54" t="s">
        <v>128</v>
      </c>
      <c r="D342" s="1">
        <v>420000</v>
      </c>
      <c r="E342" s="10" t="s">
        <v>246</v>
      </c>
      <c r="F342" s="5">
        <v>9025</v>
      </c>
      <c r="G342" s="6">
        <v>80000</v>
      </c>
      <c r="H342" s="7">
        <v>70</v>
      </c>
      <c r="I342" s="8">
        <f t="shared" si="53"/>
        <v>505400000</v>
      </c>
      <c r="J342" s="7">
        <v>100</v>
      </c>
      <c r="K342" s="8">
        <f t="shared" si="54"/>
        <v>72200000</v>
      </c>
      <c r="L342" s="8">
        <f t="shared" si="55"/>
        <v>577600000</v>
      </c>
      <c r="M342" s="10" t="s">
        <v>392</v>
      </c>
      <c r="N342" s="13">
        <v>577600000</v>
      </c>
      <c r="O342" s="8">
        <f t="shared" si="56"/>
        <v>0</v>
      </c>
      <c r="P342" s="26"/>
      <c r="Q342"/>
    </row>
    <row r="343" spans="1:17" x14ac:dyDescent="0.25">
      <c r="A343" s="1">
        <v>342</v>
      </c>
      <c r="B343" s="1" t="s">
        <v>395</v>
      </c>
      <c r="C343" s="54" t="s">
        <v>128</v>
      </c>
      <c r="D343" s="1">
        <v>420000</v>
      </c>
      <c r="E343" s="10" t="s">
        <v>306</v>
      </c>
      <c r="F343" s="5">
        <v>8985</v>
      </c>
      <c r="G343" s="6">
        <v>80000</v>
      </c>
      <c r="H343" s="7">
        <v>70</v>
      </c>
      <c r="I343" s="8">
        <f t="shared" si="53"/>
        <v>503160000</v>
      </c>
      <c r="J343" s="7">
        <v>100</v>
      </c>
      <c r="K343" s="8">
        <f t="shared" si="54"/>
        <v>71880000</v>
      </c>
      <c r="L343" s="8">
        <f t="shared" si="55"/>
        <v>575040000</v>
      </c>
      <c r="M343" s="10" t="s">
        <v>392</v>
      </c>
      <c r="N343" s="13">
        <v>575040000</v>
      </c>
      <c r="O343" s="8">
        <f t="shared" si="56"/>
        <v>0</v>
      </c>
      <c r="P343" s="26"/>
      <c r="Q343"/>
    </row>
    <row r="344" spans="1:17" x14ac:dyDescent="0.25">
      <c r="A344" s="1">
        <v>343</v>
      </c>
      <c r="B344" s="1" t="s">
        <v>395</v>
      </c>
      <c r="C344" s="54" t="s">
        <v>128</v>
      </c>
      <c r="D344" s="1">
        <v>420000</v>
      </c>
      <c r="E344" s="10" t="s">
        <v>247</v>
      </c>
      <c r="F344" s="5">
        <v>9075</v>
      </c>
      <c r="G344" s="6">
        <v>80000</v>
      </c>
      <c r="H344" s="7">
        <v>70</v>
      </c>
      <c r="I344" s="8">
        <f t="shared" si="53"/>
        <v>508200000</v>
      </c>
      <c r="J344" s="7">
        <v>100</v>
      </c>
      <c r="K344" s="8">
        <f t="shared" si="54"/>
        <v>72600000</v>
      </c>
      <c r="L344" s="8">
        <f t="shared" si="55"/>
        <v>580800000</v>
      </c>
      <c r="M344" s="10" t="s">
        <v>392</v>
      </c>
      <c r="N344" s="13">
        <v>580800000</v>
      </c>
      <c r="O344" s="8">
        <f t="shared" si="56"/>
        <v>0</v>
      </c>
      <c r="P344" s="26"/>
      <c r="Q344"/>
    </row>
    <row r="345" spans="1:17" x14ac:dyDescent="0.25">
      <c r="A345" s="1">
        <v>344</v>
      </c>
      <c r="B345" s="1" t="s">
        <v>395</v>
      </c>
      <c r="C345" s="54" t="s">
        <v>128</v>
      </c>
      <c r="D345" s="1">
        <v>420000</v>
      </c>
      <c r="E345" s="10" t="s">
        <v>249</v>
      </c>
      <c r="F345" s="5">
        <v>9070</v>
      </c>
      <c r="G345" s="6">
        <v>80000</v>
      </c>
      <c r="H345" s="7">
        <v>70</v>
      </c>
      <c r="I345" s="8">
        <f t="shared" si="53"/>
        <v>507920000</v>
      </c>
      <c r="J345" s="7">
        <v>100</v>
      </c>
      <c r="K345" s="8">
        <f t="shared" si="54"/>
        <v>72560000</v>
      </c>
      <c r="L345" s="8">
        <f t="shared" si="55"/>
        <v>580480000</v>
      </c>
      <c r="M345" s="10" t="s">
        <v>185</v>
      </c>
      <c r="N345" s="13">
        <v>580480000</v>
      </c>
      <c r="O345" s="8">
        <f t="shared" si="56"/>
        <v>0</v>
      </c>
      <c r="P345" s="26"/>
      <c r="Q345"/>
    </row>
    <row r="346" spans="1:17" x14ac:dyDescent="0.25">
      <c r="A346" s="1">
        <v>345</v>
      </c>
      <c r="B346" s="1" t="s">
        <v>395</v>
      </c>
      <c r="C346" s="54" t="s">
        <v>128</v>
      </c>
      <c r="D346" s="1">
        <v>420000</v>
      </c>
      <c r="E346" s="10" t="s">
        <v>151</v>
      </c>
      <c r="F346" s="5">
        <v>9015</v>
      </c>
      <c r="G346" s="6">
        <v>80000</v>
      </c>
      <c r="H346" s="7">
        <v>70</v>
      </c>
      <c r="I346" s="8">
        <f t="shared" si="53"/>
        <v>504840000</v>
      </c>
      <c r="J346" s="7">
        <v>100</v>
      </c>
      <c r="K346" s="8">
        <f t="shared" si="54"/>
        <v>72120000</v>
      </c>
      <c r="L346" s="8">
        <f t="shared" si="55"/>
        <v>576960000</v>
      </c>
      <c r="M346" s="10" t="s">
        <v>185</v>
      </c>
      <c r="N346" s="13">
        <v>576960000</v>
      </c>
      <c r="O346" s="8">
        <f t="shared" si="56"/>
        <v>0</v>
      </c>
      <c r="P346" s="26"/>
      <c r="Q346"/>
    </row>
    <row r="347" spans="1:17" x14ac:dyDescent="0.25">
      <c r="A347" s="1">
        <v>346</v>
      </c>
      <c r="B347" s="1" t="s">
        <v>395</v>
      </c>
      <c r="C347" s="54" t="s">
        <v>128</v>
      </c>
      <c r="D347" s="1">
        <v>420000</v>
      </c>
      <c r="E347" s="10" t="s">
        <v>151</v>
      </c>
      <c r="F347" s="5">
        <v>9040</v>
      </c>
      <c r="G347" s="6">
        <v>80000</v>
      </c>
      <c r="H347" s="7">
        <v>70</v>
      </c>
      <c r="I347" s="8">
        <f t="shared" si="53"/>
        <v>506240000</v>
      </c>
      <c r="J347" s="7">
        <v>100</v>
      </c>
      <c r="K347" s="8">
        <f t="shared" si="54"/>
        <v>72320000</v>
      </c>
      <c r="L347" s="8">
        <f t="shared" si="55"/>
        <v>578560000</v>
      </c>
      <c r="M347" s="10" t="s">
        <v>183</v>
      </c>
      <c r="N347" s="13">
        <v>578560000</v>
      </c>
      <c r="O347" s="8">
        <f t="shared" si="56"/>
        <v>0</v>
      </c>
      <c r="P347" s="26"/>
      <c r="Q347"/>
    </row>
    <row r="348" spans="1:17" x14ac:dyDescent="0.25">
      <c r="A348" s="1">
        <v>347</v>
      </c>
      <c r="B348" s="1" t="s">
        <v>395</v>
      </c>
      <c r="C348" s="54" t="s">
        <v>128</v>
      </c>
      <c r="D348" s="1">
        <v>420000</v>
      </c>
      <c r="E348" s="10" t="s">
        <v>196</v>
      </c>
      <c r="F348" s="5">
        <v>9055</v>
      </c>
      <c r="G348" s="6">
        <v>80000</v>
      </c>
      <c r="H348" s="7">
        <v>70</v>
      </c>
      <c r="I348" s="8">
        <f t="shared" si="53"/>
        <v>507080000</v>
      </c>
      <c r="J348" s="7">
        <v>100</v>
      </c>
      <c r="K348" s="8">
        <f t="shared" si="54"/>
        <v>72440000</v>
      </c>
      <c r="L348" s="8">
        <f t="shared" si="55"/>
        <v>579520000</v>
      </c>
      <c r="M348" s="10" t="s">
        <v>378</v>
      </c>
      <c r="N348" s="13">
        <v>579520000</v>
      </c>
      <c r="O348" s="8">
        <f t="shared" si="56"/>
        <v>0</v>
      </c>
      <c r="P348" s="26"/>
      <c r="Q348"/>
    </row>
    <row r="349" spans="1:17" x14ac:dyDescent="0.25">
      <c r="A349" s="1">
        <v>348</v>
      </c>
      <c r="B349" s="1" t="s">
        <v>395</v>
      </c>
      <c r="C349" s="54" t="s">
        <v>128</v>
      </c>
      <c r="D349" s="1">
        <v>420000</v>
      </c>
      <c r="E349" s="10" t="s">
        <v>251</v>
      </c>
      <c r="F349" s="5">
        <v>9115</v>
      </c>
      <c r="G349" s="6">
        <v>80000</v>
      </c>
      <c r="H349" s="7">
        <v>70</v>
      </c>
      <c r="I349" s="8">
        <f t="shared" si="53"/>
        <v>510440000</v>
      </c>
      <c r="J349" s="7">
        <v>100</v>
      </c>
      <c r="K349" s="8">
        <f t="shared" si="54"/>
        <v>72920000</v>
      </c>
      <c r="L349" s="8">
        <f t="shared" si="55"/>
        <v>583360000</v>
      </c>
      <c r="M349" s="10" t="s">
        <v>378</v>
      </c>
      <c r="N349" s="13">
        <v>583360000</v>
      </c>
      <c r="O349" s="8">
        <f t="shared" si="56"/>
        <v>0</v>
      </c>
      <c r="P349" s="26"/>
      <c r="Q349"/>
    </row>
    <row r="350" spans="1:17" x14ac:dyDescent="0.25">
      <c r="A350" s="1">
        <v>349</v>
      </c>
      <c r="B350" s="1" t="s">
        <v>395</v>
      </c>
      <c r="C350" s="54" t="s">
        <v>128</v>
      </c>
      <c r="D350" s="1">
        <v>420000</v>
      </c>
      <c r="E350" s="10" t="s">
        <v>251</v>
      </c>
      <c r="F350" s="5">
        <v>9045</v>
      </c>
      <c r="G350" s="6">
        <v>80000</v>
      </c>
      <c r="H350" s="7">
        <v>70</v>
      </c>
      <c r="I350" s="8">
        <f t="shared" si="53"/>
        <v>506520000</v>
      </c>
      <c r="J350" s="7">
        <v>100</v>
      </c>
      <c r="K350" s="8">
        <f t="shared" si="54"/>
        <v>72360000</v>
      </c>
      <c r="L350" s="8">
        <f t="shared" si="55"/>
        <v>578880000</v>
      </c>
      <c r="M350" s="10" t="s">
        <v>171</v>
      </c>
      <c r="N350" s="13">
        <v>578880000</v>
      </c>
      <c r="O350" s="8">
        <f t="shared" si="56"/>
        <v>0</v>
      </c>
      <c r="P350" s="26"/>
      <c r="Q350"/>
    </row>
    <row r="351" spans="1:17" x14ac:dyDescent="0.25">
      <c r="A351" s="1">
        <v>350</v>
      </c>
      <c r="B351" s="1" t="s">
        <v>395</v>
      </c>
      <c r="C351" s="54" t="s">
        <v>128</v>
      </c>
      <c r="D351" s="1">
        <v>420000</v>
      </c>
      <c r="E351" s="10" t="s">
        <v>171</v>
      </c>
      <c r="F351" s="5">
        <v>9125</v>
      </c>
      <c r="G351" s="6">
        <v>80000</v>
      </c>
      <c r="H351" s="7">
        <v>70</v>
      </c>
      <c r="I351" s="8">
        <f t="shared" si="53"/>
        <v>511000000</v>
      </c>
      <c r="J351" s="7">
        <v>100</v>
      </c>
      <c r="K351" s="8">
        <f t="shared" si="54"/>
        <v>73000000</v>
      </c>
      <c r="L351" s="8">
        <f t="shared" si="55"/>
        <v>584000000</v>
      </c>
      <c r="M351" s="10" t="s">
        <v>217</v>
      </c>
      <c r="N351" s="13">
        <v>584000000</v>
      </c>
      <c r="O351" s="8">
        <f t="shared" si="56"/>
        <v>0</v>
      </c>
      <c r="P351" s="26"/>
      <c r="Q351"/>
    </row>
    <row r="352" spans="1:17" x14ac:dyDescent="0.25">
      <c r="A352" s="1">
        <v>351</v>
      </c>
      <c r="B352" s="1" t="s">
        <v>395</v>
      </c>
      <c r="C352" s="54" t="s">
        <v>128</v>
      </c>
      <c r="D352" s="1">
        <v>420000</v>
      </c>
      <c r="E352" s="10" t="s">
        <v>217</v>
      </c>
      <c r="F352" s="5">
        <v>9140</v>
      </c>
      <c r="G352" s="6">
        <v>80000</v>
      </c>
      <c r="H352" s="7">
        <v>70</v>
      </c>
      <c r="I352" s="8">
        <f t="shared" si="53"/>
        <v>511840000</v>
      </c>
      <c r="J352" s="7">
        <v>100</v>
      </c>
      <c r="K352" s="8">
        <f t="shared" si="54"/>
        <v>73120000</v>
      </c>
      <c r="L352" s="8">
        <f t="shared" si="55"/>
        <v>584960000</v>
      </c>
      <c r="M352" s="10" t="s">
        <v>200</v>
      </c>
      <c r="N352" s="13">
        <v>584960000</v>
      </c>
      <c r="O352" s="8">
        <f t="shared" si="56"/>
        <v>0</v>
      </c>
      <c r="P352" s="26"/>
      <c r="Q352"/>
    </row>
    <row r="353" spans="1:17" x14ac:dyDescent="0.25">
      <c r="A353" s="1">
        <v>352</v>
      </c>
      <c r="B353" s="1" t="s">
        <v>395</v>
      </c>
      <c r="C353" s="54" t="s">
        <v>128</v>
      </c>
      <c r="D353" s="1">
        <v>420000</v>
      </c>
      <c r="E353" s="10" t="s">
        <v>166</v>
      </c>
      <c r="F353" s="5">
        <v>5065</v>
      </c>
      <c r="G353" s="6">
        <v>80000</v>
      </c>
      <c r="H353" s="7">
        <v>70</v>
      </c>
      <c r="I353" s="8">
        <f t="shared" si="53"/>
        <v>283640000</v>
      </c>
      <c r="J353" s="7">
        <v>100</v>
      </c>
      <c r="K353" s="8">
        <f t="shared" si="54"/>
        <v>40520000</v>
      </c>
      <c r="L353" s="8">
        <f t="shared" si="55"/>
        <v>324160000</v>
      </c>
      <c r="M353" s="10" t="s">
        <v>200</v>
      </c>
      <c r="N353" s="13">
        <v>324160000</v>
      </c>
      <c r="O353" s="8">
        <f t="shared" si="56"/>
        <v>0</v>
      </c>
      <c r="P353" s="26"/>
      <c r="Q353"/>
    </row>
    <row r="354" spans="1:17" x14ac:dyDescent="0.25">
      <c r="A354" s="1">
        <v>353</v>
      </c>
      <c r="B354" s="1" t="s">
        <v>395</v>
      </c>
      <c r="C354" s="54" t="s">
        <v>128</v>
      </c>
      <c r="D354" s="1">
        <v>420000</v>
      </c>
      <c r="E354" s="10" t="s">
        <v>222</v>
      </c>
      <c r="F354" s="5">
        <v>8940</v>
      </c>
      <c r="G354" s="6">
        <v>80000</v>
      </c>
      <c r="H354" s="7">
        <v>70</v>
      </c>
      <c r="I354" s="8">
        <f t="shared" si="53"/>
        <v>500640000</v>
      </c>
      <c r="J354" s="7">
        <v>100</v>
      </c>
      <c r="K354" s="8">
        <f t="shared" si="54"/>
        <v>71520000</v>
      </c>
      <c r="L354" s="8">
        <f t="shared" si="55"/>
        <v>572160000</v>
      </c>
      <c r="M354" s="10" t="s">
        <v>200</v>
      </c>
      <c r="N354" s="13">
        <v>572160000</v>
      </c>
      <c r="O354" s="8">
        <f t="shared" si="56"/>
        <v>0</v>
      </c>
      <c r="P354" s="26"/>
      <c r="Q354"/>
    </row>
    <row r="355" spans="1:17" x14ac:dyDescent="0.25">
      <c r="A355" s="1">
        <v>354</v>
      </c>
      <c r="B355" s="1" t="s">
        <v>395</v>
      </c>
      <c r="C355" s="54" t="s">
        <v>128</v>
      </c>
      <c r="D355" s="1">
        <v>420000</v>
      </c>
      <c r="E355" s="10" t="s">
        <v>222</v>
      </c>
      <c r="F355" s="5">
        <v>8040</v>
      </c>
      <c r="G355" s="6">
        <v>80000</v>
      </c>
      <c r="H355" s="7">
        <v>70</v>
      </c>
      <c r="I355" s="8">
        <f t="shared" si="53"/>
        <v>450240000</v>
      </c>
      <c r="J355" s="7">
        <v>100</v>
      </c>
      <c r="K355" s="8">
        <f t="shared" si="54"/>
        <v>64320000</v>
      </c>
      <c r="L355" s="8">
        <f t="shared" si="55"/>
        <v>514560000</v>
      </c>
      <c r="M355" s="10" t="s">
        <v>210</v>
      </c>
      <c r="N355" s="13">
        <v>514560000</v>
      </c>
      <c r="O355" s="8">
        <f t="shared" si="56"/>
        <v>0</v>
      </c>
      <c r="P355" s="26"/>
      <c r="Q355"/>
    </row>
    <row r="356" spans="1:17" x14ac:dyDescent="0.25">
      <c r="A356" s="1">
        <v>355</v>
      </c>
      <c r="B356" s="1" t="s">
        <v>395</v>
      </c>
      <c r="C356" s="54" t="s">
        <v>128</v>
      </c>
      <c r="D356" s="1">
        <v>420000</v>
      </c>
      <c r="E356" s="10" t="s">
        <v>379</v>
      </c>
      <c r="F356" s="5">
        <v>9000</v>
      </c>
      <c r="G356" s="6">
        <v>80000</v>
      </c>
      <c r="H356" s="7">
        <v>70</v>
      </c>
      <c r="I356" s="8">
        <f t="shared" si="53"/>
        <v>504000000</v>
      </c>
      <c r="J356" s="7">
        <v>100</v>
      </c>
      <c r="K356" s="8">
        <f t="shared" si="54"/>
        <v>72000000</v>
      </c>
      <c r="L356" s="8">
        <f t="shared" si="55"/>
        <v>576000000</v>
      </c>
      <c r="M356" s="10" t="s">
        <v>210</v>
      </c>
      <c r="N356" s="13">
        <v>576000000</v>
      </c>
      <c r="O356" s="8">
        <f t="shared" si="56"/>
        <v>0</v>
      </c>
      <c r="P356" s="26"/>
      <c r="Q356"/>
    </row>
    <row r="357" spans="1:17" x14ac:dyDescent="0.25">
      <c r="A357" s="1">
        <v>356</v>
      </c>
      <c r="B357" s="1" t="s">
        <v>395</v>
      </c>
      <c r="C357" s="54" t="s">
        <v>128</v>
      </c>
      <c r="D357" s="1">
        <v>420000</v>
      </c>
      <c r="E357" s="10" t="s">
        <v>254</v>
      </c>
      <c r="F357" s="5">
        <v>8905</v>
      </c>
      <c r="G357" s="6">
        <v>80000</v>
      </c>
      <c r="H357" s="7">
        <v>70</v>
      </c>
      <c r="I357" s="8">
        <f t="shared" si="53"/>
        <v>498680000</v>
      </c>
      <c r="J357" s="7">
        <v>100</v>
      </c>
      <c r="K357" s="8">
        <f t="shared" ref="K357:K373" si="57">((F357*G357)/100)*10</f>
        <v>71240000</v>
      </c>
      <c r="L357" s="8">
        <f t="shared" si="55"/>
        <v>569920000</v>
      </c>
      <c r="M357" s="10" t="s">
        <v>201</v>
      </c>
      <c r="N357" s="13">
        <v>569920000</v>
      </c>
      <c r="O357" s="8">
        <f t="shared" si="56"/>
        <v>0</v>
      </c>
      <c r="P357" s="26"/>
      <c r="Q357"/>
    </row>
    <row r="358" spans="1:17" x14ac:dyDescent="0.25">
      <c r="A358" s="1">
        <v>357</v>
      </c>
      <c r="B358" s="1" t="s">
        <v>395</v>
      </c>
      <c r="C358" s="54" t="s">
        <v>128</v>
      </c>
      <c r="D358" s="1">
        <v>420000</v>
      </c>
      <c r="E358" s="10" t="s">
        <v>135</v>
      </c>
      <c r="F358" s="5">
        <v>8930</v>
      </c>
      <c r="G358" s="6">
        <v>80000</v>
      </c>
      <c r="H358" s="7">
        <v>70</v>
      </c>
      <c r="I358" s="8">
        <f t="shared" si="53"/>
        <v>500080000</v>
      </c>
      <c r="J358" s="7">
        <v>100</v>
      </c>
      <c r="K358" s="8">
        <f t="shared" si="57"/>
        <v>71440000</v>
      </c>
      <c r="L358" s="8">
        <f t="shared" si="55"/>
        <v>571520000</v>
      </c>
      <c r="M358" s="10" t="s">
        <v>201</v>
      </c>
      <c r="N358" s="13">
        <v>571520000</v>
      </c>
      <c r="O358" s="8">
        <f t="shared" si="56"/>
        <v>0</v>
      </c>
      <c r="P358" s="26"/>
      <c r="Q358"/>
    </row>
    <row r="359" spans="1:17" x14ac:dyDescent="0.25">
      <c r="A359" s="1">
        <v>358</v>
      </c>
      <c r="B359" s="1" t="s">
        <v>395</v>
      </c>
      <c r="C359" s="54" t="s">
        <v>128</v>
      </c>
      <c r="D359" s="1">
        <v>420000</v>
      </c>
      <c r="E359" s="10" t="s">
        <v>315</v>
      </c>
      <c r="F359" s="5">
        <v>9085</v>
      </c>
      <c r="G359" s="6">
        <v>80000</v>
      </c>
      <c r="H359" s="7">
        <v>70</v>
      </c>
      <c r="I359" s="8">
        <f t="shared" si="53"/>
        <v>508760000</v>
      </c>
      <c r="J359" s="7">
        <v>100</v>
      </c>
      <c r="K359" s="8">
        <f t="shared" si="57"/>
        <v>72680000</v>
      </c>
      <c r="L359" s="8">
        <f t="shared" si="55"/>
        <v>581440000</v>
      </c>
      <c r="M359" s="10" t="s">
        <v>62</v>
      </c>
      <c r="N359" s="13">
        <v>581440000</v>
      </c>
      <c r="O359" s="8">
        <f t="shared" si="56"/>
        <v>0</v>
      </c>
      <c r="P359" s="26"/>
      <c r="Q359"/>
    </row>
    <row r="360" spans="1:17" x14ac:dyDescent="0.25">
      <c r="A360" s="1">
        <v>359</v>
      </c>
      <c r="B360" s="1" t="s">
        <v>395</v>
      </c>
      <c r="C360" s="54" t="s">
        <v>128</v>
      </c>
      <c r="D360" s="1">
        <v>420000</v>
      </c>
      <c r="E360" s="10" t="s">
        <v>315</v>
      </c>
      <c r="F360" s="5">
        <v>8970</v>
      </c>
      <c r="G360" s="6">
        <v>80000</v>
      </c>
      <c r="H360" s="7">
        <v>70</v>
      </c>
      <c r="I360" s="8">
        <f t="shared" si="53"/>
        <v>502320000</v>
      </c>
      <c r="J360" s="7">
        <v>100</v>
      </c>
      <c r="K360" s="8">
        <f t="shared" si="57"/>
        <v>71760000</v>
      </c>
      <c r="L360" s="8">
        <f t="shared" si="55"/>
        <v>574080000</v>
      </c>
      <c r="M360" s="10" t="s">
        <v>62</v>
      </c>
      <c r="N360" s="13">
        <v>574080000</v>
      </c>
      <c r="O360" s="8">
        <f t="shared" si="56"/>
        <v>0</v>
      </c>
      <c r="P360" s="26"/>
      <c r="Q360"/>
    </row>
    <row r="361" spans="1:17" x14ac:dyDescent="0.25">
      <c r="A361" s="1">
        <v>360</v>
      </c>
      <c r="B361" s="1" t="s">
        <v>395</v>
      </c>
      <c r="C361" s="54" t="s">
        <v>128</v>
      </c>
      <c r="D361" s="1">
        <v>420000</v>
      </c>
      <c r="E361" s="10" t="s">
        <v>261</v>
      </c>
      <c r="F361" s="5">
        <v>9005</v>
      </c>
      <c r="G361" s="6">
        <v>80000</v>
      </c>
      <c r="H361" s="7">
        <v>70</v>
      </c>
      <c r="I361" s="8">
        <f t="shared" si="53"/>
        <v>504280000</v>
      </c>
      <c r="J361" s="7">
        <v>100</v>
      </c>
      <c r="K361" s="8">
        <f t="shared" si="57"/>
        <v>72040000</v>
      </c>
      <c r="L361" s="8">
        <f t="shared" si="55"/>
        <v>576320000</v>
      </c>
      <c r="M361" s="10" t="s">
        <v>263</v>
      </c>
      <c r="N361" s="13">
        <v>576320000</v>
      </c>
      <c r="O361" s="8">
        <f t="shared" si="56"/>
        <v>0</v>
      </c>
      <c r="P361" s="26"/>
      <c r="Q361"/>
    </row>
    <row r="362" spans="1:17" x14ac:dyDescent="0.25">
      <c r="A362" s="1">
        <v>361</v>
      </c>
      <c r="B362" s="1" t="s">
        <v>395</v>
      </c>
      <c r="C362" s="54" t="s">
        <v>128</v>
      </c>
      <c r="D362" s="1">
        <v>420000</v>
      </c>
      <c r="E362" s="10" t="s">
        <v>262</v>
      </c>
      <c r="F362" s="5">
        <v>9055</v>
      </c>
      <c r="G362" s="6">
        <v>80000</v>
      </c>
      <c r="H362" s="7">
        <v>70</v>
      </c>
      <c r="I362" s="8">
        <f t="shared" si="53"/>
        <v>507080000</v>
      </c>
      <c r="J362" s="7">
        <v>100</v>
      </c>
      <c r="K362" s="8">
        <f t="shared" si="57"/>
        <v>72440000</v>
      </c>
      <c r="L362" s="8">
        <f t="shared" si="55"/>
        <v>579520000</v>
      </c>
      <c r="M362" s="10" t="s">
        <v>263</v>
      </c>
      <c r="N362" s="13">
        <v>579520000</v>
      </c>
      <c r="O362" s="8">
        <f t="shared" si="56"/>
        <v>0</v>
      </c>
      <c r="P362" s="26"/>
      <c r="Q362"/>
    </row>
    <row r="363" spans="1:17" x14ac:dyDescent="0.25">
      <c r="A363" s="1">
        <v>362</v>
      </c>
      <c r="B363" s="1" t="s">
        <v>395</v>
      </c>
      <c r="C363" s="54" t="s">
        <v>128</v>
      </c>
      <c r="D363" s="1">
        <v>420000</v>
      </c>
      <c r="E363" s="10" t="s">
        <v>336</v>
      </c>
      <c r="F363" s="5">
        <v>9100</v>
      </c>
      <c r="G363" s="6">
        <v>80000</v>
      </c>
      <c r="H363" s="7">
        <v>70</v>
      </c>
      <c r="I363" s="8">
        <f t="shared" si="53"/>
        <v>509600000</v>
      </c>
      <c r="J363" s="7">
        <v>100</v>
      </c>
      <c r="K363" s="8">
        <f t="shared" si="57"/>
        <v>72800000</v>
      </c>
      <c r="L363" s="8">
        <f t="shared" si="55"/>
        <v>582400000</v>
      </c>
      <c r="M363" s="10" t="s">
        <v>318</v>
      </c>
      <c r="N363" s="13">
        <v>582400000</v>
      </c>
      <c r="O363" s="8">
        <f t="shared" si="56"/>
        <v>0</v>
      </c>
      <c r="P363" s="26"/>
      <c r="Q363"/>
    </row>
    <row r="364" spans="1:17" x14ac:dyDescent="0.25">
      <c r="A364" s="1">
        <v>363</v>
      </c>
      <c r="B364" s="1" t="s">
        <v>395</v>
      </c>
      <c r="C364" s="54" t="s">
        <v>128</v>
      </c>
      <c r="D364" s="1">
        <v>420000</v>
      </c>
      <c r="E364" s="10" t="s">
        <v>317</v>
      </c>
      <c r="F364" s="5">
        <v>9000</v>
      </c>
      <c r="G364" s="6">
        <v>80000</v>
      </c>
      <c r="H364" s="7">
        <v>70</v>
      </c>
      <c r="I364" s="8">
        <f t="shared" si="53"/>
        <v>504000000</v>
      </c>
      <c r="J364" s="7">
        <v>100</v>
      </c>
      <c r="K364" s="8">
        <f t="shared" si="57"/>
        <v>72000000</v>
      </c>
      <c r="L364" s="8">
        <f t="shared" si="55"/>
        <v>576000000</v>
      </c>
      <c r="M364" s="10" t="s">
        <v>318</v>
      </c>
      <c r="N364" s="13">
        <v>576000000</v>
      </c>
      <c r="O364" s="8">
        <f t="shared" si="56"/>
        <v>0</v>
      </c>
      <c r="P364" s="26"/>
      <c r="Q364"/>
    </row>
    <row r="365" spans="1:17" x14ac:dyDescent="0.25">
      <c r="A365" s="1">
        <v>364</v>
      </c>
      <c r="B365" s="1" t="s">
        <v>395</v>
      </c>
      <c r="C365" s="54" t="s">
        <v>128</v>
      </c>
      <c r="D365" s="1">
        <v>420000</v>
      </c>
      <c r="E365" s="10" t="s">
        <v>317</v>
      </c>
      <c r="F365" s="5">
        <v>9015</v>
      </c>
      <c r="G365" s="6">
        <v>80000</v>
      </c>
      <c r="H365" s="7">
        <v>70</v>
      </c>
      <c r="I365" s="8">
        <f t="shared" si="53"/>
        <v>504840000</v>
      </c>
      <c r="J365" s="7">
        <v>100</v>
      </c>
      <c r="K365" s="8">
        <f t="shared" si="57"/>
        <v>72120000</v>
      </c>
      <c r="L365" s="8">
        <f t="shared" si="55"/>
        <v>576960000</v>
      </c>
      <c r="M365" s="10" t="s">
        <v>268</v>
      </c>
      <c r="N365" s="13">
        <v>576960000</v>
      </c>
      <c r="O365" s="8">
        <f t="shared" si="56"/>
        <v>0</v>
      </c>
      <c r="P365" s="26"/>
      <c r="Q365"/>
    </row>
    <row r="366" spans="1:17" x14ac:dyDescent="0.25">
      <c r="A366" s="1">
        <v>365</v>
      </c>
      <c r="B366" s="1" t="s">
        <v>395</v>
      </c>
      <c r="C366" s="54" t="s">
        <v>128</v>
      </c>
      <c r="D366" s="1">
        <v>420000</v>
      </c>
      <c r="E366" s="10" t="s">
        <v>393</v>
      </c>
      <c r="F366" s="5">
        <v>9065</v>
      </c>
      <c r="G366" s="6">
        <v>80000</v>
      </c>
      <c r="H366" s="7">
        <v>70</v>
      </c>
      <c r="I366" s="8">
        <f t="shared" si="53"/>
        <v>507640000</v>
      </c>
      <c r="J366" s="7">
        <v>100</v>
      </c>
      <c r="K366" s="8">
        <f t="shared" si="57"/>
        <v>72520000</v>
      </c>
      <c r="L366" s="8">
        <f t="shared" si="55"/>
        <v>580160000</v>
      </c>
      <c r="M366" s="10" t="s">
        <v>268</v>
      </c>
      <c r="N366" s="13">
        <v>580160000</v>
      </c>
      <c r="O366" s="8">
        <f t="shared" si="56"/>
        <v>0</v>
      </c>
      <c r="P366" s="26"/>
      <c r="Q366"/>
    </row>
    <row r="367" spans="1:17" x14ac:dyDescent="0.25">
      <c r="A367" s="1">
        <v>366</v>
      </c>
      <c r="B367" s="1" t="s">
        <v>395</v>
      </c>
      <c r="C367" s="54" t="s">
        <v>128</v>
      </c>
      <c r="D367" s="1">
        <v>420000</v>
      </c>
      <c r="E367" s="10" t="s">
        <v>268</v>
      </c>
      <c r="F367" s="5">
        <v>9065</v>
      </c>
      <c r="G367" s="6">
        <v>80000</v>
      </c>
      <c r="H367" s="7">
        <v>70</v>
      </c>
      <c r="I367" s="8">
        <f t="shared" si="53"/>
        <v>507640000</v>
      </c>
      <c r="J367" s="7">
        <v>100</v>
      </c>
      <c r="K367" s="8">
        <f t="shared" si="57"/>
        <v>72520000</v>
      </c>
      <c r="L367" s="8">
        <f t="shared" si="55"/>
        <v>580160000</v>
      </c>
      <c r="M367" s="10" t="s">
        <v>272</v>
      </c>
      <c r="N367" s="13">
        <v>580160000</v>
      </c>
      <c r="O367" s="8">
        <f t="shared" si="56"/>
        <v>0</v>
      </c>
      <c r="P367" s="26"/>
      <c r="Q367"/>
    </row>
    <row r="368" spans="1:17" x14ac:dyDescent="0.25">
      <c r="A368" s="1">
        <v>367</v>
      </c>
      <c r="B368" s="1" t="s">
        <v>395</v>
      </c>
      <c r="C368" s="54" t="s">
        <v>128</v>
      </c>
      <c r="D368" s="1">
        <v>420000</v>
      </c>
      <c r="E368" s="10" t="s">
        <v>320</v>
      </c>
      <c r="F368" s="5">
        <v>9055</v>
      </c>
      <c r="G368" s="6">
        <v>80000</v>
      </c>
      <c r="H368" s="7">
        <v>70</v>
      </c>
      <c r="I368" s="8">
        <f t="shared" si="53"/>
        <v>507080000</v>
      </c>
      <c r="J368" s="7">
        <v>100</v>
      </c>
      <c r="K368" s="8">
        <f t="shared" si="57"/>
        <v>72440000</v>
      </c>
      <c r="L368" s="8">
        <f t="shared" si="55"/>
        <v>579520000</v>
      </c>
      <c r="M368" s="10" t="s">
        <v>272</v>
      </c>
      <c r="N368" s="13">
        <v>579520000</v>
      </c>
      <c r="O368" s="8">
        <f t="shared" si="56"/>
        <v>0</v>
      </c>
      <c r="P368" s="26"/>
      <c r="Q368"/>
    </row>
    <row r="369" spans="1:17" x14ac:dyDescent="0.25">
      <c r="A369" s="1">
        <v>368</v>
      </c>
      <c r="B369" s="1" t="s">
        <v>395</v>
      </c>
      <c r="C369" s="54" t="s">
        <v>128</v>
      </c>
      <c r="D369" s="1">
        <v>420000</v>
      </c>
      <c r="E369" s="10" t="s">
        <v>338</v>
      </c>
      <c r="F369" s="5">
        <v>8490</v>
      </c>
      <c r="G369" s="6">
        <v>80000</v>
      </c>
      <c r="H369" s="7">
        <v>70</v>
      </c>
      <c r="I369" s="8">
        <f t="shared" si="53"/>
        <v>475440000</v>
      </c>
      <c r="J369" s="7">
        <v>100</v>
      </c>
      <c r="K369" s="8">
        <f t="shared" si="57"/>
        <v>67920000</v>
      </c>
      <c r="L369" s="8">
        <f t="shared" si="55"/>
        <v>543360000</v>
      </c>
      <c r="M369" s="10" t="s">
        <v>278</v>
      </c>
      <c r="N369" s="13">
        <v>543360000</v>
      </c>
      <c r="O369" s="8">
        <f t="shared" si="56"/>
        <v>0</v>
      </c>
      <c r="P369" s="26"/>
      <c r="Q369"/>
    </row>
    <row r="370" spans="1:17" x14ac:dyDescent="0.25">
      <c r="A370" s="1">
        <v>369</v>
      </c>
      <c r="B370" s="1" t="s">
        <v>395</v>
      </c>
      <c r="C370" s="54" t="s">
        <v>128</v>
      </c>
      <c r="D370" s="1">
        <v>420000</v>
      </c>
      <c r="E370" s="10" t="s">
        <v>394</v>
      </c>
      <c r="F370" s="5">
        <v>9005</v>
      </c>
      <c r="G370" s="6">
        <v>80000</v>
      </c>
      <c r="H370" s="7">
        <v>70</v>
      </c>
      <c r="I370" s="8">
        <f t="shared" si="53"/>
        <v>504280000</v>
      </c>
      <c r="J370" s="7">
        <v>100</v>
      </c>
      <c r="K370" s="8">
        <f t="shared" si="57"/>
        <v>72040000</v>
      </c>
      <c r="L370" s="8">
        <f t="shared" si="55"/>
        <v>576320000</v>
      </c>
      <c r="M370" s="10" t="s">
        <v>281</v>
      </c>
      <c r="N370" s="13">
        <v>576320000</v>
      </c>
      <c r="O370" s="8">
        <f t="shared" si="56"/>
        <v>0</v>
      </c>
      <c r="P370" s="26"/>
      <c r="Q370"/>
    </row>
    <row r="371" spans="1:17" x14ac:dyDescent="0.25">
      <c r="A371" s="1">
        <v>370</v>
      </c>
      <c r="B371" s="1" t="s">
        <v>395</v>
      </c>
      <c r="C371" s="54" t="s">
        <v>128</v>
      </c>
      <c r="D371" s="1">
        <v>420000</v>
      </c>
      <c r="E371" s="10" t="s">
        <v>275</v>
      </c>
      <c r="F371" s="5">
        <v>9060</v>
      </c>
      <c r="G371" s="6">
        <v>80000</v>
      </c>
      <c r="H371" s="7">
        <v>70</v>
      </c>
      <c r="I371" s="8">
        <f t="shared" si="53"/>
        <v>507360000</v>
      </c>
      <c r="J371" s="7">
        <v>100</v>
      </c>
      <c r="K371" s="8">
        <f t="shared" si="57"/>
        <v>72480000</v>
      </c>
      <c r="L371" s="8">
        <f t="shared" si="55"/>
        <v>579840000</v>
      </c>
      <c r="M371" s="10" t="s">
        <v>281</v>
      </c>
      <c r="N371" s="13">
        <v>579840000</v>
      </c>
      <c r="O371" s="8">
        <f t="shared" si="56"/>
        <v>0</v>
      </c>
      <c r="P371" s="26"/>
      <c r="Q371"/>
    </row>
    <row r="372" spans="1:17" x14ac:dyDescent="0.25">
      <c r="A372" s="1">
        <v>371</v>
      </c>
      <c r="B372" s="1" t="s">
        <v>395</v>
      </c>
      <c r="C372" s="54" t="s">
        <v>128</v>
      </c>
      <c r="D372" s="1">
        <v>420000</v>
      </c>
      <c r="E372" s="10" t="s">
        <v>282</v>
      </c>
      <c r="F372" s="5">
        <v>9055</v>
      </c>
      <c r="G372" s="6">
        <v>80000</v>
      </c>
      <c r="H372" s="7">
        <v>70</v>
      </c>
      <c r="I372" s="8">
        <f t="shared" si="53"/>
        <v>507080000</v>
      </c>
      <c r="J372" s="7">
        <v>100</v>
      </c>
      <c r="K372" s="8">
        <f t="shared" si="57"/>
        <v>72440000</v>
      </c>
      <c r="L372" s="8">
        <f t="shared" si="55"/>
        <v>579520000</v>
      </c>
      <c r="M372" s="10" t="s">
        <v>373</v>
      </c>
      <c r="N372" s="13">
        <v>579520000</v>
      </c>
      <c r="O372" s="8">
        <f t="shared" si="56"/>
        <v>0</v>
      </c>
      <c r="P372" s="26"/>
      <c r="Q372"/>
    </row>
    <row r="373" spans="1:17" x14ac:dyDescent="0.25">
      <c r="A373" s="1">
        <v>372</v>
      </c>
      <c r="B373" s="1" t="s">
        <v>395</v>
      </c>
      <c r="C373" s="54" t="s">
        <v>128</v>
      </c>
      <c r="D373" s="1">
        <v>420000</v>
      </c>
      <c r="E373" s="10" t="s">
        <v>373</v>
      </c>
      <c r="F373" s="5">
        <v>9140</v>
      </c>
      <c r="G373" s="6">
        <v>80000</v>
      </c>
      <c r="H373" s="7">
        <v>70</v>
      </c>
      <c r="I373" s="8">
        <f t="shared" si="53"/>
        <v>511840000</v>
      </c>
      <c r="J373" s="7">
        <v>100</v>
      </c>
      <c r="K373" s="8">
        <f t="shared" si="57"/>
        <v>73120000</v>
      </c>
      <c r="L373" s="8">
        <f t="shared" si="55"/>
        <v>584960000</v>
      </c>
      <c r="M373" s="10" t="s">
        <v>373</v>
      </c>
      <c r="N373" s="13">
        <v>600000000</v>
      </c>
      <c r="O373" s="8">
        <f t="shared" si="56"/>
        <v>-15040000</v>
      </c>
      <c r="P373" s="26" t="s">
        <v>380</v>
      </c>
      <c r="Q373"/>
    </row>
    <row r="374" spans="1:17" ht="17.399999999999999" x14ac:dyDescent="0.25">
      <c r="A374" s="1">
        <v>373</v>
      </c>
      <c r="B374" s="1" t="s">
        <v>399</v>
      </c>
      <c r="C374" s="54" t="s">
        <v>398</v>
      </c>
      <c r="D374" s="1">
        <v>120000</v>
      </c>
      <c r="E374" s="4" t="s">
        <v>396</v>
      </c>
      <c r="F374" s="5">
        <v>23055</v>
      </c>
      <c r="G374" s="6">
        <v>75000</v>
      </c>
      <c r="H374" s="7">
        <v>85</v>
      </c>
      <c r="I374" s="8">
        <f t="shared" si="53"/>
        <v>1469756250</v>
      </c>
      <c r="J374" s="9"/>
      <c r="K374" s="8">
        <f>(I374/100)*10</f>
        <v>146975625</v>
      </c>
      <c r="L374" s="8">
        <f t="shared" si="55"/>
        <v>1616731875</v>
      </c>
      <c r="M374" s="20">
        <v>45568</v>
      </c>
      <c r="N374" s="5">
        <v>1616731875</v>
      </c>
      <c r="O374" s="8">
        <f>L374-N374</f>
        <v>0</v>
      </c>
      <c r="P374" s="26"/>
      <c r="Q374"/>
    </row>
    <row r="375" spans="1:17" x14ac:dyDescent="0.25">
      <c r="A375" s="1">
        <v>374</v>
      </c>
      <c r="B375" s="1" t="s">
        <v>399</v>
      </c>
      <c r="C375" s="54" t="s">
        <v>398</v>
      </c>
      <c r="D375" s="1">
        <v>120000</v>
      </c>
      <c r="E375" s="10" t="s">
        <v>217</v>
      </c>
      <c r="F375" s="5">
        <v>7760</v>
      </c>
      <c r="G375" s="6">
        <v>75000</v>
      </c>
      <c r="H375" s="7">
        <v>85</v>
      </c>
      <c r="I375" s="8">
        <f t="shared" si="53"/>
        <v>494700000</v>
      </c>
      <c r="J375" s="9"/>
      <c r="K375" s="8">
        <f>(I375/100)*10</f>
        <v>49470000</v>
      </c>
      <c r="L375" s="8">
        <f t="shared" si="55"/>
        <v>544170000</v>
      </c>
      <c r="M375" s="10" t="s">
        <v>294</v>
      </c>
      <c r="N375" s="13">
        <v>544170000</v>
      </c>
      <c r="O375" s="8">
        <f t="shared" ref="O375:O383" si="58">L375-N375</f>
        <v>0</v>
      </c>
      <c r="P375" s="26"/>
      <c r="Q375"/>
    </row>
    <row r="376" spans="1:17" x14ac:dyDescent="0.25">
      <c r="A376" s="1">
        <v>375</v>
      </c>
      <c r="B376" s="1" t="s">
        <v>399</v>
      </c>
      <c r="C376" s="54" t="s">
        <v>398</v>
      </c>
      <c r="D376" s="1">
        <v>120000</v>
      </c>
      <c r="E376" s="10" t="s">
        <v>222</v>
      </c>
      <c r="F376" s="5">
        <v>7740</v>
      </c>
      <c r="G376" s="6">
        <v>75000</v>
      </c>
      <c r="H376" s="7">
        <v>85</v>
      </c>
      <c r="I376" s="8">
        <f t="shared" si="53"/>
        <v>493425000</v>
      </c>
      <c r="J376" s="9"/>
      <c r="K376" s="8">
        <f t="shared" ref="K376:K383" si="59">(I376/100)*10</f>
        <v>49342500</v>
      </c>
      <c r="L376" s="8">
        <f t="shared" si="55"/>
        <v>542767500</v>
      </c>
      <c r="M376" s="10" t="s">
        <v>200</v>
      </c>
      <c r="N376" s="13">
        <v>542767500</v>
      </c>
      <c r="O376" s="8">
        <f t="shared" si="58"/>
        <v>0</v>
      </c>
      <c r="P376" s="26"/>
      <c r="Q376"/>
    </row>
    <row r="377" spans="1:17" x14ac:dyDescent="0.25">
      <c r="A377" s="1">
        <v>376</v>
      </c>
      <c r="B377" s="1" t="s">
        <v>399</v>
      </c>
      <c r="C377" s="54" t="s">
        <v>398</v>
      </c>
      <c r="D377" s="1">
        <v>120000</v>
      </c>
      <c r="E377" s="10" t="s">
        <v>334</v>
      </c>
      <c r="F377" s="5">
        <v>7115</v>
      </c>
      <c r="G377" s="6">
        <v>75000</v>
      </c>
      <c r="H377" s="7">
        <v>85</v>
      </c>
      <c r="I377" s="8">
        <f t="shared" si="53"/>
        <v>453581250</v>
      </c>
      <c r="J377" s="9"/>
      <c r="K377" s="8">
        <f t="shared" si="59"/>
        <v>45358125</v>
      </c>
      <c r="L377" s="8">
        <f t="shared" si="55"/>
        <v>498939375</v>
      </c>
      <c r="M377" s="10" t="s">
        <v>334</v>
      </c>
      <c r="N377" s="13">
        <v>498939375</v>
      </c>
      <c r="O377" s="8">
        <f t="shared" si="58"/>
        <v>0</v>
      </c>
      <c r="P377" s="26"/>
      <c r="Q377"/>
    </row>
    <row r="378" spans="1:17" x14ac:dyDescent="0.25">
      <c r="A378" s="1">
        <v>377</v>
      </c>
      <c r="B378" s="1" t="s">
        <v>399</v>
      </c>
      <c r="C378" s="54" t="s">
        <v>398</v>
      </c>
      <c r="D378" s="1">
        <v>120000</v>
      </c>
      <c r="E378" s="10" t="s">
        <v>198</v>
      </c>
      <c r="F378" s="5">
        <v>7700</v>
      </c>
      <c r="G378" s="6">
        <v>75000</v>
      </c>
      <c r="H378" s="7">
        <v>85</v>
      </c>
      <c r="I378" s="8">
        <f t="shared" si="53"/>
        <v>490875000</v>
      </c>
      <c r="J378" s="9"/>
      <c r="K378" s="8">
        <f t="shared" si="59"/>
        <v>49087500</v>
      </c>
      <c r="L378" s="8">
        <f t="shared" si="55"/>
        <v>539962500</v>
      </c>
      <c r="M378" s="10" t="s">
        <v>201</v>
      </c>
      <c r="N378" s="13">
        <v>539962500</v>
      </c>
      <c r="O378" s="8">
        <f t="shared" si="58"/>
        <v>0</v>
      </c>
      <c r="P378" s="26"/>
      <c r="Q378"/>
    </row>
    <row r="379" spans="1:17" x14ac:dyDescent="0.25">
      <c r="A379" s="1">
        <v>378</v>
      </c>
      <c r="B379" s="1" t="s">
        <v>399</v>
      </c>
      <c r="C379" s="54" t="s">
        <v>398</v>
      </c>
      <c r="D379" s="1">
        <v>120000</v>
      </c>
      <c r="E379" s="10" t="s">
        <v>264</v>
      </c>
      <c r="F379" s="5">
        <v>7655</v>
      </c>
      <c r="G379" s="6">
        <v>75000</v>
      </c>
      <c r="H379" s="7">
        <v>85</v>
      </c>
      <c r="I379" s="8">
        <f t="shared" si="53"/>
        <v>488006250</v>
      </c>
      <c r="J379" s="9"/>
      <c r="K379" s="8">
        <f t="shared" si="59"/>
        <v>48800625</v>
      </c>
      <c r="L379" s="8">
        <f t="shared" si="55"/>
        <v>536806875</v>
      </c>
      <c r="M379" s="10" t="s">
        <v>387</v>
      </c>
      <c r="N379" s="13">
        <v>536806875</v>
      </c>
      <c r="O379" s="8">
        <f t="shared" si="58"/>
        <v>0</v>
      </c>
      <c r="P379" s="26"/>
      <c r="Q379"/>
    </row>
    <row r="380" spans="1:17" x14ac:dyDescent="0.25">
      <c r="A380" s="1">
        <v>379</v>
      </c>
      <c r="B380" s="1" t="s">
        <v>399</v>
      </c>
      <c r="C380" s="54" t="s">
        <v>398</v>
      </c>
      <c r="D380" s="1">
        <v>120000</v>
      </c>
      <c r="E380" s="10" t="s">
        <v>393</v>
      </c>
      <c r="F380" s="5">
        <v>7085</v>
      </c>
      <c r="G380" s="6">
        <v>75000</v>
      </c>
      <c r="H380" s="7">
        <v>85</v>
      </c>
      <c r="I380" s="8">
        <f t="shared" si="53"/>
        <v>451668750</v>
      </c>
      <c r="J380" s="9"/>
      <c r="K380" s="8">
        <f t="shared" si="59"/>
        <v>45166875</v>
      </c>
      <c r="L380" s="8">
        <f t="shared" si="55"/>
        <v>496835625</v>
      </c>
      <c r="M380" s="10" t="s">
        <v>202</v>
      </c>
      <c r="N380" s="13">
        <v>496835625</v>
      </c>
      <c r="O380" s="8">
        <f t="shared" si="58"/>
        <v>0</v>
      </c>
      <c r="P380" s="26"/>
      <c r="Q380"/>
    </row>
    <row r="381" spans="1:17" x14ac:dyDescent="0.25">
      <c r="A381" s="1">
        <v>380</v>
      </c>
      <c r="B381" s="1" t="s">
        <v>399</v>
      </c>
      <c r="C381" s="54" t="s">
        <v>398</v>
      </c>
      <c r="D381" s="1">
        <v>120000</v>
      </c>
      <c r="E381" s="10" t="s">
        <v>338</v>
      </c>
      <c r="F381" s="5">
        <v>7715</v>
      </c>
      <c r="G381" s="6">
        <v>100000</v>
      </c>
      <c r="H381" s="7">
        <v>85</v>
      </c>
      <c r="I381" s="8">
        <f t="shared" si="53"/>
        <v>655775000</v>
      </c>
      <c r="J381" s="9"/>
      <c r="K381" s="8">
        <f t="shared" si="59"/>
        <v>65577500</v>
      </c>
      <c r="L381" s="8">
        <f t="shared" si="55"/>
        <v>721352500</v>
      </c>
      <c r="M381" s="10" t="s">
        <v>321</v>
      </c>
      <c r="N381" s="13">
        <v>721352500</v>
      </c>
      <c r="O381" s="8">
        <f t="shared" si="58"/>
        <v>0</v>
      </c>
      <c r="P381" s="43" t="s">
        <v>397</v>
      </c>
      <c r="Q381"/>
    </row>
    <row r="382" spans="1:17" ht="24" x14ac:dyDescent="0.25">
      <c r="A382" s="1">
        <v>381</v>
      </c>
      <c r="B382" s="1" t="s">
        <v>399</v>
      </c>
      <c r="C382" s="54" t="s">
        <v>398</v>
      </c>
      <c r="D382" s="1">
        <v>120000</v>
      </c>
      <c r="E382" s="10" t="s">
        <v>301</v>
      </c>
      <c r="F382" s="5">
        <v>7700</v>
      </c>
      <c r="G382" s="6">
        <v>100000</v>
      </c>
      <c r="H382" s="7">
        <v>85</v>
      </c>
      <c r="I382" s="8">
        <f t="shared" si="53"/>
        <v>654500000</v>
      </c>
      <c r="J382" s="9"/>
      <c r="K382" s="8">
        <f t="shared" si="59"/>
        <v>65450000</v>
      </c>
      <c r="L382" s="8">
        <f t="shared" si="55"/>
        <v>719950000</v>
      </c>
      <c r="M382" s="10" t="s">
        <v>325</v>
      </c>
      <c r="N382" s="13">
        <v>719950000</v>
      </c>
      <c r="O382" s="8">
        <f t="shared" si="58"/>
        <v>0</v>
      </c>
      <c r="P382" s="44"/>
      <c r="Q382"/>
    </row>
    <row r="383" spans="1:17" ht="24" x14ac:dyDescent="0.25">
      <c r="A383" s="1">
        <v>382</v>
      </c>
      <c r="B383" s="1" t="s">
        <v>399</v>
      </c>
      <c r="C383" s="54" t="s">
        <v>398</v>
      </c>
      <c r="D383" s="1">
        <v>120000</v>
      </c>
      <c r="E383" s="10" t="s">
        <v>364</v>
      </c>
      <c r="F383" s="5">
        <v>7765</v>
      </c>
      <c r="G383" s="6">
        <v>100000</v>
      </c>
      <c r="H383" s="7">
        <v>85</v>
      </c>
      <c r="I383" s="8">
        <f t="shared" si="53"/>
        <v>660025000</v>
      </c>
      <c r="J383" s="9"/>
      <c r="K383" s="8">
        <f t="shared" si="59"/>
        <v>66002500</v>
      </c>
      <c r="L383" s="8">
        <f t="shared" si="55"/>
        <v>726027500</v>
      </c>
      <c r="M383" s="10" t="s">
        <v>281</v>
      </c>
      <c r="N383" s="13">
        <v>726027500</v>
      </c>
      <c r="O383" s="8">
        <f t="shared" si="58"/>
        <v>0</v>
      </c>
      <c r="P383" s="44"/>
      <c r="Q383"/>
    </row>
    <row r="384" spans="1:17" x14ac:dyDescent="0.25">
      <c r="A384" s="1">
        <v>383</v>
      </c>
      <c r="B384" s="1" t="s">
        <v>405</v>
      </c>
      <c r="C384" s="54" t="s">
        <v>172</v>
      </c>
      <c r="D384" s="1">
        <v>300000</v>
      </c>
      <c r="E384" s="10" t="s">
        <v>174</v>
      </c>
      <c r="F384" s="5">
        <v>23670</v>
      </c>
      <c r="G384" s="6">
        <v>75000</v>
      </c>
      <c r="H384" s="7">
        <v>85</v>
      </c>
      <c r="I384" s="8">
        <f t="shared" si="53"/>
        <v>1508962500</v>
      </c>
      <c r="J384" s="9"/>
      <c r="K384" s="8">
        <f>(I384/100)*10</f>
        <v>150896250</v>
      </c>
      <c r="L384" s="8">
        <f t="shared" ref="L384:L398" si="60">I384+K384</f>
        <v>1659858750</v>
      </c>
      <c r="M384" s="10" t="s">
        <v>247</v>
      </c>
      <c r="N384" s="5">
        <v>1659858750</v>
      </c>
      <c r="O384" s="8">
        <f>L384-N384</f>
        <v>0</v>
      </c>
      <c r="P384" s="26"/>
      <c r="Q384"/>
    </row>
    <row r="385" spans="1:17" x14ac:dyDescent="0.25">
      <c r="A385" s="1">
        <v>384</v>
      </c>
      <c r="B385" s="1" t="s">
        <v>405</v>
      </c>
      <c r="C385" s="54" t="s">
        <v>172</v>
      </c>
      <c r="D385" s="1">
        <v>300000</v>
      </c>
      <c r="E385" s="10" t="s">
        <v>304</v>
      </c>
      <c r="F385" s="5">
        <v>21985</v>
      </c>
      <c r="G385" s="6">
        <v>75000</v>
      </c>
      <c r="H385" s="7">
        <v>85</v>
      </c>
      <c r="I385" s="8">
        <f t="shared" si="53"/>
        <v>1401543750</v>
      </c>
      <c r="J385" s="9"/>
      <c r="K385" s="8">
        <f t="shared" ref="K385:K398" si="61">(I385/100)*10</f>
        <v>140154375</v>
      </c>
      <c r="L385" s="8">
        <f t="shared" si="60"/>
        <v>1541698125</v>
      </c>
      <c r="M385" s="10" t="s">
        <v>151</v>
      </c>
      <c r="N385" s="13">
        <v>1541698125</v>
      </c>
      <c r="O385" s="8">
        <f t="shared" ref="O385:O398" si="62">L385-N385</f>
        <v>0</v>
      </c>
      <c r="P385" s="26"/>
      <c r="Q385"/>
    </row>
    <row r="386" spans="1:17" x14ac:dyDescent="0.25">
      <c r="A386" s="1">
        <v>385</v>
      </c>
      <c r="B386" s="1" t="s">
        <v>405</v>
      </c>
      <c r="C386" s="54" t="s">
        <v>172</v>
      </c>
      <c r="D386" s="1">
        <v>300000</v>
      </c>
      <c r="E386" s="10" t="s">
        <v>146</v>
      </c>
      <c r="F386" s="5">
        <v>22100</v>
      </c>
      <c r="G386" s="6">
        <v>75000</v>
      </c>
      <c r="H386" s="7">
        <v>85</v>
      </c>
      <c r="I386" s="8">
        <f t="shared" ref="I386:I449" si="63">((F386*G386)/100)*H386</f>
        <v>1408875000</v>
      </c>
      <c r="J386" s="9"/>
      <c r="K386" s="8">
        <f t="shared" si="61"/>
        <v>140887500</v>
      </c>
      <c r="L386" s="8">
        <f t="shared" si="60"/>
        <v>1549762500</v>
      </c>
      <c r="M386" s="10" t="s">
        <v>196</v>
      </c>
      <c r="N386" s="13">
        <v>1549762500</v>
      </c>
      <c r="O386" s="8">
        <f t="shared" si="62"/>
        <v>0</v>
      </c>
      <c r="P386" s="26"/>
      <c r="Q386"/>
    </row>
    <row r="387" spans="1:17" x14ac:dyDescent="0.25">
      <c r="A387" s="1">
        <v>386</v>
      </c>
      <c r="B387" s="1" t="s">
        <v>405</v>
      </c>
      <c r="C387" s="54" t="s">
        <v>172</v>
      </c>
      <c r="D387" s="1">
        <v>300000</v>
      </c>
      <c r="E387" s="10" t="s">
        <v>151</v>
      </c>
      <c r="F387" s="5">
        <v>20045</v>
      </c>
      <c r="G387" s="6">
        <v>75000</v>
      </c>
      <c r="H387" s="7">
        <v>85</v>
      </c>
      <c r="I387" s="8">
        <f t="shared" si="63"/>
        <v>1277868750</v>
      </c>
      <c r="J387" s="9"/>
      <c r="K387" s="8">
        <f t="shared" si="61"/>
        <v>127786875</v>
      </c>
      <c r="L387" s="8">
        <f t="shared" si="60"/>
        <v>1405655625</v>
      </c>
      <c r="M387" s="10" t="s">
        <v>171</v>
      </c>
      <c r="N387" s="13">
        <v>1405655625</v>
      </c>
      <c r="O387" s="8">
        <f t="shared" si="62"/>
        <v>0</v>
      </c>
      <c r="P387" s="26"/>
      <c r="Q387"/>
    </row>
    <row r="388" spans="1:17" x14ac:dyDescent="0.25">
      <c r="A388" s="1">
        <v>387</v>
      </c>
      <c r="B388" s="1" t="s">
        <v>405</v>
      </c>
      <c r="C388" s="54" t="s">
        <v>172</v>
      </c>
      <c r="D388" s="1">
        <v>300000</v>
      </c>
      <c r="E388" s="10" t="s">
        <v>196</v>
      </c>
      <c r="F388" s="5">
        <v>21175</v>
      </c>
      <c r="G388" s="6">
        <v>75000</v>
      </c>
      <c r="H388" s="7">
        <v>85</v>
      </c>
      <c r="I388" s="8">
        <f t="shared" si="63"/>
        <v>1349906250</v>
      </c>
      <c r="J388" s="9"/>
      <c r="K388" s="8">
        <f t="shared" si="61"/>
        <v>134990625</v>
      </c>
      <c r="L388" s="8">
        <f t="shared" si="60"/>
        <v>1484896875</v>
      </c>
      <c r="M388" s="10" t="s">
        <v>160</v>
      </c>
      <c r="N388" s="13">
        <v>1484896875</v>
      </c>
      <c r="O388" s="8">
        <f t="shared" si="62"/>
        <v>0</v>
      </c>
      <c r="P388" s="26"/>
      <c r="Q388"/>
    </row>
    <row r="389" spans="1:17" x14ac:dyDescent="0.25">
      <c r="A389" s="1">
        <v>388</v>
      </c>
      <c r="B389" s="1" t="s">
        <v>405</v>
      </c>
      <c r="C389" s="54" t="s">
        <v>172</v>
      </c>
      <c r="D389" s="1">
        <v>300000</v>
      </c>
      <c r="E389" s="10" t="s">
        <v>193</v>
      </c>
      <c r="F389" s="5">
        <v>22200</v>
      </c>
      <c r="G389" s="6">
        <v>75000</v>
      </c>
      <c r="H389" s="7">
        <v>85</v>
      </c>
      <c r="I389" s="8">
        <f t="shared" si="63"/>
        <v>1415250000</v>
      </c>
      <c r="J389" s="9"/>
      <c r="K389" s="8">
        <f t="shared" si="61"/>
        <v>141525000</v>
      </c>
      <c r="L389" s="8">
        <f t="shared" si="60"/>
        <v>1556775000</v>
      </c>
      <c r="M389" s="10" t="s">
        <v>334</v>
      </c>
      <c r="N389" s="13">
        <v>1556775000</v>
      </c>
      <c r="O389" s="8">
        <f t="shared" si="62"/>
        <v>0</v>
      </c>
      <c r="P389" s="26"/>
      <c r="Q389"/>
    </row>
    <row r="390" spans="1:17" x14ac:dyDescent="0.25">
      <c r="A390" s="1">
        <v>389</v>
      </c>
      <c r="B390" s="1" t="s">
        <v>405</v>
      </c>
      <c r="C390" s="54" t="s">
        <v>172</v>
      </c>
      <c r="D390" s="1">
        <v>300000</v>
      </c>
      <c r="E390" s="10" t="s">
        <v>217</v>
      </c>
      <c r="F390" s="5">
        <v>22105</v>
      </c>
      <c r="G390" s="6">
        <v>75000</v>
      </c>
      <c r="H390" s="7">
        <v>85</v>
      </c>
      <c r="I390" s="8">
        <f t="shared" si="63"/>
        <v>1409193750</v>
      </c>
      <c r="J390" s="9"/>
      <c r="K390" s="8">
        <f t="shared" si="61"/>
        <v>140919375</v>
      </c>
      <c r="L390" s="8">
        <f t="shared" si="60"/>
        <v>1550113125</v>
      </c>
      <c r="M390" s="10" t="s">
        <v>254</v>
      </c>
      <c r="N390" s="13">
        <v>1550113125</v>
      </c>
      <c r="O390" s="8">
        <f t="shared" si="62"/>
        <v>0</v>
      </c>
      <c r="P390" s="26"/>
      <c r="Q390"/>
    </row>
    <row r="391" spans="1:17" x14ac:dyDescent="0.25">
      <c r="A391" s="1">
        <v>390</v>
      </c>
      <c r="B391" s="1" t="s">
        <v>405</v>
      </c>
      <c r="C391" s="54" t="s">
        <v>172</v>
      </c>
      <c r="D391" s="1">
        <v>300000</v>
      </c>
      <c r="E391" s="10" t="s">
        <v>333</v>
      </c>
      <c r="F391" s="5">
        <v>19455</v>
      </c>
      <c r="G391" s="6">
        <v>75000</v>
      </c>
      <c r="H391" s="7">
        <v>85</v>
      </c>
      <c r="I391" s="8">
        <f t="shared" si="63"/>
        <v>1240256250</v>
      </c>
      <c r="J391" s="9"/>
      <c r="K391" s="8">
        <f t="shared" si="61"/>
        <v>124025625</v>
      </c>
      <c r="L391" s="8">
        <f t="shared" si="60"/>
        <v>1364281875</v>
      </c>
      <c r="M391" s="10" t="s">
        <v>198</v>
      </c>
      <c r="N391" s="13">
        <v>1364281875</v>
      </c>
      <c r="O391" s="8">
        <f t="shared" si="62"/>
        <v>0</v>
      </c>
      <c r="P391" s="26"/>
      <c r="Q391"/>
    </row>
    <row r="392" spans="1:17" x14ac:dyDescent="0.25">
      <c r="A392" s="1">
        <v>391</v>
      </c>
      <c r="B392" s="1" t="s">
        <v>405</v>
      </c>
      <c r="C392" s="54" t="s">
        <v>172</v>
      </c>
      <c r="D392" s="1">
        <v>300000</v>
      </c>
      <c r="E392" s="10" t="s">
        <v>254</v>
      </c>
      <c r="F392" s="5">
        <v>22010</v>
      </c>
      <c r="G392" s="6">
        <v>75000</v>
      </c>
      <c r="H392" s="7">
        <v>85</v>
      </c>
      <c r="I392" s="8">
        <f t="shared" si="63"/>
        <v>1403137500</v>
      </c>
      <c r="J392" s="9"/>
      <c r="K392" s="8">
        <f t="shared" si="61"/>
        <v>140313750</v>
      </c>
      <c r="L392" s="8">
        <f t="shared" si="60"/>
        <v>1543451250</v>
      </c>
      <c r="M392" s="10" t="s">
        <v>296</v>
      </c>
      <c r="N392" s="13">
        <v>1543451250</v>
      </c>
      <c r="O392" s="8">
        <f t="shared" si="62"/>
        <v>0</v>
      </c>
      <c r="P392" s="26"/>
      <c r="Q392"/>
    </row>
    <row r="393" spans="1:17" x14ac:dyDescent="0.25">
      <c r="A393" s="1">
        <v>392</v>
      </c>
      <c r="B393" s="1" t="s">
        <v>405</v>
      </c>
      <c r="C393" s="54" t="s">
        <v>172</v>
      </c>
      <c r="D393" s="1">
        <v>300000</v>
      </c>
      <c r="E393" s="10" t="s">
        <v>372</v>
      </c>
      <c r="F393" s="5">
        <v>21045</v>
      </c>
      <c r="G393" s="6">
        <v>75000</v>
      </c>
      <c r="H393" s="7">
        <v>85</v>
      </c>
      <c r="I393" s="8">
        <f t="shared" si="63"/>
        <v>1341618750</v>
      </c>
      <c r="J393" s="9"/>
      <c r="K393" s="8">
        <f t="shared" si="61"/>
        <v>134161875</v>
      </c>
      <c r="L393" s="8">
        <f t="shared" si="60"/>
        <v>1475780625</v>
      </c>
      <c r="M393" s="10" t="s">
        <v>400</v>
      </c>
      <c r="N393" s="13">
        <v>1475780625</v>
      </c>
      <c r="O393" s="8">
        <f t="shared" si="62"/>
        <v>0</v>
      </c>
      <c r="P393" s="26"/>
      <c r="Q393"/>
    </row>
    <row r="394" spans="1:17" x14ac:dyDescent="0.25">
      <c r="A394" s="1">
        <v>393</v>
      </c>
      <c r="B394" s="1" t="s">
        <v>405</v>
      </c>
      <c r="C394" s="54" t="s">
        <v>172</v>
      </c>
      <c r="D394" s="1">
        <v>300000</v>
      </c>
      <c r="E394" s="10" t="s">
        <v>258</v>
      </c>
      <c r="F394" s="5">
        <v>22160</v>
      </c>
      <c r="G394" s="6">
        <v>75000</v>
      </c>
      <c r="H394" s="7">
        <v>85</v>
      </c>
      <c r="I394" s="8">
        <f t="shared" si="63"/>
        <v>1412700000</v>
      </c>
      <c r="J394" s="9"/>
      <c r="K394" s="8">
        <f t="shared" si="61"/>
        <v>141270000</v>
      </c>
      <c r="L394" s="8">
        <f t="shared" si="60"/>
        <v>1553970000</v>
      </c>
      <c r="M394" s="10" t="s">
        <v>62</v>
      </c>
      <c r="N394" s="13">
        <v>1553970000</v>
      </c>
      <c r="O394" s="8">
        <f t="shared" si="62"/>
        <v>0</v>
      </c>
      <c r="P394" s="26"/>
      <c r="Q394"/>
    </row>
    <row r="395" spans="1:17" x14ac:dyDescent="0.25">
      <c r="A395" s="1">
        <v>394</v>
      </c>
      <c r="B395" s="1" t="s">
        <v>405</v>
      </c>
      <c r="C395" s="54" t="s">
        <v>172</v>
      </c>
      <c r="D395" s="1">
        <v>300000</v>
      </c>
      <c r="E395" s="10" t="s">
        <v>61</v>
      </c>
      <c r="F395" s="5">
        <v>21985</v>
      </c>
      <c r="G395" s="6">
        <v>75000</v>
      </c>
      <c r="H395" s="7">
        <v>85</v>
      </c>
      <c r="I395" s="8">
        <f t="shared" si="63"/>
        <v>1401543750</v>
      </c>
      <c r="J395" s="9"/>
      <c r="K395" s="8">
        <f t="shared" si="61"/>
        <v>140154375</v>
      </c>
      <c r="L395" s="8">
        <f t="shared" si="60"/>
        <v>1541698125</v>
      </c>
      <c r="M395" s="10" t="s">
        <v>336</v>
      </c>
      <c r="N395" s="13">
        <v>1541698125</v>
      </c>
      <c r="O395" s="8">
        <f t="shared" si="62"/>
        <v>0</v>
      </c>
      <c r="P395" s="26"/>
      <c r="Q395"/>
    </row>
    <row r="396" spans="1:17" x14ac:dyDescent="0.25">
      <c r="A396" s="1">
        <v>395</v>
      </c>
      <c r="B396" s="1" t="s">
        <v>405</v>
      </c>
      <c r="C396" s="54" t="s">
        <v>172</v>
      </c>
      <c r="D396" s="1">
        <v>300000</v>
      </c>
      <c r="E396" s="10" t="s">
        <v>62</v>
      </c>
      <c r="F396" s="5">
        <v>21135</v>
      </c>
      <c r="G396" s="6">
        <v>75000</v>
      </c>
      <c r="H396" s="7">
        <v>85</v>
      </c>
      <c r="I396" s="8">
        <f t="shared" si="63"/>
        <v>1347356250</v>
      </c>
      <c r="J396" s="9"/>
      <c r="K396" s="8">
        <f t="shared" si="61"/>
        <v>134735625</v>
      </c>
      <c r="L396" s="8">
        <f t="shared" si="60"/>
        <v>1482091875</v>
      </c>
      <c r="M396" s="10" t="s">
        <v>263</v>
      </c>
      <c r="N396" s="13">
        <v>1482091875</v>
      </c>
      <c r="O396" s="8">
        <f t="shared" si="62"/>
        <v>0</v>
      </c>
      <c r="P396" s="26"/>
      <c r="Q396"/>
    </row>
    <row r="397" spans="1:17" x14ac:dyDescent="0.25">
      <c r="A397" s="1">
        <v>396</v>
      </c>
      <c r="B397" s="1" t="s">
        <v>405</v>
      </c>
      <c r="C397" s="54" t="s">
        <v>172</v>
      </c>
      <c r="D397" s="1">
        <v>300000</v>
      </c>
      <c r="E397" s="10" t="s">
        <v>263</v>
      </c>
      <c r="F397" s="5">
        <v>17985</v>
      </c>
      <c r="G397" s="6">
        <v>75000</v>
      </c>
      <c r="H397" s="7">
        <v>85</v>
      </c>
      <c r="I397" s="8">
        <f t="shared" si="63"/>
        <v>1146543750</v>
      </c>
      <c r="J397" s="9"/>
      <c r="K397" s="8">
        <f t="shared" si="61"/>
        <v>114654375</v>
      </c>
      <c r="L397" s="8">
        <f t="shared" si="60"/>
        <v>1261198125</v>
      </c>
      <c r="M397" s="10" t="s">
        <v>268</v>
      </c>
      <c r="N397" s="13">
        <v>1261198125</v>
      </c>
      <c r="O397" s="8">
        <f t="shared" si="62"/>
        <v>0</v>
      </c>
      <c r="P397" s="26"/>
      <c r="Q397"/>
    </row>
    <row r="398" spans="1:17" x14ac:dyDescent="0.25">
      <c r="A398" s="1">
        <v>397</v>
      </c>
      <c r="B398" s="1" t="s">
        <v>405</v>
      </c>
      <c r="C398" s="54" t="s">
        <v>172</v>
      </c>
      <c r="D398" s="1">
        <v>300000</v>
      </c>
      <c r="E398" s="10" t="s">
        <v>265</v>
      </c>
      <c r="F398" s="5">
        <v>945</v>
      </c>
      <c r="G398" s="6">
        <v>75000</v>
      </c>
      <c r="H398" s="7">
        <v>85</v>
      </c>
      <c r="I398" s="8">
        <f t="shared" si="63"/>
        <v>60243750</v>
      </c>
      <c r="J398" s="9"/>
      <c r="K398" s="8">
        <f t="shared" si="61"/>
        <v>6024375</v>
      </c>
      <c r="L398" s="8">
        <f t="shared" si="60"/>
        <v>66268125</v>
      </c>
      <c r="M398" s="10" t="s">
        <v>338</v>
      </c>
      <c r="N398" s="13">
        <v>66268125</v>
      </c>
      <c r="O398" s="8">
        <f t="shared" si="62"/>
        <v>0</v>
      </c>
      <c r="P398" s="26" t="s">
        <v>401</v>
      </c>
      <c r="Q398"/>
    </row>
    <row r="399" spans="1:17" x14ac:dyDescent="0.25">
      <c r="A399" s="1">
        <v>398</v>
      </c>
      <c r="B399" s="1" t="s">
        <v>405</v>
      </c>
      <c r="C399" s="54" t="s">
        <v>189</v>
      </c>
      <c r="D399" s="1">
        <v>500000</v>
      </c>
      <c r="E399" s="10" t="s">
        <v>265</v>
      </c>
      <c r="F399" s="5">
        <v>20620</v>
      </c>
      <c r="G399" s="6">
        <v>75000</v>
      </c>
      <c r="H399" s="7">
        <v>85</v>
      </c>
      <c r="I399" s="8">
        <f t="shared" si="63"/>
        <v>1314525000</v>
      </c>
      <c r="J399" s="9"/>
      <c r="K399" s="8">
        <f>(I399/100)*10</f>
        <v>131452500</v>
      </c>
      <c r="L399" s="8">
        <f t="shared" ref="L399:L459" si="64">I399+K399</f>
        <v>1445977500</v>
      </c>
      <c r="M399" s="10" t="s">
        <v>338</v>
      </c>
      <c r="N399" s="5">
        <v>1445977500</v>
      </c>
      <c r="O399" s="8">
        <f>L399-N399</f>
        <v>0</v>
      </c>
      <c r="P399" s="26" t="s">
        <v>402</v>
      </c>
      <c r="Q399"/>
    </row>
    <row r="400" spans="1:17" ht="17.399999999999999" x14ac:dyDescent="0.25">
      <c r="A400" s="1">
        <v>399</v>
      </c>
      <c r="B400" s="1" t="s">
        <v>405</v>
      </c>
      <c r="C400" s="54" t="s">
        <v>189</v>
      </c>
      <c r="D400" s="1">
        <v>500000</v>
      </c>
      <c r="E400" s="22" t="s">
        <v>338</v>
      </c>
      <c r="F400" s="5">
        <v>21185</v>
      </c>
      <c r="G400" s="6">
        <v>75000</v>
      </c>
      <c r="H400" s="7">
        <v>85</v>
      </c>
      <c r="I400" s="8">
        <f t="shared" si="63"/>
        <v>1350543750</v>
      </c>
      <c r="J400" s="9"/>
      <c r="K400" s="8">
        <f t="shared" ref="K400:K403" si="65">(I400/100)*10</f>
        <v>135054375</v>
      </c>
      <c r="L400" s="8">
        <f t="shared" si="64"/>
        <v>1485598125</v>
      </c>
      <c r="M400" s="15" t="s">
        <v>403</v>
      </c>
      <c r="N400" s="13">
        <v>1485598125</v>
      </c>
      <c r="O400" s="8">
        <f t="shared" ref="O400:O403" si="66">L400-N400</f>
        <v>0</v>
      </c>
      <c r="P400" s="26"/>
      <c r="Q400"/>
    </row>
    <row r="401" spans="1:17" x14ac:dyDescent="0.25">
      <c r="A401" s="1">
        <v>400</v>
      </c>
      <c r="B401" s="1" t="s">
        <v>405</v>
      </c>
      <c r="C401" s="54" t="s">
        <v>189</v>
      </c>
      <c r="D401" s="1">
        <v>500000</v>
      </c>
      <c r="E401" s="10" t="s">
        <v>301</v>
      </c>
      <c r="F401" s="5">
        <v>21015</v>
      </c>
      <c r="G401" s="6">
        <v>75000</v>
      </c>
      <c r="H401" s="7">
        <v>85</v>
      </c>
      <c r="I401" s="8">
        <f t="shared" si="63"/>
        <v>1339706250</v>
      </c>
      <c r="J401" s="9"/>
      <c r="K401" s="8">
        <f t="shared" si="65"/>
        <v>133970625</v>
      </c>
      <c r="L401" s="8">
        <f t="shared" si="64"/>
        <v>1473676875</v>
      </c>
      <c r="M401" s="10" t="s">
        <v>404</v>
      </c>
      <c r="N401" s="13">
        <v>1473676875</v>
      </c>
      <c r="O401" s="8">
        <f t="shared" si="66"/>
        <v>0</v>
      </c>
      <c r="P401" s="26"/>
      <c r="Q401"/>
    </row>
    <row r="402" spans="1:17" x14ac:dyDescent="0.25">
      <c r="A402" s="1">
        <v>401</v>
      </c>
      <c r="B402" s="1" t="s">
        <v>405</v>
      </c>
      <c r="C402" s="54" t="s">
        <v>189</v>
      </c>
      <c r="D402" s="1">
        <v>500000</v>
      </c>
      <c r="E402" s="10" t="s">
        <v>364</v>
      </c>
      <c r="F402" s="5">
        <v>20975</v>
      </c>
      <c r="G402" s="6">
        <v>75000</v>
      </c>
      <c r="H402" s="7">
        <v>85</v>
      </c>
      <c r="I402" s="8">
        <f t="shared" si="63"/>
        <v>1337156250</v>
      </c>
      <c r="J402" s="9"/>
      <c r="K402" s="8">
        <f t="shared" si="65"/>
        <v>133715625</v>
      </c>
      <c r="L402" s="8">
        <f t="shared" si="64"/>
        <v>1470871875</v>
      </c>
      <c r="M402" s="10"/>
      <c r="N402" s="13"/>
      <c r="O402" s="8">
        <f t="shared" si="66"/>
        <v>1470871875</v>
      </c>
      <c r="P402" s="26"/>
      <c r="Q402"/>
    </row>
    <row r="403" spans="1:17" x14ac:dyDescent="0.25">
      <c r="A403" s="1">
        <v>402</v>
      </c>
      <c r="B403" s="1" t="s">
        <v>405</v>
      </c>
      <c r="C403" s="54" t="s">
        <v>189</v>
      </c>
      <c r="D403" s="1">
        <v>500000</v>
      </c>
      <c r="E403" s="10" t="s">
        <v>327</v>
      </c>
      <c r="F403" s="5">
        <v>20945</v>
      </c>
      <c r="G403" s="6">
        <v>75000</v>
      </c>
      <c r="H403" s="7">
        <v>85</v>
      </c>
      <c r="I403" s="8">
        <f t="shared" si="63"/>
        <v>1335243750</v>
      </c>
      <c r="J403" s="9"/>
      <c r="K403" s="8">
        <f t="shared" si="65"/>
        <v>133524375</v>
      </c>
      <c r="L403" s="8">
        <f t="shared" si="64"/>
        <v>1468768125</v>
      </c>
      <c r="M403" s="10"/>
      <c r="N403" s="13"/>
      <c r="O403" s="8">
        <f t="shared" si="66"/>
        <v>1468768125</v>
      </c>
      <c r="P403" s="26"/>
      <c r="Q403"/>
    </row>
    <row r="404" spans="1:17" ht="19.2" x14ac:dyDescent="0.25">
      <c r="A404" s="1">
        <v>403</v>
      </c>
      <c r="B404" s="1" t="s">
        <v>219</v>
      </c>
      <c r="C404" s="54" t="s">
        <v>218</v>
      </c>
      <c r="D404" s="1">
        <v>200000</v>
      </c>
      <c r="E404" s="18" t="s">
        <v>268</v>
      </c>
      <c r="F404" s="5">
        <v>17960</v>
      </c>
      <c r="G404" s="6">
        <v>100000</v>
      </c>
      <c r="H404" s="7">
        <v>85</v>
      </c>
      <c r="I404" s="8">
        <f t="shared" si="63"/>
        <v>1526600000</v>
      </c>
      <c r="J404" s="9"/>
      <c r="K404" s="8">
        <f>(I404/100)*10</f>
        <v>152660000</v>
      </c>
      <c r="L404" s="8">
        <f t="shared" si="64"/>
        <v>1679260000</v>
      </c>
      <c r="M404" s="20" t="s">
        <v>300</v>
      </c>
      <c r="N404" s="5">
        <v>1679260000</v>
      </c>
      <c r="O404" s="8">
        <f>L404-N404</f>
        <v>0</v>
      </c>
      <c r="P404" s="26"/>
      <c r="Q404"/>
    </row>
    <row r="405" spans="1:17" x14ac:dyDescent="0.25">
      <c r="A405" s="1">
        <v>404</v>
      </c>
      <c r="B405" s="1" t="s">
        <v>406</v>
      </c>
      <c r="C405" s="54" t="s">
        <v>220</v>
      </c>
      <c r="D405" s="1">
        <v>300000</v>
      </c>
      <c r="E405" s="10" t="s">
        <v>351</v>
      </c>
      <c r="F405" s="5">
        <v>14400</v>
      </c>
      <c r="G405" s="6">
        <v>100000</v>
      </c>
      <c r="H405" s="7">
        <v>85</v>
      </c>
      <c r="I405" s="8">
        <f t="shared" si="63"/>
        <v>1224000000</v>
      </c>
      <c r="J405" s="9"/>
      <c r="K405" s="8">
        <f>(I405/100)*10</f>
        <v>122400000</v>
      </c>
      <c r="L405" s="8">
        <f t="shared" si="64"/>
        <v>1346400000</v>
      </c>
      <c r="M405" s="10" t="s">
        <v>300</v>
      </c>
      <c r="N405" s="5">
        <v>1346400000</v>
      </c>
      <c r="O405" s="8">
        <f>L405-N405</f>
        <v>0</v>
      </c>
      <c r="P405" s="26"/>
      <c r="Q405"/>
    </row>
    <row r="406" spans="1:17" x14ac:dyDescent="0.25">
      <c r="A406" s="1">
        <v>405</v>
      </c>
      <c r="B406" s="1" t="s">
        <v>406</v>
      </c>
      <c r="C406" s="54" t="s">
        <v>407</v>
      </c>
      <c r="D406" s="1">
        <v>300000</v>
      </c>
      <c r="E406" s="10" t="s">
        <v>278</v>
      </c>
      <c r="F406" s="5">
        <v>14550</v>
      </c>
      <c r="G406" s="6">
        <v>100000</v>
      </c>
      <c r="H406" s="7">
        <v>85</v>
      </c>
      <c r="I406" s="8">
        <f t="shared" si="63"/>
        <v>1236750000</v>
      </c>
      <c r="J406" s="9"/>
      <c r="K406" s="8">
        <f t="shared" ref="K406" si="67">(I406/100)*10</f>
        <v>123675000</v>
      </c>
      <c r="L406" s="8">
        <f t="shared" si="64"/>
        <v>1360425000</v>
      </c>
      <c r="M406" s="10" t="s">
        <v>279</v>
      </c>
      <c r="N406" s="13">
        <v>1360425000</v>
      </c>
      <c r="O406" s="8">
        <f t="shared" ref="O406" si="68">L406-N406</f>
        <v>0</v>
      </c>
      <c r="P406" s="26"/>
      <c r="Q406"/>
    </row>
    <row r="407" spans="1:17" ht="22.8" x14ac:dyDescent="0.25">
      <c r="A407" s="1">
        <v>406</v>
      </c>
      <c r="B407" s="1" t="s">
        <v>408</v>
      </c>
      <c r="C407" s="54" t="s">
        <v>212</v>
      </c>
      <c r="D407" s="1">
        <v>2500000</v>
      </c>
      <c r="E407" s="17" t="s">
        <v>270</v>
      </c>
      <c r="F407" s="5">
        <v>7510</v>
      </c>
      <c r="G407" s="6">
        <v>100000</v>
      </c>
      <c r="H407" s="7">
        <v>85</v>
      </c>
      <c r="I407" s="8">
        <f t="shared" si="63"/>
        <v>638350000</v>
      </c>
      <c r="J407" s="9"/>
      <c r="K407" s="8">
        <f>(I407/100)*10</f>
        <v>63835000</v>
      </c>
      <c r="L407" s="8">
        <f t="shared" si="64"/>
        <v>702185000</v>
      </c>
      <c r="M407" s="20" t="s">
        <v>301</v>
      </c>
      <c r="N407" s="5">
        <v>702185000</v>
      </c>
      <c r="O407" s="8">
        <f>L407-N407</f>
        <v>0</v>
      </c>
      <c r="P407" s="26"/>
      <c r="Q407"/>
    </row>
    <row r="408" spans="1:17" x14ac:dyDescent="0.25">
      <c r="A408" s="1">
        <v>407</v>
      </c>
      <c r="B408" s="1" t="s">
        <v>408</v>
      </c>
      <c r="C408" s="54" t="s">
        <v>212</v>
      </c>
      <c r="D408" s="1">
        <v>2500000</v>
      </c>
      <c r="E408" s="10" t="s">
        <v>272</v>
      </c>
      <c r="F408" s="5">
        <v>7380</v>
      </c>
      <c r="G408" s="6">
        <v>100000</v>
      </c>
      <c r="H408" s="7">
        <v>85</v>
      </c>
      <c r="I408" s="8">
        <f t="shared" si="63"/>
        <v>627300000</v>
      </c>
      <c r="J408" s="9"/>
      <c r="K408" s="8">
        <f t="shared" ref="K408:K410" si="69">(I408/100)*10</f>
        <v>62730000</v>
      </c>
      <c r="L408" s="8">
        <f t="shared" si="64"/>
        <v>690030000</v>
      </c>
      <c r="M408" s="10" t="s">
        <v>301</v>
      </c>
      <c r="N408" s="13">
        <v>690030000</v>
      </c>
      <c r="O408" s="8">
        <f t="shared" ref="O408:O410" si="70">L408-N408</f>
        <v>0</v>
      </c>
      <c r="P408" s="26"/>
      <c r="Q408"/>
    </row>
    <row r="409" spans="1:17" x14ac:dyDescent="0.25">
      <c r="A409" s="1">
        <v>408</v>
      </c>
      <c r="B409" s="1" t="s">
        <v>408</v>
      </c>
      <c r="C409" s="54" t="s">
        <v>212</v>
      </c>
      <c r="D409" s="1">
        <v>2500000</v>
      </c>
      <c r="E409" s="10" t="s">
        <v>338</v>
      </c>
      <c r="F409" s="5">
        <v>7430</v>
      </c>
      <c r="G409" s="6">
        <v>100000</v>
      </c>
      <c r="H409" s="7">
        <v>85</v>
      </c>
      <c r="I409" s="8">
        <f t="shared" si="63"/>
        <v>631550000</v>
      </c>
      <c r="J409" s="9"/>
      <c r="K409" s="8">
        <f t="shared" si="69"/>
        <v>63155000</v>
      </c>
      <c r="L409" s="8">
        <f t="shared" si="64"/>
        <v>694705000</v>
      </c>
      <c r="M409" s="10" t="s">
        <v>275</v>
      </c>
      <c r="N409" s="13">
        <v>694705000</v>
      </c>
      <c r="O409" s="8">
        <f t="shared" si="70"/>
        <v>0</v>
      </c>
      <c r="P409" s="26"/>
      <c r="Q409"/>
    </row>
    <row r="410" spans="1:17" x14ac:dyDescent="0.25">
      <c r="A410" s="1">
        <v>409</v>
      </c>
      <c r="B410" s="1" t="s">
        <v>408</v>
      </c>
      <c r="C410" s="54" t="s">
        <v>212</v>
      </c>
      <c r="D410" s="1">
        <v>2500000</v>
      </c>
      <c r="E410" s="10" t="s">
        <v>274</v>
      </c>
      <c r="F410" s="5">
        <v>7435</v>
      </c>
      <c r="G410" s="6">
        <v>100000</v>
      </c>
      <c r="H410" s="7">
        <v>85</v>
      </c>
      <c r="I410" s="8">
        <f t="shared" si="63"/>
        <v>631975000</v>
      </c>
      <c r="J410" s="9"/>
      <c r="K410" s="8">
        <f t="shared" si="69"/>
        <v>63197500</v>
      </c>
      <c r="L410" s="8">
        <f t="shared" si="64"/>
        <v>695172500</v>
      </c>
      <c r="M410" s="10" t="s">
        <v>276</v>
      </c>
      <c r="N410" s="13">
        <v>695172500</v>
      </c>
      <c r="O410" s="8">
        <f t="shared" si="70"/>
        <v>0</v>
      </c>
      <c r="P410" s="26"/>
      <c r="Q410"/>
    </row>
    <row r="411" spans="1:17" ht="22.8" x14ac:dyDescent="0.25">
      <c r="A411" s="1">
        <v>410</v>
      </c>
      <c r="B411" s="1" t="s">
        <v>413</v>
      </c>
      <c r="C411" s="54" t="s">
        <v>212</v>
      </c>
      <c r="D411" s="1">
        <v>250000</v>
      </c>
      <c r="E411" s="17" t="s">
        <v>409</v>
      </c>
      <c r="F411" s="5">
        <v>214910</v>
      </c>
      <c r="G411" s="6">
        <v>70000</v>
      </c>
      <c r="H411" s="7">
        <v>100</v>
      </c>
      <c r="I411" s="8">
        <f t="shared" si="63"/>
        <v>15043700000</v>
      </c>
      <c r="J411" s="9"/>
      <c r="K411" s="8">
        <f>(I411/100)*10</f>
        <v>1504370000</v>
      </c>
      <c r="L411" s="8">
        <f t="shared" si="64"/>
        <v>16548070000</v>
      </c>
      <c r="M411" s="20" t="s">
        <v>410</v>
      </c>
      <c r="N411" s="5">
        <v>15965565000</v>
      </c>
      <c r="O411" s="8">
        <f>L411-N411</f>
        <v>582505000</v>
      </c>
      <c r="P411" s="26" t="s">
        <v>411</v>
      </c>
      <c r="Q411"/>
    </row>
    <row r="412" spans="1:17" x14ac:dyDescent="0.25">
      <c r="A412" s="1">
        <v>411</v>
      </c>
      <c r="B412" s="1" t="s">
        <v>413</v>
      </c>
      <c r="C412" s="54" t="s">
        <v>212</v>
      </c>
      <c r="D412" s="1">
        <v>250000</v>
      </c>
      <c r="E412" s="10" t="s">
        <v>195</v>
      </c>
      <c r="F412" s="5">
        <v>7500</v>
      </c>
      <c r="G412" s="6">
        <v>70000</v>
      </c>
      <c r="H412" s="7">
        <v>100</v>
      </c>
      <c r="I412" s="8">
        <f t="shared" si="63"/>
        <v>525000000</v>
      </c>
      <c r="J412" s="9"/>
      <c r="K412" s="8">
        <f>((F412*G412)/100)*10</f>
        <v>52500000</v>
      </c>
      <c r="L412" s="8">
        <f t="shared" si="64"/>
        <v>577500000</v>
      </c>
      <c r="M412" s="10" t="s">
        <v>410</v>
      </c>
      <c r="N412" s="13">
        <v>577500000</v>
      </c>
      <c r="O412" s="8">
        <f t="shared" ref="O412:O416" si="71">L412-N412</f>
        <v>0</v>
      </c>
      <c r="P412" s="26"/>
      <c r="Q412"/>
    </row>
    <row r="413" spans="1:17" x14ac:dyDescent="0.25">
      <c r="A413" s="1">
        <v>412</v>
      </c>
      <c r="B413" s="1" t="s">
        <v>413</v>
      </c>
      <c r="C413" s="54" t="s">
        <v>212</v>
      </c>
      <c r="D413" s="1">
        <v>250000</v>
      </c>
      <c r="E413" s="10" t="s">
        <v>291</v>
      </c>
      <c r="F413" s="5">
        <v>7550</v>
      </c>
      <c r="G413" s="6">
        <v>70000</v>
      </c>
      <c r="H413" s="7">
        <v>100</v>
      </c>
      <c r="I413" s="8">
        <f t="shared" si="63"/>
        <v>528500000</v>
      </c>
      <c r="J413" s="9"/>
      <c r="K413" s="8">
        <f>((F413*G413)/100)*10</f>
        <v>52850000</v>
      </c>
      <c r="L413" s="8">
        <f t="shared" si="64"/>
        <v>581350000</v>
      </c>
      <c r="M413" s="10" t="s">
        <v>410</v>
      </c>
      <c r="N413" s="13">
        <v>581350000</v>
      </c>
      <c r="O413" s="8">
        <f t="shared" si="71"/>
        <v>0</v>
      </c>
      <c r="P413" s="26"/>
      <c r="Q413"/>
    </row>
    <row r="414" spans="1:17" x14ac:dyDescent="0.25">
      <c r="A414" s="1">
        <v>413</v>
      </c>
      <c r="B414" s="1" t="s">
        <v>413</v>
      </c>
      <c r="C414" s="54" t="s">
        <v>212</v>
      </c>
      <c r="D414" s="1">
        <v>250000</v>
      </c>
      <c r="E414" s="10" t="s">
        <v>192</v>
      </c>
      <c r="F414" s="5">
        <v>7460</v>
      </c>
      <c r="G414" s="6">
        <v>70000</v>
      </c>
      <c r="H414" s="7">
        <v>100</v>
      </c>
      <c r="I414" s="8">
        <f t="shared" si="63"/>
        <v>522200000</v>
      </c>
      <c r="J414" s="9"/>
      <c r="K414" s="8">
        <f>((F414*G414)/100)*10</f>
        <v>52220000</v>
      </c>
      <c r="L414" s="8">
        <f t="shared" si="64"/>
        <v>574420000</v>
      </c>
      <c r="M414" s="10" t="s">
        <v>410</v>
      </c>
      <c r="N414" s="13">
        <v>574420000</v>
      </c>
      <c r="O414" s="8">
        <f t="shared" si="71"/>
        <v>0</v>
      </c>
      <c r="P414" s="26"/>
      <c r="Q414"/>
    </row>
    <row r="415" spans="1:17" x14ac:dyDescent="0.25">
      <c r="A415" s="1">
        <v>414</v>
      </c>
      <c r="B415" s="1" t="s">
        <v>413</v>
      </c>
      <c r="C415" s="54" t="s">
        <v>212</v>
      </c>
      <c r="D415" s="1">
        <v>250000</v>
      </c>
      <c r="E415" s="10" t="s">
        <v>168</v>
      </c>
      <c r="F415" s="5">
        <v>7430</v>
      </c>
      <c r="G415" s="6">
        <v>70000</v>
      </c>
      <c r="H415" s="7">
        <v>100</v>
      </c>
      <c r="I415" s="8">
        <f t="shared" si="63"/>
        <v>520100000</v>
      </c>
      <c r="J415" s="9"/>
      <c r="K415" s="8">
        <f>((F415*G415)/100)*10</f>
        <v>52010000</v>
      </c>
      <c r="L415" s="8">
        <f t="shared" si="64"/>
        <v>572110000</v>
      </c>
      <c r="M415" s="10" t="s">
        <v>410</v>
      </c>
      <c r="N415" s="13">
        <v>572110000</v>
      </c>
      <c r="O415" s="8">
        <f t="shared" si="71"/>
        <v>0</v>
      </c>
      <c r="P415" s="26"/>
      <c r="Q415"/>
    </row>
    <row r="416" spans="1:17" x14ac:dyDescent="0.25">
      <c r="A416" s="1">
        <v>415</v>
      </c>
      <c r="B416" s="1" t="s">
        <v>413</v>
      </c>
      <c r="C416" s="54" t="s">
        <v>212</v>
      </c>
      <c r="D416" s="1">
        <v>250000</v>
      </c>
      <c r="E416" s="10" t="s">
        <v>151</v>
      </c>
      <c r="F416" s="5">
        <v>5150</v>
      </c>
      <c r="G416" s="6">
        <v>70000</v>
      </c>
      <c r="H416" s="7">
        <v>100</v>
      </c>
      <c r="I416" s="8">
        <f t="shared" si="63"/>
        <v>360500000</v>
      </c>
      <c r="J416" s="9"/>
      <c r="K416" s="8">
        <f>((F416*G416)/100)*10</f>
        <v>36050000</v>
      </c>
      <c r="L416" s="8">
        <f t="shared" si="64"/>
        <v>396550000</v>
      </c>
      <c r="M416" s="10" t="s">
        <v>410</v>
      </c>
      <c r="N416" s="13">
        <v>396550000</v>
      </c>
      <c r="O416" s="8">
        <f t="shared" si="71"/>
        <v>0</v>
      </c>
      <c r="P416" s="26" t="s">
        <v>412</v>
      </c>
      <c r="Q416"/>
    </row>
    <row r="417" spans="1:17" x14ac:dyDescent="0.25">
      <c r="A417" s="1">
        <v>416</v>
      </c>
      <c r="B417" s="1" t="s">
        <v>413</v>
      </c>
      <c r="C417" s="54" t="s">
        <v>212</v>
      </c>
      <c r="D417" s="1">
        <v>300000</v>
      </c>
      <c r="E417" s="10" t="s">
        <v>151</v>
      </c>
      <c r="F417" s="5">
        <v>1840</v>
      </c>
      <c r="G417" s="6">
        <v>75000</v>
      </c>
      <c r="H417" s="7">
        <v>85</v>
      </c>
      <c r="I417" s="8">
        <f t="shared" si="63"/>
        <v>117300000</v>
      </c>
      <c r="J417" s="9"/>
      <c r="K417" s="8">
        <f>(I417/100)*10</f>
        <v>11730000</v>
      </c>
      <c r="L417" s="8">
        <f t="shared" si="64"/>
        <v>129030000</v>
      </c>
      <c r="M417" s="10" t="s">
        <v>251</v>
      </c>
      <c r="N417" s="5">
        <v>129030000</v>
      </c>
      <c r="O417" s="8">
        <f>L417-N417</f>
        <v>0</v>
      </c>
      <c r="P417" s="26"/>
      <c r="Q417"/>
    </row>
    <row r="418" spans="1:17" x14ac:dyDescent="0.25">
      <c r="A418" s="1">
        <v>417</v>
      </c>
      <c r="B418" s="1" t="s">
        <v>413</v>
      </c>
      <c r="C418" s="54" t="s">
        <v>212</v>
      </c>
      <c r="D418" s="1">
        <v>300000</v>
      </c>
      <c r="E418" s="10" t="s">
        <v>151</v>
      </c>
      <c r="F418" s="5">
        <v>7070</v>
      </c>
      <c r="G418" s="6">
        <v>75000</v>
      </c>
      <c r="H418" s="7">
        <v>85</v>
      </c>
      <c r="I418" s="8">
        <f t="shared" si="63"/>
        <v>450712500</v>
      </c>
      <c r="J418" s="9"/>
      <c r="K418" s="8">
        <f t="shared" ref="K418:K458" si="72">(I418/100)*10</f>
        <v>45071250</v>
      </c>
      <c r="L418" s="8">
        <f t="shared" si="64"/>
        <v>495783750</v>
      </c>
      <c r="M418" s="10" t="s">
        <v>251</v>
      </c>
      <c r="N418" s="24">
        <v>495783750</v>
      </c>
      <c r="O418" s="8">
        <f t="shared" ref="O418:O458" si="73">L418-N418</f>
        <v>0</v>
      </c>
      <c r="P418" s="26"/>
      <c r="Q418"/>
    </row>
    <row r="419" spans="1:17" x14ac:dyDescent="0.25">
      <c r="A419" s="1">
        <v>418</v>
      </c>
      <c r="B419" s="1" t="s">
        <v>413</v>
      </c>
      <c r="C419" s="54" t="s">
        <v>212</v>
      </c>
      <c r="D419" s="1">
        <v>300000</v>
      </c>
      <c r="E419" s="10" t="s">
        <v>183</v>
      </c>
      <c r="F419" s="5">
        <v>6860</v>
      </c>
      <c r="G419" s="6">
        <v>75000</v>
      </c>
      <c r="H419" s="7">
        <v>85</v>
      </c>
      <c r="I419" s="8">
        <f t="shared" si="63"/>
        <v>437325000</v>
      </c>
      <c r="J419" s="9"/>
      <c r="K419" s="8">
        <f>(I419/100)*10</f>
        <v>43732500</v>
      </c>
      <c r="L419" s="8">
        <f t="shared" si="64"/>
        <v>481057500</v>
      </c>
      <c r="M419" s="10" t="s">
        <v>171</v>
      </c>
      <c r="N419" s="13">
        <v>481057500</v>
      </c>
      <c r="O419" s="8">
        <f t="shared" si="73"/>
        <v>0</v>
      </c>
      <c r="P419" s="26"/>
      <c r="Q419"/>
    </row>
    <row r="420" spans="1:17" x14ac:dyDescent="0.25">
      <c r="A420" s="1">
        <v>419</v>
      </c>
      <c r="B420" s="1" t="s">
        <v>413</v>
      </c>
      <c r="C420" s="54" t="s">
        <v>212</v>
      </c>
      <c r="D420" s="1">
        <v>300000</v>
      </c>
      <c r="E420" s="10" t="s">
        <v>196</v>
      </c>
      <c r="F420" s="5">
        <v>7605</v>
      </c>
      <c r="G420" s="6">
        <v>75000</v>
      </c>
      <c r="H420" s="7">
        <v>85</v>
      </c>
      <c r="I420" s="8">
        <f t="shared" si="63"/>
        <v>484818750</v>
      </c>
      <c r="J420" s="9"/>
      <c r="K420" s="8">
        <f t="shared" si="72"/>
        <v>48481875</v>
      </c>
      <c r="L420" s="8">
        <f t="shared" si="64"/>
        <v>533300625</v>
      </c>
      <c r="M420" s="10" t="s">
        <v>171</v>
      </c>
      <c r="N420" s="13">
        <v>533300625</v>
      </c>
      <c r="O420" s="8">
        <f t="shared" si="73"/>
        <v>0</v>
      </c>
      <c r="P420" s="26"/>
      <c r="Q420"/>
    </row>
    <row r="421" spans="1:17" x14ac:dyDescent="0.25">
      <c r="A421" s="1">
        <v>420</v>
      </c>
      <c r="B421" s="1" t="s">
        <v>413</v>
      </c>
      <c r="C421" s="54" t="s">
        <v>212</v>
      </c>
      <c r="D421" s="1">
        <v>300000</v>
      </c>
      <c r="E421" s="10" t="s">
        <v>193</v>
      </c>
      <c r="F421" s="5">
        <v>7525</v>
      </c>
      <c r="G421" s="6">
        <v>75000</v>
      </c>
      <c r="H421" s="7">
        <v>85</v>
      </c>
      <c r="I421" s="8">
        <f t="shared" si="63"/>
        <v>479718750</v>
      </c>
      <c r="J421" s="9"/>
      <c r="K421" s="8">
        <f t="shared" si="72"/>
        <v>47971875</v>
      </c>
      <c r="L421" s="8">
        <f t="shared" si="64"/>
        <v>527690625</v>
      </c>
      <c r="M421" s="10" t="s">
        <v>166</v>
      </c>
      <c r="N421" s="13">
        <v>527690625</v>
      </c>
      <c r="O421" s="8">
        <f t="shared" si="73"/>
        <v>0</v>
      </c>
      <c r="P421" s="26"/>
      <c r="Q421"/>
    </row>
    <row r="422" spans="1:17" x14ac:dyDescent="0.25">
      <c r="A422" s="1">
        <v>421</v>
      </c>
      <c r="B422" s="1" t="s">
        <v>413</v>
      </c>
      <c r="C422" s="54" t="s">
        <v>212</v>
      </c>
      <c r="D422" s="1">
        <v>300000</v>
      </c>
      <c r="E422" s="10" t="s">
        <v>193</v>
      </c>
      <c r="F422" s="5">
        <v>7190</v>
      </c>
      <c r="G422" s="6">
        <v>75000</v>
      </c>
      <c r="H422" s="7">
        <v>85</v>
      </c>
      <c r="I422" s="8">
        <f t="shared" si="63"/>
        <v>458362500</v>
      </c>
      <c r="J422" s="9"/>
      <c r="K422" s="8">
        <f t="shared" si="72"/>
        <v>45836250</v>
      </c>
      <c r="L422" s="8">
        <f t="shared" si="64"/>
        <v>504198750</v>
      </c>
      <c r="M422" s="10" t="s">
        <v>166</v>
      </c>
      <c r="N422" s="13">
        <v>504198750</v>
      </c>
      <c r="O422" s="8">
        <f t="shared" si="73"/>
        <v>0</v>
      </c>
      <c r="P422" s="26"/>
      <c r="Q422"/>
    </row>
    <row r="423" spans="1:17" x14ac:dyDescent="0.25">
      <c r="A423" s="1">
        <v>422</v>
      </c>
      <c r="B423" s="1" t="s">
        <v>413</v>
      </c>
      <c r="C423" s="54" t="s">
        <v>212</v>
      </c>
      <c r="D423" s="1">
        <v>300000</v>
      </c>
      <c r="E423" s="10" t="s">
        <v>171</v>
      </c>
      <c r="F423" s="5">
        <v>7530</v>
      </c>
      <c r="G423" s="6">
        <v>75000</v>
      </c>
      <c r="H423" s="7">
        <v>85</v>
      </c>
      <c r="I423" s="8">
        <f t="shared" si="63"/>
        <v>480037500</v>
      </c>
      <c r="J423" s="9"/>
      <c r="K423" s="8">
        <f t="shared" si="72"/>
        <v>48003750</v>
      </c>
      <c r="L423" s="8">
        <f t="shared" si="64"/>
        <v>528041250</v>
      </c>
      <c r="M423" s="10" t="s">
        <v>166</v>
      </c>
      <c r="N423" s="13">
        <v>528041250</v>
      </c>
      <c r="O423" s="8">
        <f t="shared" si="73"/>
        <v>0</v>
      </c>
      <c r="P423" s="26"/>
      <c r="Q423"/>
    </row>
    <row r="424" spans="1:17" x14ac:dyDescent="0.25">
      <c r="A424" s="1">
        <v>423</v>
      </c>
      <c r="B424" s="1" t="s">
        <v>413</v>
      </c>
      <c r="C424" s="54" t="s">
        <v>212</v>
      </c>
      <c r="D424" s="1">
        <v>300000</v>
      </c>
      <c r="E424" s="10" t="s">
        <v>415</v>
      </c>
      <c r="F424" s="5">
        <v>7310</v>
      </c>
      <c r="G424" s="6">
        <v>75000</v>
      </c>
      <c r="H424" s="7">
        <v>85</v>
      </c>
      <c r="I424" s="8">
        <f t="shared" si="63"/>
        <v>466012500</v>
      </c>
      <c r="J424" s="9"/>
      <c r="K424" s="8">
        <f t="shared" si="72"/>
        <v>46601250</v>
      </c>
      <c r="L424" s="8">
        <f t="shared" si="64"/>
        <v>512613750</v>
      </c>
      <c r="M424" s="10" t="s">
        <v>160</v>
      </c>
      <c r="N424" s="13">
        <v>512613750</v>
      </c>
      <c r="O424" s="8">
        <f t="shared" si="73"/>
        <v>0</v>
      </c>
      <c r="P424" s="26"/>
      <c r="Q424"/>
    </row>
    <row r="425" spans="1:17" x14ac:dyDescent="0.25">
      <c r="A425" s="1">
        <v>424</v>
      </c>
      <c r="B425" s="1" t="s">
        <v>413</v>
      </c>
      <c r="C425" s="54" t="s">
        <v>212</v>
      </c>
      <c r="D425" s="1">
        <v>300000</v>
      </c>
      <c r="E425" s="10" t="s">
        <v>415</v>
      </c>
      <c r="F425" s="5">
        <v>7355</v>
      </c>
      <c r="G425" s="6">
        <v>75000</v>
      </c>
      <c r="H425" s="7">
        <v>85</v>
      </c>
      <c r="I425" s="8">
        <f t="shared" si="63"/>
        <v>468881250</v>
      </c>
      <c r="J425" s="9"/>
      <c r="K425" s="8">
        <f t="shared" si="72"/>
        <v>46888125</v>
      </c>
      <c r="L425" s="8">
        <f t="shared" si="64"/>
        <v>515769375</v>
      </c>
      <c r="M425" s="10" t="s">
        <v>160</v>
      </c>
      <c r="N425" s="13">
        <v>515769375</v>
      </c>
      <c r="O425" s="8">
        <f t="shared" si="73"/>
        <v>0</v>
      </c>
      <c r="P425" s="26"/>
      <c r="Q425"/>
    </row>
    <row r="426" spans="1:17" x14ac:dyDescent="0.25">
      <c r="A426" s="1">
        <v>425</v>
      </c>
      <c r="B426" s="1" t="s">
        <v>413</v>
      </c>
      <c r="C426" s="54" t="s">
        <v>212</v>
      </c>
      <c r="D426" s="1">
        <v>300000</v>
      </c>
      <c r="E426" s="10" t="s">
        <v>334</v>
      </c>
      <c r="F426" s="5">
        <v>7510</v>
      </c>
      <c r="G426" s="6">
        <v>75000</v>
      </c>
      <c r="H426" s="7">
        <v>85</v>
      </c>
      <c r="I426" s="8">
        <f t="shared" si="63"/>
        <v>478762500</v>
      </c>
      <c r="J426" s="9"/>
      <c r="K426" s="8">
        <f t="shared" si="72"/>
        <v>47876250</v>
      </c>
      <c r="L426" s="8">
        <f t="shared" si="64"/>
        <v>526638750</v>
      </c>
      <c r="M426" s="10" t="s">
        <v>296</v>
      </c>
      <c r="N426" s="13">
        <v>526638750</v>
      </c>
      <c r="O426" s="8">
        <f t="shared" si="73"/>
        <v>0</v>
      </c>
      <c r="P426" s="26"/>
      <c r="Q426"/>
    </row>
    <row r="427" spans="1:17" x14ac:dyDescent="0.25">
      <c r="A427" s="1">
        <v>426</v>
      </c>
      <c r="B427" s="1" t="s">
        <v>413</v>
      </c>
      <c r="C427" s="54" t="s">
        <v>212</v>
      </c>
      <c r="D427" s="1">
        <v>300000</v>
      </c>
      <c r="E427" s="10" t="s">
        <v>135</v>
      </c>
      <c r="F427" s="5">
        <v>7195</v>
      </c>
      <c r="G427" s="6">
        <v>75000</v>
      </c>
      <c r="H427" s="7">
        <v>85</v>
      </c>
      <c r="I427" s="8">
        <f t="shared" si="63"/>
        <v>458681250</v>
      </c>
      <c r="J427" s="9"/>
      <c r="K427" s="8">
        <f t="shared" si="72"/>
        <v>45868125</v>
      </c>
      <c r="L427" s="8">
        <f t="shared" si="64"/>
        <v>504549375</v>
      </c>
      <c r="M427" s="10" t="s">
        <v>296</v>
      </c>
      <c r="N427" s="13">
        <v>504549375</v>
      </c>
      <c r="O427" s="8">
        <f t="shared" si="73"/>
        <v>0</v>
      </c>
      <c r="P427" s="26"/>
      <c r="Q427"/>
    </row>
    <row r="428" spans="1:17" x14ac:dyDescent="0.25">
      <c r="A428" s="1">
        <v>427</v>
      </c>
      <c r="B428" s="1" t="s">
        <v>413</v>
      </c>
      <c r="C428" s="54" t="s">
        <v>212</v>
      </c>
      <c r="D428" s="1">
        <v>300000</v>
      </c>
      <c r="E428" s="10" t="s">
        <v>310</v>
      </c>
      <c r="F428" s="5">
        <v>7250</v>
      </c>
      <c r="G428" s="6">
        <v>75000</v>
      </c>
      <c r="H428" s="7">
        <v>85</v>
      </c>
      <c r="I428" s="8">
        <f t="shared" si="63"/>
        <v>462187500</v>
      </c>
      <c r="J428" s="9"/>
      <c r="K428" s="8">
        <f t="shared" si="72"/>
        <v>46218750</v>
      </c>
      <c r="L428" s="8">
        <f t="shared" si="64"/>
        <v>508406250</v>
      </c>
      <c r="M428" s="10" t="s">
        <v>314</v>
      </c>
      <c r="N428" s="13">
        <v>508406250</v>
      </c>
      <c r="O428" s="8">
        <f t="shared" si="73"/>
        <v>0</v>
      </c>
      <c r="P428" s="26"/>
      <c r="Q428"/>
    </row>
    <row r="429" spans="1:17" x14ac:dyDescent="0.25">
      <c r="A429" s="1">
        <v>428</v>
      </c>
      <c r="B429" s="1" t="s">
        <v>413</v>
      </c>
      <c r="C429" s="54" t="s">
        <v>212</v>
      </c>
      <c r="D429" s="1">
        <v>300000</v>
      </c>
      <c r="E429" s="10" t="s">
        <v>312</v>
      </c>
      <c r="F429" s="5">
        <v>7390</v>
      </c>
      <c r="G429" s="6">
        <v>75000</v>
      </c>
      <c r="H429" s="7">
        <v>85</v>
      </c>
      <c r="I429" s="8">
        <f t="shared" si="63"/>
        <v>471112500</v>
      </c>
      <c r="J429" s="9"/>
      <c r="K429" s="8">
        <f t="shared" si="72"/>
        <v>47111250</v>
      </c>
      <c r="L429" s="8">
        <f t="shared" si="64"/>
        <v>518223750</v>
      </c>
      <c r="M429" s="10" t="s">
        <v>314</v>
      </c>
      <c r="N429" s="13">
        <v>518223750</v>
      </c>
      <c r="O429" s="8">
        <f t="shared" si="73"/>
        <v>0</v>
      </c>
      <c r="P429" s="26"/>
      <c r="Q429"/>
    </row>
    <row r="430" spans="1:17" x14ac:dyDescent="0.25">
      <c r="A430" s="1">
        <v>429</v>
      </c>
      <c r="B430" s="1" t="s">
        <v>413</v>
      </c>
      <c r="C430" s="54" t="s">
        <v>212</v>
      </c>
      <c r="D430" s="1">
        <v>300000</v>
      </c>
      <c r="E430" s="10" t="s">
        <v>297</v>
      </c>
      <c r="F430" s="5">
        <v>7440</v>
      </c>
      <c r="G430" s="6">
        <v>75000</v>
      </c>
      <c r="H430" s="7">
        <v>85</v>
      </c>
      <c r="I430" s="8">
        <f t="shared" si="63"/>
        <v>474300000</v>
      </c>
      <c r="J430" s="9"/>
      <c r="K430" s="8">
        <f t="shared" si="72"/>
        <v>47430000</v>
      </c>
      <c r="L430" s="8">
        <f t="shared" si="64"/>
        <v>521730000</v>
      </c>
      <c r="M430" s="10" t="s">
        <v>314</v>
      </c>
      <c r="N430" s="13">
        <v>521730000</v>
      </c>
      <c r="O430" s="8">
        <f t="shared" si="73"/>
        <v>0</v>
      </c>
      <c r="P430" s="26"/>
      <c r="Q430"/>
    </row>
    <row r="431" spans="1:17" x14ac:dyDescent="0.25">
      <c r="A431" s="1">
        <v>430</v>
      </c>
      <c r="B431" s="1" t="s">
        <v>413</v>
      </c>
      <c r="C431" s="54" t="s">
        <v>212</v>
      </c>
      <c r="D431" s="1">
        <v>300000</v>
      </c>
      <c r="E431" s="10" t="s">
        <v>297</v>
      </c>
      <c r="F431" s="5">
        <v>7505</v>
      </c>
      <c r="G431" s="6">
        <v>75000</v>
      </c>
      <c r="H431" s="7">
        <v>85</v>
      </c>
      <c r="I431" s="8">
        <f t="shared" si="63"/>
        <v>478443750</v>
      </c>
      <c r="J431" s="9"/>
      <c r="K431" s="8">
        <f t="shared" si="72"/>
        <v>47844375</v>
      </c>
      <c r="L431" s="8">
        <f t="shared" si="64"/>
        <v>526288125</v>
      </c>
      <c r="M431" s="10" t="s">
        <v>314</v>
      </c>
      <c r="N431" s="13">
        <v>526288125</v>
      </c>
      <c r="O431" s="8">
        <f t="shared" si="73"/>
        <v>0</v>
      </c>
      <c r="P431" s="26"/>
      <c r="Q431"/>
    </row>
    <row r="432" spans="1:17" ht="17.399999999999999" x14ac:dyDescent="0.25">
      <c r="A432" s="1">
        <v>431</v>
      </c>
      <c r="B432" s="1" t="s">
        <v>413</v>
      </c>
      <c r="C432" s="54" t="s">
        <v>212</v>
      </c>
      <c r="D432" s="1">
        <v>300000</v>
      </c>
      <c r="E432" s="10" t="s">
        <v>314</v>
      </c>
      <c r="F432" s="5">
        <v>7365</v>
      </c>
      <c r="G432" s="6">
        <v>75000</v>
      </c>
      <c r="H432" s="7">
        <v>85</v>
      </c>
      <c r="I432" s="8">
        <f t="shared" si="63"/>
        <v>469518750</v>
      </c>
      <c r="J432" s="9"/>
      <c r="K432" s="8">
        <f t="shared" si="72"/>
        <v>46951875</v>
      </c>
      <c r="L432" s="8">
        <f t="shared" si="64"/>
        <v>516470625</v>
      </c>
      <c r="M432" s="15" t="s">
        <v>416</v>
      </c>
      <c r="N432" s="13">
        <v>516470625</v>
      </c>
      <c r="O432" s="8">
        <f t="shared" si="73"/>
        <v>0</v>
      </c>
      <c r="P432" s="26"/>
      <c r="Q432"/>
    </row>
    <row r="433" spans="1:17" ht="17.399999999999999" x14ac:dyDescent="0.25">
      <c r="A433" s="1">
        <v>432</v>
      </c>
      <c r="B433" s="1" t="s">
        <v>413</v>
      </c>
      <c r="C433" s="54" t="s">
        <v>212</v>
      </c>
      <c r="D433" s="1">
        <v>300000</v>
      </c>
      <c r="E433" s="10" t="s">
        <v>314</v>
      </c>
      <c r="F433" s="5">
        <v>7390</v>
      </c>
      <c r="G433" s="6">
        <v>75000</v>
      </c>
      <c r="H433" s="7">
        <v>85</v>
      </c>
      <c r="I433" s="8">
        <f t="shared" si="63"/>
        <v>471112500</v>
      </c>
      <c r="J433" s="9"/>
      <c r="K433" s="8">
        <f t="shared" si="72"/>
        <v>47111250</v>
      </c>
      <c r="L433" s="8">
        <f t="shared" si="64"/>
        <v>518223750</v>
      </c>
      <c r="M433" s="15" t="s">
        <v>416</v>
      </c>
      <c r="N433" s="13">
        <v>518223750</v>
      </c>
      <c r="O433" s="8">
        <f t="shared" si="73"/>
        <v>0</v>
      </c>
      <c r="P433" s="26"/>
      <c r="Q433"/>
    </row>
    <row r="434" spans="1:17" ht="17.399999999999999" x14ac:dyDescent="0.25">
      <c r="A434" s="1">
        <v>433</v>
      </c>
      <c r="B434" s="1" t="s">
        <v>413</v>
      </c>
      <c r="C434" s="54" t="s">
        <v>212</v>
      </c>
      <c r="D434" s="1">
        <v>300000</v>
      </c>
      <c r="E434" s="10" t="s">
        <v>62</v>
      </c>
      <c r="F434" s="5">
        <v>7370</v>
      </c>
      <c r="G434" s="6">
        <v>75000</v>
      </c>
      <c r="H434" s="7">
        <v>85</v>
      </c>
      <c r="I434" s="8">
        <f t="shared" si="63"/>
        <v>469837500</v>
      </c>
      <c r="J434" s="9"/>
      <c r="K434" s="8">
        <f t="shared" si="72"/>
        <v>46983750</v>
      </c>
      <c r="L434" s="8">
        <f t="shared" si="64"/>
        <v>516821250</v>
      </c>
      <c r="M434" s="15" t="s">
        <v>416</v>
      </c>
      <c r="N434" s="13">
        <v>516821250</v>
      </c>
      <c r="O434" s="8">
        <f t="shared" si="73"/>
        <v>0</v>
      </c>
      <c r="P434" s="26"/>
      <c r="Q434"/>
    </row>
    <row r="435" spans="1:17" ht="17.399999999999999" x14ac:dyDescent="0.25">
      <c r="A435" s="1">
        <v>434</v>
      </c>
      <c r="B435" s="1" t="s">
        <v>413</v>
      </c>
      <c r="C435" s="54" t="s">
        <v>212</v>
      </c>
      <c r="D435" s="1">
        <v>300000</v>
      </c>
      <c r="E435" s="10" t="s">
        <v>62</v>
      </c>
      <c r="F435" s="5">
        <v>7405</v>
      </c>
      <c r="G435" s="6">
        <v>75000</v>
      </c>
      <c r="H435" s="7">
        <v>85</v>
      </c>
      <c r="I435" s="8">
        <f t="shared" si="63"/>
        <v>472068750</v>
      </c>
      <c r="J435" s="9"/>
      <c r="K435" s="8">
        <f t="shared" si="72"/>
        <v>47206875</v>
      </c>
      <c r="L435" s="8">
        <f t="shared" si="64"/>
        <v>519275625</v>
      </c>
      <c r="M435" s="15" t="s">
        <v>416</v>
      </c>
      <c r="N435" s="13">
        <v>519275625</v>
      </c>
      <c r="O435" s="8">
        <f t="shared" si="73"/>
        <v>0</v>
      </c>
      <c r="P435" s="26"/>
      <c r="Q435"/>
    </row>
    <row r="436" spans="1:17" ht="21" x14ac:dyDescent="0.25">
      <c r="A436" s="1">
        <v>435</v>
      </c>
      <c r="B436" s="1" t="s">
        <v>413</v>
      </c>
      <c r="C436" s="54" t="s">
        <v>212</v>
      </c>
      <c r="D436" s="1">
        <v>300000</v>
      </c>
      <c r="E436" s="10" t="s">
        <v>387</v>
      </c>
      <c r="F436" s="5">
        <v>7075</v>
      </c>
      <c r="G436" s="6">
        <v>75000</v>
      </c>
      <c r="H436" s="7">
        <v>85</v>
      </c>
      <c r="I436" s="8">
        <f t="shared" si="63"/>
        <v>451031250</v>
      </c>
      <c r="J436" s="9"/>
      <c r="K436" s="8">
        <f t="shared" si="72"/>
        <v>45103125</v>
      </c>
      <c r="L436" s="8">
        <f t="shared" si="64"/>
        <v>496134375</v>
      </c>
      <c r="M436" s="14" t="s">
        <v>417</v>
      </c>
      <c r="N436" s="13">
        <v>496134375</v>
      </c>
      <c r="O436" s="8">
        <f t="shared" si="73"/>
        <v>0</v>
      </c>
      <c r="P436" s="26"/>
      <c r="Q436"/>
    </row>
    <row r="437" spans="1:17" ht="21" x14ac:dyDescent="0.25">
      <c r="A437" s="1">
        <v>436</v>
      </c>
      <c r="B437" s="1" t="s">
        <v>413</v>
      </c>
      <c r="C437" s="54" t="s">
        <v>212</v>
      </c>
      <c r="D437" s="1">
        <v>300000</v>
      </c>
      <c r="E437" s="10" t="s">
        <v>318</v>
      </c>
      <c r="F437" s="5">
        <v>7220</v>
      </c>
      <c r="G437" s="6">
        <v>75000</v>
      </c>
      <c r="H437" s="7">
        <v>85</v>
      </c>
      <c r="I437" s="8">
        <f t="shared" si="63"/>
        <v>460275000</v>
      </c>
      <c r="J437" s="9"/>
      <c r="K437" s="8">
        <f t="shared" si="72"/>
        <v>46027500</v>
      </c>
      <c r="L437" s="8">
        <f t="shared" si="64"/>
        <v>506302500</v>
      </c>
      <c r="M437" s="14" t="s">
        <v>417</v>
      </c>
      <c r="N437" s="13">
        <v>506302500</v>
      </c>
      <c r="O437" s="8">
        <f t="shared" si="73"/>
        <v>0</v>
      </c>
      <c r="P437" s="26"/>
      <c r="Q437"/>
    </row>
    <row r="438" spans="1:17" ht="21" x14ac:dyDescent="0.25">
      <c r="A438" s="1">
        <v>437</v>
      </c>
      <c r="B438" s="1" t="s">
        <v>413</v>
      </c>
      <c r="C438" s="54" t="s">
        <v>212</v>
      </c>
      <c r="D438" s="1">
        <v>300000</v>
      </c>
      <c r="E438" s="10" t="s">
        <v>318</v>
      </c>
      <c r="F438" s="5">
        <v>7385</v>
      </c>
      <c r="G438" s="6">
        <v>75000</v>
      </c>
      <c r="H438" s="7">
        <v>85</v>
      </c>
      <c r="I438" s="8">
        <f t="shared" si="63"/>
        <v>470793750</v>
      </c>
      <c r="J438" s="9"/>
      <c r="K438" s="8">
        <f t="shared" si="72"/>
        <v>47079375</v>
      </c>
      <c r="L438" s="8">
        <f t="shared" si="64"/>
        <v>517873125</v>
      </c>
      <c r="M438" s="14" t="s">
        <v>270</v>
      </c>
      <c r="N438" s="13">
        <v>517873125</v>
      </c>
      <c r="O438" s="8">
        <f t="shared" si="73"/>
        <v>0</v>
      </c>
      <c r="P438" s="26"/>
      <c r="Q438"/>
    </row>
    <row r="439" spans="1:17" ht="21" x14ac:dyDescent="0.25">
      <c r="A439" s="1">
        <v>438</v>
      </c>
      <c r="B439" s="1" t="s">
        <v>413</v>
      </c>
      <c r="C439" s="54" t="s">
        <v>212</v>
      </c>
      <c r="D439" s="1">
        <v>300000</v>
      </c>
      <c r="E439" s="10" t="s">
        <v>223</v>
      </c>
      <c r="F439" s="5">
        <v>7510</v>
      </c>
      <c r="G439" s="6">
        <v>75000</v>
      </c>
      <c r="H439" s="7">
        <v>85</v>
      </c>
      <c r="I439" s="8">
        <f t="shared" si="63"/>
        <v>478762500</v>
      </c>
      <c r="J439" s="9"/>
      <c r="K439" s="8">
        <f t="shared" si="72"/>
        <v>47876250</v>
      </c>
      <c r="L439" s="8">
        <f t="shared" si="64"/>
        <v>526638750</v>
      </c>
      <c r="M439" s="14" t="s">
        <v>273</v>
      </c>
      <c r="N439" s="13">
        <v>526638750</v>
      </c>
      <c r="O439" s="8">
        <f t="shared" si="73"/>
        <v>0</v>
      </c>
      <c r="P439" s="26"/>
      <c r="Q439"/>
    </row>
    <row r="440" spans="1:17" ht="21" x14ac:dyDescent="0.25">
      <c r="A440" s="1">
        <v>439</v>
      </c>
      <c r="B440" s="1" t="s">
        <v>413</v>
      </c>
      <c r="C440" s="54" t="s">
        <v>212</v>
      </c>
      <c r="D440" s="1">
        <v>300000</v>
      </c>
      <c r="E440" s="10" t="s">
        <v>223</v>
      </c>
      <c r="F440" s="5">
        <v>7285</v>
      </c>
      <c r="G440" s="6">
        <v>75000</v>
      </c>
      <c r="H440" s="7">
        <v>85</v>
      </c>
      <c r="I440" s="8">
        <f t="shared" si="63"/>
        <v>464418750</v>
      </c>
      <c r="J440" s="9"/>
      <c r="K440" s="8">
        <f t="shared" si="72"/>
        <v>46441875</v>
      </c>
      <c r="L440" s="8">
        <f t="shared" si="64"/>
        <v>510860625</v>
      </c>
      <c r="M440" s="14" t="s">
        <v>270</v>
      </c>
      <c r="N440" s="13">
        <v>510860625</v>
      </c>
      <c r="O440" s="8">
        <f t="shared" si="73"/>
        <v>0</v>
      </c>
      <c r="P440" s="26"/>
      <c r="Q440"/>
    </row>
    <row r="441" spans="1:17" x14ac:dyDescent="0.25">
      <c r="A441" s="1">
        <v>440</v>
      </c>
      <c r="B441" s="1" t="s">
        <v>413</v>
      </c>
      <c r="C441" s="54" t="s">
        <v>212</v>
      </c>
      <c r="D441" s="1">
        <v>300000</v>
      </c>
      <c r="E441" s="10" t="s">
        <v>270</v>
      </c>
      <c r="F441" s="5">
        <v>4965</v>
      </c>
      <c r="G441" s="6">
        <v>75000</v>
      </c>
      <c r="H441" s="7">
        <v>85</v>
      </c>
      <c r="I441" s="8">
        <f t="shared" si="63"/>
        <v>316518750</v>
      </c>
      <c r="J441" s="9"/>
      <c r="K441" s="8">
        <f t="shared" si="72"/>
        <v>31651875</v>
      </c>
      <c r="L441" s="8">
        <f t="shared" si="64"/>
        <v>348170625</v>
      </c>
      <c r="M441" s="10" t="s">
        <v>273</v>
      </c>
      <c r="N441" s="13">
        <v>348170625</v>
      </c>
      <c r="O441" s="8">
        <f t="shared" si="73"/>
        <v>0</v>
      </c>
      <c r="P441" s="26"/>
      <c r="Q441"/>
    </row>
    <row r="442" spans="1:17" x14ac:dyDescent="0.25">
      <c r="A442" s="1">
        <v>441</v>
      </c>
      <c r="B442" s="1" t="s">
        <v>413</v>
      </c>
      <c r="C442" s="54" t="s">
        <v>212</v>
      </c>
      <c r="D442" s="1">
        <v>300000</v>
      </c>
      <c r="E442" s="10" t="s">
        <v>394</v>
      </c>
      <c r="F442" s="5">
        <v>7450</v>
      </c>
      <c r="G442" s="6">
        <v>75000</v>
      </c>
      <c r="H442" s="7">
        <v>85</v>
      </c>
      <c r="I442" s="8">
        <f t="shared" si="63"/>
        <v>474937500</v>
      </c>
      <c r="J442" s="9"/>
      <c r="K442" s="8">
        <f t="shared" si="72"/>
        <v>47493750</v>
      </c>
      <c r="L442" s="8">
        <f t="shared" si="64"/>
        <v>522431250</v>
      </c>
      <c r="M442" s="10" t="s">
        <v>275</v>
      </c>
      <c r="N442" s="13">
        <v>522431250</v>
      </c>
      <c r="O442" s="8">
        <f t="shared" si="73"/>
        <v>0</v>
      </c>
      <c r="P442" s="26"/>
      <c r="Q442"/>
    </row>
    <row r="443" spans="1:17" x14ac:dyDescent="0.25">
      <c r="A443" s="1">
        <v>442</v>
      </c>
      <c r="B443" s="1" t="s">
        <v>413</v>
      </c>
      <c r="C443" s="54" t="s">
        <v>212</v>
      </c>
      <c r="D443" s="1">
        <v>300000</v>
      </c>
      <c r="E443" s="10" t="s">
        <v>274</v>
      </c>
      <c r="F443" s="5">
        <v>7535</v>
      </c>
      <c r="G443" s="6">
        <v>75000</v>
      </c>
      <c r="H443" s="7">
        <v>85</v>
      </c>
      <c r="I443" s="8">
        <f t="shared" si="63"/>
        <v>480356250</v>
      </c>
      <c r="J443" s="9"/>
      <c r="K443" s="8">
        <f t="shared" si="72"/>
        <v>48035625</v>
      </c>
      <c r="L443" s="8">
        <f t="shared" si="64"/>
        <v>528391875</v>
      </c>
      <c r="M443" s="10" t="s">
        <v>275</v>
      </c>
      <c r="N443" s="13">
        <v>528391875</v>
      </c>
      <c r="O443" s="8">
        <f t="shared" si="73"/>
        <v>0</v>
      </c>
      <c r="P443" s="26"/>
      <c r="Q443"/>
    </row>
    <row r="444" spans="1:17" ht="15.6" x14ac:dyDescent="0.25">
      <c r="A444" s="1">
        <v>443</v>
      </c>
      <c r="B444" s="1" t="s">
        <v>413</v>
      </c>
      <c r="C444" s="54" t="s">
        <v>212</v>
      </c>
      <c r="D444" s="1">
        <v>300000</v>
      </c>
      <c r="E444" s="10" t="s">
        <v>301</v>
      </c>
      <c r="F444" s="5">
        <v>7185</v>
      </c>
      <c r="G444" s="6">
        <v>75000</v>
      </c>
      <c r="H444" s="7">
        <v>85</v>
      </c>
      <c r="I444" s="8">
        <f t="shared" si="63"/>
        <v>458043750</v>
      </c>
      <c r="J444" s="9"/>
      <c r="K444" s="8">
        <f t="shared" si="72"/>
        <v>45804375</v>
      </c>
      <c r="L444" s="8">
        <f t="shared" si="64"/>
        <v>503848125</v>
      </c>
      <c r="M444" s="16" t="s">
        <v>418</v>
      </c>
      <c r="N444" s="13">
        <v>503848125</v>
      </c>
      <c r="O444" s="8">
        <f t="shared" si="73"/>
        <v>0</v>
      </c>
      <c r="P444" s="26"/>
      <c r="Q444"/>
    </row>
    <row r="445" spans="1:17" ht="17.399999999999999" x14ac:dyDescent="0.25">
      <c r="A445" s="1">
        <v>444</v>
      </c>
      <c r="B445" s="1" t="s">
        <v>413</v>
      </c>
      <c r="C445" s="54" t="s">
        <v>212</v>
      </c>
      <c r="D445" s="1">
        <v>300000</v>
      </c>
      <c r="E445" s="10" t="s">
        <v>325</v>
      </c>
      <c r="F445" s="5">
        <v>7305</v>
      </c>
      <c r="G445" s="6">
        <v>75000</v>
      </c>
      <c r="H445" s="7">
        <v>85</v>
      </c>
      <c r="I445" s="8">
        <f t="shared" si="63"/>
        <v>465693750</v>
      </c>
      <c r="J445" s="9"/>
      <c r="K445" s="8">
        <f t="shared" si="72"/>
        <v>46569375</v>
      </c>
      <c r="L445" s="8">
        <f t="shared" si="64"/>
        <v>512263125</v>
      </c>
      <c r="M445" s="15" t="s">
        <v>418</v>
      </c>
      <c r="N445" s="13">
        <v>512263125</v>
      </c>
      <c r="O445" s="8">
        <f t="shared" si="73"/>
        <v>0</v>
      </c>
      <c r="P445" s="26"/>
      <c r="Q445"/>
    </row>
    <row r="446" spans="1:17" ht="17.399999999999999" x14ac:dyDescent="0.25">
      <c r="A446" s="1">
        <v>445</v>
      </c>
      <c r="B446" s="1" t="s">
        <v>413</v>
      </c>
      <c r="C446" s="54" t="s">
        <v>212</v>
      </c>
      <c r="D446" s="1">
        <v>300000</v>
      </c>
      <c r="E446" s="10" t="s">
        <v>325</v>
      </c>
      <c r="F446" s="5">
        <v>7310</v>
      </c>
      <c r="G446" s="6">
        <v>75000</v>
      </c>
      <c r="H446" s="7">
        <v>85</v>
      </c>
      <c r="I446" s="8">
        <f t="shared" si="63"/>
        <v>466012500</v>
      </c>
      <c r="J446" s="9"/>
      <c r="K446" s="8">
        <f t="shared" si="72"/>
        <v>46601250</v>
      </c>
      <c r="L446" s="8">
        <f t="shared" si="64"/>
        <v>512613750</v>
      </c>
      <c r="M446" s="15" t="s">
        <v>418</v>
      </c>
      <c r="N446" s="13">
        <v>512613750</v>
      </c>
      <c r="O446" s="8">
        <f t="shared" si="73"/>
        <v>0</v>
      </c>
      <c r="P446" s="26"/>
      <c r="Q446"/>
    </row>
    <row r="447" spans="1:17" ht="17.399999999999999" x14ac:dyDescent="0.25">
      <c r="A447" s="1">
        <v>446</v>
      </c>
      <c r="B447" s="1" t="s">
        <v>413</v>
      </c>
      <c r="C447" s="54" t="s">
        <v>212</v>
      </c>
      <c r="D447" s="1">
        <v>300000</v>
      </c>
      <c r="E447" s="10" t="s">
        <v>363</v>
      </c>
      <c r="F447" s="5">
        <v>6950</v>
      </c>
      <c r="G447" s="6">
        <v>75000</v>
      </c>
      <c r="H447" s="7">
        <v>85</v>
      </c>
      <c r="I447" s="8">
        <f t="shared" si="63"/>
        <v>443062500</v>
      </c>
      <c r="J447" s="9"/>
      <c r="K447" s="8">
        <f t="shared" si="72"/>
        <v>44306250</v>
      </c>
      <c r="L447" s="8">
        <f t="shared" si="64"/>
        <v>487368750</v>
      </c>
      <c r="M447" s="15" t="s">
        <v>418</v>
      </c>
      <c r="N447" s="13">
        <v>487368750</v>
      </c>
      <c r="O447" s="8">
        <f t="shared" si="73"/>
        <v>0</v>
      </c>
      <c r="P447" s="26"/>
      <c r="Q447"/>
    </row>
    <row r="448" spans="1:17" ht="17.399999999999999" x14ac:dyDescent="0.25">
      <c r="A448" s="1">
        <v>447</v>
      </c>
      <c r="B448" s="1" t="s">
        <v>413</v>
      </c>
      <c r="C448" s="54" t="s">
        <v>212</v>
      </c>
      <c r="D448" s="1">
        <v>300000</v>
      </c>
      <c r="E448" s="10" t="s">
        <v>277</v>
      </c>
      <c r="F448" s="5">
        <v>7470</v>
      </c>
      <c r="G448" s="6">
        <v>75000</v>
      </c>
      <c r="H448" s="7">
        <v>85</v>
      </c>
      <c r="I448" s="8">
        <f t="shared" si="63"/>
        <v>476212500</v>
      </c>
      <c r="J448" s="9"/>
      <c r="K448" s="8">
        <f t="shared" si="72"/>
        <v>47621250</v>
      </c>
      <c r="L448" s="8">
        <f t="shared" si="64"/>
        <v>523833750</v>
      </c>
      <c r="M448" s="15" t="s">
        <v>418</v>
      </c>
      <c r="N448" s="13">
        <v>523833750</v>
      </c>
      <c r="O448" s="8">
        <f t="shared" si="73"/>
        <v>0</v>
      </c>
      <c r="P448" s="26"/>
      <c r="Q448"/>
    </row>
    <row r="449" spans="1:17" ht="17.399999999999999" x14ac:dyDescent="0.25">
      <c r="A449" s="1">
        <v>448</v>
      </c>
      <c r="B449" s="1" t="s">
        <v>413</v>
      </c>
      <c r="C449" s="54" t="s">
        <v>212</v>
      </c>
      <c r="D449" s="1">
        <v>300000</v>
      </c>
      <c r="E449" s="10" t="s">
        <v>277</v>
      </c>
      <c r="F449" s="5">
        <v>4020</v>
      </c>
      <c r="G449" s="6">
        <v>75000</v>
      </c>
      <c r="H449" s="7">
        <v>85</v>
      </c>
      <c r="I449" s="8">
        <f t="shared" si="63"/>
        <v>256275000</v>
      </c>
      <c r="J449" s="9"/>
      <c r="K449" s="8">
        <f t="shared" si="72"/>
        <v>25627500</v>
      </c>
      <c r="L449" s="8">
        <f t="shared" si="64"/>
        <v>281902500</v>
      </c>
      <c r="M449" s="15" t="s">
        <v>418</v>
      </c>
      <c r="N449" s="13">
        <v>281902500</v>
      </c>
      <c r="O449" s="8">
        <f t="shared" si="73"/>
        <v>0</v>
      </c>
      <c r="P449" s="26"/>
      <c r="Q449"/>
    </row>
    <row r="450" spans="1:17" x14ac:dyDescent="0.25">
      <c r="A450" s="1">
        <v>449</v>
      </c>
      <c r="B450" s="1" t="s">
        <v>413</v>
      </c>
      <c r="C450" s="54" t="s">
        <v>212</v>
      </c>
      <c r="D450" s="1">
        <v>300000</v>
      </c>
      <c r="E450" s="10" t="s">
        <v>326</v>
      </c>
      <c r="F450" s="5">
        <v>7345</v>
      </c>
      <c r="G450" s="6">
        <v>75000</v>
      </c>
      <c r="H450" s="7">
        <v>85</v>
      </c>
      <c r="I450" s="8">
        <f t="shared" ref="I450:I513" si="74">((F450*G450)/100)*H450</f>
        <v>468243750</v>
      </c>
      <c r="J450" s="9"/>
      <c r="K450" s="8">
        <f t="shared" si="72"/>
        <v>46824375</v>
      </c>
      <c r="L450" s="8">
        <f t="shared" si="64"/>
        <v>515068125</v>
      </c>
      <c r="M450" s="10"/>
      <c r="N450" s="13"/>
      <c r="O450" s="8">
        <f t="shared" si="73"/>
        <v>515068125</v>
      </c>
      <c r="P450" s="26"/>
      <c r="Q450"/>
    </row>
    <row r="451" spans="1:17" x14ac:dyDescent="0.25">
      <c r="A451" s="1">
        <v>450</v>
      </c>
      <c r="B451" s="1" t="s">
        <v>413</v>
      </c>
      <c r="C451" s="54" t="s">
        <v>212</v>
      </c>
      <c r="D451" s="1">
        <v>300000</v>
      </c>
      <c r="E451" s="10" t="s">
        <v>279</v>
      </c>
      <c r="F451" s="5">
        <v>7445</v>
      </c>
      <c r="G451" s="6">
        <v>75000</v>
      </c>
      <c r="H451" s="7">
        <v>85</v>
      </c>
      <c r="I451" s="8">
        <f t="shared" si="74"/>
        <v>474618750</v>
      </c>
      <c r="J451" s="9"/>
      <c r="K451" s="8">
        <f t="shared" si="72"/>
        <v>47461875</v>
      </c>
      <c r="L451" s="8">
        <f t="shared" si="64"/>
        <v>522080625</v>
      </c>
      <c r="M451" s="10"/>
      <c r="N451" s="13"/>
      <c r="O451" s="8">
        <f t="shared" si="73"/>
        <v>522080625</v>
      </c>
      <c r="P451" s="26"/>
      <c r="Q451"/>
    </row>
    <row r="452" spans="1:17" x14ac:dyDescent="0.25">
      <c r="A452" s="1">
        <v>451</v>
      </c>
      <c r="B452" s="1" t="s">
        <v>413</v>
      </c>
      <c r="C452" s="54" t="s">
        <v>212</v>
      </c>
      <c r="D452" s="1">
        <v>300000</v>
      </c>
      <c r="E452" s="10" t="s">
        <v>364</v>
      </c>
      <c r="F452" s="5">
        <v>7330</v>
      </c>
      <c r="G452" s="6">
        <v>75000</v>
      </c>
      <c r="H452" s="7">
        <v>85</v>
      </c>
      <c r="I452" s="8">
        <f t="shared" si="74"/>
        <v>467287500</v>
      </c>
      <c r="J452" s="9"/>
      <c r="K452" s="8">
        <f t="shared" si="72"/>
        <v>46728750</v>
      </c>
      <c r="L452" s="8">
        <f t="shared" si="64"/>
        <v>514016250</v>
      </c>
      <c r="M452" s="10"/>
      <c r="N452" s="13"/>
      <c r="O452" s="8">
        <f t="shared" si="73"/>
        <v>514016250</v>
      </c>
      <c r="P452" s="26"/>
      <c r="Q452"/>
    </row>
    <row r="453" spans="1:17" x14ac:dyDescent="0.25">
      <c r="A453" s="1">
        <v>452</v>
      </c>
      <c r="B453" s="1" t="s">
        <v>413</v>
      </c>
      <c r="C453" s="54" t="s">
        <v>212</v>
      </c>
      <c r="D453" s="1">
        <v>300000</v>
      </c>
      <c r="E453" s="10" t="s">
        <v>281</v>
      </c>
      <c r="F453" s="5">
        <v>7475</v>
      </c>
      <c r="G453" s="6">
        <v>75000</v>
      </c>
      <c r="H453" s="7">
        <v>85</v>
      </c>
      <c r="I453" s="8">
        <f t="shared" si="74"/>
        <v>476531250</v>
      </c>
      <c r="J453" s="9"/>
      <c r="K453" s="8">
        <f t="shared" si="72"/>
        <v>47653125</v>
      </c>
      <c r="L453" s="8">
        <f t="shared" si="64"/>
        <v>524184375</v>
      </c>
      <c r="M453" s="10"/>
      <c r="N453" s="13"/>
      <c r="O453" s="8">
        <f t="shared" si="73"/>
        <v>524184375</v>
      </c>
      <c r="P453" s="26"/>
      <c r="Q453"/>
    </row>
    <row r="454" spans="1:17" x14ac:dyDescent="0.25">
      <c r="A454" s="1">
        <v>453</v>
      </c>
      <c r="B454" s="1" t="s">
        <v>413</v>
      </c>
      <c r="C454" s="54" t="s">
        <v>212</v>
      </c>
      <c r="D454" s="1">
        <v>300000</v>
      </c>
      <c r="E454" s="10" t="s">
        <v>281</v>
      </c>
      <c r="F454" s="5">
        <v>7545</v>
      </c>
      <c r="G454" s="6">
        <v>75000</v>
      </c>
      <c r="H454" s="7">
        <v>85</v>
      </c>
      <c r="I454" s="8">
        <f t="shared" si="74"/>
        <v>480993750</v>
      </c>
      <c r="J454" s="9"/>
      <c r="K454" s="8">
        <f t="shared" si="72"/>
        <v>48099375</v>
      </c>
      <c r="L454" s="8">
        <f t="shared" si="64"/>
        <v>529093125</v>
      </c>
      <c r="M454" s="10"/>
      <c r="N454" s="13"/>
      <c r="O454" s="8">
        <f t="shared" si="73"/>
        <v>529093125</v>
      </c>
      <c r="P454" s="26"/>
      <c r="Q454"/>
    </row>
    <row r="455" spans="1:17" x14ac:dyDescent="0.25">
      <c r="A455" s="1">
        <v>454</v>
      </c>
      <c r="B455" s="1" t="s">
        <v>413</v>
      </c>
      <c r="C455" s="54" t="s">
        <v>212</v>
      </c>
      <c r="D455" s="1">
        <v>300000</v>
      </c>
      <c r="E455" s="10" t="s">
        <v>302</v>
      </c>
      <c r="F455" s="5">
        <v>7230</v>
      </c>
      <c r="G455" s="6">
        <v>75000</v>
      </c>
      <c r="H455" s="7">
        <v>85</v>
      </c>
      <c r="I455" s="8">
        <f t="shared" si="74"/>
        <v>460912500</v>
      </c>
      <c r="J455" s="9"/>
      <c r="K455" s="8">
        <f t="shared" si="72"/>
        <v>46091250</v>
      </c>
      <c r="L455" s="8">
        <f t="shared" si="64"/>
        <v>507003750</v>
      </c>
      <c r="M455" s="10"/>
      <c r="N455" s="13"/>
      <c r="O455" s="8">
        <f t="shared" si="73"/>
        <v>507003750</v>
      </c>
      <c r="P455" s="26"/>
      <c r="Q455"/>
    </row>
    <row r="456" spans="1:17" x14ac:dyDescent="0.25">
      <c r="A456" s="1">
        <v>455</v>
      </c>
      <c r="B456" s="1" t="s">
        <v>413</v>
      </c>
      <c r="C456" s="54" t="s">
        <v>212</v>
      </c>
      <c r="D456" s="1">
        <v>300000</v>
      </c>
      <c r="E456" s="10" t="s">
        <v>302</v>
      </c>
      <c r="F456" s="5">
        <v>7280</v>
      </c>
      <c r="G456" s="6">
        <v>75000</v>
      </c>
      <c r="H456" s="7">
        <v>85</v>
      </c>
      <c r="I456" s="8">
        <f t="shared" si="74"/>
        <v>464100000</v>
      </c>
      <c r="J456" s="9"/>
      <c r="K456" s="8">
        <f t="shared" si="72"/>
        <v>46410000</v>
      </c>
      <c r="L456" s="8">
        <f t="shared" si="64"/>
        <v>510510000</v>
      </c>
      <c r="M456" s="10"/>
      <c r="N456" s="13"/>
      <c r="O456" s="8">
        <f t="shared" si="73"/>
        <v>510510000</v>
      </c>
      <c r="P456" s="26"/>
      <c r="Q456"/>
    </row>
    <row r="457" spans="1:17" x14ac:dyDescent="0.25">
      <c r="A457" s="1">
        <v>456</v>
      </c>
      <c r="B457" s="1" t="s">
        <v>413</v>
      </c>
      <c r="C457" s="54" t="s">
        <v>212</v>
      </c>
      <c r="D457" s="1">
        <v>300000</v>
      </c>
      <c r="E457" s="10" t="s">
        <v>341</v>
      </c>
      <c r="F457" s="5">
        <v>7275</v>
      </c>
      <c r="G457" s="6">
        <v>75000</v>
      </c>
      <c r="H457" s="7">
        <v>85</v>
      </c>
      <c r="I457" s="8">
        <f t="shared" si="74"/>
        <v>463781250</v>
      </c>
      <c r="J457" s="9"/>
      <c r="K457" s="8">
        <f t="shared" si="72"/>
        <v>46378125</v>
      </c>
      <c r="L457" s="8">
        <f t="shared" si="64"/>
        <v>510159375</v>
      </c>
      <c r="M457" s="10"/>
      <c r="N457" s="13"/>
      <c r="O457" s="8">
        <f t="shared" si="73"/>
        <v>510159375</v>
      </c>
      <c r="P457" s="26"/>
      <c r="Q457"/>
    </row>
    <row r="458" spans="1:17" x14ac:dyDescent="0.25">
      <c r="A458" s="1">
        <v>457</v>
      </c>
      <c r="B458" s="1" t="s">
        <v>413</v>
      </c>
      <c r="C458" s="54" t="s">
        <v>212</v>
      </c>
      <c r="D458" s="1">
        <v>300000</v>
      </c>
      <c r="E458" s="10" t="s">
        <v>341</v>
      </c>
      <c r="F458" s="5">
        <v>10305</v>
      </c>
      <c r="G458" s="6">
        <v>75000</v>
      </c>
      <c r="H458" s="7">
        <v>85</v>
      </c>
      <c r="I458" s="8">
        <f t="shared" si="74"/>
        <v>656943750</v>
      </c>
      <c r="J458" s="9"/>
      <c r="K458" s="8">
        <f t="shared" si="72"/>
        <v>65694375</v>
      </c>
      <c r="L458" s="8">
        <f t="shared" si="64"/>
        <v>722638125</v>
      </c>
      <c r="M458" s="10"/>
      <c r="N458" s="13"/>
      <c r="O458" s="8">
        <f t="shared" si="73"/>
        <v>722638125</v>
      </c>
      <c r="P458" s="26" t="s">
        <v>419</v>
      </c>
      <c r="Q458"/>
    </row>
    <row r="459" spans="1:17" x14ac:dyDescent="0.25">
      <c r="A459" s="1">
        <v>458</v>
      </c>
      <c r="B459" s="1" t="s">
        <v>413</v>
      </c>
      <c r="C459" s="54" t="s">
        <v>212</v>
      </c>
      <c r="D459" s="1">
        <v>1000000</v>
      </c>
      <c r="E459" s="10" t="s">
        <v>341</v>
      </c>
      <c r="F459" s="5">
        <v>9815</v>
      </c>
      <c r="G459" s="6">
        <v>142000</v>
      </c>
      <c r="H459" s="7">
        <v>85</v>
      </c>
      <c r="I459" s="8">
        <f t="shared" si="74"/>
        <v>1184670500</v>
      </c>
      <c r="J459" s="9"/>
      <c r="K459" s="8">
        <f>(I459/100)*10</f>
        <v>118467050</v>
      </c>
      <c r="L459" s="8">
        <f t="shared" si="64"/>
        <v>1303137550</v>
      </c>
      <c r="M459" s="10"/>
      <c r="N459" s="5"/>
      <c r="O459" s="8">
        <f>L459-N459</f>
        <v>1303137550</v>
      </c>
      <c r="P459" s="26"/>
      <c r="Q459"/>
    </row>
    <row r="460" spans="1:17" ht="17.399999999999999" x14ac:dyDescent="0.25">
      <c r="A460" s="1">
        <v>459</v>
      </c>
      <c r="B460" s="1" t="s">
        <v>424</v>
      </c>
      <c r="C460" s="54" t="s">
        <v>212</v>
      </c>
      <c r="D460" s="1">
        <v>1000000</v>
      </c>
      <c r="E460" s="4" t="s">
        <v>420</v>
      </c>
      <c r="F460" s="5">
        <v>302815</v>
      </c>
      <c r="G460" s="6">
        <v>75000</v>
      </c>
      <c r="H460" s="7">
        <v>80</v>
      </c>
      <c r="I460" s="8">
        <f t="shared" si="74"/>
        <v>18168900000</v>
      </c>
      <c r="J460" s="7">
        <v>100</v>
      </c>
      <c r="K460" s="8">
        <f t="shared" ref="K460:K505" si="75">((F460*G460)/100)*10</f>
        <v>2271112500</v>
      </c>
      <c r="L460" s="8">
        <f>I460+K460</f>
        <v>20440012500</v>
      </c>
      <c r="M460" s="20">
        <v>46298</v>
      </c>
      <c r="N460" s="5">
        <v>20440012500</v>
      </c>
      <c r="O460" s="8">
        <f>L460-N460</f>
        <v>0</v>
      </c>
      <c r="P460" s="26" t="s">
        <v>421</v>
      </c>
      <c r="Q460"/>
    </row>
    <row r="461" spans="1:17" x14ac:dyDescent="0.25">
      <c r="A461" s="1">
        <v>460</v>
      </c>
      <c r="B461" s="1" t="s">
        <v>424</v>
      </c>
      <c r="C461" s="54" t="s">
        <v>212</v>
      </c>
      <c r="D461" s="1">
        <v>1000000</v>
      </c>
      <c r="E461" s="10" t="s">
        <v>195</v>
      </c>
      <c r="F461" s="5">
        <v>18710</v>
      </c>
      <c r="G461" s="6">
        <v>75000</v>
      </c>
      <c r="H461" s="7">
        <v>80</v>
      </c>
      <c r="I461" s="8">
        <f t="shared" si="74"/>
        <v>1122600000</v>
      </c>
      <c r="J461" s="7">
        <v>100</v>
      </c>
      <c r="K461" s="8">
        <f t="shared" si="75"/>
        <v>140325000</v>
      </c>
      <c r="L461" s="8">
        <f t="shared" ref="L461:L491" si="76">I461+K461</f>
        <v>1262925000</v>
      </c>
      <c r="M461" s="10" t="s">
        <v>304</v>
      </c>
      <c r="N461" s="13">
        <v>1262925000</v>
      </c>
      <c r="O461" s="8">
        <f t="shared" ref="O461:O491" si="77">L461-N461</f>
        <v>0</v>
      </c>
      <c r="P461" s="26"/>
      <c r="Q461"/>
    </row>
    <row r="462" spans="1:17" x14ac:dyDescent="0.25">
      <c r="A462" s="1">
        <v>461</v>
      </c>
      <c r="B462" s="1" t="s">
        <v>424</v>
      </c>
      <c r="C462" s="54" t="s">
        <v>212</v>
      </c>
      <c r="D462" s="1">
        <v>1000000</v>
      </c>
      <c r="E462" s="10" t="s">
        <v>192</v>
      </c>
      <c r="F462" s="5">
        <v>20305</v>
      </c>
      <c r="G462" s="6">
        <v>75000</v>
      </c>
      <c r="H462" s="7">
        <v>80</v>
      </c>
      <c r="I462" s="8">
        <f t="shared" si="74"/>
        <v>1218300000</v>
      </c>
      <c r="J462" s="7">
        <v>100</v>
      </c>
      <c r="K462" s="8">
        <f t="shared" si="75"/>
        <v>152287500</v>
      </c>
      <c r="L462" s="8">
        <f t="shared" si="76"/>
        <v>1370587500</v>
      </c>
      <c r="M462" s="10" t="s">
        <v>247</v>
      </c>
      <c r="N462" s="13">
        <v>1370587500</v>
      </c>
      <c r="O462" s="8">
        <f t="shared" si="77"/>
        <v>0</v>
      </c>
      <c r="P462" s="26"/>
      <c r="Q462"/>
    </row>
    <row r="463" spans="1:17" x14ac:dyDescent="0.25">
      <c r="A463" s="1">
        <v>462</v>
      </c>
      <c r="B463" s="1" t="s">
        <v>424</v>
      </c>
      <c r="C463" s="54" t="s">
        <v>212</v>
      </c>
      <c r="D463" s="1">
        <v>1000000</v>
      </c>
      <c r="E463" s="10" t="s">
        <v>392</v>
      </c>
      <c r="F463" s="5">
        <v>18895</v>
      </c>
      <c r="G463" s="6">
        <v>75000</v>
      </c>
      <c r="H463" s="7">
        <v>80</v>
      </c>
      <c r="I463" s="8">
        <f t="shared" si="74"/>
        <v>1133700000</v>
      </c>
      <c r="J463" s="7">
        <v>100</v>
      </c>
      <c r="K463" s="8">
        <f t="shared" si="75"/>
        <v>141712500</v>
      </c>
      <c r="L463" s="8">
        <f t="shared" si="76"/>
        <v>1275412500</v>
      </c>
      <c r="M463" s="10" t="s">
        <v>183</v>
      </c>
      <c r="N463" s="13">
        <v>1275412500</v>
      </c>
      <c r="O463" s="8">
        <f t="shared" si="77"/>
        <v>0</v>
      </c>
      <c r="P463" s="26"/>
      <c r="Q463"/>
    </row>
    <row r="464" spans="1:17" x14ac:dyDescent="0.25">
      <c r="A464" s="1">
        <v>463</v>
      </c>
      <c r="B464" s="1" t="s">
        <v>424</v>
      </c>
      <c r="C464" s="54" t="s">
        <v>212</v>
      </c>
      <c r="D464" s="1">
        <v>1000000</v>
      </c>
      <c r="E464" s="10" t="s">
        <v>360</v>
      </c>
      <c r="F464" s="5">
        <v>18855</v>
      </c>
      <c r="G464" s="6">
        <v>75000</v>
      </c>
      <c r="H464" s="7">
        <v>80</v>
      </c>
      <c r="I464" s="8">
        <f t="shared" si="74"/>
        <v>1131300000</v>
      </c>
      <c r="J464" s="7">
        <v>100</v>
      </c>
      <c r="K464" s="8">
        <f t="shared" si="75"/>
        <v>141412500</v>
      </c>
      <c r="L464" s="8">
        <f t="shared" si="76"/>
        <v>1272712500</v>
      </c>
      <c r="M464" s="10" t="s">
        <v>217</v>
      </c>
      <c r="N464" s="13">
        <v>1272712500</v>
      </c>
      <c r="O464" s="8">
        <f t="shared" si="77"/>
        <v>0</v>
      </c>
      <c r="P464" s="26"/>
      <c r="Q464"/>
    </row>
    <row r="465" spans="1:17" x14ac:dyDescent="0.25">
      <c r="A465" s="1">
        <v>464</v>
      </c>
      <c r="B465" s="1" t="s">
        <v>424</v>
      </c>
      <c r="C465" s="54" t="s">
        <v>212</v>
      </c>
      <c r="D465" s="1">
        <v>1000000</v>
      </c>
      <c r="E465" s="10" t="s">
        <v>196</v>
      </c>
      <c r="F465" s="5">
        <v>10025</v>
      </c>
      <c r="G465" s="6">
        <v>75000</v>
      </c>
      <c r="H465" s="7">
        <v>80</v>
      </c>
      <c r="I465" s="8">
        <f t="shared" si="74"/>
        <v>601500000</v>
      </c>
      <c r="J465" s="7">
        <v>100</v>
      </c>
      <c r="K465" s="8">
        <f t="shared" si="75"/>
        <v>75187500</v>
      </c>
      <c r="L465" s="8">
        <f t="shared" si="76"/>
        <v>676687500</v>
      </c>
      <c r="M465" s="10" t="s">
        <v>217</v>
      </c>
      <c r="N465" s="13">
        <v>676687500</v>
      </c>
      <c r="O465" s="8">
        <f t="shared" si="77"/>
        <v>0</v>
      </c>
      <c r="P465" s="26"/>
      <c r="Q465"/>
    </row>
    <row r="466" spans="1:17" ht="18.600000000000001" x14ac:dyDescent="0.25">
      <c r="A466" s="1">
        <v>465</v>
      </c>
      <c r="B466" s="1" t="s">
        <v>424</v>
      </c>
      <c r="C466" s="54" t="s">
        <v>212</v>
      </c>
      <c r="D466" s="1">
        <v>1000000</v>
      </c>
      <c r="E466" s="10" t="s">
        <v>252</v>
      </c>
      <c r="F466" s="5">
        <v>18720</v>
      </c>
      <c r="G466" s="6">
        <v>75000</v>
      </c>
      <c r="H466" s="7">
        <v>80</v>
      </c>
      <c r="I466" s="8">
        <f t="shared" si="74"/>
        <v>1123200000</v>
      </c>
      <c r="J466" s="7">
        <v>100</v>
      </c>
      <c r="K466" s="8">
        <f t="shared" si="75"/>
        <v>140400000</v>
      </c>
      <c r="L466" s="8">
        <f t="shared" si="76"/>
        <v>1263600000</v>
      </c>
      <c r="M466" s="21" t="s">
        <v>422</v>
      </c>
      <c r="N466" s="13">
        <v>1263600000</v>
      </c>
      <c r="O466" s="8">
        <f t="shared" si="77"/>
        <v>0</v>
      </c>
      <c r="P466" s="26"/>
      <c r="Q466"/>
    </row>
    <row r="467" spans="1:17" x14ac:dyDescent="0.25">
      <c r="A467" s="1">
        <v>466</v>
      </c>
      <c r="B467" s="1" t="s">
        <v>424</v>
      </c>
      <c r="C467" s="54" t="s">
        <v>212</v>
      </c>
      <c r="D467" s="1">
        <v>1000000</v>
      </c>
      <c r="E467" s="10" t="s">
        <v>294</v>
      </c>
      <c r="F467" s="5">
        <v>18790</v>
      </c>
      <c r="G467" s="6">
        <v>75000</v>
      </c>
      <c r="H467" s="7">
        <v>80</v>
      </c>
      <c r="I467" s="8">
        <f t="shared" si="74"/>
        <v>1127400000</v>
      </c>
      <c r="J467" s="7">
        <v>100</v>
      </c>
      <c r="K467" s="8">
        <f t="shared" si="75"/>
        <v>140925000</v>
      </c>
      <c r="L467" s="8">
        <f t="shared" si="76"/>
        <v>1268325000</v>
      </c>
      <c r="M467" s="10" t="s">
        <v>422</v>
      </c>
      <c r="N467" s="13">
        <v>1268325000</v>
      </c>
      <c r="O467" s="8">
        <f t="shared" si="77"/>
        <v>0</v>
      </c>
      <c r="P467" s="26"/>
      <c r="Q467"/>
    </row>
    <row r="468" spans="1:17" x14ac:dyDescent="0.25">
      <c r="A468" s="1">
        <v>467</v>
      </c>
      <c r="B468" s="1" t="s">
        <v>424</v>
      </c>
      <c r="C468" s="54" t="s">
        <v>212</v>
      </c>
      <c r="D468" s="1">
        <v>1000000</v>
      </c>
      <c r="E468" s="10" t="s">
        <v>222</v>
      </c>
      <c r="F468" s="5">
        <v>20090</v>
      </c>
      <c r="G468" s="6">
        <v>75000</v>
      </c>
      <c r="H468" s="7">
        <v>80</v>
      </c>
      <c r="I468" s="8">
        <f t="shared" si="74"/>
        <v>1205400000</v>
      </c>
      <c r="J468" s="7">
        <v>100</v>
      </c>
      <c r="K468" s="8">
        <f t="shared" si="75"/>
        <v>150675000</v>
      </c>
      <c r="L468" s="8">
        <f>I468+K468</f>
        <v>1356075000</v>
      </c>
      <c r="M468" s="10" t="s">
        <v>422</v>
      </c>
      <c r="N468" s="13">
        <v>1356075000</v>
      </c>
      <c r="O468" s="8">
        <f t="shared" si="77"/>
        <v>0</v>
      </c>
      <c r="P468" s="26"/>
      <c r="Q468"/>
    </row>
    <row r="469" spans="1:17" x14ac:dyDescent="0.25">
      <c r="A469" s="1">
        <v>468</v>
      </c>
      <c r="B469" s="1" t="s">
        <v>424</v>
      </c>
      <c r="C469" s="54" t="s">
        <v>212</v>
      </c>
      <c r="D469" s="1">
        <v>1000000</v>
      </c>
      <c r="E469" s="10" t="s">
        <v>200</v>
      </c>
      <c r="F469" s="5">
        <v>18980</v>
      </c>
      <c r="G469" s="6">
        <v>75000</v>
      </c>
      <c r="H469" s="7">
        <v>80</v>
      </c>
      <c r="I469" s="8">
        <f t="shared" si="74"/>
        <v>1138800000</v>
      </c>
      <c r="J469" s="7">
        <v>100</v>
      </c>
      <c r="K469" s="8">
        <f t="shared" si="75"/>
        <v>142350000</v>
      </c>
      <c r="L469" s="8">
        <f>I469+K469</f>
        <v>1281150000</v>
      </c>
      <c r="M469" s="10" t="s">
        <v>334</v>
      </c>
      <c r="N469" s="13">
        <v>1565850000</v>
      </c>
      <c r="O469" s="8">
        <f t="shared" si="77"/>
        <v>-284700000</v>
      </c>
      <c r="P469" s="37" t="s">
        <v>380</v>
      </c>
      <c r="Q469"/>
    </row>
    <row r="470" spans="1:17" x14ac:dyDescent="0.25">
      <c r="A470" s="1">
        <v>469</v>
      </c>
      <c r="B470" s="1" t="s">
        <v>424</v>
      </c>
      <c r="C470" s="54" t="s">
        <v>212</v>
      </c>
      <c r="D470" s="1">
        <v>1000000</v>
      </c>
      <c r="E470" s="10" t="s">
        <v>254</v>
      </c>
      <c r="F470" s="5">
        <v>18715</v>
      </c>
      <c r="G470" s="6">
        <v>75000</v>
      </c>
      <c r="H470" s="7">
        <v>80</v>
      </c>
      <c r="I470" s="8">
        <f t="shared" si="74"/>
        <v>1122900000</v>
      </c>
      <c r="J470" s="7">
        <v>100</v>
      </c>
      <c r="K470" s="8">
        <f t="shared" si="75"/>
        <v>140362500</v>
      </c>
      <c r="L470" s="8">
        <f t="shared" si="76"/>
        <v>1263262500</v>
      </c>
      <c r="M470" s="10" t="s">
        <v>256</v>
      </c>
      <c r="N470" s="13">
        <v>1263262500</v>
      </c>
      <c r="O470" s="8">
        <f t="shared" si="77"/>
        <v>0</v>
      </c>
      <c r="P470" s="26"/>
      <c r="Q470"/>
    </row>
    <row r="471" spans="1:17" x14ac:dyDescent="0.25">
      <c r="A471" s="1">
        <v>470</v>
      </c>
      <c r="B471" s="1" t="s">
        <v>424</v>
      </c>
      <c r="C471" s="54" t="s">
        <v>212</v>
      </c>
      <c r="D471" s="1">
        <v>1000000</v>
      </c>
      <c r="E471" s="10" t="s">
        <v>163</v>
      </c>
      <c r="F471" s="5">
        <v>19130</v>
      </c>
      <c r="G471" s="6">
        <v>75000</v>
      </c>
      <c r="H471" s="7">
        <v>80</v>
      </c>
      <c r="I471" s="8">
        <f t="shared" si="74"/>
        <v>1147800000</v>
      </c>
      <c r="J471" s="7">
        <v>100</v>
      </c>
      <c r="K471" s="8">
        <f t="shared" si="75"/>
        <v>143475000</v>
      </c>
      <c r="L471" s="8">
        <f t="shared" si="76"/>
        <v>1291275000</v>
      </c>
      <c r="M471" s="10" t="s">
        <v>257</v>
      </c>
      <c r="N471" s="13">
        <v>1291275000</v>
      </c>
      <c r="O471" s="8">
        <f t="shared" si="77"/>
        <v>0</v>
      </c>
      <c r="P471" s="26"/>
      <c r="Q471"/>
    </row>
    <row r="472" spans="1:17" x14ac:dyDescent="0.25">
      <c r="A472" s="1">
        <v>471</v>
      </c>
      <c r="B472" s="1" t="s">
        <v>424</v>
      </c>
      <c r="C472" s="54" t="s">
        <v>212</v>
      </c>
      <c r="D472" s="1">
        <v>1000000</v>
      </c>
      <c r="E472" s="10" t="s">
        <v>296</v>
      </c>
      <c r="F472" s="5">
        <v>19430</v>
      </c>
      <c r="G472" s="6">
        <v>75000</v>
      </c>
      <c r="H472" s="7">
        <v>80</v>
      </c>
      <c r="I472" s="8">
        <f t="shared" si="74"/>
        <v>1165800000</v>
      </c>
      <c r="J472" s="7">
        <v>100</v>
      </c>
      <c r="K472" s="8">
        <f t="shared" si="75"/>
        <v>145725000</v>
      </c>
      <c r="L472" s="8">
        <f t="shared" si="76"/>
        <v>1311525000</v>
      </c>
      <c r="M472" s="10" t="s">
        <v>257</v>
      </c>
      <c r="N472" s="13">
        <v>1026825000</v>
      </c>
      <c r="O472" s="8">
        <f t="shared" si="77"/>
        <v>284700000</v>
      </c>
      <c r="P472" s="41" t="s">
        <v>423</v>
      </c>
      <c r="Q472"/>
    </row>
    <row r="473" spans="1:17" x14ac:dyDescent="0.25">
      <c r="A473" s="1">
        <v>472</v>
      </c>
      <c r="B473" s="1" t="s">
        <v>424</v>
      </c>
      <c r="C473" s="54" t="s">
        <v>212</v>
      </c>
      <c r="D473" s="1">
        <v>1000000</v>
      </c>
      <c r="E473" s="10" t="s">
        <v>296</v>
      </c>
      <c r="F473" s="5">
        <v>18925</v>
      </c>
      <c r="G473" s="6">
        <v>75000</v>
      </c>
      <c r="H473" s="7">
        <v>80</v>
      </c>
      <c r="I473" s="8">
        <f t="shared" si="74"/>
        <v>1135500000</v>
      </c>
      <c r="J473" s="7">
        <v>100</v>
      </c>
      <c r="K473" s="8">
        <f t="shared" si="75"/>
        <v>141937500</v>
      </c>
      <c r="L473" s="8">
        <f t="shared" si="76"/>
        <v>1277437500</v>
      </c>
      <c r="M473" s="10" t="s">
        <v>316</v>
      </c>
      <c r="N473" s="13">
        <v>1277437500</v>
      </c>
      <c r="O473" s="8">
        <f t="shared" si="77"/>
        <v>0</v>
      </c>
      <c r="P473" s="26"/>
      <c r="Q473"/>
    </row>
    <row r="474" spans="1:17" x14ac:dyDescent="0.25">
      <c r="A474" s="1">
        <v>473</v>
      </c>
      <c r="B474" s="1" t="s">
        <v>424</v>
      </c>
      <c r="C474" s="54" t="s">
        <v>212</v>
      </c>
      <c r="D474" s="1">
        <v>1000000</v>
      </c>
      <c r="E474" s="10" t="s">
        <v>310</v>
      </c>
      <c r="F474" s="5">
        <v>18945</v>
      </c>
      <c r="G474" s="6">
        <v>75000</v>
      </c>
      <c r="H474" s="7">
        <v>80</v>
      </c>
      <c r="I474" s="8">
        <f t="shared" si="74"/>
        <v>1136700000</v>
      </c>
      <c r="J474" s="7">
        <v>100</v>
      </c>
      <c r="K474" s="8">
        <f t="shared" si="75"/>
        <v>142087500</v>
      </c>
      <c r="L474" s="8">
        <f t="shared" si="76"/>
        <v>1278787500</v>
      </c>
      <c r="M474" s="10" t="s">
        <v>337</v>
      </c>
      <c r="N474" s="13">
        <v>1278787500</v>
      </c>
      <c r="O474" s="8">
        <f t="shared" si="77"/>
        <v>0</v>
      </c>
      <c r="P474" s="26"/>
      <c r="Q474"/>
    </row>
    <row r="475" spans="1:17" x14ac:dyDescent="0.25">
      <c r="A475" s="1">
        <v>474</v>
      </c>
      <c r="B475" s="1" t="s">
        <v>424</v>
      </c>
      <c r="C475" s="54" t="s">
        <v>212</v>
      </c>
      <c r="D475" s="1">
        <v>1000000</v>
      </c>
      <c r="E475" s="10" t="s">
        <v>311</v>
      </c>
      <c r="F475" s="5">
        <v>15575</v>
      </c>
      <c r="G475" s="6">
        <v>75000</v>
      </c>
      <c r="H475" s="7">
        <v>80</v>
      </c>
      <c r="I475" s="8">
        <f t="shared" si="74"/>
        <v>934500000</v>
      </c>
      <c r="J475" s="7">
        <v>100</v>
      </c>
      <c r="K475" s="8">
        <f t="shared" si="75"/>
        <v>116812500</v>
      </c>
      <c r="L475" s="8">
        <f t="shared" si="76"/>
        <v>1051312500</v>
      </c>
      <c r="M475" s="10" t="s">
        <v>337</v>
      </c>
      <c r="N475" s="13">
        <v>1051312500</v>
      </c>
      <c r="O475" s="8">
        <f t="shared" si="77"/>
        <v>0</v>
      </c>
      <c r="P475" s="26"/>
      <c r="Q475"/>
    </row>
    <row r="476" spans="1:17" x14ac:dyDescent="0.25">
      <c r="A476" s="1">
        <v>475</v>
      </c>
      <c r="B476" s="1" t="s">
        <v>424</v>
      </c>
      <c r="C476" s="54" t="s">
        <v>212</v>
      </c>
      <c r="D476" s="1">
        <v>1000000</v>
      </c>
      <c r="E476" s="10" t="s">
        <v>337</v>
      </c>
      <c r="F476" s="5">
        <v>18830</v>
      </c>
      <c r="G476" s="6">
        <v>75000</v>
      </c>
      <c r="H476" s="7">
        <v>80</v>
      </c>
      <c r="I476" s="8">
        <f t="shared" si="74"/>
        <v>1129800000</v>
      </c>
      <c r="J476" s="7">
        <v>100</v>
      </c>
      <c r="K476" s="8">
        <f t="shared" si="75"/>
        <v>141225000</v>
      </c>
      <c r="L476" s="8">
        <f t="shared" si="76"/>
        <v>1271025000</v>
      </c>
      <c r="M476" s="10" t="s">
        <v>263</v>
      </c>
      <c r="N476" s="13">
        <v>1271025000</v>
      </c>
      <c r="O476" s="8">
        <f t="shared" si="77"/>
        <v>0</v>
      </c>
      <c r="P476" s="26"/>
      <c r="Q476"/>
    </row>
    <row r="477" spans="1:17" x14ac:dyDescent="0.25">
      <c r="A477" s="1">
        <v>476</v>
      </c>
      <c r="B477" s="1" t="s">
        <v>424</v>
      </c>
      <c r="C477" s="54" t="s">
        <v>212</v>
      </c>
      <c r="D477" s="1">
        <v>1000000</v>
      </c>
      <c r="E477" s="10" t="s">
        <v>262</v>
      </c>
      <c r="F477" s="5">
        <v>18125</v>
      </c>
      <c r="G477" s="6">
        <v>75000</v>
      </c>
      <c r="H477" s="7">
        <v>80</v>
      </c>
      <c r="I477" s="8">
        <f t="shared" si="74"/>
        <v>1087500000</v>
      </c>
      <c r="J477" s="7">
        <v>100</v>
      </c>
      <c r="K477" s="8">
        <f t="shared" si="75"/>
        <v>135937500</v>
      </c>
      <c r="L477" s="8">
        <f t="shared" si="76"/>
        <v>1223437500</v>
      </c>
      <c r="M477" s="10" t="s">
        <v>264</v>
      </c>
      <c r="N477" s="13">
        <v>1223437500</v>
      </c>
      <c r="O477" s="8">
        <f t="shared" si="77"/>
        <v>0</v>
      </c>
      <c r="P477" s="26"/>
      <c r="Q477"/>
    </row>
    <row r="478" spans="1:17" x14ac:dyDescent="0.25">
      <c r="A478" s="1">
        <v>477</v>
      </c>
      <c r="B478" s="1" t="s">
        <v>424</v>
      </c>
      <c r="C478" s="54" t="s">
        <v>212</v>
      </c>
      <c r="D478" s="1">
        <v>1000000</v>
      </c>
      <c r="E478" s="10" t="s">
        <v>317</v>
      </c>
      <c r="F478" s="5">
        <v>17930</v>
      </c>
      <c r="G478" s="6">
        <v>75000</v>
      </c>
      <c r="H478" s="7">
        <v>80</v>
      </c>
      <c r="I478" s="8">
        <f t="shared" si="74"/>
        <v>1075800000</v>
      </c>
      <c r="J478" s="7">
        <v>100</v>
      </c>
      <c r="K478" s="8">
        <f t="shared" si="75"/>
        <v>134475000</v>
      </c>
      <c r="L478" s="8">
        <f t="shared" si="76"/>
        <v>1210275000</v>
      </c>
      <c r="M478" s="10" t="s">
        <v>318</v>
      </c>
      <c r="N478" s="13">
        <v>1210275000</v>
      </c>
      <c r="O478" s="8">
        <f t="shared" si="77"/>
        <v>0</v>
      </c>
      <c r="P478" s="26"/>
      <c r="Q478"/>
    </row>
    <row r="479" spans="1:17" x14ac:dyDescent="0.25">
      <c r="A479" s="1">
        <v>478</v>
      </c>
      <c r="B479" s="1" t="s">
        <v>424</v>
      </c>
      <c r="C479" s="54" t="s">
        <v>212</v>
      </c>
      <c r="D479" s="1">
        <v>1000000</v>
      </c>
      <c r="E479" s="10" t="s">
        <v>202</v>
      </c>
      <c r="F479" s="5">
        <v>18190</v>
      </c>
      <c r="G479" s="6">
        <v>75000</v>
      </c>
      <c r="H479" s="7">
        <v>80</v>
      </c>
      <c r="I479" s="8">
        <f t="shared" si="74"/>
        <v>1091400000</v>
      </c>
      <c r="J479" s="7">
        <v>100</v>
      </c>
      <c r="K479" s="8">
        <f t="shared" si="75"/>
        <v>136425000</v>
      </c>
      <c r="L479" s="8">
        <f t="shared" si="76"/>
        <v>1227825000</v>
      </c>
      <c r="M479" s="10" t="s">
        <v>351</v>
      </c>
      <c r="N479" s="13">
        <v>1227825000</v>
      </c>
      <c r="O479" s="8">
        <f t="shared" si="77"/>
        <v>0</v>
      </c>
      <c r="P479" s="26"/>
      <c r="Q479"/>
    </row>
    <row r="480" spans="1:17" x14ac:dyDescent="0.25">
      <c r="A480" s="1">
        <v>479</v>
      </c>
      <c r="B480" s="1" t="s">
        <v>424</v>
      </c>
      <c r="C480" s="54" t="s">
        <v>212</v>
      </c>
      <c r="D480" s="1">
        <v>1000000</v>
      </c>
      <c r="E480" s="10" t="s">
        <v>268</v>
      </c>
      <c r="F480" s="5">
        <v>17855</v>
      </c>
      <c r="G480" s="6">
        <v>75000</v>
      </c>
      <c r="H480" s="7">
        <v>80</v>
      </c>
      <c r="I480" s="8">
        <f t="shared" si="74"/>
        <v>1071300000</v>
      </c>
      <c r="J480" s="7">
        <v>100</v>
      </c>
      <c r="K480" s="8">
        <f t="shared" si="75"/>
        <v>133912500</v>
      </c>
      <c r="L480" s="8">
        <f t="shared" si="76"/>
        <v>1205212500</v>
      </c>
      <c r="M480" s="10" t="s">
        <v>351</v>
      </c>
      <c r="N480" s="13">
        <v>1205212500</v>
      </c>
      <c r="O480" s="8">
        <f t="shared" si="77"/>
        <v>0</v>
      </c>
      <c r="P480" s="26"/>
      <c r="Q480"/>
    </row>
    <row r="481" spans="1:17" x14ac:dyDescent="0.25">
      <c r="A481" s="1">
        <v>480</v>
      </c>
      <c r="B481" s="1" t="s">
        <v>424</v>
      </c>
      <c r="C481" s="54" t="s">
        <v>212</v>
      </c>
      <c r="D481" s="1">
        <v>1000000</v>
      </c>
      <c r="E481" s="10" t="s">
        <v>320</v>
      </c>
      <c r="F481" s="5">
        <v>18120</v>
      </c>
      <c r="G481" s="6">
        <v>75000</v>
      </c>
      <c r="H481" s="7">
        <v>80</v>
      </c>
      <c r="I481" s="8">
        <f t="shared" si="74"/>
        <v>1087200000</v>
      </c>
      <c r="J481" s="7">
        <v>100</v>
      </c>
      <c r="K481" s="8">
        <f t="shared" si="75"/>
        <v>135900000</v>
      </c>
      <c r="L481" s="8">
        <f t="shared" si="76"/>
        <v>1223100000</v>
      </c>
      <c r="M481" s="10" t="s">
        <v>300</v>
      </c>
      <c r="N481" s="13">
        <v>1223100000</v>
      </c>
      <c r="O481" s="8">
        <f t="shared" si="77"/>
        <v>0</v>
      </c>
      <c r="P481" s="26"/>
      <c r="Q481"/>
    </row>
    <row r="482" spans="1:17" x14ac:dyDescent="0.25">
      <c r="A482" s="1">
        <v>481</v>
      </c>
      <c r="B482" s="1" t="s">
        <v>424</v>
      </c>
      <c r="C482" s="54" t="s">
        <v>212</v>
      </c>
      <c r="D482" s="1">
        <v>1000000</v>
      </c>
      <c r="E482" s="10" t="s">
        <v>320</v>
      </c>
      <c r="F482" s="5">
        <v>19100</v>
      </c>
      <c r="G482" s="6">
        <v>75000</v>
      </c>
      <c r="H482" s="7">
        <v>80</v>
      </c>
      <c r="I482" s="8">
        <f t="shared" si="74"/>
        <v>1146000000</v>
      </c>
      <c r="J482" s="7">
        <v>100</v>
      </c>
      <c r="K482" s="8">
        <f t="shared" si="75"/>
        <v>143250000</v>
      </c>
      <c r="L482" s="8">
        <f t="shared" si="76"/>
        <v>1289250000</v>
      </c>
      <c r="M482" s="10" t="s">
        <v>272</v>
      </c>
      <c r="N482" s="13">
        <v>1289250000</v>
      </c>
      <c r="O482" s="8">
        <f t="shared" si="77"/>
        <v>0</v>
      </c>
      <c r="P482" s="26"/>
      <c r="Q482"/>
    </row>
    <row r="483" spans="1:17" x14ac:dyDescent="0.25">
      <c r="A483" s="1">
        <v>482</v>
      </c>
      <c r="B483" s="1" t="s">
        <v>424</v>
      </c>
      <c r="C483" s="54" t="s">
        <v>212</v>
      </c>
      <c r="D483" s="1">
        <v>1000000</v>
      </c>
      <c r="E483" s="10" t="s">
        <v>338</v>
      </c>
      <c r="F483" s="5">
        <v>9805</v>
      </c>
      <c r="G483" s="6">
        <v>75000</v>
      </c>
      <c r="H483" s="7">
        <v>80</v>
      </c>
      <c r="I483" s="8">
        <f t="shared" si="74"/>
        <v>588300000</v>
      </c>
      <c r="J483" s="7">
        <v>100</v>
      </c>
      <c r="K483" s="8">
        <f t="shared" si="75"/>
        <v>73537500</v>
      </c>
      <c r="L483" s="8">
        <f t="shared" si="76"/>
        <v>661837500</v>
      </c>
      <c r="M483" s="10" t="s">
        <v>301</v>
      </c>
      <c r="N483" s="13">
        <v>661837500</v>
      </c>
      <c r="O483" s="8">
        <f t="shared" si="77"/>
        <v>0</v>
      </c>
      <c r="P483" s="26"/>
      <c r="Q483"/>
    </row>
    <row r="484" spans="1:17" x14ac:dyDescent="0.25">
      <c r="A484" s="1">
        <v>483</v>
      </c>
      <c r="B484" s="1" t="s">
        <v>424</v>
      </c>
      <c r="C484" s="54" t="s">
        <v>212</v>
      </c>
      <c r="D484" s="1">
        <v>1000000</v>
      </c>
      <c r="E484" s="10" t="s">
        <v>301</v>
      </c>
      <c r="F484" s="5">
        <v>19050</v>
      </c>
      <c r="G484" s="6">
        <v>75000</v>
      </c>
      <c r="H484" s="7">
        <v>80</v>
      </c>
      <c r="I484" s="8">
        <f t="shared" si="74"/>
        <v>1143000000</v>
      </c>
      <c r="J484" s="7">
        <v>100</v>
      </c>
      <c r="K484" s="8">
        <f t="shared" si="75"/>
        <v>142875000</v>
      </c>
      <c r="L484" s="8">
        <f t="shared" si="76"/>
        <v>1285875000</v>
      </c>
      <c r="M484" s="10" t="s">
        <v>277</v>
      </c>
      <c r="N484" s="13">
        <v>1285875000</v>
      </c>
      <c r="O484" s="8">
        <f t="shared" si="77"/>
        <v>0</v>
      </c>
      <c r="P484" s="26"/>
      <c r="Q484"/>
    </row>
    <row r="485" spans="1:17" x14ac:dyDescent="0.25">
      <c r="A485" s="1">
        <v>484</v>
      </c>
      <c r="B485" s="1" t="s">
        <v>424</v>
      </c>
      <c r="C485" s="54" t="s">
        <v>212</v>
      </c>
      <c r="D485" s="1">
        <v>1000000</v>
      </c>
      <c r="E485" s="10" t="s">
        <v>325</v>
      </c>
      <c r="F485" s="5">
        <v>19095</v>
      </c>
      <c r="G485" s="6">
        <v>75000</v>
      </c>
      <c r="H485" s="7">
        <v>80</v>
      </c>
      <c r="I485" s="8">
        <f t="shared" si="74"/>
        <v>1145700000</v>
      </c>
      <c r="J485" s="7">
        <v>100</v>
      </c>
      <c r="K485" s="8">
        <f t="shared" si="75"/>
        <v>143212500</v>
      </c>
      <c r="L485" s="8">
        <f t="shared" si="76"/>
        <v>1288912500</v>
      </c>
      <c r="M485" s="10" t="s">
        <v>278</v>
      </c>
      <c r="N485" s="13">
        <v>1288912500</v>
      </c>
      <c r="O485" s="8">
        <f t="shared" si="77"/>
        <v>0</v>
      </c>
      <c r="P485" s="26"/>
      <c r="Q485"/>
    </row>
    <row r="486" spans="1:17" x14ac:dyDescent="0.25">
      <c r="A486" s="1">
        <v>485</v>
      </c>
      <c r="B486" s="1" t="s">
        <v>424</v>
      </c>
      <c r="C486" s="54" t="s">
        <v>212</v>
      </c>
      <c r="D486" s="1">
        <v>1000000</v>
      </c>
      <c r="E486" s="10" t="s">
        <v>277</v>
      </c>
      <c r="F486" s="5">
        <v>19220</v>
      </c>
      <c r="G486" s="6">
        <v>75000</v>
      </c>
      <c r="H486" s="7">
        <v>80</v>
      </c>
      <c r="I486" s="8">
        <f t="shared" si="74"/>
        <v>1153200000</v>
      </c>
      <c r="J486" s="7">
        <v>100</v>
      </c>
      <c r="K486" s="8">
        <f t="shared" si="75"/>
        <v>144150000</v>
      </c>
      <c r="L486" s="8">
        <f t="shared" si="76"/>
        <v>1297350000</v>
      </c>
      <c r="M486" s="10" t="s">
        <v>280</v>
      </c>
      <c r="N486" s="13">
        <v>1297350000</v>
      </c>
      <c r="O486" s="8">
        <f t="shared" si="77"/>
        <v>0</v>
      </c>
      <c r="P486" s="26"/>
      <c r="Q486"/>
    </row>
    <row r="487" spans="1:17" x14ac:dyDescent="0.25">
      <c r="A487" s="1">
        <v>486</v>
      </c>
      <c r="B487" s="1" t="s">
        <v>424</v>
      </c>
      <c r="C487" s="54" t="s">
        <v>212</v>
      </c>
      <c r="D487" s="1">
        <v>1000000</v>
      </c>
      <c r="E487" s="10" t="s">
        <v>280</v>
      </c>
      <c r="F487" s="5">
        <v>18120</v>
      </c>
      <c r="G487" s="6">
        <v>75000</v>
      </c>
      <c r="H487" s="7">
        <v>80</v>
      </c>
      <c r="I487" s="8">
        <f t="shared" si="74"/>
        <v>1087200000</v>
      </c>
      <c r="J487" s="7">
        <v>100</v>
      </c>
      <c r="K487" s="8">
        <f t="shared" si="75"/>
        <v>135900000</v>
      </c>
      <c r="L487" s="8">
        <f t="shared" si="76"/>
        <v>1223100000</v>
      </c>
      <c r="M487" s="10" t="s">
        <v>282</v>
      </c>
      <c r="N487" s="13">
        <v>1223100000</v>
      </c>
      <c r="O487" s="8">
        <f t="shared" si="77"/>
        <v>0</v>
      </c>
      <c r="P487" s="26"/>
      <c r="Q487"/>
    </row>
    <row r="488" spans="1:17" x14ac:dyDescent="0.25">
      <c r="A488" s="1">
        <v>487</v>
      </c>
      <c r="B488" s="1" t="s">
        <v>424</v>
      </c>
      <c r="C488" s="54" t="s">
        <v>212</v>
      </c>
      <c r="D488" s="1">
        <v>1000000</v>
      </c>
      <c r="E488" s="10" t="s">
        <v>281</v>
      </c>
      <c r="F488" s="5">
        <v>19440</v>
      </c>
      <c r="G488" s="6">
        <v>75000</v>
      </c>
      <c r="H488" s="7">
        <v>80</v>
      </c>
      <c r="I488" s="8">
        <f t="shared" si="74"/>
        <v>1166400000</v>
      </c>
      <c r="J488" s="7">
        <v>100</v>
      </c>
      <c r="K488" s="8">
        <f t="shared" si="75"/>
        <v>145800000</v>
      </c>
      <c r="L488" s="8">
        <f t="shared" si="76"/>
        <v>1312200000</v>
      </c>
      <c r="M488" s="10" t="s">
        <v>373</v>
      </c>
      <c r="N488" s="13">
        <v>1312200000</v>
      </c>
      <c r="O488" s="8">
        <f t="shared" si="77"/>
        <v>0</v>
      </c>
      <c r="P488" s="26"/>
      <c r="Q488"/>
    </row>
    <row r="489" spans="1:17" x14ac:dyDescent="0.25">
      <c r="A489" s="1">
        <v>488</v>
      </c>
      <c r="B489" s="1" t="s">
        <v>424</v>
      </c>
      <c r="C489" s="54" t="s">
        <v>212</v>
      </c>
      <c r="D489" s="1">
        <v>1000000</v>
      </c>
      <c r="E489" s="10" t="s">
        <v>373</v>
      </c>
      <c r="F489" s="5">
        <v>10160</v>
      </c>
      <c r="G489" s="6">
        <v>75000</v>
      </c>
      <c r="H489" s="7">
        <v>80</v>
      </c>
      <c r="I489" s="8">
        <f t="shared" si="74"/>
        <v>609600000</v>
      </c>
      <c r="J489" s="7">
        <v>100</v>
      </c>
      <c r="K489" s="8">
        <f t="shared" si="75"/>
        <v>76200000</v>
      </c>
      <c r="L489" s="8">
        <f t="shared" si="76"/>
        <v>685800000</v>
      </c>
      <c r="M489" s="10"/>
      <c r="N489" s="13"/>
      <c r="O489" s="8">
        <f t="shared" si="77"/>
        <v>685800000</v>
      </c>
      <c r="P489" s="26"/>
      <c r="Q489"/>
    </row>
    <row r="490" spans="1:17" x14ac:dyDescent="0.25">
      <c r="A490" s="1">
        <v>489</v>
      </c>
      <c r="B490" s="1" t="s">
        <v>424</v>
      </c>
      <c r="C490" s="54" t="s">
        <v>212</v>
      </c>
      <c r="D490" s="1">
        <v>1000000</v>
      </c>
      <c r="E490" s="10" t="s">
        <v>302</v>
      </c>
      <c r="F490" s="5">
        <v>17985</v>
      </c>
      <c r="G490" s="6">
        <v>75000</v>
      </c>
      <c r="H490" s="7">
        <v>80</v>
      </c>
      <c r="I490" s="8">
        <f t="shared" si="74"/>
        <v>1079100000</v>
      </c>
      <c r="J490" s="7">
        <v>100</v>
      </c>
      <c r="K490" s="8">
        <f t="shared" si="75"/>
        <v>134887500</v>
      </c>
      <c r="L490" s="8">
        <f t="shared" si="76"/>
        <v>1213987500</v>
      </c>
      <c r="M490" s="10"/>
      <c r="N490" s="13"/>
      <c r="O490" s="8">
        <f t="shared" si="77"/>
        <v>1213987500</v>
      </c>
      <c r="P490" s="26"/>
      <c r="Q490"/>
    </row>
    <row r="491" spans="1:17" x14ac:dyDescent="0.25">
      <c r="A491" s="1">
        <v>490</v>
      </c>
      <c r="B491" s="1" t="s">
        <v>424</v>
      </c>
      <c r="C491" s="54" t="s">
        <v>212</v>
      </c>
      <c r="D491" s="1">
        <v>1000000</v>
      </c>
      <c r="E491" s="10" t="s">
        <v>365</v>
      </c>
      <c r="F491" s="5">
        <v>19145</v>
      </c>
      <c r="G491" s="6">
        <v>75000</v>
      </c>
      <c r="H491" s="7">
        <v>80</v>
      </c>
      <c r="I491" s="8">
        <f t="shared" si="74"/>
        <v>1148700000</v>
      </c>
      <c r="J491" s="7">
        <v>100</v>
      </c>
      <c r="K491" s="8">
        <f t="shared" si="75"/>
        <v>143587500</v>
      </c>
      <c r="L491" s="8">
        <f t="shared" si="76"/>
        <v>1292287500</v>
      </c>
      <c r="M491" s="10"/>
      <c r="N491" s="13"/>
      <c r="O491" s="8">
        <f t="shared" si="77"/>
        <v>1292287500</v>
      </c>
      <c r="P491" s="26"/>
      <c r="Q491"/>
    </row>
    <row r="492" spans="1:17" x14ac:dyDescent="0.25">
      <c r="A492" s="1">
        <v>491</v>
      </c>
      <c r="B492" s="1" t="s">
        <v>431</v>
      </c>
      <c r="C492" s="54" t="s">
        <v>212</v>
      </c>
      <c r="D492" s="1">
        <v>500000</v>
      </c>
      <c r="E492" s="10" t="s">
        <v>121</v>
      </c>
      <c r="F492" s="5">
        <v>15785</v>
      </c>
      <c r="G492" s="6">
        <v>75000</v>
      </c>
      <c r="H492" s="7">
        <v>70</v>
      </c>
      <c r="I492" s="8">
        <f t="shared" si="74"/>
        <v>828712500</v>
      </c>
      <c r="J492" s="7">
        <v>100</v>
      </c>
      <c r="K492" s="8">
        <f t="shared" si="75"/>
        <v>118387500</v>
      </c>
      <c r="L492" s="8">
        <f>I492+K492</f>
        <v>947100000</v>
      </c>
      <c r="M492" s="10" t="s">
        <v>121</v>
      </c>
      <c r="N492" s="5">
        <v>947100000</v>
      </c>
      <c r="O492" s="8">
        <f>L492-N492</f>
        <v>0</v>
      </c>
      <c r="P492" s="26" t="s">
        <v>425</v>
      </c>
      <c r="Q492"/>
    </row>
    <row r="493" spans="1:17" x14ac:dyDescent="0.25">
      <c r="A493" s="1">
        <v>492</v>
      </c>
      <c r="B493" s="1" t="s">
        <v>431</v>
      </c>
      <c r="C493" s="54" t="s">
        <v>212</v>
      </c>
      <c r="D493" s="1">
        <v>500000</v>
      </c>
      <c r="E493" s="10" t="s">
        <v>195</v>
      </c>
      <c r="F493" s="5">
        <v>20220</v>
      </c>
      <c r="G493" s="6">
        <v>75000</v>
      </c>
      <c r="H493" s="7">
        <v>70</v>
      </c>
      <c r="I493" s="8">
        <f t="shared" si="74"/>
        <v>1061550000</v>
      </c>
      <c r="J493" s="7">
        <v>100</v>
      </c>
      <c r="K493" s="8">
        <f t="shared" si="75"/>
        <v>151650000</v>
      </c>
      <c r="L493" s="8">
        <f t="shared" ref="L493:L536" si="78">I493+K493</f>
        <v>1213200000</v>
      </c>
      <c r="M493" s="10" t="s">
        <v>305</v>
      </c>
      <c r="N493" s="13">
        <v>1213200000</v>
      </c>
      <c r="O493" s="8">
        <f t="shared" ref="O493:O505" si="79">L493-N493</f>
        <v>0</v>
      </c>
      <c r="P493" s="26"/>
      <c r="Q493"/>
    </row>
    <row r="494" spans="1:17" x14ac:dyDescent="0.25">
      <c r="A494" s="1">
        <v>493</v>
      </c>
      <c r="B494" s="1" t="s">
        <v>431</v>
      </c>
      <c r="C494" s="54" t="s">
        <v>212</v>
      </c>
      <c r="D494" s="1">
        <v>500000</v>
      </c>
      <c r="E494" s="10" t="s">
        <v>251</v>
      </c>
      <c r="F494" s="5">
        <v>5060</v>
      </c>
      <c r="G494" s="6">
        <v>75000</v>
      </c>
      <c r="H494" s="7">
        <v>70</v>
      </c>
      <c r="I494" s="8">
        <f t="shared" si="74"/>
        <v>265650000</v>
      </c>
      <c r="J494" s="7">
        <v>100</v>
      </c>
      <c r="K494" s="8">
        <f t="shared" si="75"/>
        <v>37950000</v>
      </c>
      <c r="L494" s="8">
        <f t="shared" si="78"/>
        <v>303600000</v>
      </c>
      <c r="M494" s="10" t="s">
        <v>217</v>
      </c>
      <c r="N494" s="13">
        <v>303600000</v>
      </c>
      <c r="O494" s="8">
        <f t="shared" si="79"/>
        <v>0</v>
      </c>
      <c r="P494" s="26" t="s">
        <v>426</v>
      </c>
      <c r="Q494"/>
    </row>
    <row r="495" spans="1:17" ht="17.399999999999999" x14ac:dyDescent="0.25">
      <c r="A495" s="1">
        <v>494</v>
      </c>
      <c r="B495" s="1" t="s">
        <v>431</v>
      </c>
      <c r="C495" s="54" t="s">
        <v>212</v>
      </c>
      <c r="D495" s="1">
        <v>500000</v>
      </c>
      <c r="E495" s="10" t="s">
        <v>193</v>
      </c>
      <c r="F495" s="5">
        <v>20015</v>
      </c>
      <c r="G495" s="6">
        <v>75000</v>
      </c>
      <c r="H495" s="7">
        <v>70</v>
      </c>
      <c r="I495" s="8">
        <f t="shared" si="74"/>
        <v>1050787500</v>
      </c>
      <c r="J495" s="7">
        <v>100</v>
      </c>
      <c r="K495" s="8">
        <f t="shared" si="75"/>
        <v>150112500</v>
      </c>
      <c r="L495" s="8">
        <f t="shared" si="78"/>
        <v>1200900000</v>
      </c>
      <c r="M495" s="15" t="s">
        <v>427</v>
      </c>
      <c r="N495" s="13">
        <v>1200900000</v>
      </c>
      <c r="O495" s="8">
        <f t="shared" si="79"/>
        <v>0</v>
      </c>
      <c r="P495" s="26"/>
      <c r="Q495"/>
    </row>
    <row r="496" spans="1:17" x14ac:dyDescent="0.25">
      <c r="A496" s="1">
        <v>495</v>
      </c>
      <c r="B496" s="1" t="s">
        <v>431</v>
      </c>
      <c r="C496" s="54" t="s">
        <v>212</v>
      </c>
      <c r="D496" s="1">
        <v>500000</v>
      </c>
      <c r="E496" s="10" t="s">
        <v>294</v>
      </c>
      <c r="F496" s="5">
        <v>20150</v>
      </c>
      <c r="G496" s="6">
        <v>75000</v>
      </c>
      <c r="H496" s="7">
        <v>70</v>
      </c>
      <c r="I496" s="8">
        <f t="shared" si="74"/>
        <v>1057875000</v>
      </c>
      <c r="J496" s="7">
        <v>100</v>
      </c>
      <c r="K496" s="8">
        <f t="shared" si="75"/>
        <v>151125000</v>
      </c>
      <c r="L496" s="8">
        <f t="shared" si="78"/>
        <v>1209000000</v>
      </c>
      <c r="M496" s="10" t="s">
        <v>428</v>
      </c>
      <c r="N496" s="13">
        <v>1209000000</v>
      </c>
      <c r="O496" s="8">
        <f t="shared" si="79"/>
        <v>0</v>
      </c>
      <c r="P496" s="26"/>
      <c r="Q496"/>
    </row>
    <row r="497" spans="1:17" ht="18.600000000000001" x14ac:dyDescent="0.25">
      <c r="A497" s="1">
        <v>496</v>
      </c>
      <c r="B497" s="1" t="s">
        <v>431</v>
      </c>
      <c r="C497" s="54" t="s">
        <v>212</v>
      </c>
      <c r="D497" s="1">
        <v>500000</v>
      </c>
      <c r="E497" s="10" t="s">
        <v>166</v>
      </c>
      <c r="F497" s="5">
        <v>20150</v>
      </c>
      <c r="G497" s="6">
        <v>75000</v>
      </c>
      <c r="H497" s="7">
        <v>70</v>
      </c>
      <c r="I497" s="8">
        <f t="shared" si="74"/>
        <v>1057875000</v>
      </c>
      <c r="J497" s="7">
        <v>100</v>
      </c>
      <c r="K497" s="8">
        <f t="shared" si="75"/>
        <v>151125000</v>
      </c>
      <c r="L497" s="8">
        <f t="shared" si="78"/>
        <v>1209000000</v>
      </c>
      <c r="M497" s="21" t="s">
        <v>429</v>
      </c>
      <c r="N497" s="13">
        <v>1209000000</v>
      </c>
      <c r="O497" s="8">
        <f t="shared" si="79"/>
        <v>0</v>
      </c>
      <c r="P497" s="26"/>
      <c r="Q497"/>
    </row>
    <row r="498" spans="1:17" x14ac:dyDescent="0.25">
      <c r="A498" s="1">
        <v>497</v>
      </c>
      <c r="B498" s="1" t="s">
        <v>431</v>
      </c>
      <c r="C498" s="54" t="s">
        <v>212</v>
      </c>
      <c r="D498" s="1">
        <v>500000</v>
      </c>
      <c r="E498" s="10" t="s">
        <v>333</v>
      </c>
      <c r="F498" s="5">
        <v>20040</v>
      </c>
      <c r="G498" s="6">
        <v>75000</v>
      </c>
      <c r="H498" s="7">
        <v>70</v>
      </c>
      <c r="I498" s="8">
        <f t="shared" si="74"/>
        <v>1052100000</v>
      </c>
      <c r="J498" s="7">
        <v>100</v>
      </c>
      <c r="K498" s="8">
        <f t="shared" si="75"/>
        <v>150300000</v>
      </c>
      <c r="L498" s="8">
        <f t="shared" si="78"/>
        <v>1202400000</v>
      </c>
      <c r="M498" s="10" t="s">
        <v>210</v>
      </c>
      <c r="N498" s="13">
        <v>1202400000</v>
      </c>
      <c r="O498" s="8">
        <f t="shared" si="79"/>
        <v>0</v>
      </c>
      <c r="P498" s="26"/>
      <c r="Q498"/>
    </row>
    <row r="499" spans="1:17" x14ac:dyDescent="0.25">
      <c r="A499" s="1">
        <v>498</v>
      </c>
      <c r="B499" s="1" t="s">
        <v>431</v>
      </c>
      <c r="C499" s="54" t="s">
        <v>212</v>
      </c>
      <c r="D499" s="1">
        <v>500000</v>
      </c>
      <c r="E499" s="10" t="s">
        <v>254</v>
      </c>
      <c r="F499" s="5">
        <v>19965</v>
      </c>
      <c r="G499" s="6">
        <v>75000</v>
      </c>
      <c r="H499" s="7">
        <v>70</v>
      </c>
      <c r="I499" s="8">
        <f t="shared" si="74"/>
        <v>1048162500</v>
      </c>
      <c r="J499" s="7">
        <v>100</v>
      </c>
      <c r="K499" s="8">
        <f t="shared" si="75"/>
        <v>149737500</v>
      </c>
      <c r="L499" s="8">
        <f t="shared" si="78"/>
        <v>1197900000</v>
      </c>
      <c r="M499" s="10" t="s">
        <v>256</v>
      </c>
      <c r="N499" s="13">
        <v>1197900000</v>
      </c>
      <c r="O499" s="8">
        <f t="shared" si="79"/>
        <v>0</v>
      </c>
      <c r="P499" s="26"/>
      <c r="Q499"/>
    </row>
    <row r="500" spans="1:17" x14ac:dyDescent="0.25">
      <c r="A500" s="1">
        <v>499</v>
      </c>
      <c r="B500" s="1" t="s">
        <v>431</v>
      </c>
      <c r="C500" s="54" t="s">
        <v>212</v>
      </c>
      <c r="D500" s="1">
        <v>500000</v>
      </c>
      <c r="E500" s="10" t="s">
        <v>310</v>
      </c>
      <c r="F500" s="5">
        <v>22080</v>
      </c>
      <c r="G500" s="6">
        <v>75000</v>
      </c>
      <c r="H500" s="7">
        <v>70</v>
      </c>
      <c r="I500" s="8">
        <f t="shared" si="74"/>
        <v>1159200000</v>
      </c>
      <c r="J500" s="7">
        <v>100</v>
      </c>
      <c r="K500" s="8">
        <f t="shared" si="75"/>
        <v>165600000</v>
      </c>
      <c r="L500" s="8">
        <f t="shared" si="78"/>
        <v>1324800000</v>
      </c>
      <c r="M500" s="10" t="s">
        <v>260</v>
      </c>
      <c r="N500" s="13">
        <v>1324800000</v>
      </c>
      <c r="O500" s="8">
        <f t="shared" si="79"/>
        <v>0</v>
      </c>
      <c r="P500" s="26"/>
      <c r="Q500"/>
    </row>
    <row r="501" spans="1:17" x14ac:dyDescent="0.25">
      <c r="A501" s="1">
        <v>500</v>
      </c>
      <c r="B501" s="1" t="s">
        <v>431</v>
      </c>
      <c r="C501" s="54" t="s">
        <v>212</v>
      </c>
      <c r="D501" s="1">
        <v>500000</v>
      </c>
      <c r="E501" s="10" t="s">
        <v>202</v>
      </c>
      <c r="F501" s="5">
        <v>20040</v>
      </c>
      <c r="G501" s="6">
        <v>75000</v>
      </c>
      <c r="H501" s="7">
        <v>70</v>
      </c>
      <c r="I501" s="8">
        <f t="shared" si="74"/>
        <v>1052100000</v>
      </c>
      <c r="J501" s="7">
        <v>100</v>
      </c>
      <c r="K501" s="8">
        <f t="shared" si="75"/>
        <v>150300000</v>
      </c>
      <c r="L501" s="8">
        <f t="shared" si="78"/>
        <v>1202400000</v>
      </c>
      <c r="M501" s="10" t="s">
        <v>268</v>
      </c>
      <c r="N501" s="13">
        <v>1202400000</v>
      </c>
      <c r="O501" s="8">
        <f t="shared" si="79"/>
        <v>0</v>
      </c>
      <c r="P501" s="26"/>
      <c r="Q501"/>
    </row>
    <row r="502" spans="1:17" x14ac:dyDescent="0.25">
      <c r="A502" s="1">
        <v>501</v>
      </c>
      <c r="B502" s="1" t="s">
        <v>431</v>
      </c>
      <c r="C502" s="54" t="s">
        <v>212</v>
      </c>
      <c r="D502" s="1">
        <v>500000</v>
      </c>
      <c r="E502" s="10" t="s">
        <v>300</v>
      </c>
      <c r="F502" s="5">
        <v>21055</v>
      </c>
      <c r="G502" s="6">
        <v>75000</v>
      </c>
      <c r="H502" s="7">
        <v>70</v>
      </c>
      <c r="I502" s="8">
        <f t="shared" si="74"/>
        <v>1105387500</v>
      </c>
      <c r="J502" s="7">
        <v>100</v>
      </c>
      <c r="K502" s="8">
        <f t="shared" si="75"/>
        <v>157912500</v>
      </c>
      <c r="L502" s="8">
        <f t="shared" si="78"/>
        <v>1263300000</v>
      </c>
      <c r="M502" s="10" t="s">
        <v>273</v>
      </c>
      <c r="N502" s="13">
        <v>1263300000</v>
      </c>
      <c r="O502" s="8">
        <f t="shared" si="79"/>
        <v>0</v>
      </c>
      <c r="P502" s="26"/>
      <c r="Q502"/>
    </row>
    <row r="503" spans="1:17" ht="17.399999999999999" x14ac:dyDescent="0.25">
      <c r="A503" s="1">
        <v>502</v>
      </c>
      <c r="B503" s="1" t="s">
        <v>431</v>
      </c>
      <c r="C503" s="54" t="s">
        <v>212</v>
      </c>
      <c r="D503" s="1">
        <v>500000</v>
      </c>
      <c r="E503" s="10" t="s">
        <v>274</v>
      </c>
      <c r="F503" s="5">
        <v>19945</v>
      </c>
      <c r="G503" s="6">
        <v>75000</v>
      </c>
      <c r="H503" s="7">
        <v>70</v>
      </c>
      <c r="I503" s="8">
        <f t="shared" si="74"/>
        <v>1047112500</v>
      </c>
      <c r="J503" s="7">
        <v>100</v>
      </c>
      <c r="K503" s="8">
        <f t="shared" si="75"/>
        <v>149587500</v>
      </c>
      <c r="L503" s="8">
        <f t="shared" si="78"/>
        <v>1196700000</v>
      </c>
      <c r="M503" s="15" t="s">
        <v>430</v>
      </c>
      <c r="N503" s="13">
        <v>1196700000</v>
      </c>
      <c r="O503" s="8">
        <f t="shared" si="79"/>
        <v>0</v>
      </c>
      <c r="P503" s="26"/>
      <c r="Q503"/>
    </row>
    <row r="504" spans="1:17" x14ac:dyDescent="0.25">
      <c r="A504" s="1">
        <v>503</v>
      </c>
      <c r="B504" s="1" t="s">
        <v>431</v>
      </c>
      <c r="C504" s="54" t="s">
        <v>212</v>
      </c>
      <c r="D504" s="1">
        <v>500000</v>
      </c>
      <c r="E504" s="10" t="s">
        <v>326</v>
      </c>
      <c r="F504" s="5">
        <v>19960</v>
      </c>
      <c r="G504" s="6">
        <v>75000</v>
      </c>
      <c r="H504" s="7">
        <v>70</v>
      </c>
      <c r="I504" s="8">
        <f t="shared" si="74"/>
        <v>1047900000</v>
      </c>
      <c r="J504" s="7">
        <v>100</v>
      </c>
      <c r="K504" s="8">
        <f t="shared" si="75"/>
        <v>149700000</v>
      </c>
      <c r="L504" s="8">
        <f t="shared" si="78"/>
        <v>1197600000</v>
      </c>
      <c r="M504" s="10" t="s">
        <v>373</v>
      </c>
      <c r="N504" s="13">
        <v>1197600000</v>
      </c>
      <c r="O504" s="8">
        <f t="shared" si="79"/>
        <v>0</v>
      </c>
      <c r="P504" s="26"/>
      <c r="Q504"/>
    </row>
    <row r="505" spans="1:17" x14ac:dyDescent="0.25">
      <c r="A505" s="1">
        <v>504</v>
      </c>
      <c r="B505" s="1" t="s">
        <v>431</v>
      </c>
      <c r="C505" s="54" t="s">
        <v>212</v>
      </c>
      <c r="D505" s="1">
        <v>500000</v>
      </c>
      <c r="E505" s="10" t="s">
        <v>373</v>
      </c>
      <c r="F505" s="5">
        <v>20105</v>
      </c>
      <c r="G505" s="6">
        <v>75000</v>
      </c>
      <c r="H505" s="7">
        <v>70</v>
      </c>
      <c r="I505" s="8">
        <f t="shared" si="74"/>
        <v>1055512500</v>
      </c>
      <c r="J505" s="7">
        <v>100</v>
      </c>
      <c r="K505" s="8">
        <f t="shared" si="75"/>
        <v>150787500</v>
      </c>
      <c r="L505" s="8">
        <f t="shared" si="78"/>
        <v>1206300000</v>
      </c>
      <c r="M505" s="10" t="s">
        <v>327</v>
      </c>
      <c r="N505" s="13">
        <v>1206300000</v>
      </c>
      <c r="O505" s="8">
        <f t="shared" si="79"/>
        <v>0</v>
      </c>
      <c r="P505" s="26"/>
      <c r="Q505"/>
    </row>
    <row r="506" spans="1:17" x14ac:dyDescent="0.25">
      <c r="A506" s="1">
        <v>505</v>
      </c>
      <c r="B506" s="1" t="s">
        <v>51</v>
      </c>
      <c r="C506" s="54" t="s">
        <v>212</v>
      </c>
      <c r="D506" s="1">
        <v>250000</v>
      </c>
      <c r="E506" s="10" t="s">
        <v>432</v>
      </c>
      <c r="F506" s="5">
        <v>215735</v>
      </c>
      <c r="G506" s="6">
        <v>70000</v>
      </c>
      <c r="H506" s="7">
        <v>100</v>
      </c>
      <c r="I506" s="8">
        <f t="shared" si="74"/>
        <v>15101450000</v>
      </c>
      <c r="J506" s="9"/>
      <c r="K506" s="8">
        <f>(I506/100)*10</f>
        <v>1510145000</v>
      </c>
      <c r="L506" s="8">
        <f t="shared" si="78"/>
        <v>16611595000</v>
      </c>
      <c r="M506" s="10" t="s">
        <v>433</v>
      </c>
      <c r="N506" s="5">
        <v>16611595000</v>
      </c>
      <c r="O506" s="8">
        <f>L506-N506</f>
        <v>0</v>
      </c>
      <c r="P506" s="26"/>
      <c r="Q506"/>
    </row>
    <row r="507" spans="1:17" x14ac:dyDescent="0.25">
      <c r="A507" s="1">
        <v>506</v>
      </c>
      <c r="B507" s="1" t="s">
        <v>51</v>
      </c>
      <c r="C507" s="54" t="s">
        <v>212</v>
      </c>
      <c r="D507" s="1">
        <v>250000</v>
      </c>
      <c r="E507" s="10" t="s">
        <v>188</v>
      </c>
      <c r="F507" s="5">
        <v>20140</v>
      </c>
      <c r="G507" s="6">
        <v>70000</v>
      </c>
      <c r="H507" s="7">
        <v>100</v>
      </c>
      <c r="I507" s="8">
        <f t="shared" si="74"/>
        <v>1409800000</v>
      </c>
      <c r="J507" s="9"/>
      <c r="K507" s="8">
        <f>((F507*G507)/100)*10</f>
        <v>140980000</v>
      </c>
      <c r="L507" s="8">
        <f t="shared" si="78"/>
        <v>1550780000</v>
      </c>
      <c r="M507" s="10" t="s">
        <v>433</v>
      </c>
      <c r="N507" s="13">
        <v>1550780000</v>
      </c>
      <c r="O507" s="8">
        <f t="shared" ref="O507:O508" si="80">L507-N507</f>
        <v>0</v>
      </c>
      <c r="P507" s="26"/>
      <c r="Q507"/>
    </row>
    <row r="508" spans="1:17" ht="19.2" x14ac:dyDescent="0.25">
      <c r="A508" s="1">
        <v>507</v>
      </c>
      <c r="B508" s="1" t="s">
        <v>51</v>
      </c>
      <c r="C508" s="54" t="s">
        <v>212</v>
      </c>
      <c r="D508" s="1">
        <v>250000</v>
      </c>
      <c r="E508" s="10" t="s">
        <v>171</v>
      </c>
      <c r="F508" s="5">
        <v>14125</v>
      </c>
      <c r="G508" s="6">
        <v>70000</v>
      </c>
      <c r="H508" s="7">
        <v>100</v>
      </c>
      <c r="I508" s="8">
        <f t="shared" si="74"/>
        <v>988750000</v>
      </c>
      <c r="J508" s="9"/>
      <c r="K508" s="8">
        <f>((F508*G508)/100)*10</f>
        <v>98875000</v>
      </c>
      <c r="L508" s="8">
        <f t="shared" si="78"/>
        <v>1087625000</v>
      </c>
      <c r="M508" s="10" t="s">
        <v>433</v>
      </c>
      <c r="N508" s="13">
        <v>1087625000</v>
      </c>
      <c r="O508" s="8">
        <f t="shared" si="80"/>
        <v>0</v>
      </c>
      <c r="P508" s="34" t="s">
        <v>434</v>
      </c>
      <c r="Q508"/>
    </row>
    <row r="509" spans="1:17" x14ac:dyDescent="0.25">
      <c r="A509" s="1">
        <v>508</v>
      </c>
      <c r="B509" s="1" t="s">
        <v>51</v>
      </c>
      <c r="C509" s="54" t="s">
        <v>212</v>
      </c>
      <c r="D509" s="1">
        <v>40000</v>
      </c>
      <c r="E509" s="10" t="s">
        <v>171</v>
      </c>
      <c r="F509" s="5">
        <v>6220</v>
      </c>
      <c r="G509" s="6">
        <v>90000</v>
      </c>
      <c r="H509" s="7">
        <v>100</v>
      </c>
      <c r="I509" s="8">
        <f t="shared" si="74"/>
        <v>559800000</v>
      </c>
      <c r="J509" s="9"/>
      <c r="K509" s="8">
        <f>((F509*G509)/100)*10</f>
        <v>55980000</v>
      </c>
      <c r="L509" s="8">
        <f t="shared" si="78"/>
        <v>615780000</v>
      </c>
      <c r="M509" s="10" t="s">
        <v>435</v>
      </c>
      <c r="N509" s="5">
        <v>615780000</v>
      </c>
      <c r="O509" s="8">
        <f>L509-N509</f>
        <v>0</v>
      </c>
      <c r="P509" s="26"/>
      <c r="Q509"/>
    </row>
    <row r="510" spans="1:17" x14ac:dyDescent="0.25">
      <c r="A510" s="1">
        <v>509</v>
      </c>
      <c r="B510" s="1" t="s">
        <v>51</v>
      </c>
      <c r="C510" s="54" t="s">
        <v>212</v>
      </c>
      <c r="D510" s="1">
        <v>40000</v>
      </c>
      <c r="E510" s="10" t="s">
        <v>256</v>
      </c>
      <c r="F510" s="5">
        <v>20090</v>
      </c>
      <c r="G510" s="6">
        <v>90000</v>
      </c>
      <c r="H510" s="7">
        <v>100</v>
      </c>
      <c r="I510" s="8">
        <f t="shared" si="74"/>
        <v>1808100000</v>
      </c>
      <c r="J510" s="9"/>
      <c r="K510" s="8">
        <f>((F510*G510)/100)*10</f>
        <v>180810000</v>
      </c>
      <c r="L510" s="8">
        <f t="shared" si="78"/>
        <v>1988910000</v>
      </c>
      <c r="M510" s="10" t="s">
        <v>435</v>
      </c>
      <c r="N510" s="13">
        <v>1988910000</v>
      </c>
      <c r="O510" s="8">
        <f t="shared" ref="O510:O511" si="81">L510-N510</f>
        <v>0</v>
      </c>
      <c r="P510" s="26"/>
      <c r="Q510"/>
    </row>
    <row r="511" spans="1:17" x14ac:dyDescent="0.25">
      <c r="A511" s="1">
        <v>510</v>
      </c>
      <c r="B511" s="1" t="s">
        <v>51</v>
      </c>
      <c r="C511" s="54" t="s">
        <v>212</v>
      </c>
      <c r="D511" s="1">
        <v>40000</v>
      </c>
      <c r="E511" s="10" t="s">
        <v>261</v>
      </c>
      <c r="F511" s="5">
        <v>13605</v>
      </c>
      <c r="G511" s="6">
        <v>90000</v>
      </c>
      <c r="H511" s="7">
        <v>100</v>
      </c>
      <c r="I511" s="8">
        <f t="shared" si="74"/>
        <v>1224450000</v>
      </c>
      <c r="J511" s="9"/>
      <c r="K511" s="8">
        <f>((F511*G511)/100)*10</f>
        <v>122445000</v>
      </c>
      <c r="L511" s="8">
        <f t="shared" si="78"/>
        <v>1346895000</v>
      </c>
      <c r="M511" s="10" t="s">
        <v>435</v>
      </c>
      <c r="N511" s="13">
        <v>1346895000</v>
      </c>
      <c r="O511" s="8">
        <f t="shared" si="81"/>
        <v>0</v>
      </c>
      <c r="P511" s="26"/>
      <c r="Q511"/>
    </row>
    <row r="512" spans="1:17" ht="19.2" x14ac:dyDescent="0.25">
      <c r="A512" s="1">
        <v>511</v>
      </c>
      <c r="B512" s="1" t="s">
        <v>436</v>
      </c>
      <c r="C512" s="54" t="s">
        <v>212</v>
      </c>
      <c r="D512" s="1">
        <v>300000</v>
      </c>
      <c r="E512" s="18" t="s">
        <v>280</v>
      </c>
      <c r="F512" s="5">
        <v>19975</v>
      </c>
      <c r="G512" s="6">
        <v>100000</v>
      </c>
      <c r="H512" s="7">
        <v>85</v>
      </c>
      <c r="I512" s="8">
        <f t="shared" si="74"/>
        <v>1697875000</v>
      </c>
      <c r="J512" s="9"/>
      <c r="K512" s="8">
        <f>(I512/100)*10</f>
        <v>169787500</v>
      </c>
      <c r="L512" s="8">
        <f t="shared" si="78"/>
        <v>1867662500</v>
      </c>
      <c r="M512" s="10" t="s">
        <v>282</v>
      </c>
      <c r="N512" s="5">
        <v>1867662500</v>
      </c>
      <c r="O512" s="8">
        <f>L512-N512</f>
        <v>0</v>
      </c>
      <c r="P512" s="26"/>
      <c r="Q512"/>
    </row>
    <row r="513" spans="1:17" x14ac:dyDescent="0.25">
      <c r="A513" s="1">
        <v>512</v>
      </c>
      <c r="B513" s="1" t="s">
        <v>436</v>
      </c>
      <c r="C513" s="54" t="s">
        <v>212</v>
      </c>
      <c r="D513" s="1">
        <v>300000</v>
      </c>
      <c r="E513" s="10" t="s">
        <v>302</v>
      </c>
      <c r="F513" s="5">
        <v>10045</v>
      </c>
      <c r="G513" s="6">
        <v>100000</v>
      </c>
      <c r="H513" s="7">
        <v>85</v>
      </c>
      <c r="I513" s="8">
        <f t="shared" si="74"/>
        <v>853825000</v>
      </c>
      <c r="J513" s="9"/>
      <c r="K513" s="8">
        <f>(I513/100)*10</f>
        <v>85382500</v>
      </c>
      <c r="L513" s="8">
        <f t="shared" si="78"/>
        <v>939207500</v>
      </c>
      <c r="M513" s="10"/>
      <c r="N513" s="13"/>
      <c r="O513" s="8">
        <f t="shared" ref="O513" si="82">L513-N513</f>
        <v>939207500</v>
      </c>
      <c r="P513" s="26"/>
      <c r="Q513"/>
    </row>
    <row r="514" spans="1:17" ht="15.6" x14ac:dyDescent="0.25">
      <c r="A514" s="1">
        <v>513</v>
      </c>
      <c r="B514" s="1" t="s">
        <v>441</v>
      </c>
      <c r="C514" s="54" t="s">
        <v>212</v>
      </c>
      <c r="D514" s="1">
        <v>500000</v>
      </c>
      <c r="E514" s="16" t="s">
        <v>437</v>
      </c>
      <c r="F514" s="5">
        <v>237225</v>
      </c>
      <c r="G514" s="6">
        <v>78000</v>
      </c>
      <c r="H514" s="7">
        <v>70</v>
      </c>
      <c r="I514" s="8">
        <f t="shared" ref="I514:I536" si="83">((F514*G514)/100)*H514</f>
        <v>12952485000</v>
      </c>
      <c r="J514" s="9"/>
      <c r="K514" s="8">
        <f>(I514/100)*10</f>
        <v>1295248500</v>
      </c>
      <c r="L514" s="8">
        <f t="shared" si="78"/>
        <v>14247733500</v>
      </c>
      <c r="M514" s="20" t="s">
        <v>240</v>
      </c>
      <c r="N514" s="5">
        <v>14247733500</v>
      </c>
      <c r="O514" s="8">
        <f>L514-N514</f>
        <v>0</v>
      </c>
      <c r="P514" s="26" t="s">
        <v>438</v>
      </c>
      <c r="Q514"/>
    </row>
    <row r="515" spans="1:17" x14ac:dyDescent="0.25">
      <c r="A515" s="1">
        <v>514</v>
      </c>
      <c r="B515" s="1" t="s">
        <v>441</v>
      </c>
      <c r="C515" s="54" t="s">
        <v>212</v>
      </c>
      <c r="D515" s="1">
        <v>500000</v>
      </c>
      <c r="E515" s="10" t="s">
        <v>162</v>
      </c>
      <c r="F515" s="5">
        <v>20355</v>
      </c>
      <c r="G515" s="6">
        <v>78000</v>
      </c>
      <c r="H515" s="7">
        <v>70</v>
      </c>
      <c r="I515" s="8">
        <f t="shared" si="83"/>
        <v>1111383000</v>
      </c>
      <c r="J515" s="9"/>
      <c r="K515" s="8">
        <f t="shared" ref="K515:K526" si="84">(I515/100)*10</f>
        <v>111138300</v>
      </c>
      <c r="L515" s="8">
        <f t="shared" si="78"/>
        <v>1222521300</v>
      </c>
      <c r="M515" s="10" t="s">
        <v>304</v>
      </c>
      <c r="N515" s="13">
        <v>1222521300</v>
      </c>
      <c r="O515" s="8">
        <f t="shared" ref="O515:O526" si="85">L515-N515</f>
        <v>0</v>
      </c>
      <c r="P515" s="26"/>
      <c r="Q515"/>
    </row>
    <row r="516" spans="1:17" x14ac:dyDescent="0.25">
      <c r="A516" s="1">
        <v>515</v>
      </c>
      <c r="B516" s="1" t="s">
        <v>441</v>
      </c>
      <c r="C516" s="54" t="s">
        <v>212</v>
      </c>
      <c r="D516" s="1">
        <v>500000</v>
      </c>
      <c r="E516" s="10" t="s">
        <v>392</v>
      </c>
      <c r="F516" s="5">
        <v>21115</v>
      </c>
      <c r="G516" s="6">
        <v>78000</v>
      </c>
      <c r="H516" s="7">
        <v>70</v>
      </c>
      <c r="I516" s="8">
        <f t="shared" si="83"/>
        <v>1152879000</v>
      </c>
      <c r="J516" s="9"/>
      <c r="K516" s="8">
        <f t="shared" si="84"/>
        <v>115287900</v>
      </c>
      <c r="L516" s="8">
        <f t="shared" si="78"/>
        <v>1268166900</v>
      </c>
      <c r="M516" s="10" t="s">
        <v>183</v>
      </c>
      <c r="N516" s="13">
        <v>1268166900</v>
      </c>
      <c r="O516" s="8">
        <f t="shared" si="85"/>
        <v>0</v>
      </c>
      <c r="P516" s="26"/>
      <c r="Q516"/>
    </row>
    <row r="517" spans="1:17" x14ac:dyDescent="0.25">
      <c r="A517" s="1">
        <v>516</v>
      </c>
      <c r="B517" s="1" t="s">
        <v>441</v>
      </c>
      <c r="C517" s="54" t="s">
        <v>212</v>
      </c>
      <c r="D517" s="1">
        <v>500000</v>
      </c>
      <c r="E517" s="10" t="s">
        <v>151</v>
      </c>
      <c r="F517" s="5">
        <v>9840</v>
      </c>
      <c r="G517" s="6">
        <v>78000</v>
      </c>
      <c r="H517" s="7">
        <v>70</v>
      </c>
      <c r="I517" s="8">
        <f t="shared" si="83"/>
        <v>537264000</v>
      </c>
      <c r="J517" s="9"/>
      <c r="K517" s="8">
        <f t="shared" si="84"/>
        <v>53726400</v>
      </c>
      <c r="L517" s="8">
        <f t="shared" si="78"/>
        <v>590990400</v>
      </c>
      <c r="M517" s="10" t="s">
        <v>183</v>
      </c>
      <c r="N517" s="13">
        <v>590990400</v>
      </c>
      <c r="O517" s="8">
        <f t="shared" si="85"/>
        <v>0</v>
      </c>
      <c r="P517" s="26"/>
      <c r="Q517"/>
    </row>
    <row r="518" spans="1:17" x14ac:dyDescent="0.25">
      <c r="A518" s="1">
        <v>517</v>
      </c>
      <c r="B518" s="1" t="s">
        <v>441</v>
      </c>
      <c r="C518" s="54" t="s">
        <v>212</v>
      </c>
      <c r="D518" s="1">
        <v>500000</v>
      </c>
      <c r="E518" s="10" t="s">
        <v>183</v>
      </c>
      <c r="F518" s="5">
        <v>21020</v>
      </c>
      <c r="G518" s="6">
        <v>78000</v>
      </c>
      <c r="H518" s="7">
        <v>70</v>
      </c>
      <c r="I518" s="8">
        <f t="shared" si="83"/>
        <v>1147692000</v>
      </c>
      <c r="J518" s="9"/>
      <c r="K518" s="8">
        <f>(I518/100)*10</f>
        <v>114769200</v>
      </c>
      <c r="L518" s="8">
        <f t="shared" si="78"/>
        <v>1262461200</v>
      </c>
      <c r="M518" s="10" t="s">
        <v>171</v>
      </c>
      <c r="N518" s="13">
        <v>1262461200</v>
      </c>
      <c r="O518" s="8">
        <f t="shared" si="85"/>
        <v>0</v>
      </c>
      <c r="P518" s="26"/>
      <c r="Q518"/>
    </row>
    <row r="519" spans="1:17" x14ac:dyDescent="0.25">
      <c r="A519" s="1">
        <v>518</v>
      </c>
      <c r="B519" s="1" t="s">
        <v>441</v>
      </c>
      <c r="C519" s="54" t="s">
        <v>212</v>
      </c>
      <c r="D519" s="1">
        <v>500000</v>
      </c>
      <c r="E519" s="10" t="s">
        <v>378</v>
      </c>
      <c r="F519" s="5">
        <v>17935</v>
      </c>
      <c r="G519" s="6">
        <v>78000</v>
      </c>
      <c r="H519" s="7">
        <v>70</v>
      </c>
      <c r="I519" s="8">
        <f t="shared" si="83"/>
        <v>979251000</v>
      </c>
      <c r="J519" s="9"/>
      <c r="K519" s="8">
        <f t="shared" si="84"/>
        <v>97925100</v>
      </c>
      <c r="L519" s="8">
        <f t="shared" si="78"/>
        <v>1077176100</v>
      </c>
      <c r="M519" s="10" t="s">
        <v>108</v>
      </c>
      <c r="N519" s="13">
        <v>1077176100</v>
      </c>
      <c r="O519" s="8">
        <f t="shared" si="85"/>
        <v>0</v>
      </c>
      <c r="P519" s="26"/>
      <c r="Q519"/>
    </row>
    <row r="520" spans="1:17" x14ac:dyDescent="0.25">
      <c r="A520" s="1">
        <v>519</v>
      </c>
      <c r="B520" s="1" t="s">
        <v>441</v>
      </c>
      <c r="C520" s="54" t="s">
        <v>212</v>
      </c>
      <c r="D520" s="1">
        <v>500000</v>
      </c>
      <c r="E520" s="10" t="s">
        <v>294</v>
      </c>
      <c r="F520" s="5">
        <v>10010</v>
      </c>
      <c r="G520" s="6">
        <v>78000</v>
      </c>
      <c r="H520" s="7">
        <v>70</v>
      </c>
      <c r="I520" s="8">
        <f t="shared" si="83"/>
        <v>546546000</v>
      </c>
      <c r="J520" s="9"/>
      <c r="K520" s="8">
        <f t="shared" si="84"/>
        <v>54654600</v>
      </c>
      <c r="L520" s="8">
        <f t="shared" si="78"/>
        <v>601200600</v>
      </c>
      <c r="M520" s="10" t="s">
        <v>371</v>
      </c>
      <c r="N520" s="13">
        <v>601200600</v>
      </c>
      <c r="O520" s="8">
        <f t="shared" si="85"/>
        <v>0</v>
      </c>
      <c r="P520" s="26"/>
      <c r="Q520"/>
    </row>
    <row r="521" spans="1:17" x14ac:dyDescent="0.25">
      <c r="A521" s="1">
        <v>520</v>
      </c>
      <c r="B521" s="1" t="s">
        <v>441</v>
      </c>
      <c r="C521" s="54" t="s">
        <v>212</v>
      </c>
      <c r="D521" s="1">
        <v>500000</v>
      </c>
      <c r="E521" s="10" t="s">
        <v>222</v>
      </c>
      <c r="F521" s="5">
        <v>9910</v>
      </c>
      <c r="G521" s="6">
        <v>78000</v>
      </c>
      <c r="H521" s="7">
        <v>70</v>
      </c>
      <c r="I521" s="8">
        <f t="shared" si="83"/>
        <v>541086000</v>
      </c>
      <c r="J521" s="9"/>
      <c r="K521" s="8">
        <f t="shared" si="84"/>
        <v>54108600</v>
      </c>
      <c r="L521" s="8">
        <f t="shared" si="78"/>
        <v>595194600</v>
      </c>
      <c r="M521" s="10" t="s">
        <v>371</v>
      </c>
      <c r="N521" s="13">
        <v>595194600</v>
      </c>
      <c r="O521" s="8">
        <f t="shared" si="85"/>
        <v>0</v>
      </c>
      <c r="P521" s="26"/>
      <c r="Q521"/>
    </row>
    <row r="522" spans="1:17" x14ac:dyDescent="0.25">
      <c r="A522" s="1">
        <v>521</v>
      </c>
      <c r="B522" s="1" t="s">
        <v>441</v>
      </c>
      <c r="C522" s="54" t="s">
        <v>212</v>
      </c>
      <c r="D522" s="1">
        <v>500000</v>
      </c>
      <c r="E522" s="10" t="s">
        <v>254</v>
      </c>
      <c r="F522" s="5">
        <v>12450</v>
      </c>
      <c r="G522" s="6">
        <v>78000</v>
      </c>
      <c r="H522" s="7">
        <v>70</v>
      </c>
      <c r="I522" s="8">
        <f t="shared" si="83"/>
        <v>679770000</v>
      </c>
      <c r="J522" s="9"/>
      <c r="K522" s="8">
        <f t="shared" si="84"/>
        <v>67977000</v>
      </c>
      <c r="L522" s="8">
        <f t="shared" si="78"/>
        <v>747747000</v>
      </c>
      <c r="M522" s="10" t="s">
        <v>201</v>
      </c>
      <c r="N522" s="13">
        <v>747747000</v>
      </c>
      <c r="O522" s="8">
        <f t="shared" si="85"/>
        <v>0</v>
      </c>
      <c r="P522" s="26"/>
      <c r="Q522"/>
    </row>
    <row r="523" spans="1:17" x14ac:dyDescent="0.25">
      <c r="A523" s="1">
        <v>522</v>
      </c>
      <c r="B523" s="1" t="s">
        <v>441</v>
      </c>
      <c r="C523" s="54" t="s">
        <v>212</v>
      </c>
      <c r="D523" s="1">
        <v>500000</v>
      </c>
      <c r="E523" s="10" t="s">
        <v>163</v>
      </c>
      <c r="F523" s="5">
        <v>11430</v>
      </c>
      <c r="G523" s="6">
        <v>78000</v>
      </c>
      <c r="H523" s="7">
        <v>70</v>
      </c>
      <c r="I523" s="8">
        <f t="shared" si="83"/>
        <v>624078000</v>
      </c>
      <c r="J523" s="9"/>
      <c r="K523" s="8">
        <f t="shared" si="84"/>
        <v>62407800</v>
      </c>
      <c r="L523" s="8">
        <f t="shared" si="78"/>
        <v>686485800</v>
      </c>
      <c r="M523" s="10" t="s">
        <v>201</v>
      </c>
      <c r="N523" s="13">
        <v>686485800</v>
      </c>
      <c r="O523" s="8">
        <f t="shared" si="85"/>
        <v>0</v>
      </c>
      <c r="P523" s="26"/>
      <c r="Q523"/>
    </row>
    <row r="524" spans="1:17" x14ac:dyDescent="0.25">
      <c r="A524" s="1">
        <v>523</v>
      </c>
      <c r="B524" s="1" t="s">
        <v>441</v>
      </c>
      <c r="C524" s="54" t="s">
        <v>212</v>
      </c>
      <c r="D524" s="1">
        <v>500000</v>
      </c>
      <c r="E524" s="10" t="s">
        <v>258</v>
      </c>
      <c r="F524" s="5">
        <v>14955</v>
      </c>
      <c r="G524" s="6">
        <v>78000</v>
      </c>
      <c r="H524" s="7">
        <v>70</v>
      </c>
      <c r="I524" s="8">
        <f t="shared" si="83"/>
        <v>816543000</v>
      </c>
      <c r="J524" s="9"/>
      <c r="K524" s="8">
        <f t="shared" si="84"/>
        <v>81654300</v>
      </c>
      <c r="L524" s="8">
        <f t="shared" si="78"/>
        <v>898197300</v>
      </c>
      <c r="M524" s="10" t="s">
        <v>317</v>
      </c>
      <c r="N524" s="13">
        <v>898197300</v>
      </c>
      <c r="O524" s="8">
        <f t="shared" si="85"/>
        <v>0</v>
      </c>
      <c r="P524" s="26"/>
      <c r="Q524"/>
    </row>
    <row r="525" spans="1:17" x14ac:dyDescent="0.25">
      <c r="A525" s="1">
        <v>524</v>
      </c>
      <c r="B525" s="1" t="s">
        <v>441</v>
      </c>
      <c r="C525" s="54" t="s">
        <v>212</v>
      </c>
      <c r="D525" s="1">
        <v>500000</v>
      </c>
      <c r="E525" s="10" t="s">
        <v>439</v>
      </c>
      <c r="F525" s="5">
        <v>9430</v>
      </c>
      <c r="G525" s="6">
        <v>78000</v>
      </c>
      <c r="H525" s="7">
        <v>70</v>
      </c>
      <c r="I525" s="8">
        <f t="shared" si="83"/>
        <v>514878000</v>
      </c>
      <c r="J525" s="9"/>
      <c r="K525" s="8">
        <f t="shared" si="84"/>
        <v>51487800</v>
      </c>
      <c r="L525" s="8">
        <f t="shared" si="78"/>
        <v>566365800</v>
      </c>
      <c r="M525" s="10"/>
      <c r="N525" s="13"/>
      <c r="O525" s="8">
        <f t="shared" si="85"/>
        <v>566365800</v>
      </c>
      <c r="P525" s="26" t="s">
        <v>440</v>
      </c>
      <c r="Q525"/>
    </row>
    <row r="526" spans="1:17" x14ac:dyDescent="0.25">
      <c r="A526" s="1">
        <v>525</v>
      </c>
      <c r="B526" s="1" t="s">
        <v>441</v>
      </c>
      <c r="C526" s="54" t="s">
        <v>212</v>
      </c>
      <c r="D526" s="1">
        <v>500000</v>
      </c>
      <c r="E526" s="10" t="s">
        <v>318</v>
      </c>
      <c r="F526" s="5">
        <v>20100</v>
      </c>
      <c r="G526" s="6">
        <v>78000</v>
      </c>
      <c r="H526" s="7">
        <v>70</v>
      </c>
      <c r="I526" s="8">
        <f t="shared" si="83"/>
        <v>1097460000</v>
      </c>
      <c r="J526" s="9"/>
      <c r="K526" s="8">
        <f t="shared" si="84"/>
        <v>109746000</v>
      </c>
      <c r="L526" s="8">
        <f t="shared" si="78"/>
        <v>1207206000</v>
      </c>
      <c r="M526" s="10"/>
      <c r="N526" s="13"/>
      <c r="O526" s="8">
        <f t="shared" si="85"/>
        <v>1207206000</v>
      </c>
      <c r="P526" s="26" t="s">
        <v>440</v>
      </c>
      <c r="Q526"/>
    </row>
    <row r="527" spans="1:17" ht="17.399999999999999" x14ac:dyDescent="0.25">
      <c r="A527" s="1">
        <v>526</v>
      </c>
      <c r="B527" s="1" t="s">
        <v>446</v>
      </c>
      <c r="C527" s="54" t="s">
        <v>212</v>
      </c>
      <c r="D527" s="1">
        <v>150000</v>
      </c>
      <c r="E527" s="4" t="s">
        <v>443</v>
      </c>
      <c r="F527" s="5">
        <v>85830</v>
      </c>
      <c r="G527" s="6">
        <v>80000</v>
      </c>
      <c r="H527" s="7">
        <v>70</v>
      </c>
      <c r="I527" s="8">
        <f t="shared" si="83"/>
        <v>4806480000</v>
      </c>
      <c r="J527" s="9"/>
      <c r="K527" s="8">
        <f>(I527/100)*10</f>
        <v>480648000</v>
      </c>
      <c r="L527" s="8">
        <f t="shared" si="78"/>
        <v>5287128000</v>
      </c>
      <c r="M527" s="10" t="s">
        <v>159</v>
      </c>
      <c r="N527" s="5">
        <v>5287128000</v>
      </c>
      <c r="O527" s="8">
        <f>L527-N527</f>
        <v>0</v>
      </c>
      <c r="P527" s="26"/>
      <c r="Q527"/>
    </row>
    <row r="528" spans="1:17" x14ac:dyDescent="0.25">
      <c r="A528" s="1">
        <v>527</v>
      </c>
      <c r="B528" s="1" t="s">
        <v>446</v>
      </c>
      <c r="C528" s="54" t="s">
        <v>212</v>
      </c>
      <c r="D528" s="1">
        <v>150000</v>
      </c>
      <c r="E528" s="10" t="s">
        <v>305</v>
      </c>
      <c r="F528" s="5">
        <v>9855</v>
      </c>
      <c r="G528" s="6">
        <v>80000</v>
      </c>
      <c r="H528" s="7">
        <v>70</v>
      </c>
      <c r="I528" s="8">
        <f t="shared" si="83"/>
        <v>551880000</v>
      </c>
      <c r="J528" s="9"/>
      <c r="K528" s="8">
        <f t="shared" ref="K528:K534" si="86">(I528/100)*10</f>
        <v>55188000</v>
      </c>
      <c r="L528" s="8">
        <f t="shared" si="78"/>
        <v>607068000</v>
      </c>
      <c r="M528" s="10" t="s">
        <v>146</v>
      </c>
      <c r="N528" s="13">
        <v>607068000</v>
      </c>
      <c r="O528" s="8">
        <f t="shared" ref="O528:O534" si="87">L528-N528</f>
        <v>0</v>
      </c>
      <c r="P528" s="26"/>
      <c r="Q528"/>
    </row>
    <row r="529" spans="1:17" ht="15.6" x14ac:dyDescent="0.25">
      <c r="A529" s="1">
        <v>528</v>
      </c>
      <c r="B529" s="1" t="s">
        <v>446</v>
      </c>
      <c r="C529" s="54" t="s">
        <v>212</v>
      </c>
      <c r="D529" s="1">
        <v>150000</v>
      </c>
      <c r="E529" s="10" t="s">
        <v>306</v>
      </c>
      <c r="F529" s="5">
        <v>9950</v>
      </c>
      <c r="G529" s="6">
        <v>80000</v>
      </c>
      <c r="H529" s="7">
        <v>70</v>
      </c>
      <c r="I529" s="8">
        <f t="shared" si="83"/>
        <v>557200000</v>
      </c>
      <c r="J529" s="9"/>
      <c r="K529" s="8">
        <f t="shared" si="86"/>
        <v>55720000</v>
      </c>
      <c r="L529" s="8">
        <f t="shared" si="78"/>
        <v>612920000</v>
      </c>
      <c r="M529" s="16" t="s">
        <v>444</v>
      </c>
      <c r="N529" s="13">
        <v>612920000</v>
      </c>
      <c r="O529" s="8">
        <f t="shared" si="87"/>
        <v>0</v>
      </c>
      <c r="P529" s="26"/>
      <c r="Q529"/>
    </row>
    <row r="530" spans="1:17" x14ac:dyDescent="0.25">
      <c r="A530" s="1">
        <v>529</v>
      </c>
      <c r="B530" s="1" t="s">
        <v>446</v>
      </c>
      <c r="C530" s="54" t="s">
        <v>212</v>
      </c>
      <c r="D530" s="1">
        <v>150000</v>
      </c>
      <c r="E530" s="10" t="s">
        <v>250</v>
      </c>
      <c r="F530" s="5">
        <v>9750</v>
      </c>
      <c r="G530" s="6">
        <v>80000</v>
      </c>
      <c r="H530" s="7">
        <v>70</v>
      </c>
      <c r="I530" s="8">
        <f t="shared" si="83"/>
        <v>546000000</v>
      </c>
      <c r="J530" s="9"/>
      <c r="K530" s="8">
        <f t="shared" si="86"/>
        <v>54600000</v>
      </c>
      <c r="L530" s="8">
        <f t="shared" si="78"/>
        <v>600600000</v>
      </c>
      <c r="M530" s="10" t="s">
        <v>193</v>
      </c>
      <c r="N530" s="13">
        <v>600600000</v>
      </c>
      <c r="O530" s="8">
        <f t="shared" si="87"/>
        <v>0</v>
      </c>
      <c r="P530" s="26"/>
      <c r="Q530"/>
    </row>
    <row r="531" spans="1:17" x14ac:dyDescent="0.25">
      <c r="A531" s="1">
        <v>530</v>
      </c>
      <c r="B531" s="1" t="s">
        <v>446</v>
      </c>
      <c r="C531" s="54" t="s">
        <v>212</v>
      </c>
      <c r="D531" s="1">
        <v>150000</v>
      </c>
      <c r="E531" s="10" t="s">
        <v>193</v>
      </c>
      <c r="F531" s="5">
        <v>10060</v>
      </c>
      <c r="G531" s="6">
        <v>80000</v>
      </c>
      <c r="H531" s="7">
        <v>70</v>
      </c>
      <c r="I531" s="8">
        <f t="shared" si="83"/>
        <v>563360000</v>
      </c>
      <c r="J531" s="9"/>
      <c r="K531" s="8">
        <f t="shared" si="86"/>
        <v>56336000</v>
      </c>
      <c r="L531" s="8">
        <f t="shared" si="78"/>
        <v>619696000</v>
      </c>
      <c r="M531" s="10" t="s">
        <v>193</v>
      </c>
      <c r="N531" s="13">
        <v>619696000</v>
      </c>
      <c r="O531" s="8">
        <f t="shared" si="87"/>
        <v>0</v>
      </c>
      <c r="P531" s="26"/>
      <c r="Q531"/>
    </row>
    <row r="532" spans="1:17" x14ac:dyDescent="0.25">
      <c r="A532" s="1">
        <v>531</v>
      </c>
      <c r="B532" s="1" t="s">
        <v>446</v>
      </c>
      <c r="C532" s="54" t="s">
        <v>212</v>
      </c>
      <c r="D532" s="1">
        <v>150000</v>
      </c>
      <c r="E532" s="10" t="s">
        <v>379</v>
      </c>
      <c r="F532" s="5">
        <v>10005</v>
      </c>
      <c r="G532" s="6">
        <v>80000</v>
      </c>
      <c r="H532" s="7">
        <v>70</v>
      </c>
      <c r="I532" s="8">
        <f t="shared" si="83"/>
        <v>560280000</v>
      </c>
      <c r="J532" s="9"/>
      <c r="K532" s="8">
        <f t="shared" si="86"/>
        <v>56028000</v>
      </c>
      <c r="L532" s="8">
        <f t="shared" si="78"/>
        <v>616308000</v>
      </c>
      <c r="M532" s="10" t="s">
        <v>204</v>
      </c>
      <c r="N532" s="13">
        <v>616308000</v>
      </c>
      <c r="O532" s="8">
        <f t="shared" si="87"/>
        <v>0</v>
      </c>
      <c r="P532" s="26"/>
      <c r="Q532"/>
    </row>
    <row r="533" spans="1:17" x14ac:dyDescent="0.25">
      <c r="A533" s="1">
        <v>532</v>
      </c>
      <c r="B533" s="1" t="s">
        <v>446</v>
      </c>
      <c r="C533" s="54" t="s">
        <v>212</v>
      </c>
      <c r="D533" s="1">
        <v>150000</v>
      </c>
      <c r="E533" s="10" t="s">
        <v>61</v>
      </c>
      <c r="F533" s="5">
        <v>9930</v>
      </c>
      <c r="G533" s="6">
        <v>80000</v>
      </c>
      <c r="H533" s="7">
        <v>70</v>
      </c>
      <c r="I533" s="8">
        <f t="shared" si="83"/>
        <v>556080000</v>
      </c>
      <c r="J533" s="9"/>
      <c r="K533" s="8">
        <f t="shared" si="86"/>
        <v>55608000</v>
      </c>
      <c r="L533" s="8">
        <f t="shared" si="78"/>
        <v>611688000</v>
      </c>
      <c r="M533" s="10"/>
      <c r="N533" s="13"/>
      <c r="O533" s="8">
        <f t="shared" si="87"/>
        <v>611688000</v>
      </c>
      <c r="P533" s="26"/>
      <c r="Q533"/>
    </row>
    <row r="534" spans="1:17" x14ac:dyDescent="0.25">
      <c r="A534" s="1">
        <v>533</v>
      </c>
      <c r="B534" s="1" t="s">
        <v>446</v>
      </c>
      <c r="C534" s="54" t="s">
        <v>212</v>
      </c>
      <c r="D534" s="1">
        <v>150000</v>
      </c>
      <c r="E534" s="10" t="s">
        <v>62</v>
      </c>
      <c r="F534" s="5">
        <v>4620</v>
      </c>
      <c r="G534" s="6">
        <v>80000</v>
      </c>
      <c r="H534" s="7">
        <v>70</v>
      </c>
      <c r="I534" s="8">
        <f t="shared" si="83"/>
        <v>258720000</v>
      </c>
      <c r="J534" s="9"/>
      <c r="K534" s="8">
        <f t="shared" si="86"/>
        <v>25872000</v>
      </c>
      <c r="L534" s="8">
        <f t="shared" si="78"/>
        <v>284592000</v>
      </c>
      <c r="M534" s="10"/>
      <c r="N534" s="13"/>
      <c r="O534" s="8">
        <f t="shared" si="87"/>
        <v>284592000</v>
      </c>
      <c r="P534" s="26" t="s">
        <v>445</v>
      </c>
      <c r="Q534"/>
    </row>
    <row r="535" spans="1:17" x14ac:dyDescent="0.25">
      <c r="A535" s="1">
        <v>534</v>
      </c>
      <c r="B535" s="1" t="s">
        <v>446</v>
      </c>
      <c r="C535" s="55"/>
      <c r="D535" s="1">
        <v>6000</v>
      </c>
      <c r="E535" s="10" t="s">
        <v>62</v>
      </c>
      <c r="F535" s="5">
        <v>5330</v>
      </c>
      <c r="G535" s="6">
        <v>120000</v>
      </c>
      <c r="H535" s="7">
        <v>100</v>
      </c>
      <c r="I535" s="8">
        <f t="shared" si="83"/>
        <v>639600000</v>
      </c>
      <c r="J535" s="9"/>
      <c r="K535" s="8">
        <f>(I535/100)*10</f>
        <v>63960000</v>
      </c>
      <c r="L535" s="8">
        <f t="shared" si="78"/>
        <v>703560000</v>
      </c>
      <c r="M535" s="10"/>
      <c r="N535" s="5"/>
      <c r="O535" s="8">
        <f>L535-N535</f>
        <v>703560000</v>
      </c>
      <c r="P535" s="26" t="s">
        <v>445</v>
      </c>
      <c r="Q535"/>
    </row>
    <row r="536" spans="1:17" ht="19.2" x14ac:dyDescent="0.25">
      <c r="A536" s="1">
        <v>535</v>
      </c>
      <c r="B536" s="1" t="s">
        <v>447</v>
      </c>
      <c r="C536" s="54" t="s">
        <v>186</v>
      </c>
      <c r="D536" s="1">
        <v>20000</v>
      </c>
      <c r="E536" s="18" t="s">
        <v>135</v>
      </c>
      <c r="F536" s="5">
        <v>18375</v>
      </c>
      <c r="G536" s="6">
        <v>7300</v>
      </c>
      <c r="H536" s="7">
        <v>100</v>
      </c>
      <c r="I536" s="8">
        <f t="shared" si="83"/>
        <v>134137500</v>
      </c>
      <c r="J536" s="9"/>
      <c r="K536" s="8">
        <f>(I536/100)*10</f>
        <v>13413750</v>
      </c>
      <c r="L536" s="8">
        <f t="shared" si="78"/>
        <v>147551250</v>
      </c>
      <c r="M536" s="10"/>
      <c r="N536" s="5"/>
      <c r="O536" s="8">
        <f>L536-N536</f>
        <v>147551250</v>
      </c>
      <c r="P536" s="39"/>
      <c r="Q536"/>
    </row>
  </sheetData>
  <phoneticPr fontId="17" type="noConversion"/>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AADB-67BF-4E53-9B8A-87BFA6221519}">
  <dimension ref="A1:AP30"/>
  <sheetViews>
    <sheetView rightToLeft="1" workbookViewId="0">
      <selection activeCell="C19" sqref="C19"/>
    </sheetView>
  </sheetViews>
  <sheetFormatPr defaultRowHeight="13.8" x14ac:dyDescent="0.25"/>
  <cols>
    <col min="1" max="1" width="13.09765625" bestFit="1" customWidth="1"/>
    <col min="2" max="2" width="10.296875" bestFit="1" customWidth="1"/>
    <col min="3" max="3" width="9.296875" bestFit="1" customWidth="1"/>
    <col min="4" max="4" width="8.8984375" bestFit="1" customWidth="1"/>
    <col min="5" max="12" width="6" bestFit="1" customWidth="1"/>
    <col min="13" max="13" width="10.296875" bestFit="1" customWidth="1"/>
    <col min="14" max="14" width="10.09765625" bestFit="1" customWidth="1"/>
    <col min="15" max="15" width="8.8984375" bestFit="1" customWidth="1"/>
    <col min="16" max="16" width="10.796875" bestFit="1" customWidth="1"/>
    <col min="17" max="17" width="8.8984375" bestFit="1" customWidth="1"/>
    <col min="18" max="18" width="10.8984375" bestFit="1" customWidth="1"/>
    <col min="19" max="19" width="8.3984375" bestFit="1" customWidth="1"/>
    <col min="20" max="23" width="7" bestFit="1" customWidth="1"/>
    <col min="24" max="24" width="11.3984375" bestFit="1" customWidth="1"/>
    <col min="25" max="25" width="12.19921875" bestFit="1" customWidth="1"/>
    <col min="26" max="26" width="8.59765625" bestFit="1" customWidth="1"/>
    <col min="27" max="27" width="15.5" bestFit="1" customWidth="1"/>
    <col min="28" max="28" width="18.59765625" bestFit="1" customWidth="1"/>
    <col min="29" max="29" width="6.59765625" bestFit="1" customWidth="1"/>
    <col min="30" max="34" width="7" bestFit="1" customWidth="1"/>
    <col min="35" max="35" width="11.3984375" bestFit="1" customWidth="1"/>
    <col min="36" max="36" width="12.19921875" bestFit="1" customWidth="1"/>
    <col min="37" max="37" width="6.8984375" bestFit="1" customWidth="1"/>
    <col min="38" max="38" width="15.5" bestFit="1" customWidth="1"/>
    <col min="39" max="39" width="18.59765625" bestFit="1" customWidth="1"/>
    <col min="40" max="40" width="6.59765625" bestFit="1" customWidth="1"/>
    <col min="41" max="41" width="13" bestFit="1" customWidth="1"/>
    <col min="42" max="42" width="11.796875" bestFit="1" customWidth="1"/>
    <col min="43" max="44" width="8" bestFit="1" customWidth="1"/>
    <col min="45" max="45" width="7" bestFit="1" customWidth="1"/>
    <col min="46" max="46" width="10.59765625" bestFit="1" customWidth="1"/>
  </cols>
  <sheetData>
    <row r="1" spans="1:42" x14ac:dyDescent="0.25">
      <c r="A1" s="86" t="s">
        <v>13</v>
      </c>
      <c r="B1" s="87" t="s" vm="2">
        <v>73</v>
      </c>
      <c r="M1" s="86" t="s">
        <v>13</v>
      </c>
      <c r="N1" s="87" t="s" vm="2">
        <v>73</v>
      </c>
      <c r="X1" s="86" t="s">
        <v>13</v>
      </c>
      <c r="Y1" s="87" t="s" vm="2">
        <v>73</v>
      </c>
      <c r="AA1" t="str" vm="2">
        <f>Y1</f>
        <v>عراق اربیل</v>
      </c>
      <c r="AI1" s="86" t="s">
        <v>13</v>
      </c>
      <c r="AJ1" s="87" t="s" vm="2">
        <v>73</v>
      </c>
      <c r="AL1" t="str" vm="2">
        <f>AJ1</f>
        <v>عراق اربیل</v>
      </c>
    </row>
    <row r="2" spans="1:42" x14ac:dyDescent="0.25">
      <c r="A2" s="86" t="s">
        <v>230</v>
      </c>
      <c r="B2" s="87" t="s" vm="1">
        <v>620</v>
      </c>
      <c r="M2" s="86" t="s">
        <v>230</v>
      </c>
      <c r="N2" s="87" t="s" vm="1">
        <v>620</v>
      </c>
      <c r="X2" s="86" t="s">
        <v>230</v>
      </c>
      <c r="Y2" s="87" t="s" vm="1">
        <v>620</v>
      </c>
      <c r="AI2" s="86" t="s">
        <v>230</v>
      </c>
      <c r="AJ2" s="87" t="s" vm="1">
        <v>620</v>
      </c>
    </row>
    <row r="3" spans="1:42" x14ac:dyDescent="0.25">
      <c r="X3" s="86" t="s">
        <v>14</v>
      </c>
      <c r="Y3" s="87" t="s" vm="3">
        <v>998</v>
      </c>
      <c r="AA3" t="str" vm="3">
        <f>Y3</f>
        <v>پ/92-1404-4</v>
      </c>
      <c r="AI3" s="86" t="s">
        <v>14</v>
      </c>
      <c r="AJ3" s="87" t="s" vm="3">
        <v>998</v>
      </c>
      <c r="AL3" t="str" vm="3">
        <f>AJ3</f>
        <v>پ/92-1404-4</v>
      </c>
    </row>
    <row r="4" spans="1:42" x14ac:dyDescent="0.25">
      <c r="A4" s="86" t="s">
        <v>621</v>
      </c>
      <c r="B4" t="s">
        <v>622</v>
      </c>
      <c r="C4" t="s">
        <v>623</v>
      </c>
      <c r="D4" t="s">
        <v>624</v>
      </c>
      <c r="M4" t="s">
        <v>622</v>
      </c>
      <c r="N4" t="s">
        <v>623</v>
      </c>
      <c r="O4" t="s">
        <v>624</v>
      </c>
      <c r="P4" t="s">
        <v>625</v>
      </c>
      <c r="Q4" t="s">
        <v>626</v>
      </c>
      <c r="R4" s="88" t="s">
        <v>627</v>
      </c>
      <c r="S4" s="88" t="s">
        <v>628</v>
      </c>
    </row>
    <row r="5" spans="1:42" x14ac:dyDescent="0.25">
      <c r="A5" s="87" t="s">
        <v>739</v>
      </c>
      <c r="B5">
        <v>4710</v>
      </c>
      <c r="M5" s="91">
        <v>7524710</v>
      </c>
      <c r="N5" s="91">
        <v>1997150</v>
      </c>
      <c r="O5" s="91">
        <v>122495.25</v>
      </c>
      <c r="P5">
        <v>6</v>
      </c>
      <c r="Q5">
        <v>100</v>
      </c>
      <c r="R5" s="89">
        <f>N5/M5</f>
        <v>0.26541222186635766</v>
      </c>
      <c r="S5" s="89">
        <f>1-R5</f>
        <v>0.73458777813364229</v>
      </c>
      <c r="X5" s="86" t="s">
        <v>587</v>
      </c>
      <c r="Y5" t="s">
        <v>623</v>
      </c>
      <c r="Z5" t="s">
        <v>630</v>
      </c>
      <c r="AA5" t="s">
        <v>631</v>
      </c>
      <c r="AI5" t="s">
        <v>626</v>
      </c>
      <c r="AJ5" t="s">
        <v>623</v>
      </c>
      <c r="AK5" t="s">
        <v>630</v>
      </c>
      <c r="AL5" t="s">
        <v>631</v>
      </c>
    </row>
    <row r="6" spans="1:42" x14ac:dyDescent="0.25">
      <c r="A6" s="87" t="s">
        <v>896</v>
      </c>
      <c r="B6">
        <v>5520000</v>
      </c>
      <c r="M6" s="90">
        <f>M5/1000</f>
        <v>7524.71</v>
      </c>
      <c r="N6" s="90">
        <f>N5/1000</f>
        <v>1997.15</v>
      </c>
      <c r="X6" s="87">
        <v>16</v>
      </c>
      <c r="Y6" s="91">
        <v>20990</v>
      </c>
      <c r="Z6" s="91">
        <v>128971</v>
      </c>
      <c r="AA6" s="91">
        <v>2977811419</v>
      </c>
      <c r="AI6">
        <v>25</v>
      </c>
      <c r="AJ6">
        <v>497150</v>
      </c>
      <c r="AK6">
        <v>128971</v>
      </c>
      <c r="AL6">
        <v>70529725915</v>
      </c>
    </row>
    <row r="7" spans="1:42" x14ac:dyDescent="0.25">
      <c r="A7" s="87" t="s">
        <v>909</v>
      </c>
      <c r="B7">
        <v>500000</v>
      </c>
      <c r="C7">
        <v>500000</v>
      </c>
      <c r="D7">
        <v>115372</v>
      </c>
      <c r="X7" s="87">
        <v>17</v>
      </c>
      <c r="Y7" s="91">
        <v>21010</v>
      </c>
      <c r="Z7" s="91">
        <v>128971</v>
      </c>
      <c r="AA7" s="91">
        <v>2980648781</v>
      </c>
      <c r="AI7">
        <f>AI6</f>
        <v>25</v>
      </c>
      <c r="AJ7" s="76">
        <f>AJ6/1000</f>
        <v>497.15</v>
      </c>
      <c r="AK7" s="76">
        <f t="shared" ref="AK7:AP7" si="0">AK6</f>
        <v>128971</v>
      </c>
      <c r="AL7" s="76">
        <f>AL6/1000000</f>
        <v>70529.725915000003</v>
      </c>
      <c r="AM7" s="76">
        <f>AM6/1000000</f>
        <v>0</v>
      </c>
      <c r="AN7" s="76">
        <f>AN6/1000000</f>
        <v>0</v>
      </c>
      <c r="AO7" s="76">
        <f>AO6/1000000</f>
        <v>0</v>
      </c>
      <c r="AP7" s="76">
        <f t="shared" si="0"/>
        <v>0</v>
      </c>
    </row>
    <row r="8" spans="1:42" x14ac:dyDescent="0.25">
      <c r="A8" s="87" t="s">
        <v>910</v>
      </c>
      <c r="B8">
        <v>500000</v>
      </c>
      <c r="C8">
        <v>500000</v>
      </c>
      <c r="D8">
        <v>115372</v>
      </c>
      <c r="X8" s="87">
        <v>18</v>
      </c>
      <c r="Y8" s="91">
        <v>20990</v>
      </c>
      <c r="Z8" s="91">
        <v>128971</v>
      </c>
      <c r="AA8" s="91">
        <v>2977811419</v>
      </c>
    </row>
    <row r="9" spans="1:42" x14ac:dyDescent="0.25">
      <c r="A9" s="87" t="s">
        <v>934</v>
      </c>
      <c r="B9">
        <v>500000</v>
      </c>
      <c r="C9">
        <v>500000</v>
      </c>
      <c r="D9">
        <v>130266</v>
      </c>
      <c r="X9" s="87">
        <v>19</v>
      </c>
      <c r="Y9" s="91">
        <v>21100</v>
      </c>
      <c r="Z9" s="91">
        <v>128971</v>
      </c>
      <c r="AA9" s="91">
        <v>2993416910</v>
      </c>
    </row>
    <row r="10" spans="1:42" x14ac:dyDescent="0.25">
      <c r="A10" s="87" t="s">
        <v>998</v>
      </c>
      <c r="B10">
        <v>500000</v>
      </c>
      <c r="C10">
        <v>497150</v>
      </c>
      <c r="D10">
        <v>128971</v>
      </c>
      <c r="X10" s="87">
        <v>20</v>
      </c>
      <c r="Y10" s="91">
        <v>21010</v>
      </c>
      <c r="Z10" s="91">
        <v>128971</v>
      </c>
      <c r="AA10" s="91">
        <v>2980648781</v>
      </c>
    </row>
    <row r="11" spans="1:42" x14ac:dyDescent="0.25">
      <c r="X11" s="87">
        <v>21</v>
      </c>
      <c r="Y11" s="91">
        <v>20300</v>
      </c>
      <c r="Z11" s="91">
        <v>128971</v>
      </c>
      <c r="AA11" s="91">
        <v>2879922430</v>
      </c>
    </row>
    <row r="12" spans="1:42" x14ac:dyDescent="0.25">
      <c r="X12" s="87">
        <v>22</v>
      </c>
      <c r="Y12" s="91">
        <v>21170</v>
      </c>
      <c r="Z12" s="91">
        <v>128971</v>
      </c>
      <c r="AA12" s="91">
        <v>3003347677</v>
      </c>
    </row>
    <row r="13" spans="1:42" x14ac:dyDescent="0.25">
      <c r="X13" s="87">
        <v>23</v>
      </c>
      <c r="Y13" s="91">
        <v>21090</v>
      </c>
      <c r="Z13" s="91">
        <v>128971</v>
      </c>
      <c r="AA13" s="91">
        <v>2991998229</v>
      </c>
    </row>
    <row r="14" spans="1:42" x14ac:dyDescent="0.25">
      <c r="X14" s="87">
        <v>24</v>
      </c>
      <c r="Y14" s="91">
        <v>21000</v>
      </c>
      <c r="Z14" s="91">
        <v>128971</v>
      </c>
      <c r="AA14" s="91">
        <v>2979230100</v>
      </c>
    </row>
    <row r="15" spans="1:42" x14ac:dyDescent="0.25">
      <c r="X15" s="87">
        <v>1370</v>
      </c>
      <c r="Y15" s="91">
        <v>3200</v>
      </c>
      <c r="Z15" s="91">
        <v>128971</v>
      </c>
      <c r="AA15" s="91">
        <v>453977920</v>
      </c>
    </row>
    <row r="16" spans="1:42" x14ac:dyDescent="0.25">
      <c r="X16" s="87">
        <v>1371</v>
      </c>
      <c r="Y16" s="91">
        <v>20130</v>
      </c>
      <c r="Z16" s="91">
        <v>128971</v>
      </c>
      <c r="AA16" s="91">
        <v>2855804853</v>
      </c>
    </row>
    <row r="17" spans="24:27" x14ac:dyDescent="0.25">
      <c r="X17" s="87">
        <v>1372</v>
      </c>
      <c r="Y17" s="91">
        <v>19990</v>
      </c>
      <c r="Z17" s="91">
        <v>128971</v>
      </c>
      <c r="AA17" s="91">
        <v>2835943319</v>
      </c>
    </row>
    <row r="18" spans="24:27" x14ac:dyDescent="0.25">
      <c r="X18" s="87">
        <v>1373</v>
      </c>
      <c r="Y18" s="91">
        <v>20150</v>
      </c>
      <c r="Z18" s="91">
        <v>128971</v>
      </c>
      <c r="AA18" s="91">
        <v>2858642215</v>
      </c>
    </row>
    <row r="19" spans="24:27" x14ac:dyDescent="0.25">
      <c r="X19" s="87">
        <v>1374</v>
      </c>
      <c r="Y19" s="91">
        <v>19970</v>
      </c>
      <c r="Z19" s="91">
        <v>128971</v>
      </c>
      <c r="AA19" s="91">
        <v>2833105957</v>
      </c>
    </row>
    <row r="20" spans="24:27" x14ac:dyDescent="0.25">
      <c r="X20" s="87">
        <v>1375</v>
      </c>
      <c r="Y20" s="91">
        <v>20130</v>
      </c>
      <c r="Z20" s="91">
        <v>128971</v>
      </c>
      <c r="AA20" s="91">
        <v>2855804853</v>
      </c>
    </row>
    <row r="21" spans="24:27" x14ac:dyDescent="0.25">
      <c r="X21" s="87">
        <v>1376</v>
      </c>
      <c r="Y21" s="91">
        <v>20590</v>
      </c>
      <c r="Z21" s="91">
        <v>128971</v>
      </c>
      <c r="AA21" s="91">
        <v>2921064179</v>
      </c>
    </row>
    <row r="22" spans="24:27" x14ac:dyDescent="0.25">
      <c r="X22" s="87">
        <v>1377</v>
      </c>
      <c r="Y22" s="91">
        <v>21010</v>
      </c>
      <c r="Z22" s="91">
        <v>128971</v>
      </c>
      <c r="AA22" s="91">
        <v>2980648781</v>
      </c>
    </row>
    <row r="23" spans="24:27" x14ac:dyDescent="0.25">
      <c r="X23" s="87">
        <v>1378</v>
      </c>
      <c r="Y23" s="91">
        <v>20710</v>
      </c>
      <c r="Z23" s="91">
        <v>128971</v>
      </c>
      <c r="AA23" s="91">
        <v>2938088351</v>
      </c>
    </row>
    <row r="24" spans="24:27" x14ac:dyDescent="0.25">
      <c r="X24" s="87">
        <v>1379</v>
      </c>
      <c r="Y24" s="91">
        <v>21010</v>
      </c>
      <c r="Z24" s="91">
        <v>128971</v>
      </c>
      <c r="AA24" s="91">
        <v>2980648781</v>
      </c>
    </row>
    <row r="25" spans="24:27" x14ac:dyDescent="0.25">
      <c r="X25" s="87">
        <v>1380</v>
      </c>
      <c r="Y25" s="91">
        <v>20040</v>
      </c>
      <c r="Z25" s="91">
        <v>128971</v>
      </c>
      <c r="AA25" s="91">
        <v>2843036724</v>
      </c>
    </row>
    <row r="26" spans="24:27" x14ac:dyDescent="0.25">
      <c r="X26" s="87">
        <v>1381</v>
      </c>
      <c r="Y26" s="91">
        <v>20140</v>
      </c>
      <c r="Z26" s="91">
        <v>128971</v>
      </c>
      <c r="AA26" s="91">
        <v>2857223534</v>
      </c>
    </row>
    <row r="27" spans="24:27" x14ac:dyDescent="0.25">
      <c r="X27" s="87">
        <v>1382</v>
      </c>
      <c r="Y27" s="91">
        <v>19830</v>
      </c>
      <c r="Z27" s="91">
        <v>128971</v>
      </c>
      <c r="AA27" s="91">
        <v>2813244423</v>
      </c>
    </row>
    <row r="28" spans="24:27" x14ac:dyDescent="0.25">
      <c r="X28" s="87">
        <v>1383</v>
      </c>
      <c r="Y28" s="91">
        <v>20070</v>
      </c>
      <c r="Z28" s="91">
        <v>128971</v>
      </c>
      <c r="AA28" s="91">
        <v>2847292767</v>
      </c>
    </row>
    <row r="29" spans="24:27" x14ac:dyDescent="0.25">
      <c r="X29" s="87">
        <v>1384</v>
      </c>
      <c r="Y29" s="91">
        <v>20940</v>
      </c>
      <c r="Z29" s="91">
        <v>128971</v>
      </c>
      <c r="AA29" s="91">
        <v>2970718014</v>
      </c>
    </row>
    <row r="30" spans="24:27" x14ac:dyDescent="0.25">
      <c r="X30" s="87">
        <v>1385</v>
      </c>
      <c r="Y30" s="91">
        <v>20580</v>
      </c>
      <c r="Z30" s="91">
        <v>128971</v>
      </c>
      <c r="AA30" s="91">
        <v>2919645498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4CE50E9-1D87-4839-8A3E-6B52F802DE3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Dashboard</vt:lpstr>
      <vt:lpstr>لیست پیش فاکتورها</vt:lpstr>
      <vt:lpstr>جزییات بارگیری</vt:lpstr>
      <vt:lpstr>Sheet1</vt:lpstr>
      <vt:lpstr>پرداخت های قبلی</vt:lpstr>
      <vt:lpstr>Calc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mehrnoosh</dc:creator>
  <cp:lastModifiedBy>Akram Faraji</cp:lastModifiedBy>
  <dcterms:created xsi:type="dcterms:W3CDTF">2025-06-02T07:51:15Z</dcterms:created>
  <dcterms:modified xsi:type="dcterms:W3CDTF">2026-10-08T10:08:41Z</dcterms:modified>
</cp:coreProperties>
</file>