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.Chalabi.SSN\Desktop\"/>
    </mc:Choice>
  </mc:AlternateContent>
  <bookViews>
    <workbookView xWindow="0" yWindow="0" windowWidth="12000" windowHeight="9660" tabRatio="859" firstSheet="10" activeTab="16"/>
  </bookViews>
  <sheets>
    <sheet name="cfs" sheetId="2" state="hidden" r:id="rId1"/>
    <sheet name="BS" sheetId="3" state="hidden" r:id="rId2"/>
    <sheet name="is" sheetId="4" state="hidden" r:id="rId3"/>
    <sheet name="BS-dia91" sheetId="5" state="hidden" r:id="rId4"/>
    <sheet name="is-dia91" sheetId="6" state="hidden" r:id="rId5"/>
    <sheet name="BS-dia92" sheetId="7" state="hidden" r:id="rId6"/>
    <sheet name="is-dia92" sheetId="8" state="hidden" r:id="rId7"/>
    <sheet name="BS-dia93" sheetId="9" state="hidden" r:id="rId8"/>
    <sheet name="is-dia93" sheetId="10" state="hidden" r:id="rId9"/>
    <sheet name="سربرگ" sheetId="22" state="hidden" r:id="rId10"/>
    <sheet name="جلد" sheetId="24" r:id="rId11"/>
    <sheet name="صورت وضعیت مالی" sheetId="11" r:id="rId12"/>
    <sheet name="درصد صورت وضعیت مالی" sheetId="14" r:id="rId13"/>
    <sheet name="سود و زیان" sheetId="12" r:id="rId14"/>
    <sheet name="درصد سودوزیان" sheetId="17" r:id="rId15"/>
    <sheet name="تجزیه و تحلیل نسبت‌های مالی" sheetId="13" r:id="rId16"/>
    <sheet name="نمودارها" sheetId="18" r:id="rId17"/>
    <sheet name="OC-CC" sheetId="21" r:id="rId18"/>
    <sheet name="fcf" sheetId="19" r:id="rId19"/>
    <sheet name="NAV" sheetId="23" r:id="rId20"/>
    <sheet name="Z altman" sheetId="25" r:id="rId21"/>
    <sheet name="WACC" sheetId="20" state="hidden" r:id="rId22"/>
  </sheets>
  <externalReferences>
    <externalReference r:id="rId23"/>
  </externalReferences>
  <definedNames>
    <definedName name="_xlnm._FilterDatabase" localSheetId="14" hidden="1">'درصد سودوزیان'!$B$5:$S$18</definedName>
    <definedName name="Ab" localSheetId="1">#REF!</definedName>
    <definedName name="Ab" localSheetId="0">#REF!</definedName>
    <definedName name="Ab" localSheetId="2">#REF!</definedName>
    <definedName name="Ab" localSheetId="14">#REF!</definedName>
    <definedName name="Ab" localSheetId="13">#REF!</definedName>
    <definedName name="Ab">#REF!</definedName>
    <definedName name="bxx" localSheetId="1">#REF!</definedName>
    <definedName name="bxx" localSheetId="0">#REF!</definedName>
    <definedName name="bxx" localSheetId="2">#REF!</definedName>
    <definedName name="bxx" localSheetId="14">#REF!</definedName>
    <definedName name="bxx" localSheetId="13">#REF!</definedName>
    <definedName name="bxx">#REF!</definedName>
    <definedName name="CA" localSheetId="1">#REF!</definedName>
    <definedName name="CA" localSheetId="0">#REF!</definedName>
    <definedName name="CA" localSheetId="2">#REF!</definedName>
    <definedName name="CA" localSheetId="14">#REF!</definedName>
    <definedName name="CA" localSheetId="13">#REF!</definedName>
    <definedName name="CA">#REF!</definedName>
    <definedName name="CREXPORT" localSheetId="1">#REF!</definedName>
    <definedName name="CREXPORT" localSheetId="0">#REF!</definedName>
    <definedName name="CREXPORT" localSheetId="2">#REF!</definedName>
    <definedName name="CREXPORT" localSheetId="14">#REF!</definedName>
    <definedName name="CREXPORT" localSheetId="13">#REF!</definedName>
    <definedName name="CREXPORT">#REF!</definedName>
    <definedName name="d" localSheetId="1">#REF!</definedName>
    <definedName name="d" localSheetId="0">#REF!</definedName>
    <definedName name="d" localSheetId="2">#REF!</definedName>
    <definedName name="d" localSheetId="14">#REF!</definedName>
    <definedName name="d" localSheetId="13">#REF!</definedName>
    <definedName name="d">#REF!</definedName>
    <definedName name="dsrgtdsyr" localSheetId="1">#REF!</definedName>
    <definedName name="dsrgtdsyr" localSheetId="0">#REF!</definedName>
    <definedName name="dsrgtdsyr" localSheetId="2">#REF!</definedName>
    <definedName name="dsrgtdsyr" localSheetId="14">#REF!</definedName>
    <definedName name="dsrgtdsyr" localSheetId="13">#REF!</definedName>
    <definedName name="dsrgtdsyr">#REF!</definedName>
    <definedName name="gh" localSheetId="1">#REF!</definedName>
    <definedName name="gh" localSheetId="0">#REF!</definedName>
    <definedName name="gh" localSheetId="2">#REF!</definedName>
    <definedName name="gh" localSheetId="14">#REF!</definedName>
    <definedName name="gh" localSheetId="13">#REF!</definedName>
    <definedName name="gh">#REF!</definedName>
    <definedName name="jgj" localSheetId="1">#REF!</definedName>
    <definedName name="jgj" localSheetId="0">#REF!</definedName>
    <definedName name="jgj" localSheetId="2">#REF!</definedName>
    <definedName name="jgj" localSheetId="14">#REF!</definedName>
    <definedName name="jgj" localSheetId="13">#REF!</definedName>
    <definedName name="jgj">#REF!</definedName>
    <definedName name="MSSM" localSheetId="1">#REF!</definedName>
    <definedName name="MSSM" localSheetId="0">#REF!</definedName>
    <definedName name="MSSM" localSheetId="2">#REF!</definedName>
    <definedName name="MSSM" localSheetId="14">#REF!</definedName>
    <definedName name="MSSM" localSheetId="13">#REF!</definedName>
    <definedName name="MSSM">#REF!</definedName>
    <definedName name="_xlnm.Print_Area" localSheetId="1">BS!$A$2:$R$31</definedName>
    <definedName name="_xlnm.Print_Area" localSheetId="3">'BS-dia91'!$B$9:$AN$47</definedName>
    <definedName name="_xlnm.Print_Area" localSheetId="5">'BS-dia92'!$B$9:$AN$57</definedName>
    <definedName name="_xlnm.Print_Area" localSheetId="7">'BS-dia93'!$A$1:$BC$55</definedName>
    <definedName name="_xlnm.Print_Area" localSheetId="0">cfs!$B$2:$J$48</definedName>
    <definedName name="_xlnm.Print_Area" localSheetId="18">fcf!$A$1:$G$31</definedName>
    <definedName name="_xlnm.Print_Area" localSheetId="2">is!$A$2:$K$63</definedName>
    <definedName name="_xlnm.Print_Area" localSheetId="4">'is-dia91'!$A$9:$AN$46</definedName>
    <definedName name="_xlnm.Print_Area" localSheetId="6">'is-dia92'!$A$9:$AN$55</definedName>
    <definedName name="_xlnm.Print_Area" localSheetId="8">'is-dia93'!$A$9:$AN$55</definedName>
    <definedName name="_xlnm.Print_Area" localSheetId="17">'OC-CC'!$A$1:$I$36</definedName>
    <definedName name="_xlnm.Print_Area" localSheetId="20">'Z altman'!$B$1:$H$26</definedName>
    <definedName name="_xlnm.Print_Area" localSheetId="15">'تجزیه و تحلیل نسبت‌های مالی'!$B$1:$G$37</definedName>
    <definedName name="_xlnm.Print_Area" localSheetId="10">جلد!$B$1:$J$35</definedName>
    <definedName name="_xlnm.Print_Area" localSheetId="14">'درصد سودوزیان'!$A$2:$U$20</definedName>
    <definedName name="_xlnm.Print_Area" localSheetId="12">'درصد صورت وضعیت مالی'!$A$1:$Q$28</definedName>
    <definedName name="_xlnm.Print_Area" localSheetId="13">'سود و زیان'!$A$2:$N$35</definedName>
    <definedName name="_xlnm.Print_Area" localSheetId="11">'صورت وضعیت مالی'!$A$2:$M$36</definedName>
    <definedName name="_xlnm.Print_Titles" localSheetId="3">'BS-dia91'!$A:$B</definedName>
    <definedName name="_xlnm.Print_Titles" localSheetId="5">'BS-dia92'!$A:$B</definedName>
    <definedName name="_xlnm.Print_Titles" localSheetId="7">'BS-dia93'!$A:$B</definedName>
    <definedName name="_xlnm.Print_Titles" localSheetId="4">'is-dia91'!$A:$B</definedName>
    <definedName name="_xlnm.Print_Titles" localSheetId="6">'is-dia92'!$A:$B</definedName>
    <definedName name="_xlnm.Print_Titles" localSheetId="8">'is-dia93'!$A:$B</definedName>
    <definedName name="_xlnm.Print_Titles" localSheetId="14">'درصد سودوزیان'!$B:$B</definedName>
    <definedName name="_xlnm.Print_Titles" localSheetId="13">'سود و زیان'!$B:$B</definedName>
    <definedName name="_xlnm.Print_Titles" localSheetId="16">نمودارها!$1:$1</definedName>
    <definedName name="SAD" localSheetId="1">#REF!</definedName>
    <definedName name="SAD" localSheetId="0">#REF!</definedName>
    <definedName name="SAD" localSheetId="2">#REF!</definedName>
    <definedName name="SAD" localSheetId="14">#REF!</definedName>
    <definedName name="SAD" localSheetId="13">#REF!</definedName>
    <definedName name="SAD">#REF!</definedName>
    <definedName name="sdfs" localSheetId="1">#REF!</definedName>
    <definedName name="sdfs" localSheetId="0">#REF!</definedName>
    <definedName name="sdfs" localSheetId="2">#REF!</definedName>
    <definedName name="sdfs" localSheetId="14">#REF!</definedName>
    <definedName name="sdfs" localSheetId="13">#REF!</definedName>
    <definedName name="sdfs">#REF!</definedName>
    <definedName name="بثشسی" localSheetId="14">#REF!</definedName>
    <definedName name="بثشسی" localSheetId="13">#REF!</definedName>
    <definedName name="بثشسی">#REF!</definedName>
    <definedName name="تاب" localSheetId="1">#REF!</definedName>
    <definedName name="تاب" localSheetId="0">#REF!</definedName>
    <definedName name="تاب" localSheetId="2">#REF!</definedName>
    <definedName name="تاب" localSheetId="14">#REF!</definedName>
    <definedName name="تاب" localSheetId="13">#REF!</definedName>
    <definedName name="تاب">#REF!</definedName>
    <definedName name="رزطظ" localSheetId="1">#REF!</definedName>
    <definedName name="رزطظ" localSheetId="0">#REF!</definedName>
    <definedName name="رزطظ" localSheetId="2">#REF!</definedName>
    <definedName name="رزطظ" localSheetId="14">#REF!</definedName>
    <definedName name="رزطظ" localSheetId="13">#REF!</definedName>
    <definedName name="رزطظ">#REF!</definedName>
    <definedName name="زرزط" localSheetId="1">#REF!</definedName>
    <definedName name="زرزط" localSheetId="0">#REF!</definedName>
    <definedName name="زرزط" localSheetId="2">#REF!</definedName>
    <definedName name="زرزط" localSheetId="14">#REF!</definedName>
    <definedName name="زرزط" localSheetId="13">#REF!</definedName>
    <definedName name="زرزط">#REF!</definedName>
    <definedName name="سبشس" localSheetId="1">#REF!</definedName>
    <definedName name="سبشس" localSheetId="0">#REF!</definedName>
    <definedName name="سبشس" localSheetId="2">#REF!</definedName>
    <definedName name="سبشس" localSheetId="14">#REF!</definedName>
    <definedName name="سبشس" localSheetId="13">#REF!</definedName>
    <definedName name="سبشس">#REF!</definedName>
    <definedName name="ش" localSheetId="1">#REF!</definedName>
    <definedName name="ش" localSheetId="0">#REF!</definedName>
    <definedName name="ش" localSheetId="2">#REF!</definedName>
    <definedName name="ش" localSheetId="14">#REF!</definedName>
    <definedName name="ش" localSheetId="13">#REF!</definedName>
    <definedName name="ش">#REF!</definedName>
    <definedName name="شسي" localSheetId="1">#REF!</definedName>
    <definedName name="شسي" localSheetId="0">#REF!</definedName>
    <definedName name="شسي" localSheetId="2">#REF!</definedName>
    <definedName name="شسي" localSheetId="14">#REF!</definedName>
    <definedName name="شسي" localSheetId="13">#REF!</definedName>
    <definedName name="شسي">#REF!</definedName>
    <definedName name="قث" localSheetId="1">#REF!</definedName>
    <definedName name="قث" localSheetId="0">#REF!</definedName>
    <definedName name="قث" localSheetId="2">#REF!</definedName>
    <definedName name="قث" localSheetId="14">#REF!</definedName>
    <definedName name="قث" localSheetId="13">#REF!</definedName>
    <definedName name="قث">#REF!</definedName>
    <definedName name="قصش" localSheetId="1">#REF!</definedName>
    <definedName name="قصش" localSheetId="0">#REF!</definedName>
    <definedName name="قصش" localSheetId="2">#REF!</definedName>
    <definedName name="قصش" localSheetId="14">#REF!</definedName>
    <definedName name="قصش" localSheetId="13">#REF!</definedName>
    <definedName name="قصش">#REF!</definedName>
    <definedName name="ليظب" localSheetId="1">#REF!</definedName>
    <definedName name="ليظب" localSheetId="0">#REF!</definedName>
    <definedName name="ليظب" localSheetId="2">#REF!</definedName>
    <definedName name="ليظب" localSheetId="14">#REF!</definedName>
    <definedName name="ليظب" localSheetId="13">#REF!</definedName>
    <definedName name="ليظب">#REF!</definedName>
    <definedName name="يسش" localSheetId="1">#REF!</definedName>
    <definedName name="يسش" localSheetId="0">#REF!</definedName>
    <definedName name="يسش" localSheetId="2">#REF!</definedName>
    <definedName name="يسش" localSheetId="14">#REF!</definedName>
    <definedName name="يسش" localSheetId="13">#REF!</definedName>
    <definedName name="يسش">#REF!</definedName>
    <definedName name="يسيبسل" localSheetId="1">#REF!</definedName>
    <definedName name="يسيبسل" localSheetId="0">#REF!</definedName>
    <definedName name="يسيبسل" localSheetId="2">#REF!</definedName>
    <definedName name="يسيبسل" localSheetId="14">#REF!</definedName>
    <definedName name="يسيبسل" localSheetId="13">#REF!</definedName>
    <definedName name="يسيبسل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9" i="19" l="1"/>
  <c r="G15" i="19" s="1"/>
  <c r="G25" i="19"/>
  <c r="G24" i="19"/>
  <c r="G14" i="19"/>
  <c r="D28" i="19"/>
  <c r="C24" i="19"/>
  <c r="E25" i="19"/>
  <c r="D25" i="19"/>
  <c r="C6" i="17"/>
  <c r="F6" i="17"/>
  <c r="J6" i="17"/>
  <c r="N6" i="17"/>
  <c r="R6" i="17"/>
  <c r="T6" i="17" s="1"/>
  <c r="H6" i="17" l="1"/>
  <c r="L6" i="17"/>
  <c r="P6" i="17"/>
  <c r="G68" i="23"/>
  <c r="G69" i="23" l="1"/>
  <c r="G67" i="23"/>
  <c r="L5" i="11"/>
  <c r="G59" i="23"/>
  <c r="G54" i="23"/>
  <c r="G55" i="23"/>
  <c r="G56" i="23"/>
  <c r="G57" i="23"/>
  <c r="G58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6" i="23"/>
  <c r="E85" i="23"/>
  <c r="G5" i="23"/>
  <c r="F16" i="13"/>
  <c r="G16" i="13"/>
  <c r="C23" i="13"/>
  <c r="F20" i="13"/>
  <c r="C16" i="13"/>
  <c r="E9" i="12"/>
  <c r="D8" i="21" s="1"/>
  <c r="E7" i="21"/>
  <c r="C22" i="13" l="1"/>
  <c r="D5" i="11"/>
  <c r="B2" i="25" l="1"/>
  <c r="C12" i="25"/>
  <c r="B23" i="25"/>
  <c r="B25" i="25" s="1"/>
  <c r="C10" i="25" s="1"/>
  <c r="C3" i="25"/>
  <c r="F84" i="23" l="1"/>
  <c r="F81" i="23"/>
  <c r="G60" i="23"/>
  <c r="G61" i="23" s="1"/>
  <c r="E82" i="23" s="1"/>
  <c r="G70" i="23" l="1"/>
  <c r="D82" i="23" s="1"/>
  <c r="C9" i="12"/>
  <c r="C11" i="12" l="1"/>
  <c r="C14" i="12" s="1"/>
  <c r="C18" i="12" s="1"/>
  <c r="C22" i="12" s="1"/>
  <c r="C6" i="13"/>
  <c r="G20" i="13"/>
  <c r="E20" i="13"/>
  <c r="D20" i="13"/>
  <c r="C20" i="13"/>
  <c r="C29" i="19"/>
  <c r="C15" i="19" s="1"/>
  <c r="G28" i="19"/>
  <c r="F28" i="19"/>
  <c r="E28" i="19"/>
  <c r="G27" i="19"/>
  <c r="F27" i="19"/>
  <c r="E27" i="19"/>
  <c r="D27" i="19"/>
  <c r="C14" i="19"/>
  <c r="G22" i="19"/>
  <c r="F22" i="19"/>
  <c r="E22" i="19"/>
  <c r="D22" i="19"/>
  <c r="C22" i="19"/>
  <c r="G21" i="19"/>
  <c r="F21" i="19"/>
  <c r="E21" i="19"/>
  <c r="D21" i="19"/>
  <c r="C21" i="19"/>
  <c r="G19" i="19"/>
  <c r="F19" i="19"/>
  <c r="E19" i="19"/>
  <c r="D19" i="19"/>
  <c r="C19" i="19"/>
  <c r="G18" i="19"/>
  <c r="F18" i="19"/>
  <c r="E18" i="19"/>
  <c r="D18" i="19"/>
  <c r="C18" i="19"/>
  <c r="A1" i="20"/>
  <c r="K6" i="20" s="1"/>
  <c r="H9" i="21"/>
  <c r="G9" i="21"/>
  <c r="F9" i="21"/>
  <c r="E9" i="21"/>
  <c r="D9" i="21"/>
  <c r="H7" i="21"/>
  <c r="G7" i="21"/>
  <c r="F7" i="21"/>
  <c r="D7" i="21"/>
  <c r="D11" i="21" s="1"/>
  <c r="H6" i="21"/>
  <c r="G6" i="21"/>
  <c r="F6" i="21"/>
  <c r="E6" i="21"/>
  <c r="D6" i="21"/>
  <c r="D10" i="21" s="1"/>
  <c r="D12" i="21" s="1"/>
  <c r="C4" i="21"/>
  <c r="G10" i="21" l="1"/>
  <c r="H10" i="21"/>
  <c r="E10" i="21"/>
  <c r="F10" i="21"/>
  <c r="D20" i="19"/>
  <c r="E23" i="19"/>
  <c r="F23" i="19"/>
  <c r="G23" i="19"/>
  <c r="F20" i="19"/>
  <c r="E20" i="19"/>
  <c r="C23" i="19"/>
  <c r="D23" i="19"/>
  <c r="D24" i="19" s="1"/>
  <c r="F29" i="19"/>
  <c r="F15" i="19" s="1"/>
  <c r="D29" i="19"/>
  <c r="D15" i="19" s="1"/>
  <c r="C20" i="19"/>
  <c r="E29" i="19"/>
  <c r="E15" i="19" s="1"/>
  <c r="G20" i="19"/>
  <c r="F11" i="21"/>
  <c r="C16" i="19"/>
  <c r="C6" i="19" s="1"/>
  <c r="H11" i="21"/>
  <c r="G11" i="21"/>
  <c r="E11" i="21"/>
  <c r="E24" i="19" l="1"/>
  <c r="E14" i="19" s="1"/>
  <c r="E16" i="19" s="1"/>
  <c r="E6" i="19" s="1"/>
  <c r="F24" i="19"/>
  <c r="D14" i="19"/>
  <c r="D16" i="19" s="1"/>
  <c r="D6" i="19" s="1"/>
  <c r="Q9" i="20"/>
  <c r="P9" i="20"/>
  <c r="N9" i="20"/>
  <c r="F25" i="19" l="1"/>
  <c r="F14" i="19" s="1"/>
  <c r="F16" i="19" s="1"/>
  <c r="F6" i="19" s="1"/>
  <c r="G16" i="19"/>
  <c r="G6" i="19" s="1"/>
  <c r="B1" i="13"/>
  <c r="R7" i="17"/>
  <c r="S7" i="17" s="1"/>
  <c r="R9" i="17"/>
  <c r="R11" i="17"/>
  <c r="R13" i="17"/>
  <c r="R14" i="17"/>
  <c r="S14" i="17" s="1"/>
  <c r="R16" i="17"/>
  <c r="R17" i="17"/>
  <c r="N7" i="17"/>
  <c r="O7" i="17" s="1"/>
  <c r="N9" i="17"/>
  <c r="O9" i="17" s="1"/>
  <c r="N11" i="17"/>
  <c r="N13" i="17"/>
  <c r="N14" i="17"/>
  <c r="O14" i="17" s="1"/>
  <c r="N16" i="17"/>
  <c r="O16" i="17" s="1"/>
  <c r="N17" i="17"/>
  <c r="J7" i="17"/>
  <c r="K7" i="17" s="1"/>
  <c r="J9" i="17"/>
  <c r="J11" i="17"/>
  <c r="J13" i="17"/>
  <c r="J14" i="17"/>
  <c r="J16" i="17"/>
  <c r="K16" i="17" s="1"/>
  <c r="J17" i="17"/>
  <c r="K17" i="17" s="1"/>
  <c r="F7" i="17"/>
  <c r="G7" i="17" s="1"/>
  <c r="F9" i="17"/>
  <c r="G9" i="17" s="1"/>
  <c r="F11" i="17"/>
  <c r="F13" i="17"/>
  <c r="F14" i="17"/>
  <c r="F16" i="17"/>
  <c r="G16" i="17" s="1"/>
  <c r="F17" i="17"/>
  <c r="G17" i="17" s="1"/>
  <c r="C7" i="17"/>
  <c r="D7" i="17" s="1"/>
  <c r="C9" i="17"/>
  <c r="C11" i="17"/>
  <c r="C13" i="17"/>
  <c r="C14" i="17"/>
  <c r="C16" i="17"/>
  <c r="C17" i="17"/>
  <c r="F5" i="11"/>
  <c r="H5" i="11"/>
  <c r="J5" i="11"/>
  <c r="B2" i="17"/>
  <c r="B3" i="17"/>
  <c r="O18" i="14"/>
  <c r="O19" i="14"/>
  <c r="O20" i="14"/>
  <c r="O21" i="14"/>
  <c r="O22" i="14"/>
  <c r="O14" i="14"/>
  <c r="O15" i="14"/>
  <c r="O16" i="14"/>
  <c r="O17" i="14"/>
  <c r="O6" i="14"/>
  <c r="O7" i="14"/>
  <c r="O8" i="14"/>
  <c r="O9" i="14"/>
  <c r="O10" i="14"/>
  <c r="O11" i="14"/>
  <c r="O12" i="14"/>
  <c r="O13" i="14"/>
  <c r="L18" i="14"/>
  <c r="L19" i="14"/>
  <c r="L20" i="14"/>
  <c r="L21" i="14"/>
  <c r="L22" i="14"/>
  <c r="L14" i="14"/>
  <c r="L15" i="14"/>
  <c r="L16" i="14"/>
  <c r="L17" i="14"/>
  <c r="L6" i="14"/>
  <c r="L7" i="14"/>
  <c r="L8" i="14"/>
  <c r="L9" i="14"/>
  <c r="L10" i="14"/>
  <c r="L11" i="14"/>
  <c r="L12" i="14"/>
  <c r="L13" i="14"/>
  <c r="I18" i="14"/>
  <c r="I19" i="14"/>
  <c r="I20" i="14"/>
  <c r="I21" i="14"/>
  <c r="I22" i="14"/>
  <c r="I14" i="14"/>
  <c r="I15" i="14"/>
  <c r="I16" i="14"/>
  <c r="I17" i="14"/>
  <c r="I6" i="14"/>
  <c r="I7" i="14"/>
  <c r="I8" i="14"/>
  <c r="I9" i="14"/>
  <c r="I10" i="14"/>
  <c r="I11" i="14"/>
  <c r="I12" i="14"/>
  <c r="I13" i="14"/>
  <c r="F18" i="14"/>
  <c r="F19" i="14"/>
  <c r="F20" i="14"/>
  <c r="F21" i="14"/>
  <c r="F22" i="14"/>
  <c r="F14" i="14"/>
  <c r="F15" i="14"/>
  <c r="F16" i="14"/>
  <c r="F17" i="14"/>
  <c r="F6" i="14"/>
  <c r="F7" i="14"/>
  <c r="F8" i="14"/>
  <c r="F9" i="14"/>
  <c r="F10" i="14"/>
  <c r="F11" i="14"/>
  <c r="F12" i="14"/>
  <c r="F13" i="14"/>
  <c r="C18" i="14"/>
  <c r="C19" i="14"/>
  <c r="C20" i="14"/>
  <c r="C21" i="14"/>
  <c r="C22" i="14"/>
  <c r="C14" i="14"/>
  <c r="C15" i="14"/>
  <c r="C16" i="14"/>
  <c r="C17" i="14"/>
  <c r="C6" i="14"/>
  <c r="C7" i="14"/>
  <c r="C8" i="14"/>
  <c r="C9" i="14"/>
  <c r="C10" i="14"/>
  <c r="C11" i="14"/>
  <c r="C12" i="14"/>
  <c r="C13" i="14"/>
  <c r="D23" i="13"/>
  <c r="E23" i="13"/>
  <c r="F23" i="13"/>
  <c r="E16" i="13"/>
  <c r="D16" i="13"/>
  <c r="D14" i="17" l="1"/>
  <c r="S13" i="17"/>
  <c r="S17" i="17"/>
  <c r="S11" i="17"/>
  <c r="S16" i="17"/>
  <c r="S9" i="17"/>
  <c r="O13" i="17"/>
  <c r="O17" i="17"/>
  <c r="O11" i="17"/>
  <c r="D17" i="17"/>
  <c r="D16" i="17"/>
  <c r="D13" i="17"/>
  <c r="D9" i="17"/>
  <c r="K9" i="17"/>
  <c r="T16" i="17"/>
  <c r="T7" i="17"/>
  <c r="C3" i="19"/>
  <c r="B1" i="23"/>
  <c r="B1" i="18"/>
  <c r="A1" i="19"/>
  <c r="B1" i="21"/>
  <c r="Q12" i="14"/>
  <c r="L9" i="17"/>
  <c r="L11" i="17"/>
  <c r="T11" i="17"/>
  <c r="P9" i="17"/>
  <c r="H7" i="17"/>
  <c r="L17" i="17"/>
  <c r="L13" i="17"/>
  <c r="L7" i="17"/>
  <c r="K12" i="14"/>
  <c r="P13" i="17"/>
  <c r="T14" i="17"/>
  <c r="T13" i="17"/>
  <c r="T9" i="17"/>
  <c r="L23" i="14"/>
  <c r="Q7" i="14"/>
  <c r="P17" i="17"/>
  <c r="H17" i="17"/>
  <c r="P16" i="17"/>
  <c r="L14" i="17"/>
  <c r="H13" i="17"/>
  <c r="H11" i="17"/>
  <c r="P11" i="17"/>
  <c r="H9" i="17"/>
  <c r="P7" i="17"/>
  <c r="Q20" i="14"/>
  <c r="Q19" i="14"/>
  <c r="Q22" i="14"/>
  <c r="Q18" i="14"/>
  <c r="Q21" i="14"/>
  <c r="Q17" i="14"/>
  <c r="Q16" i="14"/>
  <c r="Q15" i="14"/>
  <c r="Q14" i="14"/>
  <c r="H6" i="14"/>
  <c r="Q8" i="14"/>
  <c r="Q11" i="14"/>
  <c r="Q6" i="14"/>
  <c r="Q10" i="14"/>
  <c r="Q13" i="14"/>
  <c r="Q9" i="14"/>
  <c r="O23" i="14"/>
  <c r="H16" i="17"/>
  <c r="L16" i="17"/>
  <c r="T17" i="17"/>
  <c r="H14" i="17"/>
  <c r="P14" i="17"/>
  <c r="C25" i="14"/>
  <c r="D18" i="14" s="1"/>
  <c r="C24" i="14"/>
  <c r="F25" i="14"/>
  <c r="F24" i="14"/>
  <c r="O25" i="14"/>
  <c r="P20" i="14" s="1"/>
  <c r="L25" i="14"/>
  <c r="I25" i="14"/>
  <c r="J20" i="14" s="1"/>
  <c r="L24" i="14"/>
  <c r="O24" i="14"/>
  <c r="I24" i="14"/>
  <c r="F23" i="14"/>
  <c r="I23" i="14"/>
  <c r="K6" i="14"/>
  <c r="N6" i="14"/>
  <c r="G9" i="12"/>
  <c r="I9" i="12"/>
  <c r="K9" i="12"/>
  <c r="M9" i="12"/>
  <c r="D9" i="12"/>
  <c r="D11" i="12" s="1"/>
  <c r="D14" i="12" s="1"/>
  <c r="D18" i="12" s="1"/>
  <c r="D22" i="12" s="1"/>
  <c r="B2" i="12"/>
  <c r="L24" i="11"/>
  <c r="L31" i="11"/>
  <c r="J31" i="11"/>
  <c r="H31" i="11"/>
  <c r="F31" i="11"/>
  <c r="D31" i="11"/>
  <c r="D6" i="11" s="1"/>
  <c r="E22" i="13" l="1"/>
  <c r="F8" i="21"/>
  <c r="F12" i="21" s="1"/>
  <c r="D22" i="13"/>
  <c r="E8" i="21"/>
  <c r="E12" i="21" s="1"/>
  <c r="F15" i="13"/>
  <c r="F22" i="13"/>
  <c r="G8" i="21"/>
  <c r="G12" i="21" s="1"/>
  <c r="G22" i="13"/>
  <c r="H8" i="21"/>
  <c r="H12" i="21" s="1"/>
  <c r="G15" i="13"/>
  <c r="C11" i="25"/>
  <c r="E79" i="23"/>
  <c r="C9" i="25"/>
  <c r="H9" i="25" s="1"/>
  <c r="G19" i="14"/>
  <c r="P18" i="14"/>
  <c r="D22" i="14"/>
  <c r="P22" i="14"/>
  <c r="P19" i="14"/>
  <c r="G18" i="14"/>
  <c r="G21" i="14"/>
  <c r="D19" i="14"/>
  <c r="G20" i="14"/>
  <c r="P21" i="14"/>
  <c r="M21" i="14"/>
  <c r="M19" i="14"/>
  <c r="J19" i="14"/>
  <c r="M18" i="14"/>
  <c r="M20" i="14"/>
  <c r="M22" i="14"/>
  <c r="G22" i="14"/>
  <c r="J18" i="14"/>
  <c r="D21" i="14"/>
  <c r="J22" i="14"/>
  <c r="J21" i="14"/>
  <c r="D20" i="14"/>
  <c r="F11" i="13"/>
  <c r="M11" i="12"/>
  <c r="G7" i="13" s="1"/>
  <c r="R8" i="17"/>
  <c r="K11" i="12"/>
  <c r="F12" i="13" s="1"/>
  <c r="N8" i="17"/>
  <c r="E15" i="13"/>
  <c r="J8" i="17"/>
  <c r="G11" i="12"/>
  <c r="D7" i="13" s="1"/>
  <c r="F8" i="17"/>
  <c r="C15" i="13"/>
  <c r="C8" i="17"/>
  <c r="D11" i="17" s="1"/>
  <c r="G17" i="13"/>
  <c r="F6" i="20"/>
  <c r="F8" i="20" s="1"/>
  <c r="F9" i="20" s="1"/>
  <c r="D5" i="13"/>
  <c r="E5" i="13"/>
  <c r="C11" i="13"/>
  <c r="E11" i="12"/>
  <c r="C12" i="13" s="1"/>
  <c r="D6" i="13"/>
  <c r="G8" i="13"/>
  <c r="G9" i="13"/>
  <c r="G23" i="13"/>
  <c r="C5" i="13"/>
  <c r="E6" i="13"/>
  <c r="E11" i="13"/>
  <c r="D15" i="13"/>
  <c r="F6" i="13"/>
  <c r="G5" i="13"/>
  <c r="D11" i="13"/>
  <c r="G6" i="13"/>
  <c r="G11" i="13"/>
  <c r="I11" i="12"/>
  <c r="J10" i="17" s="1"/>
  <c r="F5" i="13"/>
  <c r="G13" i="17" l="1"/>
  <c r="G14" i="17"/>
  <c r="G11" i="17"/>
  <c r="K10" i="17"/>
  <c r="K14" i="17"/>
  <c r="K13" i="17"/>
  <c r="K11" i="17"/>
  <c r="D12" i="13"/>
  <c r="F7" i="13"/>
  <c r="G14" i="12"/>
  <c r="F10" i="17"/>
  <c r="G10" i="17" s="1"/>
  <c r="E14" i="12"/>
  <c r="C10" i="17"/>
  <c r="D10" i="17" s="1"/>
  <c r="L8" i="17"/>
  <c r="P8" i="17"/>
  <c r="K14" i="12"/>
  <c r="N10" i="17"/>
  <c r="O10" i="17" s="1"/>
  <c r="H8" i="17"/>
  <c r="T8" i="17"/>
  <c r="M14" i="12"/>
  <c r="C8" i="25" s="1"/>
  <c r="R10" i="17"/>
  <c r="S10" i="17" s="1"/>
  <c r="G12" i="13"/>
  <c r="C7" i="13"/>
  <c r="E7" i="13"/>
  <c r="I14" i="12"/>
  <c r="E12" i="13"/>
  <c r="A2" i="14"/>
  <c r="A3" i="14"/>
  <c r="L4" i="14"/>
  <c r="N5" i="17" s="1"/>
  <c r="G5" i="21" s="1"/>
  <c r="F4" i="19" s="1"/>
  <c r="O4" i="14"/>
  <c r="R5" i="17" s="1"/>
  <c r="H5" i="21" s="1"/>
  <c r="G4" i="19" s="1"/>
  <c r="I4" i="14"/>
  <c r="J5" i="17" s="1"/>
  <c r="F5" i="21" s="1"/>
  <c r="E4" i="19" s="1"/>
  <c r="F4" i="14"/>
  <c r="F5" i="17" s="1"/>
  <c r="E5" i="21" s="1"/>
  <c r="D4" i="19" s="1"/>
  <c r="C4" i="14"/>
  <c r="C5" i="17" s="1"/>
  <c r="D5" i="21" s="1"/>
  <c r="C4" i="19" s="1"/>
  <c r="P10" i="17" l="1"/>
  <c r="K18" i="12"/>
  <c r="F9" i="19"/>
  <c r="N12" i="17"/>
  <c r="O12" i="17" s="1"/>
  <c r="E18" i="12"/>
  <c r="C9" i="19"/>
  <c r="C11" i="19" s="1"/>
  <c r="C12" i="17"/>
  <c r="D12" i="17" s="1"/>
  <c r="T10" i="17"/>
  <c r="M18" i="12"/>
  <c r="G9" i="19"/>
  <c r="R12" i="17"/>
  <c r="S12" i="17" s="1"/>
  <c r="H10" i="17"/>
  <c r="I18" i="12"/>
  <c r="E9" i="19"/>
  <c r="J12" i="17"/>
  <c r="K12" i="17" s="1"/>
  <c r="L10" i="17"/>
  <c r="G18" i="12"/>
  <c r="D9" i="19"/>
  <c r="F12" i="17"/>
  <c r="G12" i="17" s="1"/>
  <c r="H18" i="14"/>
  <c r="K7" i="14"/>
  <c r="K21" i="14"/>
  <c r="H13" i="14"/>
  <c r="H9" i="14"/>
  <c r="H19" i="14"/>
  <c r="H15" i="14"/>
  <c r="K8" i="14"/>
  <c r="K22" i="14"/>
  <c r="N10" i="14"/>
  <c r="H8" i="14"/>
  <c r="H22" i="14"/>
  <c r="K11" i="14"/>
  <c r="K14" i="14"/>
  <c r="N17" i="14"/>
  <c r="H7" i="14"/>
  <c r="H21" i="14"/>
  <c r="K10" i="14"/>
  <c r="K20" i="14"/>
  <c r="N16" i="14"/>
  <c r="N20" i="14"/>
  <c r="H12" i="14"/>
  <c r="H11" i="14"/>
  <c r="H14" i="14"/>
  <c r="K17" i="14"/>
  <c r="N13" i="14"/>
  <c r="N9" i="14"/>
  <c r="N19" i="14"/>
  <c r="N15" i="14"/>
  <c r="H10" i="14"/>
  <c r="H20" i="14"/>
  <c r="J6" i="14"/>
  <c r="K16" i="14"/>
  <c r="N18" i="14"/>
  <c r="K13" i="14"/>
  <c r="K15" i="14"/>
  <c r="N8" i="14"/>
  <c r="N22" i="14"/>
  <c r="H17" i="14"/>
  <c r="K9" i="14"/>
  <c r="K19" i="14"/>
  <c r="H16" i="14"/>
  <c r="K18" i="14"/>
  <c r="N12" i="14"/>
  <c r="N7" i="14"/>
  <c r="N21" i="14"/>
  <c r="N11" i="14"/>
  <c r="N14" i="14"/>
  <c r="C23" i="14"/>
  <c r="I22" i="12" l="1"/>
  <c r="J15" i="17"/>
  <c r="K15" i="17" s="1"/>
  <c r="E22" i="12"/>
  <c r="C15" i="17"/>
  <c r="D15" i="17" s="1"/>
  <c r="C12" i="19"/>
  <c r="C5" i="19" s="1"/>
  <c r="C7" i="19" s="1"/>
  <c r="D11" i="19"/>
  <c r="D12" i="19"/>
  <c r="D5" i="19" s="1"/>
  <c r="D7" i="19" s="1"/>
  <c r="T12" i="17"/>
  <c r="P12" i="17"/>
  <c r="H12" i="17"/>
  <c r="G22" i="12"/>
  <c r="F15" i="17"/>
  <c r="G15" i="17" s="1"/>
  <c r="G11" i="19"/>
  <c r="G12" i="19"/>
  <c r="G5" i="19" s="1"/>
  <c r="G7" i="19" s="1"/>
  <c r="F11" i="19"/>
  <c r="F12" i="19"/>
  <c r="F5" i="19" s="1"/>
  <c r="F7" i="19" s="1"/>
  <c r="M22" i="12"/>
  <c r="R15" i="17"/>
  <c r="S15" i="17" s="1"/>
  <c r="K22" i="12"/>
  <c r="N15" i="17"/>
  <c r="O15" i="17" s="1"/>
  <c r="L12" i="17"/>
  <c r="E12" i="19"/>
  <c r="E11" i="19"/>
  <c r="D6" i="14"/>
  <c r="M6" i="14"/>
  <c r="G6" i="14"/>
  <c r="D14" i="14"/>
  <c r="M13" i="14"/>
  <c r="M17" i="14"/>
  <c r="M15" i="14"/>
  <c r="M12" i="14"/>
  <c r="M16" i="14"/>
  <c r="G14" i="14"/>
  <c r="M11" i="14"/>
  <c r="M8" i="14"/>
  <c r="M14" i="14"/>
  <c r="M9" i="14"/>
  <c r="M10" i="14"/>
  <c r="M7" i="14"/>
  <c r="C27" i="14"/>
  <c r="P14" i="14"/>
  <c r="D17" i="14"/>
  <c r="G16" i="14"/>
  <c r="P16" i="14"/>
  <c r="D16" i="14"/>
  <c r="D15" i="14"/>
  <c r="I27" i="14"/>
  <c r="J14" i="14"/>
  <c r="J17" i="14"/>
  <c r="J15" i="14"/>
  <c r="F27" i="14"/>
  <c r="J16" i="14"/>
  <c r="O27" i="14"/>
  <c r="P17" i="14"/>
  <c r="P15" i="14"/>
  <c r="G17" i="14"/>
  <c r="L27" i="14"/>
  <c r="G15" i="14"/>
  <c r="G9" i="14"/>
  <c r="G11" i="14"/>
  <c r="G12" i="14"/>
  <c r="G13" i="14"/>
  <c r="G7" i="14"/>
  <c r="G8" i="14"/>
  <c r="G10" i="14"/>
  <c r="D9" i="14"/>
  <c r="D12" i="14"/>
  <c r="D13" i="14"/>
  <c r="D7" i="14"/>
  <c r="D8" i="14"/>
  <c r="D10" i="14"/>
  <c r="D11" i="14"/>
  <c r="J12" i="14"/>
  <c r="J11" i="14"/>
  <c r="J13" i="14"/>
  <c r="J10" i="14"/>
  <c r="P10" i="14"/>
  <c r="P11" i="14"/>
  <c r="P13" i="14"/>
  <c r="P12" i="14"/>
  <c r="P8" i="14"/>
  <c r="J8" i="14"/>
  <c r="J9" i="14"/>
  <c r="P7" i="14"/>
  <c r="P9" i="14"/>
  <c r="P6" i="14"/>
  <c r="J7" i="14"/>
  <c r="E5" i="19" l="1"/>
  <c r="E7" i="19" s="1"/>
  <c r="H15" i="17"/>
  <c r="F21" i="13"/>
  <c r="F19" i="13"/>
  <c r="N18" i="17"/>
  <c r="O18" i="17" s="1"/>
  <c r="F14" i="13"/>
  <c r="F13" i="13"/>
  <c r="D21" i="13"/>
  <c r="D19" i="13"/>
  <c r="F18" i="17"/>
  <c r="G18" i="17" s="1"/>
  <c r="D14" i="13"/>
  <c r="D13" i="13"/>
  <c r="T15" i="17"/>
  <c r="G21" i="13"/>
  <c r="G19" i="13"/>
  <c r="R18" i="17"/>
  <c r="S18" i="17" s="1"/>
  <c r="G14" i="13"/>
  <c r="G13" i="13"/>
  <c r="C21" i="13"/>
  <c r="C19" i="13"/>
  <c r="C18" i="17"/>
  <c r="D18" i="17" s="1"/>
  <c r="C14" i="13"/>
  <c r="C13" i="13"/>
  <c r="L15" i="17"/>
  <c r="P15" i="17"/>
  <c r="E19" i="13"/>
  <c r="J18" i="17"/>
  <c r="K18" i="17" s="1"/>
  <c r="E21" i="13"/>
  <c r="E13" i="13"/>
  <c r="E14" i="13"/>
  <c r="T18" i="17" l="1"/>
  <c r="P18" i="17"/>
  <c r="L18" i="17"/>
  <c r="H18" i="17"/>
  <c r="J6" i="11"/>
  <c r="L6" i="11"/>
  <c r="D24" i="11"/>
  <c r="B6" i="20" s="1"/>
  <c r="B8" i="20" s="1"/>
  <c r="B9" i="20" s="1"/>
  <c r="E24" i="11"/>
  <c r="F24" i="11"/>
  <c r="C6" i="20" s="1"/>
  <c r="C8" i="20" s="1"/>
  <c r="C9" i="20" s="1"/>
  <c r="G24" i="11"/>
  <c r="H24" i="11"/>
  <c r="D6" i="20" s="1"/>
  <c r="D8" i="20" s="1"/>
  <c r="D9" i="20" s="1"/>
  <c r="I24" i="11"/>
  <c r="J24" i="11"/>
  <c r="E6" i="20" s="1"/>
  <c r="E8" i="20" s="1"/>
  <c r="E9" i="20" s="1"/>
  <c r="K24" i="11"/>
  <c r="D18" i="11"/>
  <c r="E18" i="11"/>
  <c r="F18" i="11"/>
  <c r="G18" i="11"/>
  <c r="H18" i="11"/>
  <c r="I18" i="11"/>
  <c r="J18" i="11"/>
  <c r="K18" i="11"/>
  <c r="L18" i="11"/>
  <c r="AT72" i="10"/>
  <c r="AR72" i="10"/>
  <c r="AP72" i="10"/>
  <c r="AN72" i="10"/>
  <c r="AL72" i="10"/>
  <c r="AJ72" i="10"/>
  <c r="AH72" i="10"/>
  <c r="AF72" i="10"/>
  <c r="AD72" i="10"/>
  <c r="AB72" i="10"/>
  <c r="Z72" i="10"/>
  <c r="X72" i="10"/>
  <c r="V72" i="10"/>
  <c r="T72" i="10"/>
  <c r="R72" i="10"/>
  <c r="P72" i="10"/>
  <c r="N72" i="10"/>
  <c r="L72" i="10"/>
  <c r="J72" i="10"/>
  <c r="H72" i="10"/>
  <c r="F72" i="10"/>
  <c r="D72" i="10"/>
  <c r="AV72" i="10" s="1"/>
  <c r="AT71" i="10"/>
  <c r="AR71" i="10"/>
  <c r="AP71" i="10"/>
  <c r="AN71" i="10"/>
  <c r="AL71" i="10"/>
  <c r="AJ71" i="10"/>
  <c r="AH71" i="10"/>
  <c r="AF71" i="10"/>
  <c r="AD71" i="10"/>
  <c r="AB71" i="10"/>
  <c r="Z71" i="10"/>
  <c r="X71" i="10"/>
  <c r="V71" i="10"/>
  <c r="T71" i="10"/>
  <c r="R71" i="10"/>
  <c r="P71" i="10"/>
  <c r="N71" i="10"/>
  <c r="L71" i="10"/>
  <c r="J71" i="10"/>
  <c r="H71" i="10"/>
  <c r="F71" i="10"/>
  <c r="D71" i="10"/>
  <c r="AV71" i="10" s="1"/>
  <c r="AV69" i="10"/>
  <c r="AV68" i="10"/>
  <c r="AV67" i="10"/>
  <c r="T66" i="10"/>
  <c r="AT65" i="10"/>
  <c r="AT66" i="10" s="1"/>
  <c r="AR65" i="10"/>
  <c r="AR66" i="10" s="1"/>
  <c r="AP65" i="10"/>
  <c r="AP66" i="10" s="1"/>
  <c r="AN65" i="10"/>
  <c r="AN66" i="10" s="1"/>
  <c r="AL65" i="10"/>
  <c r="AL66" i="10" s="1"/>
  <c r="AJ65" i="10"/>
  <c r="AJ66" i="10" s="1"/>
  <c r="AH65" i="10"/>
  <c r="AH66" i="10" s="1"/>
  <c r="AF65" i="10"/>
  <c r="AF66" i="10" s="1"/>
  <c r="AD65" i="10"/>
  <c r="AD66" i="10" s="1"/>
  <c r="AB65" i="10"/>
  <c r="AB66" i="10" s="1"/>
  <c r="Z65" i="10"/>
  <c r="Z66" i="10" s="1"/>
  <c r="X65" i="10"/>
  <c r="X66" i="10" s="1"/>
  <c r="V65" i="10"/>
  <c r="V66" i="10" s="1"/>
  <c r="T65" i="10"/>
  <c r="R65" i="10"/>
  <c r="R66" i="10" s="1"/>
  <c r="P65" i="10"/>
  <c r="P66" i="10" s="1"/>
  <c r="N65" i="10"/>
  <c r="N66" i="10" s="1"/>
  <c r="L65" i="10"/>
  <c r="L66" i="10" s="1"/>
  <c r="J65" i="10"/>
  <c r="H65" i="10"/>
  <c r="H66" i="10" s="1"/>
  <c r="F65" i="10"/>
  <c r="F66" i="10" s="1"/>
  <c r="D65" i="10"/>
  <c r="D66" i="10" s="1"/>
  <c r="AV64" i="10"/>
  <c r="AV63" i="10"/>
  <c r="AV62" i="10"/>
  <c r="AV61" i="10"/>
  <c r="AV60" i="10"/>
  <c r="AV59" i="10"/>
  <c r="AT58" i="10"/>
  <c r="AR58" i="10"/>
  <c r="AP58" i="10"/>
  <c r="AN58" i="10"/>
  <c r="AL58" i="10"/>
  <c r="AJ58" i="10"/>
  <c r="AH58" i="10"/>
  <c r="AF58" i="10"/>
  <c r="AD58" i="10"/>
  <c r="AB58" i="10"/>
  <c r="Z58" i="10"/>
  <c r="X58" i="10"/>
  <c r="V58" i="10"/>
  <c r="T58" i="10"/>
  <c r="R58" i="10"/>
  <c r="P58" i="10"/>
  <c r="N58" i="10"/>
  <c r="L58" i="10"/>
  <c r="J58" i="10"/>
  <c r="H58" i="10"/>
  <c r="F58" i="10"/>
  <c r="D58" i="10"/>
  <c r="AV57" i="10"/>
  <c r="AV55" i="10"/>
  <c r="AV54" i="10"/>
  <c r="AV52" i="10"/>
  <c r="AV50" i="10"/>
  <c r="AV49" i="10"/>
  <c r="AV47" i="10"/>
  <c r="AV46" i="10"/>
  <c r="AV45" i="10"/>
  <c r="AV44" i="10"/>
  <c r="AV42" i="10"/>
  <c r="AT41" i="10"/>
  <c r="AR41" i="10"/>
  <c r="AP41" i="10"/>
  <c r="AN41" i="10"/>
  <c r="AL41" i="10"/>
  <c r="AJ41" i="10"/>
  <c r="AH41" i="10"/>
  <c r="AF41" i="10"/>
  <c r="AD41" i="10"/>
  <c r="AB41" i="10"/>
  <c r="Z41" i="10"/>
  <c r="X41" i="10"/>
  <c r="V41" i="10"/>
  <c r="T41" i="10"/>
  <c r="R41" i="10"/>
  <c r="P41" i="10"/>
  <c r="N41" i="10"/>
  <c r="L41" i="10"/>
  <c r="J41" i="10"/>
  <c r="H41" i="10"/>
  <c r="F41" i="10"/>
  <c r="D41" i="10"/>
  <c r="AV40" i="10"/>
  <c r="AV39" i="10"/>
  <c r="AV38" i="10"/>
  <c r="AV37" i="10"/>
  <c r="AV36" i="10"/>
  <c r="AV35" i="10"/>
  <c r="AV34" i="10"/>
  <c r="AV33" i="10"/>
  <c r="AT32" i="10"/>
  <c r="AR32" i="10"/>
  <c r="AP32" i="10"/>
  <c r="AN32" i="10"/>
  <c r="AL32" i="10"/>
  <c r="AJ32" i="10"/>
  <c r="AH32" i="10"/>
  <c r="AF32" i="10"/>
  <c r="AD32" i="10"/>
  <c r="AB32" i="10"/>
  <c r="Z32" i="10"/>
  <c r="X32" i="10"/>
  <c r="V32" i="10"/>
  <c r="T32" i="10"/>
  <c r="R32" i="10"/>
  <c r="P32" i="10"/>
  <c r="N32" i="10"/>
  <c r="L32" i="10"/>
  <c r="J32" i="10"/>
  <c r="H32" i="10"/>
  <c r="F32" i="10"/>
  <c r="D32" i="10"/>
  <c r="AV31" i="10"/>
  <c r="AV30" i="10"/>
  <c r="AV29" i="10"/>
  <c r="AT27" i="10"/>
  <c r="AR27" i="10"/>
  <c r="AP27" i="10"/>
  <c r="AN27" i="10"/>
  <c r="AL27" i="10"/>
  <c r="AJ27" i="10"/>
  <c r="AH27" i="10"/>
  <c r="AF27" i="10"/>
  <c r="AD27" i="10"/>
  <c r="AB27" i="10"/>
  <c r="Z27" i="10"/>
  <c r="X27" i="10"/>
  <c r="V27" i="10"/>
  <c r="T27" i="10"/>
  <c r="R27" i="10"/>
  <c r="P27" i="10"/>
  <c r="N27" i="10"/>
  <c r="L27" i="10"/>
  <c r="J27" i="10"/>
  <c r="H27" i="10"/>
  <c r="F27" i="10"/>
  <c r="D27" i="10"/>
  <c r="AV26" i="10"/>
  <c r="AV25" i="10"/>
  <c r="AV24" i="10"/>
  <c r="AT23" i="10"/>
  <c r="AR23" i="10"/>
  <c r="AP23" i="10"/>
  <c r="AN23" i="10"/>
  <c r="AN28" i="10" s="1"/>
  <c r="AL23" i="10"/>
  <c r="AJ23" i="10"/>
  <c r="AH23" i="10"/>
  <c r="AF23" i="10"/>
  <c r="AF28" i="10" s="1"/>
  <c r="AD23" i="10"/>
  <c r="AB23" i="10"/>
  <c r="Z23" i="10"/>
  <c r="X23" i="10"/>
  <c r="X28" i="10" s="1"/>
  <c r="V23" i="10"/>
  <c r="V28" i="10" s="1"/>
  <c r="T23" i="10"/>
  <c r="R23" i="10"/>
  <c r="P23" i="10"/>
  <c r="N23" i="10"/>
  <c r="L23" i="10"/>
  <c r="J23" i="10"/>
  <c r="H23" i="10"/>
  <c r="H28" i="10" s="1"/>
  <c r="F23" i="10"/>
  <c r="D23" i="10"/>
  <c r="AV22" i="10"/>
  <c r="AV21" i="10"/>
  <c r="AX21" i="10" s="1"/>
  <c r="AV20" i="10"/>
  <c r="AT18" i="10"/>
  <c r="AR18" i="10"/>
  <c r="AP18" i="10"/>
  <c r="AN18" i="10"/>
  <c r="AL18" i="10"/>
  <c r="AJ18" i="10"/>
  <c r="AH18" i="10"/>
  <c r="AH19" i="10" s="1"/>
  <c r="AF18" i="10"/>
  <c r="AD18" i="10"/>
  <c r="AB18" i="10"/>
  <c r="Z18" i="10"/>
  <c r="X18" i="10"/>
  <c r="V18" i="10"/>
  <c r="T18" i="10"/>
  <c r="R18" i="10"/>
  <c r="R19" i="10" s="1"/>
  <c r="P18" i="10"/>
  <c r="N18" i="10"/>
  <c r="L18" i="10"/>
  <c r="J18" i="10"/>
  <c r="H18" i="10"/>
  <c r="F18" i="10"/>
  <c r="D18" i="10"/>
  <c r="AV17" i="10"/>
  <c r="AV16" i="10"/>
  <c r="AV15" i="10"/>
  <c r="AV14" i="10"/>
  <c r="AT13" i="10"/>
  <c r="AR13" i="10"/>
  <c r="AP13" i="10"/>
  <c r="AN13" i="10"/>
  <c r="AL13" i="10"/>
  <c r="AJ13" i="10"/>
  <c r="AJ19" i="10" s="1"/>
  <c r="AH13" i="10"/>
  <c r="AF13" i="10"/>
  <c r="AD13" i="10"/>
  <c r="AB13" i="10"/>
  <c r="Z13" i="10"/>
  <c r="X13" i="10"/>
  <c r="V13" i="10"/>
  <c r="T13" i="10"/>
  <c r="T19" i="10" s="1"/>
  <c r="R13" i="10"/>
  <c r="P13" i="10"/>
  <c r="N13" i="10"/>
  <c r="L13" i="10"/>
  <c r="J13" i="10"/>
  <c r="H13" i="10"/>
  <c r="F13" i="10"/>
  <c r="D13" i="10"/>
  <c r="D19" i="10" s="1"/>
  <c r="AV12" i="10"/>
  <c r="AV11" i="10"/>
  <c r="AV10" i="10"/>
  <c r="AV8" i="10"/>
  <c r="AV7" i="10"/>
  <c r="AT6" i="10"/>
  <c r="AR6" i="10"/>
  <c r="AP6" i="10"/>
  <c r="AN6" i="10"/>
  <c r="AL6" i="10"/>
  <c r="AJ6" i="10"/>
  <c r="AH6" i="10"/>
  <c r="AF6" i="10"/>
  <c r="AD6" i="10"/>
  <c r="AB6" i="10"/>
  <c r="Z6" i="10"/>
  <c r="X6" i="10"/>
  <c r="V6" i="10"/>
  <c r="T6" i="10"/>
  <c r="R6" i="10"/>
  <c r="P6" i="10"/>
  <c r="N6" i="10"/>
  <c r="L6" i="10"/>
  <c r="J6" i="10"/>
  <c r="H6" i="10"/>
  <c r="F6" i="10"/>
  <c r="D6" i="10"/>
  <c r="AT5" i="10"/>
  <c r="AR5" i="10"/>
  <c r="AP5" i="10"/>
  <c r="AN5" i="10"/>
  <c r="AL5" i="10"/>
  <c r="AJ5" i="10"/>
  <c r="AH5" i="10"/>
  <c r="AF5" i="10"/>
  <c r="AD5" i="10"/>
  <c r="AB5" i="10"/>
  <c r="Z5" i="10"/>
  <c r="X5" i="10"/>
  <c r="V5" i="10"/>
  <c r="T5" i="10"/>
  <c r="R5" i="10"/>
  <c r="P5" i="10"/>
  <c r="N5" i="10"/>
  <c r="L5" i="10"/>
  <c r="J5" i="10"/>
  <c r="H5" i="10"/>
  <c r="F5" i="10"/>
  <c r="D5" i="10"/>
  <c r="AV4" i="10"/>
  <c r="AT78" i="9"/>
  <c r="AN78" i="9"/>
  <c r="AL78" i="9"/>
  <c r="AH78" i="9"/>
  <c r="AF78" i="9"/>
  <c r="AB78" i="9"/>
  <c r="Z78" i="9"/>
  <c r="X78" i="9"/>
  <c r="V78" i="9"/>
  <c r="T78" i="9"/>
  <c r="P78" i="9"/>
  <c r="L78" i="9"/>
  <c r="J78" i="9"/>
  <c r="H78" i="9"/>
  <c r="F78" i="9"/>
  <c r="AT77" i="9"/>
  <c r="AN77" i="9"/>
  <c r="AL77" i="9"/>
  <c r="AJ77" i="9"/>
  <c r="AH77" i="9"/>
  <c r="AF77" i="9"/>
  <c r="AD77" i="9"/>
  <c r="AB77" i="9"/>
  <c r="Z77" i="9"/>
  <c r="X77" i="9"/>
  <c r="V77" i="9"/>
  <c r="T77" i="9"/>
  <c r="P77" i="9"/>
  <c r="L77" i="9"/>
  <c r="J77" i="9"/>
  <c r="H77" i="9"/>
  <c r="F77" i="9"/>
  <c r="AV76" i="9"/>
  <c r="AV75" i="9"/>
  <c r="AV74" i="9"/>
  <c r="AV73" i="9"/>
  <c r="AV72" i="9"/>
  <c r="AV71" i="9"/>
  <c r="AV70" i="9"/>
  <c r="AV69" i="9"/>
  <c r="AD68" i="9"/>
  <c r="AV68" i="9" s="1"/>
  <c r="AV67" i="9"/>
  <c r="AJ66" i="9"/>
  <c r="AV66" i="9" s="1"/>
  <c r="AV65" i="9"/>
  <c r="AD64" i="9"/>
  <c r="AV64" i="9" s="1"/>
  <c r="AV63" i="9"/>
  <c r="AD62" i="9"/>
  <c r="AV62" i="9" s="1"/>
  <c r="AV61" i="9"/>
  <c r="AV60" i="9"/>
  <c r="AV59" i="9"/>
  <c r="AU58" i="9"/>
  <c r="AS58" i="9"/>
  <c r="AQ58" i="9"/>
  <c r="AO58" i="9"/>
  <c r="AM58" i="9"/>
  <c r="AK58" i="9"/>
  <c r="AI58" i="9"/>
  <c r="AG58" i="9"/>
  <c r="AE58" i="9"/>
  <c r="AC58" i="9"/>
  <c r="AA58" i="9"/>
  <c r="Y58" i="9"/>
  <c r="W58" i="9"/>
  <c r="U58" i="9"/>
  <c r="S58" i="9"/>
  <c r="Q58" i="9"/>
  <c r="O58" i="9"/>
  <c r="M58" i="9"/>
  <c r="K58" i="9"/>
  <c r="I58" i="9"/>
  <c r="G58" i="9"/>
  <c r="E58" i="9"/>
  <c r="AT57" i="9"/>
  <c r="AT6" i="9" s="1"/>
  <c r="AN57" i="9"/>
  <c r="AN6" i="9" s="1"/>
  <c r="AL57" i="9"/>
  <c r="AL6" i="9" s="1"/>
  <c r="AJ57" i="9"/>
  <c r="AH57" i="9"/>
  <c r="AH6" i="9" s="1"/>
  <c r="AF57" i="9"/>
  <c r="AF6" i="9" s="1"/>
  <c r="AD57" i="9"/>
  <c r="AB57" i="9"/>
  <c r="Z57" i="9"/>
  <c r="Z6" i="9" s="1"/>
  <c r="X57" i="9"/>
  <c r="X6" i="9" s="1"/>
  <c r="V57" i="9"/>
  <c r="V6" i="9" s="1"/>
  <c r="T57" i="9"/>
  <c r="T6" i="9" s="1"/>
  <c r="R57" i="9"/>
  <c r="R6" i="9" s="1"/>
  <c r="P57" i="9"/>
  <c r="P6" i="9" s="1"/>
  <c r="N57" i="9"/>
  <c r="L57" i="9"/>
  <c r="J57" i="9"/>
  <c r="J6" i="9" s="1"/>
  <c r="H57" i="9"/>
  <c r="F57" i="9"/>
  <c r="D57" i="9"/>
  <c r="AV56" i="9"/>
  <c r="AT54" i="9"/>
  <c r="AR54" i="9"/>
  <c r="AP54" i="9"/>
  <c r="AP55" i="9" s="1"/>
  <c r="AN54" i="9"/>
  <c r="AN55" i="9" s="1"/>
  <c r="AL54" i="9"/>
  <c r="AJ54" i="9"/>
  <c r="AH54" i="9"/>
  <c r="AF54" i="9"/>
  <c r="AD54" i="9"/>
  <c r="AB54" i="9"/>
  <c r="Z54" i="9"/>
  <c r="X54" i="9"/>
  <c r="X5" i="9" s="1"/>
  <c r="V54" i="9"/>
  <c r="T54" i="9"/>
  <c r="T5" i="9" s="1"/>
  <c r="R54" i="9"/>
  <c r="P54" i="9"/>
  <c r="N54" i="9"/>
  <c r="L54" i="9"/>
  <c r="J54" i="9"/>
  <c r="J55" i="9" s="1"/>
  <c r="H54" i="9"/>
  <c r="H55" i="9" s="1"/>
  <c r="H58" i="9" s="1"/>
  <c r="F54" i="9"/>
  <c r="D54" i="9"/>
  <c r="D55" i="9" s="1"/>
  <c r="AV53" i="9"/>
  <c r="AV52" i="9"/>
  <c r="AV51" i="9"/>
  <c r="AV50" i="9"/>
  <c r="AV49" i="9"/>
  <c r="AV48" i="9"/>
  <c r="AV47" i="9"/>
  <c r="AV4" i="9" s="1"/>
  <c r="AV46" i="9"/>
  <c r="AT45" i="9"/>
  <c r="AR45" i="9"/>
  <c r="AP45" i="9"/>
  <c r="AN45" i="9"/>
  <c r="AL45" i="9"/>
  <c r="AJ45" i="9"/>
  <c r="AH45" i="9"/>
  <c r="AF45" i="9"/>
  <c r="AF55" i="9" s="1"/>
  <c r="AF58" i="9" s="1"/>
  <c r="AD45" i="9"/>
  <c r="AB45" i="9"/>
  <c r="Z45" i="9"/>
  <c r="X45" i="9"/>
  <c r="V45" i="9"/>
  <c r="T45" i="9"/>
  <c r="R45" i="9"/>
  <c r="P45" i="9"/>
  <c r="P55" i="9" s="1"/>
  <c r="P58" i="9" s="1"/>
  <c r="N45" i="9"/>
  <c r="L45" i="9"/>
  <c r="J45" i="9"/>
  <c r="H45" i="9"/>
  <c r="F45" i="9"/>
  <c r="D45" i="9"/>
  <c r="AV44" i="9"/>
  <c r="AV43" i="9"/>
  <c r="AV42" i="9"/>
  <c r="AV41" i="9"/>
  <c r="AV40" i="9"/>
  <c r="AV39" i="9"/>
  <c r="AV38" i="9"/>
  <c r="AV37" i="9"/>
  <c r="AV36" i="9"/>
  <c r="AV35" i="9"/>
  <c r="AV34" i="9"/>
  <c r="AV33" i="9"/>
  <c r="AV32" i="9"/>
  <c r="AV31" i="9"/>
  <c r="AV30" i="9"/>
  <c r="AV29" i="9"/>
  <c r="AV28" i="9"/>
  <c r="AZ27" i="9"/>
  <c r="AV27" i="9"/>
  <c r="AT26" i="9"/>
  <c r="AR26" i="9"/>
  <c r="AP26" i="9"/>
  <c r="AN26" i="9"/>
  <c r="AL26" i="9"/>
  <c r="AJ26" i="9"/>
  <c r="AH26" i="9"/>
  <c r="AF26" i="9"/>
  <c r="AD26" i="9"/>
  <c r="AB26" i="9"/>
  <c r="Z26" i="9"/>
  <c r="X26" i="9"/>
  <c r="V26" i="9"/>
  <c r="T26" i="9"/>
  <c r="R26" i="9"/>
  <c r="P26" i="9"/>
  <c r="N26" i="9"/>
  <c r="L26" i="9"/>
  <c r="J26" i="9"/>
  <c r="H26" i="9"/>
  <c r="F26" i="9"/>
  <c r="D26" i="9"/>
  <c r="AV25" i="9"/>
  <c r="AV24" i="9"/>
  <c r="AV23" i="9"/>
  <c r="AV22" i="9"/>
  <c r="AV21" i="9"/>
  <c r="AV20" i="9"/>
  <c r="AV19" i="9"/>
  <c r="AV18" i="9"/>
  <c r="AV17" i="9"/>
  <c r="AV16" i="9"/>
  <c r="AV15" i="9"/>
  <c r="AV14" i="9"/>
  <c r="AV13" i="9"/>
  <c r="AV12" i="9"/>
  <c r="AV11" i="9"/>
  <c r="AJ6" i="9"/>
  <c r="AD6" i="9"/>
  <c r="AB6" i="9"/>
  <c r="N6" i="9"/>
  <c r="L6" i="9"/>
  <c r="F6" i="9"/>
  <c r="AJ5" i="9"/>
  <c r="AF5" i="9"/>
  <c r="Z5" i="9"/>
  <c r="P5" i="9"/>
  <c r="N5" i="9"/>
  <c r="J5" i="9"/>
  <c r="F5" i="9"/>
  <c r="D5" i="9"/>
  <c r="AT4" i="9"/>
  <c r="AN4" i="9"/>
  <c r="AL4" i="9"/>
  <c r="AJ4" i="9"/>
  <c r="AH4" i="9"/>
  <c r="AF4" i="9"/>
  <c r="AD4" i="9"/>
  <c r="AB4" i="9"/>
  <c r="Z4" i="9"/>
  <c r="X4" i="9"/>
  <c r="V4" i="9"/>
  <c r="T4" i="9"/>
  <c r="R4" i="9"/>
  <c r="P4" i="9"/>
  <c r="N4" i="9"/>
  <c r="L4" i="9"/>
  <c r="J4" i="9"/>
  <c r="F4" i="9"/>
  <c r="D4" i="9"/>
  <c r="AT72" i="8"/>
  <c r="AR72" i="8"/>
  <c r="AP72" i="8"/>
  <c r="AN72" i="8"/>
  <c r="AL72" i="8"/>
  <c r="AJ72" i="8"/>
  <c r="AH72" i="8"/>
  <c r="AF72" i="8"/>
  <c r="AD72" i="8"/>
  <c r="AB72" i="8"/>
  <c r="Z72" i="8"/>
  <c r="X72" i="8"/>
  <c r="V72" i="8"/>
  <c r="T72" i="8"/>
  <c r="R72" i="8"/>
  <c r="P72" i="8"/>
  <c r="N72" i="8"/>
  <c r="L72" i="8"/>
  <c r="J72" i="8"/>
  <c r="H72" i="8"/>
  <c r="F72" i="8"/>
  <c r="D72" i="8"/>
  <c r="AV72" i="8" s="1"/>
  <c r="AT71" i="8"/>
  <c r="AR71" i="8"/>
  <c r="AP71" i="8"/>
  <c r="AN71" i="8"/>
  <c r="AL71" i="8"/>
  <c r="AJ71" i="8"/>
  <c r="AH71" i="8"/>
  <c r="AF71" i="8"/>
  <c r="AD71" i="8"/>
  <c r="AB71" i="8"/>
  <c r="Z71" i="8"/>
  <c r="X71" i="8"/>
  <c r="V71" i="8"/>
  <c r="T71" i="8"/>
  <c r="R71" i="8"/>
  <c r="P71" i="8"/>
  <c r="N71" i="8"/>
  <c r="L71" i="8"/>
  <c r="J71" i="8"/>
  <c r="H71" i="8"/>
  <c r="F71" i="8"/>
  <c r="D71" i="8"/>
  <c r="AV71" i="8" s="1"/>
  <c r="AV69" i="8"/>
  <c r="AV68" i="8"/>
  <c r="AV67" i="8"/>
  <c r="AT65" i="8"/>
  <c r="AT66" i="8" s="1"/>
  <c r="AR65" i="8"/>
  <c r="AR66" i="8" s="1"/>
  <c r="AP65" i="8"/>
  <c r="AP66" i="8" s="1"/>
  <c r="AN65" i="8"/>
  <c r="AN66" i="8" s="1"/>
  <c r="AL65" i="8"/>
  <c r="AL66" i="8" s="1"/>
  <c r="AJ65" i="8"/>
  <c r="AJ66" i="8" s="1"/>
  <c r="AH65" i="8"/>
  <c r="AH66" i="8" s="1"/>
  <c r="AF65" i="8"/>
  <c r="AF66" i="8" s="1"/>
  <c r="AD65" i="8"/>
  <c r="AD66" i="8" s="1"/>
  <c r="AB65" i="8"/>
  <c r="AB66" i="8" s="1"/>
  <c r="Z65" i="8"/>
  <c r="Z66" i="8" s="1"/>
  <c r="X65" i="8"/>
  <c r="X66" i="8" s="1"/>
  <c r="V65" i="8"/>
  <c r="V66" i="8" s="1"/>
  <c r="T65" i="8"/>
  <c r="T66" i="8" s="1"/>
  <c r="R65" i="8"/>
  <c r="R66" i="8" s="1"/>
  <c r="P65" i="8"/>
  <c r="P66" i="8" s="1"/>
  <c r="N65" i="8"/>
  <c r="N66" i="8" s="1"/>
  <c r="L65" i="8"/>
  <c r="L66" i="8" s="1"/>
  <c r="J65" i="8"/>
  <c r="J66" i="8" s="1"/>
  <c r="H65" i="8"/>
  <c r="H66" i="8" s="1"/>
  <c r="F65" i="8"/>
  <c r="F66" i="8" s="1"/>
  <c r="D65" i="8"/>
  <c r="AV64" i="8"/>
  <c r="AV63" i="8"/>
  <c r="AV62" i="8"/>
  <c r="AV61" i="8"/>
  <c r="AV60" i="8"/>
  <c r="AV59" i="8"/>
  <c r="AT58" i="8"/>
  <c r="AR58" i="8"/>
  <c r="AP58" i="8"/>
  <c r="AN58" i="8"/>
  <c r="AL58" i="8"/>
  <c r="AJ58" i="8"/>
  <c r="AH58" i="8"/>
  <c r="AF58" i="8"/>
  <c r="AD58" i="8"/>
  <c r="AB58" i="8"/>
  <c r="Z58" i="8"/>
  <c r="X58" i="8"/>
  <c r="V58" i="8"/>
  <c r="T58" i="8"/>
  <c r="R58" i="8"/>
  <c r="P58" i="8"/>
  <c r="N58" i="8"/>
  <c r="L58" i="8"/>
  <c r="J58" i="8"/>
  <c r="H58" i="8"/>
  <c r="F58" i="8"/>
  <c r="D58" i="8"/>
  <c r="AV57" i="8"/>
  <c r="AV55" i="8"/>
  <c r="AV54" i="8"/>
  <c r="AV52" i="8"/>
  <c r="AV50" i="8"/>
  <c r="AV49" i="8"/>
  <c r="AV47" i="8"/>
  <c r="AV46" i="8"/>
  <c r="AV45" i="8"/>
  <c r="AV44" i="8"/>
  <c r="AV42" i="8"/>
  <c r="AT41" i="8"/>
  <c r="AR41" i="8"/>
  <c r="AP41" i="8"/>
  <c r="AN41" i="8"/>
  <c r="AL41" i="8"/>
  <c r="AJ41" i="8"/>
  <c r="AH41" i="8"/>
  <c r="AF41" i="8"/>
  <c r="AD41" i="8"/>
  <c r="AB41" i="8"/>
  <c r="Z41" i="8"/>
  <c r="X41" i="8"/>
  <c r="V41" i="8"/>
  <c r="T41" i="8"/>
  <c r="R41" i="8"/>
  <c r="P41" i="8"/>
  <c r="N41" i="8"/>
  <c r="L41" i="8"/>
  <c r="J41" i="8"/>
  <c r="H41" i="8"/>
  <c r="F41" i="8"/>
  <c r="D41" i="8"/>
  <c r="AV40" i="8"/>
  <c r="AV39" i="8"/>
  <c r="AV38" i="8"/>
  <c r="AV37" i="8"/>
  <c r="AV36" i="8"/>
  <c r="AV35" i="8"/>
  <c r="AV34" i="8"/>
  <c r="AV33" i="8"/>
  <c r="AT32" i="8"/>
  <c r="AR32" i="8"/>
  <c r="AP32" i="8"/>
  <c r="AN32" i="8"/>
  <c r="AL32" i="8"/>
  <c r="AJ32" i="8"/>
  <c r="AH32" i="8"/>
  <c r="AF32" i="8"/>
  <c r="AD32" i="8"/>
  <c r="AB32" i="8"/>
  <c r="Z32" i="8"/>
  <c r="X32" i="8"/>
  <c r="V32" i="8"/>
  <c r="T32" i="8"/>
  <c r="R32" i="8"/>
  <c r="P32" i="8"/>
  <c r="N32" i="8"/>
  <c r="L32" i="8"/>
  <c r="J32" i="8"/>
  <c r="H32" i="8"/>
  <c r="F32" i="8"/>
  <c r="D32" i="8"/>
  <c r="AV31" i="8"/>
  <c r="AV30" i="8"/>
  <c r="AV29" i="8"/>
  <c r="AT27" i="8"/>
  <c r="AT28" i="8" s="1"/>
  <c r="AR27" i="8"/>
  <c r="AP27" i="8"/>
  <c r="AN27" i="8"/>
  <c r="AL27" i="8"/>
  <c r="AJ27" i="8"/>
  <c r="AH27" i="8"/>
  <c r="AF27" i="8"/>
  <c r="AF28" i="8" s="1"/>
  <c r="AD27" i="8"/>
  <c r="AB27" i="8"/>
  <c r="Z27" i="8"/>
  <c r="X27" i="8"/>
  <c r="V27" i="8"/>
  <c r="T27" i="8"/>
  <c r="R27" i="8"/>
  <c r="P27" i="8"/>
  <c r="P28" i="8" s="1"/>
  <c r="N27" i="8"/>
  <c r="N28" i="8" s="1"/>
  <c r="L27" i="8"/>
  <c r="J27" i="8"/>
  <c r="H27" i="8"/>
  <c r="F27" i="8"/>
  <c r="D27" i="8"/>
  <c r="AV26" i="8"/>
  <c r="AV25" i="8"/>
  <c r="AV24" i="8"/>
  <c r="AT23" i="8"/>
  <c r="AR23" i="8"/>
  <c r="AP23" i="8"/>
  <c r="AN23" i="8"/>
  <c r="AL23" i="8"/>
  <c r="AJ23" i="8"/>
  <c r="AH23" i="8"/>
  <c r="AF23" i="8"/>
  <c r="AD23" i="8"/>
  <c r="AB23" i="8"/>
  <c r="Z23" i="8"/>
  <c r="X23" i="8"/>
  <c r="V23" i="8"/>
  <c r="T23" i="8"/>
  <c r="R23" i="8"/>
  <c r="P23" i="8"/>
  <c r="N23" i="8"/>
  <c r="L23" i="8"/>
  <c r="J23" i="8"/>
  <c r="H23" i="8"/>
  <c r="H28" i="8" s="1"/>
  <c r="F23" i="8"/>
  <c r="D23" i="8"/>
  <c r="AV22" i="8"/>
  <c r="AV21" i="8"/>
  <c r="AX21" i="8" s="1"/>
  <c r="AV20" i="8"/>
  <c r="AT18" i="8"/>
  <c r="AR18" i="8"/>
  <c r="AP18" i="8"/>
  <c r="AN18" i="8"/>
  <c r="AL18" i="8"/>
  <c r="AL19" i="8" s="1"/>
  <c r="AJ18" i="8"/>
  <c r="AJ19" i="8" s="1"/>
  <c r="AH18" i="8"/>
  <c r="AF18" i="8"/>
  <c r="AD18" i="8"/>
  <c r="AB18" i="8"/>
  <c r="Z18" i="8"/>
  <c r="X18" i="8"/>
  <c r="V18" i="8"/>
  <c r="T18" i="8"/>
  <c r="R18" i="8"/>
  <c r="P18" i="8"/>
  <c r="N18" i="8"/>
  <c r="L18" i="8"/>
  <c r="J18" i="8"/>
  <c r="H18" i="8"/>
  <c r="F18" i="8"/>
  <c r="D18" i="8"/>
  <c r="AV17" i="8"/>
  <c r="AV16" i="8"/>
  <c r="AV15" i="8"/>
  <c r="AV14" i="8"/>
  <c r="AT13" i="8"/>
  <c r="AR13" i="8"/>
  <c r="AR19" i="8" s="1"/>
  <c r="AP13" i="8"/>
  <c r="AN13" i="8"/>
  <c r="AL13" i="8"/>
  <c r="AJ13" i="8"/>
  <c r="AH13" i="8"/>
  <c r="AF13" i="8"/>
  <c r="AD13" i="8"/>
  <c r="AB13" i="8"/>
  <c r="Z13" i="8"/>
  <c r="X13" i="8"/>
  <c r="V13" i="8"/>
  <c r="T13" i="8"/>
  <c r="R13" i="8"/>
  <c r="P13" i="8"/>
  <c r="N13" i="8"/>
  <c r="L13" i="8"/>
  <c r="J13" i="8"/>
  <c r="H13" i="8"/>
  <c r="F13" i="8"/>
  <c r="D13" i="8"/>
  <c r="AV12" i="8"/>
  <c r="AV11" i="8"/>
  <c r="AV10" i="8"/>
  <c r="AV8" i="8"/>
  <c r="AV7" i="8"/>
  <c r="AT6" i="8"/>
  <c r="AR6" i="8"/>
  <c r="AP6" i="8"/>
  <c r="AN6" i="8"/>
  <c r="AL6" i="8"/>
  <c r="AJ6" i="8"/>
  <c r="AH6" i="8"/>
  <c r="AF6" i="8"/>
  <c r="AD6" i="8"/>
  <c r="AB6" i="8"/>
  <c r="Z6" i="8"/>
  <c r="X6" i="8"/>
  <c r="V6" i="8"/>
  <c r="T6" i="8"/>
  <c r="R6" i="8"/>
  <c r="P6" i="8"/>
  <c r="N6" i="8"/>
  <c r="L6" i="8"/>
  <c r="J6" i="8"/>
  <c r="H6" i="8"/>
  <c r="F6" i="8"/>
  <c r="D6" i="8"/>
  <c r="AT5" i="8"/>
  <c r="AR5" i="8"/>
  <c r="AP5" i="8"/>
  <c r="AN5" i="8"/>
  <c r="AL5" i="8"/>
  <c r="AJ5" i="8"/>
  <c r="AH5" i="8"/>
  <c r="AF5" i="8"/>
  <c r="AD5" i="8"/>
  <c r="AB5" i="8"/>
  <c r="Z5" i="8"/>
  <c r="X5" i="8"/>
  <c r="V5" i="8"/>
  <c r="T5" i="8"/>
  <c r="R5" i="8"/>
  <c r="P5" i="8"/>
  <c r="N5" i="8"/>
  <c r="L5" i="8"/>
  <c r="J5" i="8"/>
  <c r="H5" i="8"/>
  <c r="F5" i="8"/>
  <c r="D5" i="8"/>
  <c r="AV4" i="8"/>
  <c r="AV76" i="7"/>
  <c r="AV75" i="7"/>
  <c r="AV74" i="7"/>
  <c r="AY23" i="7" s="1"/>
  <c r="AV73" i="7"/>
  <c r="AV72" i="7"/>
  <c r="AV71" i="7"/>
  <c r="AY21" i="7" s="1"/>
  <c r="AV70" i="7"/>
  <c r="AV69" i="7"/>
  <c r="AV68" i="7"/>
  <c r="AV67" i="7"/>
  <c r="AV66" i="7"/>
  <c r="AV65" i="7"/>
  <c r="AV64" i="7"/>
  <c r="AV63" i="7"/>
  <c r="AY13" i="7" s="1"/>
  <c r="AV62" i="7"/>
  <c r="AV61" i="7"/>
  <c r="AY11" i="7" s="1"/>
  <c r="AZ60" i="7"/>
  <c r="AV60" i="7"/>
  <c r="AU58" i="7"/>
  <c r="AS58" i="7"/>
  <c r="AQ58" i="7"/>
  <c r="AO58" i="7"/>
  <c r="AM58" i="7"/>
  <c r="AK58" i="7"/>
  <c r="AI58" i="7"/>
  <c r="AG58" i="7"/>
  <c r="AE58" i="7"/>
  <c r="AC58" i="7"/>
  <c r="AA58" i="7"/>
  <c r="Y58" i="7"/>
  <c r="W58" i="7"/>
  <c r="U58" i="7"/>
  <c r="S58" i="7"/>
  <c r="Q58" i="7"/>
  <c r="O58" i="7"/>
  <c r="M58" i="7"/>
  <c r="K58" i="7"/>
  <c r="I58" i="7"/>
  <c r="G58" i="7"/>
  <c r="E58" i="7"/>
  <c r="AT57" i="7"/>
  <c r="AN57" i="7"/>
  <c r="AN6" i="7" s="1"/>
  <c r="AL57" i="7"/>
  <c r="AL6" i="7" s="1"/>
  <c r="AJ57" i="7"/>
  <c r="AJ6" i="7" s="1"/>
  <c r="AH57" i="7"/>
  <c r="AH6" i="7" s="1"/>
  <c r="AF57" i="7"/>
  <c r="AD57" i="7"/>
  <c r="AB57" i="7"/>
  <c r="AB6" i="7" s="1"/>
  <c r="Z57" i="7"/>
  <c r="Z6" i="7" s="1"/>
  <c r="X57" i="7"/>
  <c r="X6" i="7" s="1"/>
  <c r="V57" i="7"/>
  <c r="V6" i="7" s="1"/>
  <c r="T57" i="7"/>
  <c r="T6" i="7" s="1"/>
  <c r="R57" i="7"/>
  <c r="P57" i="7"/>
  <c r="N57" i="7"/>
  <c r="L57" i="7"/>
  <c r="J57" i="7"/>
  <c r="F57" i="7"/>
  <c r="F6" i="7" s="1"/>
  <c r="D57" i="7"/>
  <c r="AV56" i="7"/>
  <c r="AT54" i="7"/>
  <c r="AR54" i="7"/>
  <c r="AP54" i="7"/>
  <c r="AN54" i="7"/>
  <c r="AN55" i="7" s="1"/>
  <c r="AN58" i="7" s="1"/>
  <c r="AL54" i="7"/>
  <c r="AJ54" i="7"/>
  <c r="AJ55" i="7" s="1"/>
  <c r="AJ58" i="7" s="1"/>
  <c r="AH54" i="7"/>
  <c r="AF54" i="7"/>
  <c r="AF5" i="7" s="1"/>
  <c r="AD54" i="7"/>
  <c r="AB54" i="7"/>
  <c r="Z54" i="7"/>
  <c r="Z55" i="7" s="1"/>
  <c r="Z58" i="7" s="1"/>
  <c r="X54" i="7"/>
  <c r="X55" i="7" s="1"/>
  <c r="X58" i="7" s="1"/>
  <c r="V54" i="7"/>
  <c r="T54" i="7"/>
  <c r="T55" i="7" s="1"/>
  <c r="T58" i="7" s="1"/>
  <c r="R54" i="7"/>
  <c r="P54" i="7"/>
  <c r="P5" i="7" s="1"/>
  <c r="N54" i="7"/>
  <c r="L54" i="7"/>
  <c r="J54" i="7"/>
  <c r="H54" i="7"/>
  <c r="H55" i="7" s="1"/>
  <c r="H58" i="7" s="1"/>
  <c r="F54" i="7"/>
  <c r="D54" i="7"/>
  <c r="D5" i="7" s="1"/>
  <c r="AV53" i="7"/>
  <c r="AV52" i="7"/>
  <c r="AV51" i="7"/>
  <c r="AV50" i="7"/>
  <c r="AV49" i="7"/>
  <c r="AV48" i="7"/>
  <c r="AV47" i="7"/>
  <c r="AV46" i="7"/>
  <c r="AT45" i="7"/>
  <c r="AR45" i="7"/>
  <c r="AR55" i="7" s="1"/>
  <c r="AP45" i="7"/>
  <c r="AN45" i="7"/>
  <c r="AL45" i="7"/>
  <c r="AL55" i="7" s="1"/>
  <c r="AJ45" i="7"/>
  <c r="AH45" i="7"/>
  <c r="AF45" i="7"/>
  <c r="AD45" i="7"/>
  <c r="AB45" i="7"/>
  <c r="AB55" i="7" s="1"/>
  <c r="Z45" i="7"/>
  <c r="X45" i="7"/>
  <c r="V45" i="7"/>
  <c r="V55" i="7" s="1"/>
  <c r="T45" i="7"/>
  <c r="R45" i="7"/>
  <c r="P45" i="7"/>
  <c r="N45" i="7"/>
  <c r="L45" i="7"/>
  <c r="J45" i="7"/>
  <c r="H45" i="7"/>
  <c r="F45" i="7"/>
  <c r="F55" i="7" s="1"/>
  <c r="D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T26" i="7"/>
  <c r="AR26" i="7"/>
  <c r="AP26" i="7"/>
  <c r="AN26" i="7"/>
  <c r="AL26" i="7"/>
  <c r="AJ26" i="7"/>
  <c r="AH26" i="7"/>
  <c r="AF26" i="7"/>
  <c r="AD26" i="7"/>
  <c r="AB26" i="7"/>
  <c r="Z26" i="7"/>
  <c r="X26" i="7"/>
  <c r="V26" i="7"/>
  <c r="T26" i="7"/>
  <c r="R26" i="7"/>
  <c r="P26" i="7"/>
  <c r="N26" i="7"/>
  <c r="L26" i="7"/>
  <c r="J26" i="7"/>
  <c r="H26" i="7"/>
  <c r="F26" i="7"/>
  <c r="D26" i="7"/>
  <c r="AV25" i="7"/>
  <c r="AV24" i="7"/>
  <c r="AV23" i="7"/>
  <c r="AV22" i="7"/>
  <c r="AV21" i="7"/>
  <c r="AV20" i="7"/>
  <c r="AY19" i="7"/>
  <c r="AV19" i="7"/>
  <c r="AV18" i="7"/>
  <c r="AV17" i="7"/>
  <c r="AV16" i="7"/>
  <c r="AV15" i="7"/>
  <c r="AV14" i="7"/>
  <c r="AV13" i="7"/>
  <c r="AV12" i="7"/>
  <c r="AV11" i="7"/>
  <c r="AF6" i="7"/>
  <c r="AD6" i="7"/>
  <c r="R6" i="7"/>
  <c r="P6" i="7"/>
  <c r="N6" i="7"/>
  <c r="L6" i="7"/>
  <c r="J6" i="7"/>
  <c r="AL5" i="7"/>
  <c r="AJ5" i="7"/>
  <c r="AH5" i="7"/>
  <c r="AD5" i="7"/>
  <c r="AB5" i="7"/>
  <c r="Z5" i="7"/>
  <c r="V5" i="7"/>
  <c r="R5" i="7"/>
  <c r="N5" i="7"/>
  <c r="L5" i="7"/>
  <c r="J5" i="7"/>
  <c r="F5" i="7"/>
  <c r="AN4" i="7"/>
  <c r="AL4" i="7"/>
  <c r="AJ4" i="7"/>
  <c r="AH4" i="7"/>
  <c r="AF4" i="7"/>
  <c r="AD4" i="7"/>
  <c r="AB4" i="7"/>
  <c r="Z4" i="7"/>
  <c r="X4" i="7"/>
  <c r="V4" i="7"/>
  <c r="T4" i="7"/>
  <c r="R4" i="7"/>
  <c r="P4" i="7"/>
  <c r="N4" i="7"/>
  <c r="L4" i="7"/>
  <c r="J4" i="7"/>
  <c r="F4" i="7"/>
  <c r="D4" i="7"/>
  <c r="AH54" i="6"/>
  <c r="AT52" i="6"/>
  <c r="AR52" i="6"/>
  <c r="AP52" i="6"/>
  <c r="AN52" i="6"/>
  <c r="AL52" i="6"/>
  <c r="AJ52" i="6"/>
  <c r="AH52" i="6"/>
  <c r="AF52" i="6"/>
  <c r="AD52" i="6"/>
  <c r="AB52" i="6"/>
  <c r="Z52" i="6"/>
  <c r="X52" i="6"/>
  <c r="V52" i="6"/>
  <c r="T52" i="6"/>
  <c r="R52" i="6"/>
  <c r="P52" i="6"/>
  <c r="N52" i="6"/>
  <c r="L52" i="6"/>
  <c r="J52" i="6"/>
  <c r="H52" i="6"/>
  <c r="F52" i="6"/>
  <c r="D52" i="6"/>
  <c r="AT51" i="6"/>
  <c r="AR51" i="6"/>
  <c r="AP51" i="6"/>
  <c r="AN51" i="6"/>
  <c r="AL51" i="6"/>
  <c r="AJ51" i="6"/>
  <c r="AH51" i="6"/>
  <c r="AF51" i="6"/>
  <c r="AD51" i="6"/>
  <c r="AB51" i="6"/>
  <c r="Z51" i="6"/>
  <c r="X51" i="6"/>
  <c r="V51" i="6"/>
  <c r="T51" i="6"/>
  <c r="R51" i="6"/>
  <c r="P51" i="6"/>
  <c r="N51" i="6"/>
  <c r="L51" i="6"/>
  <c r="J51" i="6"/>
  <c r="H51" i="6"/>
  <c r="F51" i="6"/>
  <c r="D51" i="6"/>
  <c r="AV49" i="6"/>
  <c r="AV48" i="6"/>
  <c r="AV47" i="6"/>
  <c r="AV46" i="6"/>
  <c r="AV45" i="6"/>
  <c r="AV43" i="6"/>
  <c r="AV41" i="6"/>
  <c r="AV39" i="6"/>
  <c r="AV38" i="6"/>
  <c r="AV36" i="6"/>
  <c r="AT35" i="6"/>
  <c r="AR35" i="6"/>
  <c r="AP35" i="6"/>
  <c r="AN35" i="6"/>
  <c r="AL35" i="6"/>
  <c r="AJ35" i="6"/>
  <c r="AH35" i="6"/>
  <c r="AF35" i="6"/>
  <c r="AD35" i="6"/>
  <c r="AB35" i="6"/>
  <c r="Z35" i="6"/>
  <c r="X35" i="6"/>
  <c r="V35" i="6"/>
  <c r="T35" i="6"/>
  <c r="R35" i="6"/>
  <c r="P35" i="6"/>
  <c r="N35" i="6"/>
  <c r="L35" i="6"/>
  <c r="J35" i="6"/>
  <c r="H35" i="6"/>
  <c r="F35" i="6"/>
  <c r="D35" i="6"/>
  <c r="AV34" i="6"/>
  <c r="AV33" i="6"/>
  <c r="AV32" i="6"/>
  <c r="AT30" i="6"/>
  <c r="AR30" i="6"/>
  <c r="AP30" i="6"/>
  <c r="AN30" i="6"/>
  <c r="AL30" i="6"/>
  <c r="AJ30" i="6"/>
  <c r="AH30" i="6"/>
  <c r="AF30" i="6"/>
  <c r="AD30" i="6"/>
  <c r="AB30" i="6"/>
  <c r="Z30" i="6"/>
  <c r="X30" i="6"/>
  <c r="V30" i="6"/>
  <c r="T30" i="6"/>
  <c r="R30" i="6"/>
  <c r="P30" i="6"/>
  <c r="N30" i="6"/>
  <c r="L30" i="6"/>
  <c r="J30" i="6"/>
  <c r="H30" i="6"/>
  <c r="F30" i="6"/>
  <c r="D30" i="6"/>
  <c r="AV29" i="6"/>
  <c r="AV28" i="6"/>
  <c r="AT25" i="6"/>
  <c r="AR25" i="6"/>
  <c r="AP25" i="6"/>
  <c r="AN25" i="6"/>
  <c r="AL25" i="6"/>
  <c r="AJ25" i="6"/>
  <c r="AH25" i="6"/>
  <c r="AF25" i="6"/>
  <c r="AD25" i="6"/>
  <c r="AB25" i="6"/>
  <c r="Z25" i="6"/>
  <c r="X25" i="6"/>
  <c r="V25" i="6"/>
  <c r="T25" i="6"/>
  <c r="R25" i="6"/>
  <c r="P25" i="6"/>
  <c r="N25" i="6"/>
  <c r="L25" i="6"/>
  <c r="J25" i="6"/>
  <c r="J26" i="6" s="1"/>
  <c r="H25" i="6"/>
  <c r="F25" i="6"/>
  <c r="D25" i="6"/>
  <c r="AV24" i="6"/>
  <c r="AV23" i="6"/>
  <c r="AT21" i="6"/>
  <c r="AR21" i="6"/>
  <c r="AR26" i="6" s="1"/>
  <c r="AP21" i="6"/>
  <c r="AP26" i="6" s="1"/>
  <c r="AN21" i="6"/>
  <c r="AL21" i="6"/>
  <c r="AJ21" i="6"/>
  <c r="AH21" i="6"/>
  <c r="AF21" i="6"/>
  <c r="AF26" i="6" s="1"/>
  <c r="AD21" i="6"/>
  <c r="AB21" i="6"/>
  <c r="AB26" i="6" s="1"/>
  <c r="Z21" i="6"/>
  <c r="Z26" i="6" s="1"/>
  <c r="X21" i="6"/>
  <c r="V21" i="6"/>
  <c r="T21" i="6"/>
  <c r="R21" i="6"/>
  <c r="P21" i="6"/>
  <c r="P26" i="6" s="1"/>
  <c r="N21" i="6"/>
  <c r="L21" i="6"/>
  <c r="L26" i="6" s="1"/>
  <c r="J21" i="6"/>
  <c r="H21" i="6"/>
  <c r="F21" i="6"/>
  <c r="D21" i="6"/>
  <c r="AV20" i="6"/>
  <c r="AV19" i="6"/>
  <c r="AP17" i="6"/>
  <c r="AT16" i="6"/>
  <c r="AR16" i="6"/>
  <c r="AP16" i="6"/>
  <c r="AN16" i="6"/>
  <c r="AL16" i="6"/>
  <c r="AJ16" i="6"/>
  <c r="AH16" i="6"/>
  <c r="AF16" i="6"/>
  <c r="AD16" i="6"/>
  <c r="AB16" i="6"/>
  <c r="Z16" i="6"/>
  <c r="X16" i="6"/>
  <c r="V16" i="6"/>
  <c r="T16" i="6"/>
  <c r="R16" i="6"/>
  <c r="P16" i="6"/>
  <c r="N16" i="6"/>
  <c r="L16" i="6"/>
  <c r="J16" i="6"/>
  <c r="H16" i="6"/>
  <c r="F16" i="6"/>
  <c r="D16" i="6"/>
  <c r="AV15" i="6"/>
  <c r="AV14" i="6"/>
  <c r="AT12" i="6"/>
  <c r="AT17" i="6" s="1"/>
  <c r="AR12" i="6"/>
  <c r="AR17" i="6" s="1"/>
  <c r="AP12" i="6"/>
  <c r="AN12" i="6"/>
  <c r="AL12" i="6"/>
  <c r="AJ12" i="6"/>
  <c r="AH12" i="6"/>
  <c r="AH17" i="6" s="1"/>
  <c r="AF12" i="6"/>
  <c r="AD12" i="6"/>
  <c r="AD17" i="6" s="1"/>
  <c r="AB12" i="6"/>
  <c r="AB17" i="6" s="1"/>
  <c r="Z12" i="6"/>
  <c r="X12" i="6"/>
  <c r="V12" i="6"/>
  <c r="T12" i="6"/>
  <c r="R12" i="6"/>
  <c r="R17" i="6" s="1"/>
  <c r="R54" i="6" s="1"/>
  <c r="P12" i="6"/>
  <c r="N12" i="6"/>
  <c r="N17" i="6" s="1"/>
  <c r="L12" i="6"/>
  <c r="L17" i="6" s="1"/>
  <c r="J12" i="6"/>
  <c r="H12" i="6"/>
  <c r="F12" i="6"/>
  <c r="D12" i="6"/>
  <c r="AV11" i="6"/>
  <c r="AV10" i="6"/>
  <c r="AV8" i="6"/>
  <c r="AU48" i="5"/>
  <c r="AM48" i="5"/>
  <c r="AK48" i="5"/>
  <c r="AI48" i="5"/>
  <c r="AG48" i="5"/>
  <c r="AE48" i="5"/>
  <c r="AC48" i="5"/>
  <c r="AT47" i="5"/>
  <c r="AR47" i="5"/>
  <c r="AP47" i="5"/>
  <c r="AN47" i="5"/>
  <c r="AL47" i="5"/>
  <c r="AJ47" i="5"/>
  <c r="AH47" i="5"/>
  <c r="AH6" i="5" s="1"/>
  <c r="AF47" i="5"/>
  <c r="AF6" i="5" s="1"/>
  <c r="AD47" i="5"/>
  <c r="AB47" i="5"/>
  <c r="AB6" i="5" s="1"/>
  <c r="Z47" i="5"/>
  <c r="Z6" i="5" s="1"/>
  <c r="X47" i="5"/>
  <c r="V47" i="5"/>
  <c r="T47" i="5"/>
  <c r="R47" i="5"/>
  <c r="P47" i="5"/>
  <c r="P6" i="5" s="1"/>
  <c r="N47" i="5"/>
  <c r="L47" i="5"/>
  <c r="L6" i="5" s="1"/>
  <c r="J47" i="5"/>
  <c r="J6" i="5" s="1"/>
  <c r="H47" i="5"/>
  <c r="F47" i="5"/>
  <c r="D47" i="5"/>
  <c r="AV46" i="5"/>
  <c r="AT44" i="5"/>
  <c r="AR44" i="5"/>
  <c r="AR45" i="5" s="1"/>
  <c r="AP44" i="5"/>
  <c r="AN44" i="5"/>
  <c r="AL44" i="5"/>
  <c r="AJ44" i="5"/>
  <c r="AH44" i="5"/>
  <c r="AH5" i="5" s="1"/>
  <c r="AF44" i="5"/>
  <c r="AF5" i="5" s="1"/>
  <c r="AD44" i="5"/>
  <c r="AD5" i="5" s="1"/>
  <c r="AB44" i="5"/>
  <c r="AB45" i="5" s="1"/>
  <c r="Z44" i="5"/>
  <c r="Z5" i="5" s="1"/>
  <c r="V44" i="5"/>
  <c r="T44" i="5"/>
  <c r="R44" i="5"/>
  <c r="P44" i="5"/>
  <c r="P5" i="5" s="1"/>
  <c r="N44" i="5"/>
  <c r="L44" i="5"/>
  <c r="L45" i="5" s="1"/>
  <c r="J44" i="5"/>
  <c r="J45" i="5" s="1"/>
  <c r="H44" i="5"/>
  <c r="F44" i="5"/>
  <c r="F5" i="5" s="1"/>
  <c r="D44" i="5"/>
  <c r="AV43" i="5"/>
  <c r="AV42" i="5"/>
  <c r="AV41" i="5"/>
  <c r="AV40" i="5"/>
  <c r="AV39" i="5"/>
  <c r="AV38" i="5"/>
  <c r="AT36" i="5"/>
  <c r="AR36" i="5"/>
  <c r="AP36" i="5"/>
  <c r="AN36" i="5"/>
  <c r="AL36" i="5"/>
  <c r="AJ36" i="5"/>
  <c r="AH36" i="5"/>
  <c r="AF36" i="5"/>
  <c r="AD36" i="5"/>
  <c r="AB36" i="5"/>
  <c r="Z36" i="5"/>
  <c r="X36" i="5"/>
  <c r="X45" i="5" s="1"/>
  <c r="V36" i="5"/>
  <c r="T36" i="5"/>
  <c r="R36" i="5"/>
  <c r="R45" i="5" s="1"/>
  <c r="P36" i="5"/>
  <c r="N36" i="5"/>
  <c r="L36" i="5"/>
  <c r="J36" i="5"/>
  <c r="H36" i="5"/>
  <c r="F36" i="5"/>
  <c r="D36" i="5"/>
  <c r="AV35" i="5"/>
  <c r="AV34" i="5"/>
  <c r="AV33" i="5"/>
  <c r="AV32" i="5"/>
  <c r="AV31" i="5"/>
  <c r="AV30" i="5"/>
  <c r="AV29" i="5"/>
  <c r="AV28" i="5"/>
  <c r="AV27" i="5"/>
  <c r="AV26" i="5"/>
  <c r="AV25" i="5"/>
  <c r="AV24" i="5"/>
  <c r="AT22" i="5"/>
  <c r="AR22" i="5"/>
  <c r="AP22" i="5"/>
  <c r="AN22" i="5"/>
  <c r="AL22" i="5"/>
  <c r="AJ22" i="5"/>
  <c r="AH22" i="5"/>
  <c r="AF22" i="5"/>
  <c r="AD22" i="5"/>
  <c r="AB22" i="5"/>
  <c r="Z22" i="5"/>
  <c r="X22" i="5"/>
  <c r="V22" i="5"/>
  <c r="T22" i="5"/>
  <c r="R22" i="5"/>
  <c r="P22" i="5"/>
  <c r="N22" i="5"/>
  <c r="L22" i="5"/>
  <c r="J22" i="5"/>
  <c r="H22" i="5"/>
  <c r="F22" i="5"/>
  <c r="D22" i="5"/>
  <c r="AV21" i="5"/>
  <c r="AV20" i="5"/>
  <c r="AV19" i="5"/>
  <c r="AV18" i="5"/>
  <c r="AV17" i="5"/>
  <c r="AV16" i="5"/>
  <c r="AV15" i="5"/>
  <c r="AV14" i="5"/>
  <c r="AV13" i="5"/>
  <c r="AV12" i="5"/>
  <c r="AV11" i="5"/>
  <c r="AN6" i="5"/>
  <c r="AL6" i="5"/>
  <c r="AJ6" i="5"/>
  <c r="AD6" i="5"/>
  <c r="X6" i="5"/>
  <c r="V6" i="5"/>
  <c r="T6" i="5"/>
  <c r="R6" i="5"/>
  <c r="N6" i="5"/>
  <c r="F6" i="5"/>
  <c r="D6" i="5"/>
  <c r="AL5" i="5"/>
  <c r="AJ5" i="5"/>
  <c r="X5" i="5"/>
  <c r="V5" i="5"/>
  <c r="T5" i="5"/>
  <c r="R5" i="5"/>
  <c r="N5" i="5"/>
  <c r="D5" i="5"/>
  <c r="AN4" i="5"/>
  <c r="AL4" i="5"/>
  <c r="AJ4" i="5"/>
  <c r="AH4" i="5"/>
  <c r="AF4" i="5"/>
  <c r="AD4" i="5"/>
  <c r="AB4" i="5"/>
  <c r="Z4" i="5"/>
  <c r="X4" i="5"/>
  <c r="V4" i="5"/>
  <c r="T4" i="5"/>
  <c r="R4" i="5"/>
  <c r="P4" i="5"/>
  <c r="N4" i="5"/>
  <c r="L4" i="5"/>
  <c r="J4" i="5"/>
  <c r="F4" i="5"/>
  <c r="D4" i="5"/>
  <c r="F79" i="23" l="1"/>
  <c r="D79" i="23" s="1"/>
  <c r="F82" i="23" s="1"/>
  <c r="B82" i="23" s="1"/>
  <c r="F85" i="23" s="1"/>
  <c r="D85" i="23" s="1"/>
  <c r="C6" i="25"/>
  <c r="C7" i="25"/>
  <c r="D55" i="7"/>
  <c r="J55" i="7"/>
  <c r="J58" i="7" s="1"/>
  <c r="AP55" i="7"/>
  <c r="AP58" i="7" s="1"/>
  <c r="L19" i="8"/>
  <c r="F28" i="8"/>
  <c r="V28" i="8"/>
  <c r="V75" i="8" s="1"/>
  <c r="AL28" i="8"/>
  <c r="AL75" i="8" s="1"/>
  <c r="Z55" i="9"/>
  <c r="Z58" i="9" s="1"/>
  <c r="AW67" i="9"/>
  <c r="H19" i="10"/>
  <c r="X19" i="10"/>
  <c r="AN19" i="10"/>
  <c r="AL28" i="10"/>
  <c r="D28" i="10"/>
  <c r="D75" i="10" s="1"/>
  <c r="AV75" i="10" s="1"/>
  <c r="T28" i="10"/>
  <c r="AJ28" i="10"/>
  <c r="Z19" i="8"/>
  <c r="Z74" i="8" s="1"/>
  <c r="L55" i="7"/>
  <c r="L58" i="7" s="1"/>
  <c r="N19" i="8"/>
  <c r="N74" i="8" s="1"/>
  <c r="AD19" i="8"/>
  <c r="AD74" i="8" s="1"/>
  <c r="AT19" i="8"/>
  <c r="AT74" i="8" s="1"/>
  <c r="X55" i="9"/>
  <c r="X58" i="9" s="1"/>
  <c r="L55" i="9"/>
  <c r="AB55" i="9"/>
  <c r="AR55" i="9"/>
  <c r="J19" i="10"/>
  <c r="Z19" i="10"/>
  <c r="AP19" i="10"/>
  <c r="X48" i="5"/>
  <c r="AP19" i="8"/>
  <c r="AP74" i="8" s="1"/>
  <c r="AN45" i="5"/>
  <c r="D19" i="8"/>
  <c r="T19" i="8"/>
  <c r="N55" i="9"/>
  <c r="N58" i="9" s="1"/>
  <c r="AD55" i="9"/>
  <c r="AD58" i="9" s="1"/>
  <c r="AT55" i="9"/>
  <c r="AT58" i="9" s="1"/>
  <c r="L19" i="10"/>
  <c r="AB19" i="10"/>
  <c r="AB74" i="10" s="1"/>
  <c r="AR19" i="10"/>
  <c r="T5" i="7"/>
  <c r="J19" i="8"/>
  <c r="AP45" i="5"/>
  <c r="AB58" i="7"/>
  <c r="AR58" i="7"/>
  <c r="F19" i="8"/>
  <c r="V19" i="8"/>
  <c r="V74" i="8" s="1"/>
  <c r="J74" i="8"/>
  <c r="N19" i="10"/>
  <c r="AD19" i="10"/>
  <c r="AT19" i="10"/>
  <c r="L5" i="5"/>
  <c r="AB48" i="5"/>
  <c r="AR48" i="5"/>
  <c r="H26" i="6"/>
  <c r="H55" i="6" s="1"/>
  <c r="X26" i="6"/>
  <c r="R55" i="7"/>
  <c r="R58" i="7" s="1"/>
  <c r="AH55" i="7"/>
  <c r="AH58" i="7" s="1"/>
  <c r="AY15" i="7"/>
  <c r="AW63" i="9"/>
  <c r="AW71" i="9"/>
  <c r="L28" i="10"/>
  <c r="AB28" i="10"/>
  <c r="AB75" i="10" s="1"/>
  <c r="AR28" i="10"/>
  <c r="AR43" i="10" s="1"/>
  <c r="J5" i="5"/>
  <c r="AB5" i="5"/>
  <c r="AY17" i="7"/>
  <c r="H19" i="8"/>
  <c r="X19" i="8"/>
  <c r="AN19" i="8"/>
  <c r="AN5" i="9"/>
  <c r="F55" i="9"/>
  <c r="F58" i="9" s="1"/>
  <c r="P28" i="10"/>
  <c r="F18" i="13"/>
  <c r="F10" i="13"/>
  <c r="G18" i="13"/>
  <c r="G10" i="13"/>
  <c r="C17" i="13"/>
  <c r="C9" i="13"/>
  <c r="C8" i="13"/>
  <c r="C18" i="13"/>
  <c r="C10" i="13"/>
  <c r="D17" i="13"/>
  <c r="D8" i="13"/>
  <c r="D9" i="13"/>
  <c r="F17" i="13"/>
  <c r="F9" i="13"/>
  <c r="F8" i="13"/>
  <c r="E17" i="13"/>
  <c r="E8" i="13"/>
  <c r="E9" i="13"/>
  <c r="D18" i="13"/>
  <c r="D10" i="13"/>
  <c r="E18" i="13"/>
  <c r="E10" i="13"/>
  <c r="L75" i="10"/>
  <c r="P17" i="6"/>
  <c r="P54" i="6" s="1"/>
  <c r="AT26" i="6"/>
  <c r="H75" i="8"/>
  <c r="AP58" i="9"/>
  <c r="T75" i="10"/>
  <c r="AJ75" i="10"/>
  <c r="L43" i="10"/>
  <c r="T43" i="10"/>
  <c r="AJ43" i="10"/>
  <c r="N45" i="5"/>
  <c r="N48" i="5" s="1"/>
  <c r="J48" i="5"/>
  <c r="X17" i="6"/>
  <c r="X54" i="6" s="1"/>
  <c r="V26" i="6"/>
  <c r="T74" i="8"/>
  <c r="J58" i="9"/>
  <c r="H45" i="5"/>
  <c r="H48" i="5" s="1"/>
  <c r="P45" i="5"/>
  <c r="P48" i="5" s="1"/>
  <c r="AP48" i="5"/>
  <c r="L48" i="5"/>
  <c r="AV47" i="5"/>
  <c r="J17" i="6"/>
  <c r="Z17" i="6"/>
  <c r="AN26" i="6"/>
  <c r="AV52" i="6"/>
  <c r="AV26" i="7"/>
  <c r="AV45" i="7"/>
  <c r="F74" i="8"/>
  <c r="AL74" i="8"/>
  <c r="AB5" i="9"/>
  <c r="N28" i="10"/>
  <c r="N75" i="10" s="1"/>
  <c r="AD28" i="10"/>
  <c r="AD75" i="10" s="1"/>
  <c r="AT28" i="10"/>
  <c r="R74" i="10"/>
  <c r="AH74" i="10"/>
  <c r="V45" i="5"/>
  <c r="AF17" i="6"/>
  <c r="AF54" i="6" s="1"/>
  <c r="F26" i="6"/>
  <c r="AD26" i="6"/>
  <c r="D74" i="8"/>
  <c r="AV74" i="8" s="1"/>
  <c r="AV36" i="5"/>
  <c r="R48" i="5"/>
  <c r="AH45" i="5"/>
  <c r="AH48" i="5" s="1"/>
  <c r="AJ45" i="5"/>
  <c r="AJ48" i="5" s="1"/>
  <c r="D17" i="6"/>
  <c r="T17" i="6"/>
  <c r="T54" i="6" s="1"/>
  <c r="AJ17" i="6"/>
  <c r="AP55" i="6"/>
  <c r="R26" i="6"/>
  <c r="R55" i="6" s="1"/>
  <c r="AH26" i="6"/>
  <c r="AH55" i="6" s="1"/>
  <c r="AJ54" i="6"/>
  <c r="P19" i="8"/>
  <c r="P75" i="8" s="1"/>
  <c r="AF19" i="8"/>
  <c r="AF75" i="8" s="1"/>
  <c r="AV18" i="8"/>
  <c r="AB19" i="8"/>
  <c r="J28" i="8"/>
  <c r="J75" i="8" s="1"/>
  <c r="R28" i="8"/>
  <c r="Z28" i="8"/>
  <c r="Z75" i="8" s="1"/>
  <c r="AH28" i="8"/>
  <c r="AP28" i="8"/>
  <c r="AD5" i="9"/>
  <c r="AZ69" i="9"/>
  <c r="T55" i="9"/>
  <c r="T58" i="9" s="1"/>
  <c r="AJ55" i="9"/>
  <c r="AJ58" i="9" s="1"/>
  <c r="AW65" i="9"/>
  <c r="P19" i="10"/>
  <c r="P74" i="10" s="1"/>
  <c r="AF19" i="10"/>
  <c r="AF74" i="10" s="1"/>
  <c r="D74" i="10"/>
  <c r="AV74" i="10" s="1"/>
  <c r="T74" i="10"/>
  <c r="AJ74" i="10"/>
  <c r="AV58" i="10"/>
  <c r="AN17" i="6"/>
  <c r="N26" i="6"/>
  <c r="N37" i="6" s="1"/>
  <c r="AL26" i="6"/>
  <c r="AL55" i="6" s="1"/>
  <c r="AJ74" i="8"/>
  <c r="AN5" i="5"/>
  <c r="D45" i="5"/>
  <c r="T45" i="5"/>
  <c r="T48" i="5" s="1"/>
  <c r="AD45" i="5"/>
  <c r="AD48" i="5" s="1"/>
  <c r="AL45" i="5"/>
  <c r="AT45" i="5"/>
  <c r="AT48" i="5" s="1"/>
  <c r="F17" i="6"/>
  <c r="V17" i="6"/>
  <c r="AL17" i="6"/>
  <c r="AL54" i="6" s="1"/>
  <c r="D26" i="6"/>
  <c r="T26" i="6"/>
  <c r="T55" i="6" s="1"/>
  <c r="AJ26" i="6"/>
  <c r="AJ55" i="6" s="1"/>
  <c r="F54" i="6"/>
  <c r="V54" i="6"/>
  <c r="AV35" i="6"/>
  <c r="T37" i="6"/>
  <c r="X5" i="7"/>
  <c r="AN5" i="7"/>
  <c r="N55" i="7"/>
  <c r="N58" i="7" s="1"/>
  <c r="AD55" i="7"/>
  <c r="AD58" i="7" s="1"/>
  <c r="AT55" i="7"/>
  <c r="AT58" i="7" s="1"/>
  <c r="AV6" i="8"/>
  <c r="AD28" i="8"/>
  <c r="L28" i="8"/>
  <c r="T28" i="8"/>
  <c r="T75" i="8" s="1"/>
  <c r="AB28" i="8"/>
  <c r="AJ28" i="8"/>
  <c r="AR28" i="8"/>
  <c r="AR75" i="8" s="1"/>
  <c r="L5" i="9"/>
  <c r="F19" i="10"/>
  <c r="F74" i="10" s="1"/>
  <c r="V19" i="10"/>
  <c r="V74" i="10" s="1"/>
  <c r="AL19" i="10"/>
  <c r="AL74" i="10" s="1"/>
  <c r="J28" i="10"/>
  <c r="Z28" i="10"/>
  <c r="AP28" i="10"/>
  <c r="N74" i="10"/>
  <c r="AD74" i="10"/>
  <c r="AT74" i="10"/>
  <c r="I32" i="11"/>
  <c r="I34" i="11" s="1"/>
  <c r="F6" i="11"/>
  <c r="H6" i="11"/>
  <c r="J32" i="11"/>
  <c r="J34" i="11" s="1"/>
  <c r="K32" i="11"/>
  <c r="K34" i="11" s="1"/>
  <c r="D32" i="11"/>
  <c r="D34" i="11" s="1"/>
  <c r="G32" i="11"/>
  <c r="G34" i="11" s="1"/>
  <c r="E32" i="11"/>
  <c r="E34" i="11" s="1"/>
  <c r="F32" i="11"/>
  <c r="F34" i="11" s="1"/>
  <c r="H32" i="11"/>
  <c r="H34" i="11" s="1"/>
  <c r="L32" i="11"/>
  <c r="L34" i="11" s="1"/>
  <c r="Z55" i="6"/>
  <c r="T50" i="6"/>
  <c r="T40" i="6"/>
  <c r="T42" i="6" s="1"/>
  <c r="T44" i="6" s="1"/>
  <c r="T53" i="6" s="1"/>
  <c r="J55" i="6"/>
  <c r="AN54" i="6"/>
  <c r="F37" i="6"/>
  <c r="V37" i="6"/>
  <c r="AL37" i="6"/>
  <c r="D55" i="6"/>
  <c r="BB33" i="7"/>
  <c r="BA33" i="7"/>
  <c r="BB66" i="7"/>
  <c r="BA66" i="7"/>
  <c r="F58" i="7"/>
  <c r="V58" i="7"/>
  <c r="AL58" i="7"/>
  <c r="N43" i="8"/>
  <c r="R37" i="6"/>
  <c r="Z45" i="5"/>
  <c r="Z48" i="5" s="1"/>
  <c r="D48" i="5"/>
  <c r="AL48" i="5"/>
  <c r="F55" i="6"/>
  <c r="V55" i="6"/>
  <c r="J54" i="6"/>
  <c r="Z54" i="6"/>
  <c r="AP54" i="6"/>
  <c r="X37" i="6"/>
  <c r="AN37" i="6"/>
  <c r="AV51" i="6"/>
  <c r="D6" i="7"/>
  <c r="AV6" i="7" s="1"/>
  <c r="AV57" i="7"/>
  <c r="AD75" i="8"/>
  <c r="AD43" i="8"/>
  <c r="L75" i="8"/>
  <c r="T43" i="8"/>
  <c r="D58" i="9"/>
  <c r="N43" i="10"/>
  <c r="AV22" i="5"/>
  <c r="AV44" i="5"/>
  <c r="F45" i="5"/>
  <c r="F48" i="5" s="1"/>
  <c r="V48" i="5"/>
  <c r="AN48" i="5"/>
  <c r="AV12" i="6"/>
  <c r="AV21" i="6"/>
  <c r="L54" i="6"/>
  <c r="AB54" i="6"/>
  <c r="AR54" i="6"/>
  <c r="J37" i="6"/>
  <c r="Z37" i="6"/>
  <c r="AP37" i="6"/>
  <c r="AV13" i="8"/>
  <c r="N75" i="8"/>
  <c r="AT75" i="8"/>
  <c r="AT43" i="8"/>
  <c r="AD54" i="6"/>
  <c r="AR37" i="6"/>
  <c r="H43" i="8"/>
  <c r="L37" i="6"/>
  <c r="H17" i="6"/>
  <c r="H54" i="6" s="1"/>
  <c r="AV16" i="6"/>
  <c r="L55" i="6"/>
  <c r="AB55" i="6"/>
  <c r="AR55" i="6"/>
  <c r="AD37" i="6"/>
  <c r="AT37" i="6"/>
  <c r="P55" i="7"/>
  <c r="P58" i="7" s="1"/>
  <c r="AF55" i="7"/>
  <c r="AF58" i="7" s="1"/>
  <c r="AV54" i="7"/>
  <c r="AV5" i="8"/>
  <c r="J43" i="8"/>
  <c r="Z43" i="8"/>
  <c r="T70" i="10"/>
  <c r="T48" i="10"/>
  <c r="T51" i="10" s="1"/>
  <c r="T53" i="10" s="1"/>
  <c r="AJ70" i="10"/>
  <c r="AJ48" i="10"/>
  <c r="AJ51" i="10" s="1"/>
  <c r="AJ53" i="10" s="1"/>
  <c r="N54" i="6"/>
  <c r="AT54" i="6"/>
  <c r="AB37" i="6"/>
  <c r="N55" i="6"/>
  <c r="AD55" i="6"/>
  <c r="AT55" i="6"/>
  <c r="P37" i="6"/>
  <c r="AF37" i="6"/>
  <c r="AV4" i="7"/>
  <c r="D58" i="7"/>
  <c r="AV23" i="8"/>
  <c r="AV27" i="8"/>
  <c r="D28" i="8"/>
  <c r="AJ75" i="8"/>
  <c r="AJ43" i="8"/>
  <c r="L43" i="8"/>
  <c r="AB43" i="8"/>
  <c r="AR43" i="8"/>
  <c r="AV13" i="10"/>
  <c r="AT75" i="10"/>
  <c r="AT43" i="10"/>
  <c r="AV30" i="6"/>
  <c r="D37" i="6"/>
  <c r="AZ27" i="7"/>
  <c r="AV5" i="7"/>
  <c r="R19" i="8"/>
  <c r="R43" i="8" s="1"/>
  <c r="AH19" i="8"/>
  <c r="AH75" i="8" s="1"/>
  <c r="AV58" i="8"/>
  <c r="AV45" i="9"/>
  <c r="R55" i="9"/>
  <c r="R58" i="9" s="1"/>
  <c r="R5" i="9"/>
  <c r="D54" i="6"/>
  <c r="H74" i="8"/>
  <c r="X74" i="8"/>
  <c r="AN74" i="8"/>
  <c r="AV26" i="9"/>
  <c r="AZ75" i="9" s="1"/>
  <c r="AV54" i="9"/>
  <c r="AV5" i="9" s="1"/>
  <c r="AV57" i="9"/>
  <c r="AV6" i="9" s="1"/>
  <c r="D6" i="9"/>
  <c r="AV5" i="10"/>
  <c r="R28" i="10"/>
  <c r="R75" i="10" s="1"/>
  <c r="AH28" i="10"/>
  <c r="AH75" i="10" s="1"/>
  <c r="P75" i="10"/>
  <c r="H43" i="10"/>
  <c r="X43" i="10"/>
  <c r="AN43" i="10"/>
  <c r="AH55" i="9"/>
  <c r="AH58" i="9" s="1"/>
  <c r="AH5" i="9"/>
  <c r="AF45" i="5"/>
  <c r="AF48" i="5" s="1"/>
  <c r="X28" i="8"/>
  <c r="X75" i="8" s="1"/>
  <c r="AN28" i="8"/>
  <c r="AN75" i="8" s="1"/>
  <c r="V5" i="9"/>
  <c r="V55" i="9"/>
  <c r="V58" i="9" s="1"/>
  <c r="AL5" i="9"/>
  <c r="AL55" i="9"/>
  <c r="AL58" i="9" s="1"/>
  <c r="AW73" i="9"/>
  <c r="AV19" i="10"/>
  <c r="AV23" i="10"/>
  <c r="F28" i="10"/>
  <c r="F75" i="10" s="1"/>
  <c r="V75" i="10"/>
  <c r="AL75" i="10"/>
  <c r="J43" i="10"/>
  <c r="Z43" i="10"/>
  <c r="AP43" i="10"/>
  <c r="L74" i="8"/>
  <c r="AB74" i="8"/>
  <c r="AR74" i="8"/>
  <c r="P43" i="8"/>
  <c r="AF43" i="8"/>
  <c r="H75" i="10"/>
  <c r="X75" i="10"/>
  <c r="AN75" i="10"/>
  <c r="AF75" i="10"/>
  <c r="H74" i="10"/>
  <c r="X74" i="10"/>
  <c r="AN74" i="10"/>
  <c r="L70" i="10"/>
  <c r="L48" i="10"/>
  <c r="L51" i="10" s="1"/>
  <c r="L53" i="10" s="1"/>
  <c r="AB43" i="10"/>
  <c r="AV25" i="6"/>
  <c r="D66" i="8"/>
  <c r="AV66" i="8" s="1"/>
  <c r="AV65" i="8"/>
  <c r="AV18" i="10"/>
  <c r="AR75" i="10"/>
  <c r="J74" i="10"/>
  <c r="Z74" i="10"/>
  <c r="AP74" i="10"/>
  <c r="P74" i="8"/>
  <c r="AF74" i="8"/>
  <c r="AV41" i="8"/>
  <c r="BA69" i="9"/>
  <c r="L58" i="9"/>
  <c r="AB58" i="9"/>
  <c r="AR58" i="9"/>
  <c r="AW61" i="9"/>
  <c r="AW69" i="9"/>
  <c r="J75" i="10"/>
  <c r="Z75" i="10"/>
  <c r="AP75" i="10"/>
  <c r="AV28" i="10"/>
  <c r="L74" i="10"/>
  <c r="AR74" i="10"/>
  <c r="P43" i="10"/>
  <c r="AF43" i="10"/>
  <c r="AH74" i="8"/>
  <c r="F43" i="8"/>
  <c r="V43" i="8"/>
  <c r="AL43" i="8"/>
  <c r="AN58" i="9"/>
  <c r="AV6" i="10"/>
  <c r="J66" i="10"/>
  <c r="AV66" i="10" s="1"/>
  <c r="AV65" i="10"/>
  <c r="AT5" i="9"/>
  <c r="AD78" i="9"/>
  <c r="AV27" i="10"/>
  <c r="AV41" i="10"/>
  <c r="AV32" i="10"/>
  <c r="AJ78" i="9"/>
  <c r="AV32" i="8"/>
  <c r="H7" i="25" l="1"/>
  <c r="H6" i="25"/>
  <c r="H10" i="25"/>
  <c r="H8" i="25"/>
  <c r="AR70" i="10"/>
  <c r="AR48" i="10"/>
  <c r="AR51" i="10" s="1"/>
  <c r="AR53" i="10" s="1"/>
  <c r="AH37" i="6"/>
  <c r="AV17" i="6"/>
  <c r="D43" i="10"/>
  <c r="X55" i="6"/>
  <c r="F75" i="8"/>
  <c r="AV55" i="7"/>
  <c r="AV58" i="7" s="1"/>
  <c r="AV26" i="6"/>
  <c r="AP43" i="8"/>
  <c r="AH43" i="10"/>
  <c r="R43" i="10"/>
  <c r="AX69" i="9"/>
  <c r="AY69" i="9" s="1"/>
  <c r="AY75" i="9" s="1"/>
  <c r="AZ76" i="9" s="1"/>
  <c r="AH43" i="8"/>
  <c r="AJ37" i="6"/>
  <c r="AP75" i="8"/>
  <c r="P55" i="6"/>
  <c r="AN55" i="6"/>
  <c r="AB75" i="8"/>
  <c r="AF55" i="6"/>
  <c r="AV55" i="6"/>
  <c r="AL43" i="10"/>
  <c r="AD43" i="10"/>
  <c r="V43" i="10"/>
  <c r="R48" i="8"/>
  <c r="R51" i="8" s="1"/>
  <c r="R53" i="8" s="1"/>
  <c r="R70" i="8"/>
  <c r="R75" i="8"/>
  <c r="AN70" i="10"/>
  <c r="AN48" i="10"/>
  <c r="AN51" i="10" s="1"/>
  <c r="AN53" i="10" s="1"/>
  <c r="X43" i="8"/>
  <c r="AP40" i="6"/>
  <c r="AP42" i="6" s="1"/>
  <c r="AP44" i="6" s="1"/>
  <c r="AP53" i="6" s="1"/>
  <c r="AP50" i="6"/>
  <c r="AV55" i="9"/>
  <c r="AN40" i="6"/>
  <c r="AN42" i="6" s="1"/>
  <c r="AN44" i="6" s="1"/>
  <c r="AN53" i="6" s="1"/>
  <c r="AN50" i="6"/>
  <c r="AL50" i="6"/>
  <c r="AL40" i="6"/>
  <c r="AL42" i="6" s="1"/>
  <c r="AL44" i="6" s="1"/>
  <c r="AL53" i="6" s="1"/>
  <c r="AV58" i="9"/>
  <c r="AH70" i="10"/>
  <c r="AH48" i="10"/>
  <c r="AH51" i="10" s="1"/>
  <c r="AH53" i="10" s="1"/>
  <c r="R74" i="8"/>
  <c r="AB70" i="10"/>
  <c r="AB48" i="10"/>
  <c r="AB51" i="10" s="1"/>
  <c r="AB53" i="10" s="1"/>
  <c r="AP70" i="10"/>
  <c r="AP48" i="10"/>
  <c r="AP51" i="10" s="1"/>
  <c r="AP53" i="10" s="1"/>
  <c r="X48" i="10"/>
  <c r="X51" i="10" s="1"/>
  <c r="X53" i="10" s="1"/>
  <c r="X70" i="10"/>
  <c r="F43" i="10"/>
  <c r="AR70" i="8"/>
  <c r="AR48" i="8"/>
  <c r="AR51" i="8" s="1"/>
  <c r="AR53" i="8" s="1"/>
  <c r="AV19" i="8"/>
  <c r="H70" i="8"/>
  <c r="H48" i="8"/>
  <c r="H51" i="8" s="1"/>
  <c r="H53" i="8" s="1"/>
  <c r="Z40" i="6"/>
  <c r="Z42" i="6" s="1"/>
  <c r="Z44" i="6" s="1"/>
  <c r="Z53" i="6" s="1"/>
  <c r="Z50" i="6"/>
  <c r="T70" i="8"/>
  <c r="T48" i="8"/>
  <c r="T51" i="8" s="1"/>
  <c r="T53" i="8" s="1"/>
  <c r="X40" i="6"/>
  <c r="X42" i="6" s="1"/>
  <c r="X44" i="6" s="1"/>
  <c r="X53" i="6" s="1"/>
  <c r="X50" i="6"/>
  <c r="V50" i="6"/>
  <c r="V40" i="6"/>
  <c r="V42" i="6" s="1"/>
  <c r="V44" i="6" s="1"/>
  <c r="V53" i="6" s="1"/>
  <c r="R70" i="10"/>
  <c r="R48" i="10"/>
  <c r="R51" i="10" s="1"/>
  <c r="R53" i="10" s="1"/>
  <c r="AF70" i="10"/>
  <c r="AF48" i="10"/>
  <c r="AF51" i="10" s="1"/>
  <c r="AF53" i="10" s="1"/>
  <c r="L73" i="10"/>
  <c r="L56" i="10"/>
  <c r="Z70" i="10"/>
  <c r="Z48" i="10"/>
  <c r="Z51" i="10" s="1"/>
  <c r="Z53" i="10" s="1"/>
  <c r="H48" i="10"/>
  <c r="H51" i="10" s="1"/>
  <c r="H53" i="10" s="1"/>
  <c r="H70" i="10"/>
  <c r="BB33" i="9"/>
  <c r="BA33" i="9"/>
  <c r="D50" i="6"/>
  <c r="D40" i="6"/>
  <c r="AB70" i="8"/>
  <c r="AB48" i="8"/>
  <c r="AB51" i="8" s="1"/>
  <c r="AB53" i="8" s="1"/>
  <c r="AB40" i="6"/>
  <c r="AB42" i="6" s="1"/>
  <c r="AB44" i="6" s="1"/>
  <c r="AB53" i="6" s="1"/>
  <c r="AB50" i="6"/>
  <c r="AR40" i="6"/>
  <c r="AR42" i="6" s="1"/>
  <c r="AR44" i="6" s="1"/>
  <c r="AR53" i="6" s="1"/>
  <c r="AR50" i="6"/>
  <c r="J40" i="6"/>
  <c r="J42" i="6" s="1"/>
  <c r="J44" i="6" s="1"/>
  <c r="J53" i="6" s="1"/>
  <c r="J50" i="6"/>
  <c r="H37" i="6"/>
  <c r="AV45" i="5"/>
  <c r="F50" i="6"/>
  <c r="F40" i="6"/>
  <c r="F42" i="6" s="1"/>
  <c r="F44" i="6" s="1"/>
  <c r="F53" i="6" s="1"/>
  <c r="AR73" i="10"/>
  <c r="AR56" i="10"/>
  <c r="P70" i="10"/>
  <c r="P48" i="10"/>
  <c r="P51" i="10" s="1"/>
  <c r="P53" i="10" s="1"/>
  <c r="J70" i="10"/>
  <c r="J48" i="10"/>
  <c r="J51" i="10" s="1"/>
  <c r="J53" i="10" s="1"/>
  <c r="L70" i="8"/>
  <c r="L48" i="8"/>
  <c r="L51" i="8" s="1"/>
  <c r="L53" i="8" s="1"/>
  <c r="AD70" i="8"/>
  <c r="AD48" i="8"/>
  <c r="AD51" i="8" s="1"/>
  <c r="AD53" i="8" s="1"/>
  <c r="AV48" i="5"/>
  <c r="AH70" i="8"/>
  <c r="AH48" i="8"/>
  <c r="AH51" i="8" s="1"/>
  <c r="AH53" i="8" s="1"/>
  <c r="AF70" i="8"/>
  <c r="AF48" i="8"/>
  <c r="AF51" i="8" s="1"/>
  <c r="AF53" i="8" s="1"/>
  <c r="AJ70" i="8"/>
  <c r="AJ48" i="8"/>
  <c r="AJ51" i="8" s="1"/>
  <c r="AJ53" i="8" s="1"/>
  <c r="Z70" i="8"/>
  <c r="Z48" i="8"/>
  <c r="Z51" i="8" s="1"/>
  <c r="Z53" i="8" s="1"/>
  <c r="AT40" i="6"/>
  <c r="AT42" i="6" s="1"/>
  <c r="AT44" i="6" s="1"/>
  <c r="AT53" i="6" s="1"/>
  <c r="AT50" i="6"/>
  <c r="L40" i="6"/>
  <c r="L42" i="6" s="1"/>
  <c r="L44" i="6" s="1"/>
  <c r="L53" i="6" s="1"/>
  <c r="L50" i="6"/>
  <c r="AT70" i="8"/>
  <c r="AT48" i="8"/>
  <c r="AT51" i="8" s="1"/>
  <c r="AT53" i="8" s="1"/>
  <c r="AL70" i="8"/>
  <c r="AL48" i="8"/>
  <c r="AL51" i="8" s="1"/>
  <c r="AL53" i="8" s="1"/>
  <c r="P70" i="8"/>
  <c r="P48" i="8"/>
  <c r="P51" i="8" s="1"/>
  <c r="P53" i="8" s="1"/>
  <c r="AT70" i="10"/>
  <c r="AT48" i="10"/>
  <c r="AT51" i="10" s="1"/>
  <c r="AT53" i="10" s="1"/>
  <c r="AF50" i="6"/>
  <c r="AF40" i="6"/>
  <c r="AF42" i="6" s="1"/>
  <c r="AF44" i="6" s="1"/>
  <c r="AF53" i="6" s="1"/>
  <c r="AJ73" i="10"/>
  <c r="AJ56" i="10"/>
  <c r="J70" i="8"/>
  <c r="J48" i="8"/>
  <c r="J51" i="8" s="1"/>
  <c r="J53" i="8" s="1"/>
  <c r="AD40" i="6"/>
  <c r="AD42" i="6" s="1"/>
  <c r="AD44" i="6" s="1"/>
  <c r="AD53" i="6" s="1"/>
  <c r="AD50" i="6"/>
  <c r="F70" i="8"/>
  <c r="F48" i="8"/>
  <c r="F51" i="8" s="1"/>
  <c r="F53" i="8" s="1"/>
  <c r="T73" i="10"/>
  <c r="T56" i="10"/>
  <c r="AN43" i="8"/>
  <c r="N70" i="8"/>
  <c r="N48" i="8"/>
  <c r="N51" i="8" s="1"/>
  <c r="N53" i="8" s="1"/>
  <c r="V48" i="8"/>
  <c r="V51" i="8" s="1"/>
  <c r="V53" i="8" s="1"/>
  <c r="V70" i="8"/>
  <c r="AP70" i="8"/>
  <c r="AP48" i="8"/>
  <c r="AP51" i="8" s="1"/>
  <c r="AP53" i="8" s="1"/>
  <c r="AV54" i="6"/>
  <c r="D75" i="8"/>
  <c r="AV75" i="8" s="1"/>
  <c r="D43" i="8"/>
  <c r="AV28" i="8"/>
  <c r="P50" i="6"/>
  <c r="P40" i="6"/>
  <c r="P42" i="6" s="1"/>
  <c r="P44" i="6" s="1"/>
  <c r="P53" i="6" s="1"/>
  <c r="N40" i="6"/>
  <c r="N42" i="6" s="1"/>
  <c r="N44" i="6" s="1"/>
  <c r="N53" i="6" s="1"/>
  <c r="N50" i="6"/>
  <c r="N70" i="10"/>
  <c r="N48" i="10"/>
  <c r="N51" i="10" s="1"/>
  <c r="N53" i="10" s="1"/>
  <c r="R50" i="6"/>
  <c r="R40" i="6"/>
  <c r="R42" i="6" s="1"/>
  <c r="R44" i="6" s="1"/>
  <c r="R53" i="6" s="1"/>
  <c r="E15" i="25" l="1"/>
  <c r="AJ50" i="6"/>
  <c r="AJ40" i="6"/>
  <c r="AJ42" i="6" s="1"/>
  <c r="AJ44" i="6" s="1"/>
  <c r="AJ53" i="6" s="1"/>
  <c r="D70" i="10"/>
  <c r="AV70" i="10" s="1"/>
  <c r="D48" i="10"/>
  <c r="D51" i="10" s="1"/>
  <c r="AH40" i="6"/>
  <c r="AH42" i="6" s="1"/>
  <c r="AH44" i="6" s="1"/>
  <c r="AH53" i="6" s="1"/>
  <c r="AH50" i="6"/>
  <c r="V70" i="10"/>
  <c r="V48" i="10"/>
  <c r="V51" i="10" s="1"/>
  <c r="V53" i="10" s="1"/>
  <c r="AD70" i="10"/>
  <c r="AD48" i="10"/>
  <c r="AD51" i="10" s="1"/>
  <c r="AD53" i="10" s="1"/>
  <c r="AL70" i="10"/>
  <c r="AL48" i="10"/>
  <c r="AL51" i="10" s="1"/>
  <c r="AL53" i="10" s="1"/>
  <c r="AH73" i="8"/>
  <c r="AH56" i="8"/>
  <c r="H73" i="10"/>
  <c r="H56" i="10"/>
  <c r="R56" i="10"/>
  <c r="R73" i="10"/>
  <c r="N73" i="8"/>
  <c r="N56" i="8"/>
  <c r="AD73" i="8"/>
  <c r="AD56" i="8"/>
  <c r="D42" i="6"/>
  <c r="X73" i="10"/>
  <c r="X56" i="10"/>
  <c r="X70" i="8"/>
  <c r="X48" i="8"/>
  <c r="X51" i="8" s="1"/>
  <c r="X53" i="8" s="1"/>
  <c r="AL73" i="8"/>
  <c r="AL56" i="8"/>
  <c r="AV43" i="8"/>
  <c r="D70" i="8"/>
  <c r="AV70" i="8" s="1"/>
  <c r="D48" i="8"/>
  <c r="H40" i="6"/>
  <c r="H42" i="6" s="1"/>
  <c r="H44" i="6" s="1"/>
  <c r="H53" i="6" s="1"/>
  <c r="H50" i="6"/>
  <c r="P56" i="10"/>
  <c r="P73" i="10"/>
  <c r="F70" i="10"/>
  <c r="F48" i="10"/>
  <c r="AV43" i="10"/>
  <c r="V73" i="8"/>
  <c r="V56" i="8"/>
  <c r="AJ73" i="8"/>
  <c r="AJ56" i="8"/>
  <c r="Z73" i="10"/>
  <c r="Z56" i="10"/>
  <c r="AN73" i="10"/>
  <c r="AN56" i="10"/>
  <c r="N56" i="10"/>
  <c r="N73" i="10"/>
  <c r="AN70" i="8"/>
  <c r="AN48" i="8"/>
  <c r="AN51" i="8" s="1"/>
  <c r="AN53" i="8" s="1"/>
  <c r="L56" i="8"/>
  <c r="L73" i="8"/>
  <c r="AV37" i="6"/>
  <c r="Z56" i="8"/>
  <c r="Z73" i="8"/>
  <c r="AT73" i="8"/>
  <c r="AT56" i="8"/>
  <c r="AV50" i="6"/>
  <c r="J56" i="8"/>
  <c r="J73" i="8"/>
  <c r="P73" i="8"/>
  <c r="P56" i="8"/>
  <c r="AF73" i="8"/>
  <c r="AF56" i="8"/>
  <c r="D53" i="10"/>
  <c r="AB73" i="10"/>
  <c r="AB56" i="10"/>
  <c r="F73" i="8"/>
  <c r="F56" i="8"/>
  <c r="AB56" i="8"/>
  <c r="AB73" i="8"/>
  <c r="AH56" i="10"/>
  <c r="AH73" i="10"/>
  <c r="AT56" i="10"/>
  <c r="AT73" i="10"/>
  <c r="H56" i="8"/>
  <c r="H73" i="8"/>
  <c r="AP73" i="10"/>
  <c r="AP56" i="10"/>
  <c r="AP56" i="8"/>
  <c r="AP73" i="8"/>
  <c r="J73" i="10"/>
  <c r="J56" i="10"/>
  <c r="AR56" i="8"/>
  <c r="AR73" i="8"/>
  <c r="AF56" i="10"/>
  <c r="AF73" i="10"/>
  <c r="T73" i="8"/>
  <c r="T56" i="8"/>
  <c r="R73" i="8"/>
  <c r="R56" i="8"/>
  <c r="AL73" i="10" l="1"/>
  <c r="AL56" i="10"/>
  <c r="AD56" i="10"/>
  <c r="AD73" i="10"/>
  <c r="V73" i="10"/>
  <c r="V56" i="10"/>
  <c r="AN56" i="8"/>
  <c r="AN73" i="8"/>
  <c r="AV48" i="8"/>
  <c r="D51" i="8"/>
  <c r="X56" i="8"/>
  <c r="X73" i="8"/>
  <c r="AV40" i="6"/>
  <c r="F51" i="10"/>
  <c r="AV48" i="10"/>
  <c r="D44" i="6"/>
  <c r="AV42" i="6"/>
  <c r="D73" i="10"/>
  <c r="AV73" i="10" s="1"/>
  <c r="D56" i="10"/>
  <c r="D53" i="8" l="1"/>
  <c r="AV51" i="8"/>
  <c r="F53" i="10"/>
  <c r="AV51" i="10"/>
  <c r="D53" i="6"/>
  <c r="AV53" i="6" s="1"/>
  <c r="AV44" i="6"/>
  <c r="F73" i="10" l="1"/>
  <c r="F56" i="10"/>
  <c r="AV56" i="10" s="1"/>
  <c r="AV53" i="10"/>
  <c r="D73" i="8"/>
  <c r="AV73" i="8" s="1"/>
  <c r="D56" i="8"/>
  <c r="AV56" i="8" s="1"/>
  <c r="AV53" i="8"/>
  <c r="F8" i="4" l="1"/>
  <c r="Q8" i="4" s="1"/>
  <c r="F9" i="4"/>
  <c r="M9" i="4"/>
  <c r="J10" i="4"/>
  <c r="F12" i="4"/>
  <c r="Q12" i="4" s="1"/>
  <c r="F13" i="4"/>
  <c r="Q13" i="4" s="1"/>
  <c r="J14" i="4"/>
  <c r="J15" i="4" s="1"/>
  <c r="F17" i="4"/>
  <c r="F18" i="4"/>
  <c r="Q18" i="4" s="1"/>
  <c r="J19" i="4"/>
  <c r="F21" i="4"/>
  <c r="Q21" i="4" s="1"/>
  <c r="F22" i="4"/>
  <c r="Q22" i="4" s="1"/>
  <c r="J23" i="4"/>
  <c r="J24" i="4" s="1"/>
  <c r="F26" i="4"/>
  <c r="Q26" i="4" s="1"/>
  <c r="F27" i="4"/>
  <c r="Q27" i="4" s="1"/>
  <c r="J28" i="4"/>
  <c r="F30" i="4"/>
  <c r="Q30" i="4" s="1"/>
  <c r="V30" i="4"/>
  <c r="F31" i="4"/>
  <c r="Q31" i="4" s="1"/>
  <c r="V31" i="4"/>
  <c r="F32" i="4"/>
  <c r="Q32" i="4" s="1"/>
  <c r="V32" i="4"/>
  <c r="J33" i="4"/>
  <c r="V33" i="4"/>
  <c r="H34" i="4"/>
  <c r="O34" i="4" s="1"/>
  <c r="H36" i="4"/>
  <c r="O36" i="4" s="1"/>
  <c r="H37" i="4"/>
  <c r="Q37" i="4" s="1"/>
  <c r="H39" i="4"/>
  <c r="Q39" i="4" s="1"/>
  <c r="H41" i="4"/>
  <c r="Q41" i="4" s="1"/>
  <c r="H49" i="4"/>
  <c r="H51" i="4"/>
  <c r="H50" i="4" s="1"/>
  <c r="H58" i="4"/>
  <c r="G8" i="3"/>
  <c r="G27" i="3" s="1"/>
  <c r="O8" i="3"/>
  <c r="O19" i="3" s="1"/>
  <c r="G9" i="3"/>
  <c r="F20" i="2" s="1"/>
  <c r="O9" i="3"/>
  <c r="G10" i="3"/>
  <c r="O10" i="3"/>
  <c r="G11" i="3"/>
  <c r="O11" i="3"/>
  <c r="G12" i="3"/>
  <c r="O12" i="3"/>
  <c r="N12" i="2" s="1"/>
  <c r="F12" i="2" s="1"/>
  <c r="H16" i="2" s="1"/>
  <c r="G13" i="3"/>
  <c r="O13" i="3"/>
  <c r="G14" i="3"/>
  <c r="O14" i="3"/>
  <c r="G15" i="3"/>
  <c r="F21" i="2" s="1"/>
  <c r="O15" i="3"/>
  <c r="G16" i="3"/>
  <c r="F19" i="2" s="1"/>
  <c r="O16" i="3"/>
  <c r="G17" i="3"/>
  <c r="F18" i="2" s="1"/>
  <c r="H23" i="2" s="1"/>
  <c r="O17" i="3"/>
  <c r="O18" i="3"/>
  <c r="Q19" i="3"/>
  <c r="O21" i="3"/>
  <c r="O23" i="3"/>
  <c r="O24" i="3"/>
  <c r="Q26" i="3"/>
  <c r="Q27" i="3" s="1"/>
  <c r="I27" i="3"/>
  <c r="T12" i="2"/>
  <c r="T13" i="2"/>
  <c r="F13" i="2" s="1"/>
  <c r="T14" i="2"/>
  <c r="F14" i="2" s="1"/>
  <c r="F15" i="2"/>
  <c r="J16" i="2"/>
  <c r="J23" i="2"/>
  <c r="J28" i="2" s="1"/>
  <c r="J31" i="2" s="1"/>
  <c r="H29" i="2" s="1"/>
  <c r="M31" i="2"/>
  <c r="Q36" i="4" l="1"/>
  <c r="Q32" i="3"/>
  <c r="J35" i="4"/>
  <c r="J38" i="4" s="1"/>
  <c r="J40" i="4" s="1"/>
  <c r="J42" i="4" s="1"/>
  <c r="H19" i="4"/>
  <c r="Q19" i="4" s="1"/>
  <c r="H23" i="4"/>
  <c r="Q23" i="4" s="1"/>
  <c r="Q1" i="3"/>
  <c r="O1" i="3"/>
  <c r="H28" i="4"/>
  <c r="Q28" i="4" s="1"/>
  <c r="M8" i="4"/>
  <c r="H33" i="4"/>
  <c r="Q33" i="4" s="1"/>
  <c r="Q17" i="4"/>
  <c r="H14" i="4"/>
  <c r="H10" i="4"/>
  <c r="Q10" i="4" s="1"/>
  <c r="Q9" i="4"/>
  <c r="Q34" i="4"/>
  <c r="M15" i="4"/>
  <c r="M12" i="4"/>
  <c r="M1" i="4" l="1"/>
  <c r="H24" i="4"/>
  <c r="Q24" i="4" s="1"/>
  <c r="Q14" i="4"/>
  <c r="H15" i="4"/>
  <c r="Q15" i="4" s="1"/>
  <c r="H35" i="4" l="1"/>
  <c r="Q35" i="4" l="1"/>
  <c r="H38" i="4"/>
  <c r="Q38" i="4" l="1"/>
  <c r="H43" i="4"/>
  <c r="Q43" i="4" s="1"/>
  <c r="H40" i="4"/>
  <c r="H42" i="4" l="1"/>
  <c r="Q40" i="4"/>
  <c r="H48" i="4" l="1"/>
  <c r="H52" i="4" s="1"/>
  <c r="H59" i="4" s="1"/>
  <c r="O25" i="3" s="1"/>
  <c r="O26" i="3" s="1"/>
  <c r="O27" i="3" s="1"/>
  <c r="O32" i="3" s="1"/>
  <c r="Q42" i="4"/>
  <c r="H45" i="4"/>
  <c r="Q45" i="4" l="1"/>
  <c r="H44" i="4"/>
  <c r="Q44" i="4" s="1"/>
  <c r="H9" i="2" l="1"/>
  <c r="H28" i="2" s="1"/>
  <c r="H31" i="2" s="1"/>
  <c r="N31" i="2" s="1"/>
</calcChain>
</file>

<file path=xl/sharedStrings.xml><?xml version="1.0" encoding="utf-8"?>
<sst xmlns="http://schemas.openxmlformats.org/spreadsheetml/2006/main" count="1072" uniqueCount="544">
  <si>
    <t>يادداشتهاي توضيحي بخش جدایی ناپذیر صورت های مالی است</t>
  </si>
  <si>
    <t>مبادلات غیر نقدی</t>
  </si>
  <si>
    <t>مانده وجه نقد در پايان سال</t>
  </si>
  <si>
    <t>تاثیر تغییرات نرخ ارز</t>
  </si>
  <si>
    <t>مانده وجه نقد در ابتدای سال</t>
  </si>
  <si>
    <t>خالص افزايش(كاهش) در وجه نقد</t>
  </si>
  <si>
    <t>جريان خالص ورود(خروج) وجه نقد ناشي از فعاليت هاي تامين مالي</t>
  </si>
  <si>
    <t>فعاليتهاي تامين مالي :</t>
  </si>
  <si>
    <t>جریان خالص ورود(خروج) وجه نقد قبل از فعالیتهای تامین مالی</t>
  </si>
  <si>
    <t>وجوه حاصل از فروش سرمایه گذاری های کوتاه مدت</t>
  </si>
  <si>
    <t xml:space="preserve">وجوه پرداختی بابت تحصیل سرمايه گذاريهاي بلند مدت </t>
  </si>
  <si>
    <t>وجوه پرداختی بابت سرمايه گذاريهاي كوتاه مدت</t>
  </si>
  <si>
    <t>وجوه پرداختی بابت دارائیهای نا مشهود</t>
  </si>
  <si>
    <t>استهلاک سال جاری یادداشت 39</t>
  </si>
  <si>
    <t>وجوه پرداختی بابت دارائیهای ثابت مشهود</t>
  </si>
  <si>
    <t>فعاليتهاي سرمايه گذاري :</t>
  </si>
  <si>
    <t>جریان خالص ورود(خروج) وجه نقد ناشی از بازده سرمایه گذاری ها و سود پرداختی بابت تامین مالی</t>
  </si>
  <si>
    <t>سود سهام</t>
  </si>
  <si>
    <t>سود وامهاي پرداختي</t>
  </si>
  <si>
    <t>سود سپرده ها و حسابهاي پس انداز و اوراق مشاركت</t>
  </si>
  <si>
    <t>در آمدسود سهام</t>
  </si>
  <si>
    <t>سود سهام پرداختی</t>
  </si>
  <si>
    <t>بازده سرمايه گذاري و سود پرداختي بابت تامين مالي :</t>
  </si>
  <si>
    <t xml:space="preserve">جريان خالص ورود وجه نقد ناشي از فعاليتهاي عملياتي </t>
  </si>
  <si>
    <t>فعاليتهاي عملياتي :</t>
  </si>
  <si>
    <t>میلیون ریال</t>
  </si>
  <si>
    <t>سال 1394</t>
  </si>
  <si>
    <t>سال 1395</t>
  </si>
  <si>
    <t>يادداشت</t>
  </si>
  <si>
    <t>شرح</t>
  </si>
  <si>
    <t xml:space="preserve">براي سال مالی منتهی به 29 اسفند 1394 </t>
  </si>
  <si>
    <t>صورت جريان وجوه نقد</t>
  </si>
  <si>
    <t xml:space="preserve">شركت بيمه كارآفرين (سهامي عام ) </t>
  </si>
  <si>
    <t>جمع بدهيهاوحقوق صاحبان سهام</t>
  </si>
  <si>
    <t>جمع دارائي ها</t>
  </si>
  <si>
    <t>جمع حقوق صاحبان سهام</t>
  </si>
  <si>
    <t xml:space="preserve">سود انباشته </t>
  </si>
  <si>
    <t>اندوخته سرمايه اي</t>
  </si>
  <si>
    <t>اندوخته قانونی</t>
  </si>
  <si>
    <t>افزایش سرمایه در جریان</t>
  </si>
  <si>
    <t xml:space="preserve">سرمايه </t>
  </si>
  <si>
    <t>حقوق صاحبان سهام :</t>
  </si>
  <si>
    <t>جمع بدهی ها</t>
  </si>
  <si>
    <t>ساير بدهي ها</t>
  </si>
  <si>
    <t>ذخيره مزاياي پايان خدمت كاركنان</t>
  </si>
  <si>
    <t>دارائيهای ثابت مشهود</t>
  </si>
  <si>
    <t>حق بيمه سال هاي آتي</t>
  </si>
  <si>
    <t>دارائيهای نا مشهود</t>
  </si>
  <si>
    <t>ساير ذخائر فني</t>
  </si>
  <si>
    <t>سرمایه گذاری های بلند مدت</t>
  </si>
  <si>
    <t>ذخيره خسارت معوق و ریسک منقضی نشده</t>
  </si>
  <si>
    <t>دریافتی های بلند مدت</t>
  </si>
  <si>
    <t>ذخاير حق بيمه</t>
  </si>
  <si>
    <t xml:space="preserve"> </t>
  </si>
  <si>
    <t>سهم بيمه گران اتكائي از ذخائر فني</t>
  </si>
  <si>
    <t>سود سهام پرداختنی</t>
  </si>
  <si>
    <t>دریافتنی های غیر تجاری</t>
  </si>
  <si>
    <t>مالیات پرداختنی</t>
  </si>
  <si>
    <t>مطالبات از بیمه گران  و بيمه گران اتكائي</t>
  </si>
  <si>
    <t>پرداختنی های غیر تجاری</t>
  </si>
  <si>
    <t>مطالبات از بیمه گذاران و نمایندگان</t>
  </si>
  <si>
    <t>بدهی به بيمه گران و بیمه گران اتکائی</t>
  </si>
  <si>
    <t>سرمایه گذاری های کوتاه مدت</t>
  </si>
  <si>
    <t>بدهي به بيمه گذاران و نمايندگان</t>
  </si>
  <si>
    <t>موجودی نقد</t>
  </si>
  <si>
    <t xml:space="preserve"> 1394/12/29</t>
  </si>
  <si>
    <t xml:space="preserve"> 1395/12/30</t>
  </si>
  <si>
    <t>بدهيهاوحقوق صاحبان سهام</t>
  </si>
  <si>
    <t>دارائيـــــها</t>
  </si>
  <si>
    <t xml:space="preserve">در تاريخ 30 اسفند1395 </t>
  </si>
  <si>
    <t>ترازنامه</t>
  </si>
  <si>
    <t xml:space="preserve">شركت بيمه كارآفرين (سهامی عام ) </t>
  </si>
  <si>
    <t>17.برقراری واعتدال متناسب فعالیت درمحیط کاروزندگی خانوادگی.</t>
  </si>
  <si>
    <t>16.انتقال تجربیات وارائه اطلاعات درجهت انجام خدمات بهینه به همکاران</t>
  </si>
  <si>
    <t>15.استفاده قانونی ودرست از اختیارات وقدرت سازمانی ورعایت دقیق قوانین ومقررات سازمانی</t>
  </si>
  <si>
    <t>14.انجام وظایف همراه با کارایی واثربخشی لازم درقالب قوانین ومقررات سازمانی</t>
  </si>
  <si>
    <t>13.مسئولیت پذیری نسبت به انجام امور محوله وبرنامه ریزی براساس روشهای مستند ومشخص</t>
  </si>
  <si>
    <t>11.ارائه راهنمائی واطلاعات لازم به مراجعین بمنظورسهولت انجام امورانان وتوجه به درخواستهای معقول مراجعین وتلاش درجهت 12.برآورده نمودن انها</t>
  </si>
  <si>
    <t>10.حسن رفتار وبرخورد مناسب باارباب رجوع وهمکاران ورعایت عدالت وانصاف درارائه خدمات.</t>
  </si>
  <si>
    <t>9.همنوائی اهداف فردی بااهداف سازمان</t>
  </si>
  <si>
    <t>8.استقرارمنظم ودقیق اشیاء اداری وتجهیزات به منظور سهولت دسترسی به آنها وجلوگیری از اسراف ومصرف بیهوده امکانات واموال</t>
  </si>
  <si>
    <t>7.خودداری از تسلیم مدارک واسناد به اشخاص غیر مربوط</t>
  </si>
  <si>
    <t>6.پرهیز از استعمال دخانیات</t>
  </si>
  <si>
    <t>5.پرهیز ازهرگونه مظاهر فساد اداری از قبیل توصیه ، سفارش ، هدیه غیرمتعارف ووجه نقد</t>
  </si>
  <si>
    <t>4.ایجاد فضای صمیمانه درجهت اعتماد متقابل مراجعین وکارکنان</t>
  </si>
  <si>
    <t>3.پرهیز از هرگونه تهمت ، غیبت ، شایعه سازی واموری که باعث تضعیف روحیه کارکنان میگردد.</t>
  </si>
  <si>
    <t>2.رعایت نظم، وقت شناسی وحضوربه موقع درمحل کار.</t>
  </si>
  <si>
    <t>1.رازداری وخودداری از افشاء اسناد محرمانه.</t>
  </si>
  <si>
    <t>سود انباشته درپایان سال</t>
  </si>
  <si>
    <t>سود سهام مصوب</t>
  </si>
  <si>
    <t>تخصیص سود انباشته به افزایش سرمایه</t>
  </si>
  <si>
    <t>تخصیص سود :</t>
  </si>
  <si>
    <t>سود قابل تخصیص</t>
  </si>
  <si>
    <t>سود انباشته در ابتدای سال - تعدیل شده</t>
  </si>
  <si>
    <t>تعدیلات سنواتی</t>
  </si>
  <si>
    <t>سود انباشته در ابتدای سال</t>
  </si>
  <si>
    <t xml:space="preserve">سود خالص </t>
  </si>
  <si>
    <t>گردش حساب سود انباشته</t>
  </si>
  <si>
    <t>سود پایه هرسهم(EPS)</t>
  </si>
  <si>
    <t>سود پایه هرسهم(غیر عملیاتی)</t>
  </si>
  <si>
    <t>سود پایه هرسهم(عملیاتی)</t>
  </si>
  <si>
    <t>سود خالص</t>
  </si>
  <si>
    <t xml:space="preserve">ماليات </t>
  </si>
  <si>
    <t>سود خالص قبل از كسر ماليات</t>
  </si>
  <si>
    <t>خالص ساير در آمدها و هزينه هاي غير بيمه اي</t>
  </si>
  <si>
    <t xml:space="preserve">سود عملياتي </t>
  </si>
  <si>
    <t xml:space="preserve">هزينه هاي اداري و عمومي </t>
  </si>
  <si>
    <t>درآمد سرمايه گذاري از محل ساير منابع</t>
  </si>
  <si>
    <t>سود ناخالص فعاليت بيمه اي</t>
  </si>
  <si>
    <t>درآمد سرمايه گذاري از محل ذخائر فني</t>
  </si>
  <si>
    <t>خالص سايردرآمد(هزينه) هاي بيمه اي</t>
  </si>
  <si>
    <t>ساير (درآمد ها) و هزينه هاي بيمه اي</t>
  </si>
  <si>
    <t>سود سپرده ها</t>
  </si>
  <si>
    <t>هزينه صندوق تامين خسارت ،وزارت بهداشت و نیروی انتظامی</t>
  </si>
  <si>
    <t>اوراق مشاركت</t>
  </si>
  <si>
    <t>افزايش(كاهش) ساير ذخائر فني</t>
  </si>
  <si>
    <t>هزينه كارمزد و كارمزد منافع سهم نگهداري</t>
  </si>
  <si>
    <t>درآمد كارمزد و كارمزد منافع اتكائي</t>
  </si>
  <si>
    <t>هزينه كارمزد و كارمزد منافع</t>
  </si>
  <si>
    <t>هزينه خسارت سهم نگهداري</t>
  </si>
  <si>
    <t>خسارت سهم بيمه گران اتكائي</t>
  </si>
  <si>
    <t>افزايش(كاهش) ذخائر خسارت معوق اتكائي واگذاري</t>
  </si>
  <si>
    <t xml:space="preserve">خسارت دريافتي از بيمه گران اتكائي </t>
  </si>
  <si>
    <t>هزينه خسارت</t>
  </si>
  <si>
    <t>افزايش(كاهش) ذخائر خسارت</t>
  </si>
  <si>
    <t>خسارت پرداختي</t>
  </si>
  <si>
    <t>درآمد حق بيمه سهم نگهداري</t>
  </si>
  <si>
    <t>هزينه حق بيمه اتكائي واگذاري</t>
  </si>
  <si>
    <t>كاهش (افزايش)ذخيره حق بيمه اتكائي واگذاري</t>
  </si>
  <si>
    <t>حق بيمه اتكائي واگذاري</t>
  </si>
  <si>
    <t>درآمد حق بيمه</t>
  </si>
  <si>
    <t>كاهش (افزايش) ذخائر حق بيمه</t>
  </si>
  <si>
    <t>حق بيمه صادره</t>
  </si>
  <si>
    <t xml:space="preserve">براي سال مالی منتهی به 30 اسفند 1395 </t>
  </si>
  <si>
    <t>صورت سود و زیان</t>
  </si>
  <si>
    <t>شركت بيمه كارآفرين</t>
  </si>
  <si>
    <r>
      <t xml:space="preserve">اطلاعات ترازنامه شركت هاي </t>
    </r>
    <r>
      <rPr>
        <b/>
        <u/>
        <sz val="12"/>
        <rFont val="B Nazanin"/>
        <charset val="178"/>
      </rPr>
      <t>اصلی</t>
    </r>
    <r>
      <rPr>
        <b/>
        <sz val="12"/>
        <rFont val="B Nazanin"/>
        <charset val="178"/>
      </rPr>
      <t xml:space="preserve"> بيمه در سال 1391</t>
    </r>
  </si>
  <si>
    <t>(ارقام به میلیون ريال)</t>
  </si>
  <si>
    <t>تاريخ تهيه :</t>
  </si>
  <si>
    <t>1393/05/21</t>
  </si>
  <si>
    <t>سرمايه</t>
  </si>
  <si>
    <t>ذخيره سهم نگهداري</t>
  </si>
  <si>
    <t>اطلاعات تراز نامه شرکت های اصلی بیمه در سال 1391 - تاریخ تهیه :1393/05/21</t>
  </si>
  <si>
    <t>ايران</t>
  </si>
  <si>
    <t>آسيا</t>
  </si>
  <si>
    <t>آرمان</t>
  </si>
  <si>
    <t>البرز</t>
  </si>
  <si>
    <t>دانا</t>
  </si>
  <si>
    <t>معلم</t>
  </si>
  <si>
    <t>پارسيان</t>
  </si>
  <si>
    <t>توسعه</t>
  </si>
  <si>
    <t>رازي</t>
  </si>
  <si>
    <t>كارآفرين</t>
  </si>
  <si>
    <t>سينا</t>
  </si>
  <si>
    <t>ملت</t>
  </si>
  <si>
    <t>دي</t>
  </si>
  <si>
    <t>سامان</t>
  </si>
  <si>
    <t>نوين</t>
  </si>
  <si>
    <t>پاسارگاد</t>
  </si>
  <si>
    <t>ما</t>
  </si>
  <si>
    <t>کوثر</t>
  </si>
  <si>
    <t>میهن</t>
  </si>
  <si>
    <t xml:space="preserve">حافظ </t>
  </si>
  <si>
    <t>امید</t>
  </si>
  <si>
    <t>ایران معین</t>
  </si>
  <si>
    <t>بازار</t>
  </si>
  <si>
    <t>دارائيهای جاری :</t>
  </si>
  <si>
    <t>ساير حسابها واسناد دريافتنی</t>
  </si>
  <si>
    <t>مطالبات بلند مدت</t>
  </si>
  <si>
    <t>سایر دارائی ها</t>
  </si>
  <si>
    <t>بدهی به بیمه گران و بيمه گران اتکائی</t>
  </si>
  <si>
    <t xml:space="preserve">سایر حسابها و اسناد پرداختنی </t>
  </si>
  <si>
    <t>ذخيره ماليات بر درآمد</t>
  </si>
  <si>
    <t>ذخيره حق بيمه سهم كل</t>
  </si>
  <si>
    <t>ذخيره خسارت معوق سهم كل</t>
  </si>
  <si>
    <t>ذخیره ریسک‌های منقضی نشده</t>
  </si>
  <si>
    <t>ساير ذخائر فني  سهم كل</t>
  </si>
  <si>
    <t>مازاد تجدید ارزیابی ها</t>
  </si>
  <si>
    <t>سایر اندوخته ها</t>
  </si>
  <si>
    <r>
      <t xml:space="preserve">اطلاعات سود و زيان شركت هاي </t>
    </r>
    <r>
      <rPr>
        <b/>
        <u/>
        <sz val="12"/>
        <rFont val="B Nazanin"/>
        <charset val="178"/>
      </rPr>
      <t>اصلی</t>
    </r>
    <r>
      <rPr>
        <b/>
        <sz val="12"/>
        <rFont val="B Nazanin"/>
        <charset val="178"/>
      </rPr>
      <t xml:space="preserve"> بيمه در سال 1391</t>
    </r>
  </si>
  <si>
    <t>1393/05/22</t>
  </si>
  <si>
    <t>تعداد پرسنل - سال 1391</t>
  </si>
  <si>
    <t>اطلاعات سود و زیان شرکت های اصلی بیمه در سال 1391 - تاریخ تهیه :1393/05/22</t>
  </si>
  <si>
    <t>هزينه سهم صندوق تامين خسارت هاي بدني</t>
  </si>
  <si>
    <t>خالص ساير هزينه هاي بيمه اي</t>
  </si>
  <si>
    <t>ساير در آمدها و هزينه هاي غير بيمه اي</t>
  </si>
  <si>
    <t xml:space="preserve">سود خالص دوره </t>
  </si>
  <si>
    <t>هزینه ذخیره در طی دوره</t>
  </si>
  <si>
    <t>سود ناخالص فعاليت بيمه اي به فروش</t>
  </si>
  <si>
    <t>هزينه اداري به فروش</t>
  </si>
  <si>
    <t>سرمايه گذاري به فروش</t>
  </si>
  <si>
    <t>سود قبل از ماليات به فروش</t>
  </si>
  <si>
    <t>خالص كارمزد به خالص فروش</t>
  </si>
  <si>
    <t>خالص خسارت به خالص فروش</t>
  </si>
  <si>
    <r>
      <t xml:space="preserve">اطلاعات ترازنامه شركت هاي </t>
    </r>
    <r>
      <rPr>
        <b/>
        <u/>
        <sz val="12"/>
        <rFont val="B Nazanin"/>
        <charset val="178"/>
      </rPr>
      <t>اصلی</t>
    </r>
    <r>
      <rPr>
        <b/>
        <sz val="12"/>
        <rFont val="B Nazanin"/>
        <charset val="178"/>
      </rPr>
      <t xml:space="preserve"> بيمه در سال 1392</t>
    </r>
  </si>
  <si>
    <t>*</t>
  </si>
  <si>
    <t>اطلاعات در سایت کدال موجود بود</t>
  </si>
  <si>
    <t>**</t>
  </si>
  <si>
    <t xml:space="preserve">فاقد اطلاعات در سایت کدال </t>
  </si>
  <si>
    <t>اطلاعات تراز نامه شرکت های اصلی بیمه در سال 1392 - تاریخ تهیه :1393/05/21</t>
  </si>
  <si>
    <t>سرمد</t>
  </si>
  <si>
    <t xml:space="preserve">شرح </t>
  </si>
  <si>
    <t xml:space="preserve">مراکز سرمایه گذاری </t>
  </si>
  <si>
    <t>مبالغ قابل کسر از مطالبات</t>
  </si>
  <si>
    <t xml:space="preserve">خالص مطالبات غیر قابل سرمایه گذاری </t>
  </si>
  <si>
    <t>بدهی های غیر از ذخائر</t>
  </si>
  <si>
    <t xml:space="preserve">سایر منابع قابل سرمایه گذاری </t>
  </si>
  <si>
    <t>سپرده سرمایه گذاری نزد بانکها ، اوراق مشارکت و مسکوکات</t>
  </si>
  <si>
    <t xml:space="preserve">سرمایه گذاری نزد شرکتهای بورسی و اوراق سرمایه گذاری </t>
  </si>
  <si>
    <t>مخارج ساخت املاک</t>
  </si>
  <si>
    <t xml:space="preserve">سرمایه گذاری نزد شرکتهای غیر بورسی </t>
  </si>
  <si>
    <t>سرمایه گذاری در املاک و مستغلات و پروژه های عمرانی</t>
  </si>
  <si>
    <t>حساب‌ها و اسناد دریافتنی بلند مدت</t>
  </si>
  <si>
    <t>موجودی‌های جنسی</t>
  </si>
  <si>
    <t>تسهیلات اعطایی به نمایندگان</t>
  </si>
  <si>
    <t>پیش پرداخت‌ها</t>
  </si>
  <si>
    <t>تسهیلات  اعطایی به کارکنان</t>
  </si>
  <si>
    <t>تسهیلات  اعطایی به بیمه گزاران</t>
  </si>
  <si>
    <t>ذخیره ریاضی سهم نگهداری</t>
  </si>
  <si>
    <t>ذخیره ریاضی سهم اتکایی</t>
  </si>
  <si>
    <t>بدهی به بیمه مرکزی ایران</t>
  </si>
  <si>
    <t>پیش دریافت‌ها</t>
  </si>
  <si>
    <t>سهم از خالص دارایی ها (جمع دارایی ها به کسر سهم اتکایی اجباری)</t>
  </si>
  <si>
    <t>سود سهام دولت</t>
  </si>
  <si>
    <t>تسهیلات مالی دریافتی</t>
  </si>
  <si>
    <t>حساب‌ها و اسناد پرداختنی بلند مدت</t>
  </si>
  <si>
    <t>تعداد کارکنان</t>
  </si>
  <si>
    <t>سپرده گذاری کوتاه مدت نزد بانکها ، اوراق مشارکت و مسکوکات</t>
  </si>
  <si>
    <t xml:space="preserve">سپرده سرمایه گذاری بلند مدت نزد بانکها </t>
  </si>
  <si>
    <t>سرمایه گذاری کوتاه مدت نزد شرکت های بورس و صندوق سرمایه گذاری</t>
  </si>
  <si>
    <t>سرمایه گذاری بلند مدت نزد شرکت های بورس و صندوق سرمایه گذاری</t>
  </si>
  <si>
    <t>سرمایه گذاری کوتاه مدت نزد سایر شرکت های بورسی</t>
  </si>
  <si>
    <t>سرمایه گذاری بلند مدت نزد سایر شرکت های بورسی</t>
  </si>
  <si>
    <t>سرمایه گذاری کوتاه مدت در املاک و مستغلات و دارایی نگهداری شده برای فروش</t>
  </si>
  <si>
    <t>سرمایه گذاری بلند مدت در املاک و مستغلات و دارایی نگهداری شده برای فروش</t>
  </si>
  <si>
    <t>تسهیلات کوتاه مدت اعطایی به نمایندگان</t>
  </si>
  <si>
    <t>تسهیلات بلند مدت اعطایی به نمایندگان</t>
  </si>
  <si>
    <t>تسهیلات کوتاه مدت اعطایی به کارکنان</t>
  </si>
  <si>
    <t>تسهیلات بلند مدت اعطایی به کارکنان</t>
  </si>
  <si>
    <t>تسهیلات کوتاه مدت اعطایی به بیمه گزاران</t>
  </si>
  <si>
    <t>تسهیلات بلند مدت اعطایی به بیمه گزاران</t>
  </si>
  <si>
    <t>ذخیره ریلضی سهم نگهداری</t>
  </si>
  <si>
    <r>
      <t xml:space="preserve">اطلاعات سود و زيان شركت هاي </t>
    </r>
    <r>
      <rPr>
        <b/>
        <u/>
        <sz val="12"/>
        <rFont val="B Nazanin"/>
        <charset val="178"/>
      </rPr>
      <t>اصلی</t>
    </r>
    <r>
      <rPr>
        <b/>
        <sz val="12"/>
        <rFont val="B Nazanin"/>
        <charset val="178"/>
      </rPr>
      <t xml:space="preserve"> بيمه در سال 1392</t>
    </r>
  </si>
  <si>
    <t>تعداد پرسنل با تجربه تا 10سال</t>
  </si>
  <si>
    <t>تعداد پرسنل با تجربه بیش از 10سال</t>
  </si>
  <si>
    <t>پرسنل پایین تر از لیسانس</t>
  </si>
  <si>
    <t>پرسنل لیسانس و بالاتر</t>
  </si>
  <si>
    <t>تعداد پرسنل - سال 1392</t>
  </si>
  <si>
    <t>اطلاعات سود و زیان شرکت های اصلی بیمه در سال 1392 - تاریخ تهیه :1393/05/22</t>
  </si>
  <si>
    <t>كاهش (افزايش) ذخائر حق بيمه سال‌های آتی</t>
  </si>
  <si>
    <t>ذخيره حق بيمه اتكائي واگذاري سال‌های آتی</t>
  </si>
  <si>
    <r>
      <t>هزینه نیروی انتظامی</t>
    </r>
    <r>
      <rPr>
        <sz val="10"/>
        <rFont val="B Nazanin"/>
        <charset val="178"/>
      </rPr>
      <t>(ماده84قانون بودجه92)</t>
    </r>
  </si>
  <si>
    <t>هزینه وزارت کشور</t>
  </si>
  <si>
    <t>هزینه عوارض شخص ثالث</t>
  </si>
  <si>
    <t>هزینه وزارت بهداشت و درمان(بند ب م37 برنامه پنجم)</t>
  </si>
  <si>
    <t>سایر درآمدها(هزینه‌های) عملیاتی</t>
  </si>
  <si>
    <t>سود(زیان) کاهش ارزش سرمایه گذاریها</t>
  </si>
  <si>
    <t>هزینه مالی</t>
  </si>
  <si>
    <r>
      <t xml:space="preserve">اطلاعات ترازنامه شركت هاي </t>
    </r>
    <r>
      <rPr>
        <b/>
        <u/>
        <sz val="12"/>
        <rFont val="B Nazanin"/>
        <charset val="178"/>
      </rPr>
      <t>اصلی</t>
    </r>
    <r>
      <rPr>
        <b/>
        <sz val="12"/>
        <rFont val="B Nazanin"/>
        <charset val="178"/>
      </rPr>
      <t xml:space="preserve"> بيمه در سال 1393</t>
    </r>
  </si>
  <si>
    <t>تاريخ تهيه : شنبه بیست و چهارم مرداد یک هزار و سیصد و نود و چهار</t>
  </si>
  <si>
    <t>موجودی‌های جنسی/دارایی نگهداری شده برای فروش</t>
  </si>
  <si>
    <t xml:space="preserve">تعدیل حسابدهای دریافتنی </t>
  </si>
  <si>
    <t>تسهیلات کوتاه مدت اعطایی به نمایندگان و کارگزاران</t>
  </si>
  <si>
    <t>تسهیلات بلند مدت اعطایی به نمایندگان و کارگزاران</t>
  </si>
  <si>
    <t>ک . س . ک</t>
  </si>
  <si>
    <t>ک . س . ب</t>
  </si>
  <si>
    <r>
      <t xml:space="preserve">اطلاعات سود و زيان شركت هاي </t>
    </r>
    <r>
      <rPr>
        <b/>
        <u/>
        <sz val="12"/>
        <rFont val="B Nazanin"/>
        <charset val="178"/>
      </rPr>
      <t>اصلی</t>
    </r>
    <r>
      <rPr>
        <b/>
        <sz val="12"/>
        <rFont val="B Nazanin"/>
        <charset val="178"/>
      </rPr>
      <t xml:space="preserve"> بيمه در سال 1393</t>
    </r>
  </si>
  <si>
    <t>تعداد پرسنل - سال 1393</t>
  </si>
  <si>
    <t>حقوق صاحبان سهام به دارایی‌ها</t>
  </si>
  <si>
    <t>سود خالص بعد از کسر مالیات به حقوق صاحبان سهام</t>
  </si>
  <si>
    <t>-</t>
  </si>
  <si>
    <t>تاریخ تهیه:</t>
  </si>
  <si>
    <t>تهیه کننده:</t>
  </si>
  <si>
    <t>ردیف</t>
  </si>
  <si>
    <t>مانده</t>
  </si>
  <si>
    <t>% نسبت به کل</t>
  </si>
  <si>
    <t>% تغییرات نسبت به سال قبل</t>
  </si>
  <si>
    <t>جهت تعیین درصد نسبت به کل، اقلام مربوط به هر سرفصل بر جمع کل آن سرفصل تقسیم گردیده است.</t>
  </si>
  <si>
    <t>موجودي نقد</t>
  </si>
  <si>
    <t>سرمايه گذاري كوتاه مدت</t>
  </si>
  <si>
    <t>سفارشات و پيش پرداختها</t>
  </si>
  <si>
    <t>سرمايه گذاري بلند مدت</t>
  </si>
  <si>
    <t>داراييهاي نامشهود</t>
  </si>
  <si>
    <t>دارايي ثابت مشهود</t>
  </si>
  <si>
    <t>ساير داراييها</t>
  </si>
  <si>
    <t>سود سهام پرداختني</t>
  </si>
  <si>
    <t>تسهيلات مالي دريافتي</t>
  </si>
  <si>
    <t>علي الحساب افزايش سرمايه</t>
  </si>
  <si>
    <t>اندوخته قانوني</t>
  </si>
  <si>
    <t>سود انباشته</t>
  </si>
  <si>
    <t>سهم اقليت</t>
  </si>
  <si>
    <t>فروش محصولات</t>
  </si>
  <si>
    <t>درامد سرمايه گذاريها</t>
  </si>
  <si>
    <t>جمع درامدها</t>
  </si>
  <si>
    <t>بهاي تمام شده كالا و خدمات فروش رفته</t>
  </si>
  <si>
    <t>سود ناخالص</t>
  </si>
  <si>
    <t>هزينه هاي فروش ، اداري و عمومي</t>
  </si>
  <si>
    <t>ساير هزينه ها و درامدهاي عملياتي</t>
  </si>
  <si>
    <t>سود عملياتي</t>
  </si>
  <si>
    <t>سهم گروه از سود شرکتهاي وابسته</t>
  </si>
  <si>
    <t>هزينه هاي مالي</t>
  </si>
  <si>
    <t>ساير درامدها و هزينه هاي غير عملياتي</t>
  </si>
  <si>
    <t>سود خالص قبل از سهم اقليت</t>
  </si>
  <si>
    <t>مالیات سال قبل</t>
  </si>
  <si>
    <t>ماليات سال جاری</t>
  </si>
  <si>
    <t xml:space="preserve">سود خالص سال  </t>
  </si>
  <si>
    <t>سودناخالص به سود(زیان) غیر عملیاتی</t>
  </si>
  <si>
    <t>تغییر در فروش</t>
  </si>
  <si>
    <t>فروش به ارزش ویژه</t>
  </si>
  <si>
    <t>جمع بدهی‌ها به ارزش ویژه</t>
  </si>
  <si>
    <t>سود ناخالص به فروش</t>
  </si>
  <si>
    <t>نرخ رشد هزینه‌ها</t>
  </si>
  <si>
    <t>دارایی‌های جاری به مجموع بدهی‌های جاری و  بلندمدت</t>
  </si>
  <si>
    <t>مجموع مطالبات به مجموع دارایی‌ها</t>
  </si>
  <si>
    <t xml:space="preserve"> نسبت‌های مالی</t>
  </si>
  <si>
    <t xml:space="preserve">جمع داراييها </t>
  </si>
  <si>
    <t xml:space="preserve">جمع بدهيها </t>
  </si>
  <si>
    <t>شرکت</t>
  </si>
  <si>
    <t>سال مالی</t>
  </si>
  <si>
    <t>نرخ هزینه بدهی = Cost of  Debt = Rd</t>
  </si>
  <si>
    <t>پارامتر</t>
  </si>
  <si>
    <t>ارزش بازار حقوق صاحبان سهام  = Market value of the firm's equity = E</t>
  </si>
  <si>
    <t>ارزش بازار بدهی شرکت  = Market value of firm's debt = D</t>
  </si>
  <si>
    <t>Capital(B)</t>
  </si>
  <si>
    <t>نرخ مالیات شرکت  = Tc</t>
  </si>
  <si>
    <r>
      <t>Price</t>
    </r>
    <r>
      <rPr>
        <b/>
        <sz val="9"/>
        <color theme="1"/>
        <rFont val="Arial"/>
        <family val="2"/>
      </rPr>
      <t>(RLS</t>
    </r>
    <r>
      <rPr>
        <b/>
        <sz val="12"/>
        <color theme="1"/>
        <rFont val="Arial"/>
        <family val="2"/>
      </rPr>
      <t>)</t>
    </r>
  </si>
  <si>
    <t>ارزش کل شرکت V = E + D</t>
  </si>
  <si>
    <t>Dps</t>
  </si>
  <si>
    <t>میانگین موزون هزینه سرمایه = Weighted average cost of capital = WACC</t>
  </si>
  <si>
    <t>grow(%)</t>
  </si>
  <si>
    <t>دوره وصول مطالبات(روز)</t>
  </si>
  <si>
    <t xml:space="preserve"> 1.3 B</t>
  </si>
  <si>
    <t>نرخ هزینه حقوق صاحبان سهام E=(D1/P0)+g= Cost of Equity = Re</t>
  </si>
  <si>
    <t>NOPAT</t>
  </si>
  <si>
    <t>I</t>
  </si>
  <si>
    <t>تغییر در سرمایه در گردش غیرنقدی</t>
  </si>
  <si>
    <t>محاسبه جریان نقد آزاد FCF</t>
  </si>
  <si>
    <t>محاسبه چرخه عملیات و چرخه وجه نقد</t>
  </si>
  <si>
    <t>سود هر سهم</t>
  </si>
  <si>
    <t>مخارج سرمایه‌ای(Capex)</t>
  </si>
  <si>
    <t>ارقام به میلیون ريال</t>
  </si>
  <si>
    <t>جمع دارائي‌ها</t>
  </si>
  <si>
    <t>دارائي‌ها:</t>
  </si>
  <si>
    <t>بدهي‌ها و حقوق صاحبان سهام:</t>
  </si>
  <si>
    <t>دریافتنی‌های تجاری و سایر دریافتنی‌ها</t>
  </si>
  <si>
    <t>دارايي‌هاي نامشهود</t>
  </si>
  <si>
    <t>ساير دارايي‌ها</t>
  </si>
  <si>
    <t>پرداختی‌های تجاری و سایر پرداختنی‌ها</t>
  </si>
  <si>
    <t>فاقد منافع</t>
  </si>
  <si>
    <t>درآمد ارائه خدمات</t>
  </si>
  <si>
    <t>جمع درآمدها</t>
  </si>
  <si>
    <t>درآمد سرمايه گذاري‌ها</t>
  </si>
  <si>
    <t>اطلاعات صورت وضعیت مالی طی 5 سال 1396 الی 1400</t>
  </si>
  <si>
    <t>اطلاعات سود و زیان طی 5 سال 1396 الی 1400</t>
  </si>
  <si>
    <t xml:space="preserve"> نسبت‌های مالی طی 5 سال 1396 الی 1400</t>
  </si>
  <si>
    <t>پيش پرداخت‌ها</t>
  </si>
  <si>
    <t>سرمايه‌گذاري بلندمدت</t>
  </si>
  <si>
    <t>هزينه‌هاي فروش‌، اداري و عمومي</t>
  </si>
  <si>
    <t>سود(زیان) ناخالص</t>
  </si>
  <si>
    <t>سود(زیان) عملياتي</t>
  </si>
  <si>
    <t>سود(زیان) خالص قبل از سهم اقليت</t>
  </si>
  <si>
    <t>تعداد سهام</t>
  </si>
  <si>
    <t>نام شرکت</t>
  </si>
  <si>
    <t>ارزش پرتفوی بورسی شرکت</t>
  </si>
  <si>
    <t>نماد</t>
  </si>
  <si>
    <t>ارزش پرتفوی غیربورسی شرکت</t>
  </si>
  <si>
    <t xml:space="preserve">ارزش کل شرکت  =  ارزش افزوده پرتفوی غیر بورسی +  ارزش افزوده پرتفوی بورسی  +  حقوق صاحبان سهام (دفتری)  </t>
  </si>
  <si>
    <t xml:space="preserve">ارزش هر سهم  =  ارزش کل شرکت  /  تعداد کل سهم </t>
  </si>
  <si>
    <t xml:space="preserve">حقوق صاحبان سهام(دفتری)  =  بدهی ها  -  دارایی‌ها  </t>
  </si>
  <si>
    <t>دارایی‌ها</t>
  </si>
  <si>
    <t>بدهی‌ها</t>
  </si>
  <si>
    <t>حقوق صاحبان سهام(دفتری)</t>
  </si>
  <si>
    <t>ارزش افزوده پرتفوی بورسی</t>
  </si>
  <si>
    <t xml:space="preserve"> ارزش افزوده پرتفوی غیر بورسی</t>
  </si>
  <si>
    <t xml:space="preserve">ارزش کل شرکت </t>
  </si>
  <si>
    <t xml:space="preserve">تعداد کل سهم </t>
  </si>
  <si>
    <t>ارزش هر سهم</t>
  </si>
  <si>
    <t>NAV</t>
  </si>
  <si>
    <t>سال</t>
  </si>
  <si>
    <t>درآمد عملیاتی</t>
  </si>
  <si>
    <t xml:space="preserve">بهای تمام شده </t>
  </si>
  <si>
    <t>متوسط مطالبات تجاری</t>
  </si>
  <si>
    <t>متوسط پرداختنی‌ها</t>
  </si>
  <si>
    <t>مقایسه‌ای</t>
  </si>
  <si>
    <t>سرفصل</t>
  </si>
  <si>
    <t>مبلغ(میلیون ریال)</t>
  </si>
  <si>
    <t>نسبت</t>
  </si>
  <si>
    <t>متغییر</t>
  </si>
  <si>
    <t>ضریب</t>
  </si>
  <si>
    <t>حاصل</t>
  </si>
  <si>
    <t>کل دارایی</t>
  </si>
  <si>
    <t>کل دارایی/سرمایه در گردش</t>
  </si>
  <si>
    <t>x1</t>
  </si>
  <si>
    <t>سرمایه در گردش</t>
  </si>
  <si>
    <t>کل دارایی/ سود انباشته</t>
  </si>
  <si>
    <t>x2</t>
  </si>
  <si>
    <t>درامد قبل از بهره و مالیات</t>
  </si>
  <si>
    <t>کل دارایی/ درامد قبل از بهره و مالیات</t>
  </si>
  <si>
    <t>x3</t>
  </si>
  <si>
    <t>ارزش دفتری بدهی</t>
  </si>
  <si>
    <t>ارزش دفتری بدهی/ ارزش بازار ح ص س</t>
  </si>
  <si>
    <t>x4</t>
  </si>
  <si>
    <t>ارزش بازار ح ص س</t>
  </si>
  <si>
    <t>کل دارایی/ کل فروش</t>
  </si>
  <si>
    <t>x5</t>
  </si>
  <si>
    <t>Z=</t>
  </si>
  <si>
    <t>ورشکستگی</t>
  </si>
  <si>
    <t>روی خط ورشکستگی</t>
  </si>
  <si>
    <t>1.81 - 2.675</t>
  </si>
  <si>
    <t>ورشکستگی بعید است</t>
  </si>
  <si>
    <t>2.675به بالا</t>
  </si>
  <si>
    <t>ارزش روز(میلیون ريال )</t>
  </si>
  <si>
    <t>کل درآمد</t>
  </si>
  <si>
    <t>محاسبه NAV</t>
  </si>
  <si>
    <t>محاسبه Z آلتمن</t>
  </si>
  <si>
    <t>هزینه اداری و فروش به درآمد عملیاتی</t>
  </si>
  <si>
    <t>جمع بدهی‌ها و ارزش ویژه به درآمد عملیاتی</t>
  </si>
  <si>
    <t>سود خالص بعد از کسر مالیات به درآمد عملیاتی</t>
  </si>
  <si>
    <t>هزینه مالی به درآمد عملیاتی</t>
  </si>
  <si>
    <t xml:space="preserve">تجزیه و تحلیل صورتهای مالی </t>
  </si>
  <si>
    <t>واحد مالی-اردیبهشت 1400</t>
  </si>
  <si>
    <t>شرکت سرمایه گذاری ساختمان نوین</t>
  </si>
  <si>
    <t>شركت سرمایه گذاری ساختمان نوین (سهامی عام)</t>
  </si>
  <si>
    <t>1400/02/25</t>
  </si>
  <si>
    <t>واحد مالی</t>
  </si>
  <si>
    <t>1400/02/22</t>
  </si>
  <si>
    <r>
      <t>ارزش پرتفوی شرکت پرتفوی</t>
    </r>
    <r>
      <rPr>
        <b/>
        <sz val="12"/>
        <color rgb="FF00B050"/>
        <rFont val="B Zar"/>
        <charset val="178"/>
      </rPr>
      <t xml:space="preserve"> بورسی</t>
    </r>
  </si>
  <si>
    <r>
      <t>بهای تمام شده</t>
    </r>
    <r>
      <rPr>
        <b/>
        <sz val="9"/>
        <color theme="1"/>
        <rFont val="B Zar"/>
        <charset val="178"/>
      </rPr>
      <t>(هر سهم)</t>
    </r>
  </si>
  <si>
    <r>
      <t>ارزش روز</t>
    </r>
    <r>
      <rPr>
        <b/>
        <sz val="9"/>
        <color theme="1"/>
        <rFont val="B Zar"/>
        <charset val="178"/>
      </rPr>
      <t>(هر سهم)</t>
    </r>
  </si>
  <si>
    <r>
      <t xml:space="preserve">ارزش پرتفوی شرکت پرتفوی </t>
    </r>
    <r>
      <rPr>
        <b/>
        <sz val="12"/>
        <color rgb="FFFF0000"/>
        <rFont val="B Zar"/>
        <charset val="178"/>
      </rPr>
      <t>غیر بورسی</t>
    </r>
  </si>
  <si>
    <r>
      <t>ارزش کارشناسی</t>
    </r>
    <r>
      <rPr>
        <b/>
        <sz val="9"/>
        <color theme="1"/>
        <rFont val="B Zar"/>
        <charset val="178"/>
      </rPr>
      <t>(هر سهم)</t>
    </r>
  </si>
  <si>
    <t>نوسازی و ساختمان تهران (ثنوسا)</t>
  </si>
  <si>
    <t>ثنوسا</t>
  </si>
  <si>
    <t>سر. ساختمان ایران (وساخت)</t>
  </si>
  <si>
    <t>وساخت</t>
  </si>
  <si>
    <t>تامین سرمایه نوین (تنوین)</t>
  </si>
  <si>
    <t>تنوین</t>
  </si>
  <si>
    <t>سر. توسعه و عمران استان کرمان (کرمان)</t>
  </si>
  <si>
    <t>کرمان</t>
  </si>
  <si>
    <t>تامین مسکن جوانان (ثجوان)</t>
  </si>
  <si>
    <t>ثجوان</t>
  </si>
  <si>
    <t>بانک اقتصاد نوین (ونوین)</t>
  </si>
  <si>
    <t>ونوین</t>
  </si>
  <si>
    <t>بیمه حافظ (وحافظ)</t>
  </si>
  <si>
    <t>وحافظ</t>
  </si>
  <si>
    <t>بورس کالای ایران (کالا)</t>
  </si>
  <si>
    <t>کالا</t>
  </si>
  <si>
    <t>تجارت الکترونیک پارسیان کیش (تاپکیش)</t>
  </si>
  <si>
    <t>تاپکیش</t>
  </si>
  <si>
    <t>اعتباری ملل (وملل)</t>
  </si>
  <si>
    <t>وملل</t>
  </si>
  <si>
    <t>توسعه صنایع بهشهر (وبشهر)</t>
  </si>
  <si>
    <t>وبشهر</t>
  </si>
  <si>
    <t>سر. توسعه خوزستان (وثخوز)</t>
  </si>
  <si>
    <t>وثخوز</t>
  </si>
  <si>
    <t>معدنی املاح ایران (شاملا)</t>
  </si>
  <si>
    <t>شاملا</t>
  </si>
  <si>
    <t>مرجان کار (کمرجان)</t>
  </si>
  <si>
    <t>کمرجان</t>
  </si>
  <si>
    <t>سر. اقتصاد نوین (سنوین)</t>
  </si>
  <si>
    <t>سنوین</t>
  </si>
  <si>
    <t>سر. توسعه و عمران استان اردبیل (ثتوسا)</t>
  </si>
  <si>
    <t>ثتوسا</t>
  </si>
  <si>
    <t>سر. صبا تامین (صبا)</t>
  </si>
  <si>
    <t>صبا</t>
  </si>
  <si>
    <t>مشارکت دولتی10-شرایط خاص001226 (اشاد10)</t>
  </si>
  <si>
    <t>اشاد10</t>
  </si>
  <si>
    <t>تامین مسکن نوین (ثنوین)</t>
  </si>
  <si>
    <t>ثنوین</t>
  </si>
  <si>
    <t>سرمایه گذاری توسعه صنعت (توسعه صنعت)</t>
  </si>
  <si>
    <t>توسعه صنعت</t>
  </si>
  <si>
    <t>تست (تست)</t>
  </si>
  <si>
    <t>تست</t>
  </si>
  <si>
    <t>بازار آشنا (وبازار)</t>
  </si>
  <si>
    <t>وبازار</t>
  </si>
  <si>
    <t>سر. توسعه آذربایجان (وآذر)</t>
  </si>
  <si>
    <t>وآذر</t>
  </si>
  <si>
    <t>دولت - با شرایط خاص 140010 (اشاد1)</t>
  </si>
  <si>
    <t>اشاد1</t>
  </si>
  <si>
    <t>سر. توسعه معادن و فلزات (ومعادن)</t>
  </si>
  <si>
    <t>ومعادن</t>
  </si>
  <si>
    <t>قند پارس (قپارس)</t>
  </si>
  <si>
    <t>قپارس</t>
  </si>
  <si>
    <t>پتروشیمی شازند (شاراک)</t>
  </si>
  <si>
    <t>شاراک</t>
  </si>
  <si>
    <t>کنتورسازی ایران (آکنتور)</t>
  </si>
  <si>
    <t>آکنتور</t>
  </si>
  <si>
    <t>سر. پارس آریان (آریان)</t>
  </si>
  <si>
    <t>آریان</t>
  </si>
  <si>
    <t>نفت پاسارگاد (شپاس)</t>
  </si>
  <si>
    <t>شپاس</t>
  </si>
  <si>
    <t>قاسم ایران (قاسم)</t>
  </si>
  <si>
    <t>قاسم</t>
  </si>
  <si>
    <t>فولاد هرمزگان جنوب (هرمز)</t>
  </si>
  <si>
    <t>هرمز</t>
  </si>
  <si>
    <t>سایپا (خساپا)</t>
  </si>
  <si>
    <t>خساپا</t>
  </si>
  <si>
    <t>کالسیمین (فاسمین)</t>
  </si>
  <si>
    <t>فاسمین</t>
  </si>
  <si>
    <t>سر. خوارزمی (وخارزم)</t>
  </si>
  <si>
    <t>وخارزم</t>
  </si>
  <si>
    <t>بانک صادرات ایران (وبصادر)</t>
  </si>
  <si>
    <t>وبصادر</t>
  </si>
  <si>
    <t>گروه مپنا (رمپنا)</t>
  </si>
  <si>
    <t>رمپنا</t>
  </si>
  <si>
    <t>سر. توسعه معادن و فلزات (حق تقدم) (ومعادنح)</t>
  </si>
  <si>
    <t>ومعادنح</t>
  </si>
  <si>
    <t>گسترش نفت و گاز پارسیان (پارسان)</t>
  </si>
  <si>
    <t>پارسان</t>
  </si>
  <si>
    <t>سر. تامین اجتماعی (شستا)</t>
  </si>
  <si>
    <t>شستا</t>
  </si>
  <si>
    <t>بانک ملت (وبملت)</t>
  </si>
  <si>
    <t>وبملت</t>
  </si>
  <si>
    <t>ذوب آهن اصفهان (ذوب)</t>
  </si>
  <si>
    <t>ذوب</t>
  </si>
  <si>
    <t>ایران ارقام (مرقام)</t>
  </si>
  <si>
    <t>مرقام</t>
  </si>
  <si>
    <t>پرداخت الکترونیک سامان کیش (سپ)</t>
  </si>
  <si>
    <t>سپ</t>
  </si>
  <si>
    <t>پتروشیمی شیراز (شیراز)</t>
  </si>
  <si>
    <t>شیراز</t>
  </si>
  <si>
    <t>پالایش نفت اصفهان (شپنا)</t>
  </si>
  <si>
    <t>شپنا</t>
  </si>
  <si>
    <t>مدیریت صنعت شوینده ت.ص بهشهر (شوینده)</t>
  </si>
  <si>
    <t>شوینده</t>
  </si>
  <si>
    <t>فولاد مبارکه اصفهان (فولاد)</t>
  </si>
  <si>
    <t>فولاد</t>
  </si>
  <si>
    <t>مخابرات ایران (اخابر)</t>
  </si>
  <si>
    <t>اخابر</t>
  </si>
  <si>
    <t>گروه توسعه مالی مهر آیندگان (ومهان)</t>
  </si>
  <si>
    <t>ومهان</t>
  </si>
  <si>
    <t>قند شیرین خراسان (قشرین)</t>
  </si>
  <si>
    <t>قشرین</t>
  </si>
  <si>
    <t>سر. غدیر (وغدیر)</t>
  </si>
  <si>
    <t>وغدیر</t>
  </si>
  <si>
    <t>سر. پتروشیمی (وپترو)</t>
  </si>
  <si>
    <t>وپترو</t>
  </si>
  <si>
    <t>سر. نفت و گاز تامین (تاپیکو)</t>
  </si>
  <si>
    <t>تاپیکو</t>
  </si>
  <si>
    <t xml:space="preserve"> ارزش بازار ( قیمت آخرین معامله در تاریخ 1400/02/22 )  -  بهای تمام شده  =  ما به التفاوت  *  تعداد سهام  =  ارزش پرتفوی شرکت پرتفوی شرکت پذیرفته شده در بورس </t>
  </si>
  <si>
    <r>
      <t>خالص سرمایه در گردش</t>
    </r>
    <r>
      <rPr>
        <b/>
        <sz val="9"/>
        <color theme="1"/>
        <rFont val="B Zar"/>
        <charset val="178"/>
      </rPr>
      <t>(میلیون ريال)</t>
    </r>
  </si>
  <si>
    <r>
      <t>سرانه سود خالص</t>
    </r>
    <r>
      <rPr>
        <b/>
        <sz val="9"/>
        <color theme="1"/>
        <rFont val="B Zar"/>
        <charset val="178"/>
      </rPr>
      <t>(میلیون ريال)</t>
    </r>
  </si>
  <si>
    <r>
      <t>سرانه درآمد عملیاتی</t>
    </r>
    <r>
      <rPr>
        <b/>
        <sz val="9"/>
        <color theme="1"/>
        <rFont val="B Zar"/>
        <charset val="178"/>
      </rPr>
      <t>(میلیون ريال)</t>
    </r>
  </si>
  <si>
    <r>
      <t>سرانه هزینه‌های اداری و عمومی</t>
    </r>
    <r>
      <rPr>
        <b/>
        <sz val="9"/>
        <color theme="1"/>
        <rFont val="B Zar"/>
        <charset val="178"/>
      </rPr>
      <t>(میلیون ريال)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</si>
</sst>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 * #,##0.00_-_ ;_ * #,##0.00\-_ ;_ * &quot;-&quot;??_-_ ;_ @_ "/>
    <numFmt numFmtId="165" formatCode="_-* #,##0.00_-;_-* #,##0.00\-;_-* &quot;-&quot;??_-;_-@_-"/>
    <numFmt numFmtId="166" formatCode="0.0"/>
    <numFmt numFmtId="167" formatCode="#,##0;\(#,##0\)"/>
    <numFmt numFmtId="168" formatCode="#,##0;[Red]#,##0"/>
    <numFmt numFmtId="169" formatCode="#,##0.00_ ;\-#,##0.00\ "/>
    <numFmt numFmtId="170" formatCode="#,##0.0000000_ ;\-#,##0.0000000\ "/>
    <numFmt numFmtId="171" formatCode="0_);\(0\)"/>
    <numFmt numFmtId="172" formatCode="#,##0.0;[Red]#,##0.0"/>
    <numFmt numFmtId="173" formatCode="#,##0_-;[Red]\(#,##0\)"/>
    <numFmt numFmtId="174" formatCode="_-* #,##0_-;_-* #,##0\-;_-* &quot;-&quot;??_-;_-@_-"/>
    <numFmt numFmtId="175" formatCode="#,##0.00_-;[Red]\(#,##0.00\)"/>
    <numFmt numFmtId="176" formatCode="0_ ;\-0\ "/>
    <numFmt numFmtId="177" formatCode="#,##0.00_-;[Red]\(#,##0\)"/>
  </numFmts>
  <fonts count="86">
    <font>
      <sz val="11"/>
      <color theme="1"/>
      <name val="Calibri"/>
      <family val="2"/>
      <scheme val="minor"/>
    </font>
    <font>
      <sz val="8"/>
      <name val="Arial Narrow"/>
      <family val="2"/>
      <charset val="178"/>
    </font>
    <font>
      <b/>
      <sz val="14"/>
      <name val="B Nazanin"/>
      <charset val="178"/>
    </font>
    <font>
      <sz val="16"/>
      <name val="B Nazanin"/>
      <charset val="178"/>
    </font>
    <font>
      <sz val="11"/>
      <name val="B Nazanin"/>
      <charset val="178"/>
    </font>
    <font>
      <sz val="10"/>
      <name val="B Nazanin"/>
      <charset val="178"/>
    </font>
    <font>
      <sz val="8"/>
      <name val="B Nazanin"/>
      <charset val="178"/>
    </font>
    <font>
      <sz val="14"/>
      <name val="B Nazanin"/>
      <charset val="178"/>
    </font>
    <font>
      <sz val="12"/>
      <name val="B Nazanin"/>
      <charset val="178"/>
    </font>
    <font>
      <sz val="16"/>
      <name val="Arial Narrow"/>
      <family val="2"/>
      <charset val="178"/>
    </font>
    <font>
      <u/>
      <sz val="14"/>
      <name val="B Nazanin"/>
      <charset val="178"/>
    </font>
    <font>
      <b/>
      <sz val="10"/>
      <name val="B Nazanin"/>
      <charset val="178"/>
    </font>
    <font>
      <b/>
      <vertAlign val="subscript"/>
      <sz val="10"/>
      <name val="B Nazanin"/>
      <charset val="178"/>
    </font>
    <font>
      <b/>
      <sz val="12"/>
      <name val="B Nazanin"/>
      <charset val="178"/>
    </font>
    <font>
      <b/>
      <sz val="12"/>
      <name val="Arial"/>
      <family val="2"/>
    </font>
    <font>
      <b/>
      <sz val="8"/>
      <name val="B Nazanin"/>
      <charset val="178"/>
    </font>
    <font>
      <sz val="12"/>
      <name val="Arial"/>
      <family val="2"/>
    </font>
    <font>
      <b/>
      <sz val="16"/>
      <name val="B Nazanin"/>
      <charset val="178"/>
    </font>
    <font>
      <sz val="9"/>
      <name val="Arial Narrow"/>
      <family val="2"/>
    </font>
    <font>
      <sz val="15"/>
      <name val="B Nazanin"/>
      <charset val="178"/>
    </font>
    <font>
      <b/>
      <vertAlign val="subscript"/>
      <sz val="12"/>
      <name val="B Nazanin"/>
      <charset val="178"/>
    </font>
    <font>
      <sz val="11"/>
      <color theme="1"/>
      <name val="Calibri"/>
      <family val="2"/>
      <charset val="178"/>
      <scheme val="minor"/>
    </font>
    <font>
      <sz val="8"/>
      <color theme="1"/>
      <name val="Tahoma"/>
      <family val="2"/>
    </font>
    <font>
      <sz val="9"/>
      <name val="B Nazanin"/>
      <charset val="178"/>
    </font>
    <font>
      <sz val="11"/>
      <color theme="1"/>
      <name val="B Lotus"/>
      <charset val="178"/>
    </font>
    <font>
      <b/>
      <u/>
      <sz val="12"/>
      <name val="B Nazanin"/>
      <charset val="178"/>
    </font>
    <font>
      <u/>
      <sz val="11"/>
      <color theme="1"/>
      <name val="B Lotus"/>
      <charset val="178"/>
    </font>
    <font>
      <b/>
      <sz val="10"/>
      <name val="B Lotus"/>
      <charset val="178"/>
    </font>
    <font>
      <sz val="10"/>
      <color theme="1"/>
      <name val="B Lotus"/>
      <charset val="178"/>
    </font>
    <font>
      <sz val="10"/>
      <name val="B Lotus"/>
      <charset val="178"/>
    </font>
    <font>
      <sz val="11"/>
      <color theme="1"/>
      <name val="B Nazanin"/>
      <charset val="178"/>
    </font>
    <font>
      <sz val="12"/>
      <name val="B Lotus"/>
      <charset val="178"/>
    </font>
    <font>
      <sz val="12"/>
      <color theme="1"/>
      <name val="B Nazanin"/>
      <charset val="178"/>
    </font>
    <font>
      <b/>
      <sz val="12"/>
      <name val="B Lotus"/>
      <charset val="178"/>
    </font>
    <font>
      <sz val="12"/>
      <color theme="1"/>
      <name val="B Lotus"/>
      <charset val="178"/>
    </font>
    <font>
      <sz val="9"/>
      <color theme="1"/>
      <name val="B Lotus"/>
      <charset val="178"/>
    </font>
    <font>
      <sz val="14"/>
      <color theme="1"/>
      <name val="Mitra"/>
      <charset val="178"/>
    </font>
    <font>
      <sz val="16"/>
      <name val="B Lotus"/>
      <charset val="178"/>
    </font>
    <font>
      <sz val="11"/>
      <name val="B Lotus"/>
      <charset val="178"/>
    </font>
    <font>
      <sz val="9"/>
      <name val="B Lotus"/>
      <charset val="178"/>
    </font>
    <font>
      <sz val="8"/>
      <name val="B Lotus"/>
      <charset val="178"/>
    </font>
    <font>
      <sz val="10"/>
      <color theme="1"/>
      <name val="B Nazanin"/>
      <charset val="178"/>
    </font>
    <font>
      <sz val="10"/>
      <color theme="1"/>
      <name val="Calibri"/>
      <family val="2"/>
      <charset val="178"/>
      <scheme val="minor"/>
    </font>
    <font>
      <b/>
      <sz val="11"/>
      <name val="B Nazanin"/>
      <charset val="178"/>
    </font>
    <font>
      <sz val="11"/>
      <color theme="1"/>
      <name val="Calibri"/>
      <family val="2"/>
      <scheme val="minor"/>
    </font>
    <font>
      <sz val="11"/>
      <color theme="1"/>
      <name val="B Mitra"/>
      <charset val="178"/>
    </font>
    <font>
      <sz val="10"/>
      <name val="Arial"/>
      <family val="2"/>
    </font>
    <font>
      <b/>
      <sz val="11"/>
      <color theme="1"/>
      <name val="B Mitra"/>
      <charset val="178"/>
    </font>
    <font>
      <b/>
      <u/>
      <sz val="11"/>
      <name val="B Zar"/>
      <charset val="178"/>
    </font>
    <font>
      <b/>
      <sz val="11"/>
      <name val="B Zar"/>
      <charset val="178"/>
    </font>
    <font>
      <b/>
      <sz val="12"/>
      <color theme="1"/>
      <name val="B Nazanin"/>
      <charset val="178"/>
    </font>
    <font>
      <b/>
      <sz val="11"/>
      <color theme="1"/>
      <name val="B Titr"/>
      <charset val="178"/>
    </font>
    <font>
      <sz val="10"/>
      <color theme="1"/>
      <name val="B Titr"/>
      <charset val="178"/>
    </font>
    <font>
      <b/>
      <sz val="11"/>
      <color theme="1"/>
      <name val="B Nazanin"/>
      <charset val="178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B Zar"/>
      <charset val="178"/>
    </font>
    <font>
      <b/>
      <sz val="11"/>
      <color theme="1"/>
      <name val="B Zar"/>
      <charset val="178"/>
    </font>
    <font>
      <b/>
      <sz val="12"/>
      <color theme="1"/>
      <name val="B Zar"/>
      <charset val="178"/>
    </font>
    <font>
      <b/>
      <sz val="14"/>
      <color theme="1"/>
      <name val="B Zar"/>
      <charset val="178"/>
    </font>
    <font>
      <b/>
      <u/>
      <sz val="14"/>
      <color theme="1"/>
      <name val="B Zar"/>
      <charset val="178"/>
    </font>
    <font>
      <b/>
      <sz val="12"/>
      <name val="B Zar"/>
      <charset val="178"/>
    </font>
    <font>
      <sz val="8"/>
      <name val="B Zar"/>
      <charset val="178"/>
    </font>
    <font>
      <b/>
      <sz val="8"/>
      <name val="B Zar"/>
      <charset val="178"/>
    </font>
    <font>
      <sz val="10"/>
      <color theme="1"/>
      <name val="B Zar"/>
      <charset val="178"/>
    </font>
    <font>
      <sz val="10"/>
      <name val="B Zar"/>
      <charset val="178"/>
    </font>
    <font>
      <sz val="12"/>
      <color theme="1"/>
      <name val="B Zar"/>
      <charset val="178"/>
    </font>
    <font>
      <sz val="12"/>
      <name val="B Zar"/>
      <charset val="178"/>
    </font>
    <font>
      <b/>
      <sz val="14"/>
      <name val="B Zar"/>
      <charset val="178"/>
    </font>
    <font>
      <b/>
      <sz val="10"/>
      <color theme="1"/>
      <name val="B Zar"/>
      <charset val="178"/>
    </font>
    <font>
      <b/>
      <sz val="9"/>
      <color theme="1"/>
      <name val="B Zar"/>
      <charset val="178"/>
    </font>
    <font>
      <sz val="14"/>
      <name val="B Zar"/>
      <charset val="178"/>
    </font>
    <font>
      <sz val="11"/>
      <name val="B Zar"/>
      <charset val="178"/>
    </font>
    <font>
      <b/>
      <sz val="12"/>
      <color rgb="FF00B050"/>
      <name val="B Zar"/>
      <charset val="178"/>
    </font>
    <font>
      <b/>
      <sz val="9"/>
      <color rgb="FF333333"/>
      <name val="B Zar"/>
      <charset val="178"/>
    </font>
    <font>
      <b/>
      <sz val="9"/>
      <color rgb="FF000000"/>
      <name val="B Zar"/>
      <charset val="178"/>
    </font>
    <font>
      <b/>
      <sz val="12"/>
      <color rgb="FFFF0000"/>
      <name val="B Zar"/>
      <charset val="178"/>
    </font>
    <font>
      <b/>
      <sz val="8"/>
      <color theme="1"/>
      <name val="B Zar"/>
      <charset val="178"/>
    </font>
    <font>
      <b/>
      <sz val="10"/>
      <name val="B Zar"/>
      <charset val="178"/>
    </font>
    <font>
      <sz val="9"/>
      <name val="B Zar"/>
      <charset val="178"/>
    </font>
    <font>
      <sz val="14"/>
      <color theme="1"/>
      <name val="B Zar"/>
      <charset val="178"/>
    </font>
    <font>
      <b/>
      <u/>
      <sz val="11"/>
      <color theme="1"/>
      <name val="B Zar"/>
      <charset val="178"/>
    </font>
    <font>
      <b/>
      <sz val="9"/>
      <name val="B Zar"/>
      <charset val="178"/>
    </font>
    <font>
      <sz val="11.5"/>
      <name val="B Zar"/>
      <charset val="178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theme="3" tint="0.39973143711661124"/>
      </top>
      <bottom/>
      <diagonal/>
    </border>
    <border>
      <left/>
      <right/>
      <top/>
      <bottom style="medium">
        <color theme="3" tint="0.39973143711661124"/>
      </bottom>
      <diagonal/>
    </border>
    <border>
      <left style="medium">
        <color theme="3" tint="0.39982299264503923"/>
      </left>
      <right style="hair">
        <color theme="3" tint="0.39994506668294322"/>
      </right>
      <top/>
      <bottom style="hair">
        <color theme="3" tint="0.39994506668294322"/>
      </bottom>
      <diagonal/>
    </border>
    <border>
      <left style="hair">
        <color theme="3" tint="0.39994506668294322"/>
      </left>
      <right style="hair">
        <color theme="3" tint="0.39994506668294322"/>
      </right>
      <top/>
      <bottom style="hair">
        <color theme="3" tint="0.39994506668294322"/>
      </bottom>
      <diagonal/>
    </border>
    <border>
      <left style="hair">
        <color theme="3" tint="0.39994506668294322"/>
      </left>
      <right style="medium">
        <color theme="3" tint="0.39982299264503923"/>
      </right>
      <top/>
      <bottom style="hair">
        <color theme="3" tint="0.39994506668294322"/>
      </bottom>
      <diagonal/>
    </border>
    <border>
      <left style="medium">
        <color theme="3" tint="0.39982299264503923"/>
      </left>
      <right style="medium">
        <color theme="4"/>
      </right>
      <top/>
      <bottom style="medium">
        <color theme="3" tint="0.39985351115451523"/>
      </bottom>
      <diagonal/>
    </border>
    <border>
      <left style="medium">
        <color theme="3" tint="0.39982299264503923"/>
      </left>
      <right style="hair">
        <color theme="3" tint="0.39994506668294322"/>
      </right>
      <top style="hair">
        <color theme="3" tint="0.39994506668294322"/>
      </top>
      <bottom style="hair">
        <color theme="3" tint="0.39994506668294322"/>
      </bottom>
      <diagonal/>
    </border>
    <border>
      <left style="hair">
        <color theme="3" tint="0.39994506668294322"/>
      </left>
      <right style="medium">
        <color theme="3" tint="0.39982299264503923"/>
      </right>
      <top/>
      <bottom/>
      <diagonal/>
    </border>
    <border>
      <left/>
      <right style="medium">
        <color theme="4"/>
      </right>
      <top style="medium">
        <color theme="3" tint="0.39982299264503923"/>
      </top>
      <bottom style="hair">
        <color theme="4"/>
      </bottom>
      <diagonal/>
    </border>
    <border>
      <left style="medium">
        <color theme="3" tint="0.39982299264503923"/>
      </left>
      <right style="hair">
        <color theme="3" tint="0.39994506668294322"/>
      </right>
      <top style="medium">
        <color theme="3" tint="0.39982299264503923"/>
      </top>
      <bottom style="hair">
        <color theme="3" tint="0.39994506668294322"/>
      </bottom>
      <diagonal/>
    </border>
    <border>
      <left style="hair">
        <color theme="3" tint="0.39994506668294322"/>
      </left>
      <right style="hair">
        <color theme="3" tint="0.39994506668294322"/>
      </right>
      <top style="medium">
        <color theme="3" tint="0.39982299264503923"/>
      </top>
      <bottom style="hair">
        <color theme="3" tint="0.39994506668294322"/>
      </bottom>
      <diagonal/>
    </border>
    <border>
      <left style="hair">
        <color theme="3" tint="0.39994506668294322"/>
      </left>
      <right style="medium">
        <color theme="3" tint="0.39982299264503923"/>
      </right>
      <top style="medium">
        <color theme="3" tint="0.39982299264503923"/>
      </top>
      <bottom style="hair">
        <color theme="3" tint="0.39994506668294322"/>
      </bottom>
      <diagonal/>
    </border>
    <border>
      <left style="hair">
        <color theme="3" tint="0.39994506668294322"/>
      </left>
      <right style="medium">
        <color theme="3" tint="0.39985351115451523"/>
      </right>
      <top style="medium">
        <color theme="3" tint="0.39982299264503923"/>
      </top>
      <bottom style="hair">
        <color theme="3" tint="0.39994506668294322"/>
      </bottom>
      <diagonal/>
    </border>
    <border>
      <left style="hair">
        <color theme="3" tint="0.39994506668294322"/>
      </left>
      <right style="medium">
        <color theme="3" tint="0.39988402966399123"/>
      </right>
      <top style="medium">
        <color theme="3" tint="0.39982299264503923"/>
      </top>
      <bottom style="hair">
        <color theme="3" tint="0.39994506668294322"/>
      </bottom>
      <diagonal/>
    </border>
    <border>
      <left/>
      <right style="medium">
        <color theme="4"/>
      </right>
      <top style="hair">
        <color theme="4"/>
      </top>
      <bottom style="hair">
        <color theme="4"/>
      </bottom>
      <diagonal/>
    </border>
    <border>
      <left style="medium">
        <color theme="3" tint="0.39982299264503923"/>
      </left>
      <right style="hair">
        <color theme="3" tint="0.39994506668294322"/>
      </right>
      <top/>
      <bottom/>
      <diagonal/>
    </border>
    <border>
      <left style="hair">
        <color theme="3" tint="0.39994506668294322"/>
      </left>
      <right style="hair">
        <color theme="3" tint="0.39994506668294322"/>
      </right>
      <top/>
      <bottom/>
      <diagonal/>
    </border>
    <border>
      <left style="hair">
        <color theme="3" tint="0.39994506668294322"/>
      </left>
      <right style="medium">
        <color theme="3" tint="0.39985351115451523"/>
      </right>
      <top/>
      <bottom/>
      <diagonal/>
    </border>
    <border>
      <left style="hair">
        <color theme="3" tint="0.39994506668294322"/>
      </left>
      <right style="medium">
        <color theme="3" tint="0.39988402966399123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theme="3" tint="0.39973143711661124"/>
      </top>
      <bottom/>
      <diagonal/>
    </border>
    <border>
      <left style="medium">
        <color indexed="64"/>
      </left>
      <right/>
      <top/>
      <bottom style="medium">
        <color theme="3" tint="0.39973143711661124"/>
      </bottom>
      <diagonal/>
    </border>
    <border>
      <left style="medium">
        <color indexed="64"/>
      </left>
      <right style="medium">
        <color theme="4"/>
      </right>
      <top/>
      <bottom/>
      <diagonal/>
    </border>
    <border>
      <left style="hair">
        <color theme="3" tint="0.39994506668294322"/>
      </left>
      <right style="medium">
        <color indexed="64"/>
      </right>
      <top/>
      <bottom style="hair">
        <color theme="3" tint="0.39994506668294322"/>
      </bottom>
      <diagonal/>
    </border>
    <border>
      <left style="medium">
        <color indexed="64"/>
      </left>
      <right style="medium">
        <color theme="4"/>
      </right>
      <top/>
      <bottom style="medium">
        <color theme="3" tint="0.39985351115451523"/>
      </bottom>
      <diagonal/>
    </border>
    <border>
      <left style="medium">
        <color indexed="64"/>
      </left>
      <right style="medium">
        <color theme="4"/>
      </right>
      <top style="medium">
        <color theme="3" tint="0.39985351115451523"/>
      </top>
      <bottom style="hair">
        <color theme="4"/>
      </bottom>
      <diagonal/>
    </border>
    <border>
      <left style="medium">
        <color indexed="64"/>
      </left>
      <right style="medium">
        <color theme="4"/>
      </right>
      <top style="hair">
        <color theme="4"/>
      </top>
      <bottom style="hair">
        <color theme="4"/>
      </bottom>
      <diagonal/>
    </border>
    <border>
      <left style="medium">
        <color indexed="64"/>
      </left>
      <right/>
      <top style="medium">
        <color theme="3" tint="0.39982299264503923"/>
      </top>
      <bottom style="hair">
        <color theme="4"/>
      </bottom>
      <diagonal/>
    </border>
    <border>
      <left style="medium">
        <color indexed="64"/>
      </left>
      <right/>
      <top style="hair">
        <color theme="4"/>
      </top>
      <bottom style="hair">
        <color theme="4"/>
      </bottom>
      <diagonal/>
    </border>
    <border>
      <left style="medium">
        <color indexed="64"/>
      </left>
      <right/>
      <top style="hair">
        <color theme="4"/>
      </top>
      <bottom style="medium">
        <color indexed="64"/>
      </bottom>
      <diagonal/>
    </border>
    <border>
      <left/>
      <right style="medium">
        <color theme="4"/>
      </right>
      <top style="hair">
        <color theme="4"/>
      </top>
      <bottom style="medium">
        <color indexed="64"/>
      </bottom>
      <diagonal/>
    </border>
    <border>
      <left style="medium">
        <color theme="3" tint="0.39982299264503923"/>
      </left>
      <right style="hair">
        <color theme="3" tint="0.39994506668294322"/>
      </right>
      <top style="hair">
        <color theme="3" tint="0.39994506668294322"/>
      </top>
      <bottom style="medium">
        <color indexed="64"/>
      </bottom>
      <diagonal/>
    </border>
    <border>
      <left style="hair">
        <color theme="3" tint="0.39994506668294322"/>
      </left>
      <right style="hair">
        <color theme="3" tint="0.39994506668294322"/>
      </right>
      <top style="hair">
        <color theme="3" tint="0.39994506668294322"/>
      </top>
      <bottom style="medium">
        <color indexed="64"/>
      </bottom>
      <diagonal/>
    </border>
    <border>
      <left style="hair">
        <color theme="3" tint="0.39994506668294322"/>
      </left>
      <right style="medium">
        <color theme="3" tint="0.39982299264503923"/>
      </right>
      <top style="hair">
        <color theme="3" tint="0.39994506668294322"/>
      </top>
      <bottom style="medium">
        <color indexed="64"/>
      </bottom>
      <diagonal/>
    </border>
    <border>
      <left style="hair">
        <color theme="3" tint="0.39994506668294322"/>
      </left>
      <right style="medium">
        <color theme="3" tint="0.39985351115451523"/>
      </right>
      <top style="hair">
        <color theme="3" tint="0.39994506668294322"/>
      </top>
      <bottom style="medium">
        <color indexed="64"/>
      </bottom>
      <diagonal/>
    </border>
    <border>
      <left style="hair">
        <color theme="3" tint="0.39994506668294322"/>
      </left>
      <right style="medium">
        <color theme="3" tint="0.39988402966399123"/>
      </right>
      <top style="hair">
        <color theme="3" tint="0.39994506668294322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theme="4"/>
      </bottom>
      <diagonal/>
    </border>
    <border>
      <left style="medium">
        <color indexed="64"/>
      </left>
      <right style="medium">
        <color indexed="64"/>
      </right>
      <top style="hair">
        <color theme="4"/>
      </top>
      <bottom style="hair">
        <color theme="4"/>
      </bottom>
      <diagonal/>
    </border>
    <border>
      <left style="medium">
        <color indexed="64"/>
      </left>
      <right style="medium">
        <color indexed="64"/>
      </right>
      <top style="hair">
        <color theme="4"/>
      </top>
      <bottom style="medium">
        <color indexed="64"/>
      </bottom>
      <diagonal/>
    </border>
    <border>
      <left style="hair">
        <color theme="3" tint="0.39994506668294322"/>
      </left>
      <right style="medium">
        <color indexed="64"/>
      </right>
      <top style="medium">
        <color indexed="64"/>
      </top>
      <bottom style="hair">
        <color theme="3" tint="0.39994506668294322"/>
      </bottom>
      <diagonal/>
    </border>
    <border>
      <left style="hair">
        <color theme="3" tint="0.39994506668294322"/>
      </left>
      <right style="medium">
        <color indexed="64"/>
      </right>
      <top/>
      <bottom style="medium">
        <color indexed="64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theme="3" tint="0.39982299264503923"/>
      </left>
      <right/>
      <top/>
      <bottom/>
      <diagonal/>
    </border>
    <border>
      <left style="medium">
        <color theme="3"/>
      </left>
      <right/>
      <top/>
      <bottom/>
      <diagonal/>
    </border>
    <border>
      <left style="medium">
        <color theme="3" tint="0.39982299264503923"/>
      </left>
      <right style="hair">
        <color theme="3" tint="0.39994506668294322"/>
      </right>
      <top/>
      <bottom style="medium">
        <color theme="3" tint="0.39985351115451523"/>
      </bottom>
      <diagonal/>
    </border>
    <border>
      <left style="hair">
        <color theme="3" tint="0.39994506668294322"/>
      </left>
      <right style="hair">
        <color theme="3" tint="0.39994506668294322"/>
      </right>
      <top/>
      <bottom style="medium">
        <color theme="3" tint="0.39985351115451523"/>
      </bottom>
      <diagonal/>
    </border>
    <border>
      <left style="hair">
        <color theme="3" tint="0.39994506668294322"/>
      </left>
      <right style="medium">
        <color theme="3" tint="0.39982299264503923"/>
      </right>
      <top/>
      <bottom style="medium">
        <color theme="3" tint="0.39985351115451523"/>
      </bottom>
      <diagonal/>
    </border>
    <border>
      <left/>
      <right style="hair">
        <color theme="3" tint="0.39994506668294322"/>
      </right>
      <top/>
      <bottom style="medium">
        <color theme="3" tint="0.39985351115451523"/>
      </bottom>
      <diagonal/>
    </border>
    <border>
      <left style="hair">
        <color theme="3" tint="0.39994506668294322"/>
      </left>
      <right style="medium">
        <color theme="3" tint="0.39985351115451523"/>
      </right>
      <top/>
      <bottom style="medium">
        <color theme="3" tint="0.39985351115451523"/>
      </bottom>
      <diagonal/>
    </border>
    <border>
      <left style="hair">
        <color theme="3" tint="0.39994506668294322"/>
      </left>
      <right style="medium">
        <color theme="3" tint="0.39988402966399123"/>
      </right>
      <top/>
      <bottom style="medium">
        <color theme="3" tint="0.39985351115451523"/>
      </bottom>
      <diagonal/>
    </border>
    <border>
      <left style="medium">
        <color indexed="64"/>
      </left>
      <right style="hair">
        <color theme="3" tint="0.39994506668294322"/>
      </right>
      <top style="medium">
        <color indexed="64"/>
      </top>
      <bottom style="medium">
        <color indexed="64"/>
      </bottom>
      <diagonal/>
    </border>
    <border>
      <left style="hair">
        <color theme="3" tint="0.39994506668294322"/>
      </left>
      <right style="hair">
        <color theme="3" tint="0.39994506668294322"/>
      </right>
      <top style="medium">
        <color indexed="64"/>
      </top>
      <bottom style="medium">
        <color indexed="64"/>
      </bottom>
      <diagonal/>
    </border>
    <border>
      <left style="hair">
        <color theme="3" tint="0.39994506668294322"/>
      </left>
      <right style="medium">
        <color theme="3" tint="0.39982299264503923"/>
      </right>
      <top style="medium">
        <color indexed="64"/>
      </top>
      <bottom style="medium">
        <color indexed="64"/>
      </bottom>
      <diagonal/>
    </border>
    <border>
      <left/>
      <right style="hair">
        <color theme="3" tint="0.39994506668294322"/>
      </right>
      <top style="medium">
        <color indexed="64"/>
      </top>
      <bottom style="medium">
        <color indexed="64"/>
      </bottom>
      <diagonal/>
    </border>
    <border>
      <left style="hair">
        <color theme="3" tint="0.39994506668294322"/>
      </left>
      <right style="medium">
        <color theme="3" tint="0.39985351115451523"/>
      </right>
      <top style="medium">
        <color indexed="64"/>
      </top>
      <bottom style="medium">
        <color indexed="64"/>
      </bottom>
      <diagonal/>
    </border>
    <border>
      <left style="hair">
        <color theme="3" tint="0.39994506668294322"/>
      </left>
      <right style="medium">
        <color theme="3" tint="0.39988402966399123"/>
      </right>
      <top style="medium">
        <color indexed="64"/>
      </top>
      <bottom style="medium">
        <color indexed="64"/>
      </bottom>
      <diagonal/>
    </border>
    <border>
      <left style="hair">
        <color theme="3" tint="0.399945066682943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3"/>
      </right>
      <top/>
      <bottom style="medium">
        <color indexed="64"/>
      </bottom>
      <diagonal/>
    </border>
  </borders>
  <cellStyleXfs count="9">
    <xf numFmtId="0" fontId="0" fillId="0" borderId="0"/>
    <xf numFmtId="166" fontId="1" fillId="0" borderId="0"/>
    <xf numFmtId="166" fontId="1" fillId="0" borderId="0"/>
    <xf numFmtId="0" fontId="21" fillId="0" borderId="0"/>
    <xf numFmtId="166" fontId="1" fillId="0" borderId="0"/>
    <xf numFmtId="165" fontId="21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6" fillId="0" borderId="0"/>
    <xf numFmtId="164" fontId="44" fillId="0" borderId="0" applyFont="0" applyFill="0" applyBorder="0" applyAlignment="0" applyProtection="0"/>
  </cellStyleXfs>
  <cellXfs count="735">
    <xf numFmtId="0" fontId="0" fillId="0" borderId="0" xfId="0"/>
    <xf numFmtId="167" fontId="1" fillId="0" borderId="0" xfId="1" applyNumberFormat="1" applyAlignment="1">
      <alignment vertical="center"/>
    </xf>
    <xf numFmtId="167" fontId="3" fillId="0" borderId="0" xfId="1" applyNumberFormat="1" applyFont="1" applyBorder="1" applyAlignment="1">
      <alignment horizontal="right" vertical="center" readingOrder="2"/>
    </xf>
    <xf numFmtId="167" fontId="4" fillId="0" borderId="0" xfId="1" applyNumberFormat="1" applyFont="1" applyAlignment="1">
      <alignment vertical="center"/>
    </xf>
    <xf numFmtId="167" fontId="5" fillId="0" borderId="0" xfId="1" applyNumberFormat="1" applyFont="1" applyAlignment="1">
      <alignment horizontal="right" vertical="center" readingOrder="2"/>
    </xf>
    <xf numFmtId="167" fontId="3" fillId="0" borderId="0" xfId="1" applyNumberFormat="1" applyFont="1" applyAlignment="1">
      <alignment horizontal="right" vertical="center" readingOrder="2"/>
    </xf>
    <xf numFmtId="167" fontId="6" fillId="0" borderId="0" xfId="1" applyNumberFormat="1" applyFont="1" applyAlignment="1">
      <alignment vertical="center"/>
    </xf>
    <xf numFmtId="168" fontId="3" fillId="0" borderId="0" xfId="1" applyNumberFormat="1" applyFont="1" applyAlignment="1">
      <alignment horizontal="center" vertical="center" readingOrder="2"/>
    </xf>
    <xf numFmtId="0" fontId="7" fillId="0" borderId="0" xfId="1" applyNumberFormat="1" applyFont="1" applyBorder="1" applyAlignment="1">
      <alignment shrinkToFit="1"/>
    </xf>
    <xf numFmtId="168" fontId="5" fillId="0" borderId="0" xfId="1" applyNumberFormat="1" applyFont="1" applyAlignment="1">
      <alignment vertical="center" readingOrder="2"/>
    </xf>
    <xf numFmtId="168" fontId="3" fillId="0" borderId="0" xfId="1" applyNumberFormat="1" applyFont="1" applyAlignment="1">
      <alignment vertical="center" readingOrder="2"/>
    </xf>
    <xf numFmtId="0" fontId="8" fillId="0" borderId="0" xfId="1" applyNumberFormat="1" applyFont="1" applyBorder="1" applyAlignment="1">
      <alignment shrinkToFit="1"/>
    </xf>
    <xf numFmtId="167" fontId="3" fillId="0" borderId="0" xfId="1" applyNumberFormat="1" applyFont="1" applyAlignment="1">
      <alignment vertical="center"/>
    </xf>
    <xf numFmtId="167" fontId="9" fillId="0" borderId="0" xfId="1" applyNumberFormat="1" applyFont="1" applyAlignment="1">
      <alignment vertical="center"/>
    </xf>
    <xf numFmtId="0" fontId="5" fillId="0" borderId="0" xfId="1" applyNumberFormat="1" applyFont="1" applyBorder="1"/>
    <xf numFmtId="37" fontId="3" fillId="0" borderId="1" xfId="1" applyNumberFormat="1" applyFont="1" applyBorder="1" applyAlignment="1">
      <alignment horizontal="right" vertical="center" readingOrder="2"/>
    </xf>
    <xf numFmtId="37" fontId="3" fillId="0" borderId="0" xfId="1" applyNumberFormat="1" applyFont="1" applyAlignment="1">
      <alignment horizontal="right" vertical="center" readingOrder="2"/>
    </xf>
    <xf numFmtId="167" fontId="8" fillId="0" borderId="0" xfId="1" applyNumberFormat="1" applyFont="1" applyAlignment="1">
      <alignment vertical="center"/>
    </xf>
    <xf numFmtId="167" fontId="3" fillId="0" borderId="2" xfId="1" applyNumberFormat="1" applyFont="1" applyBorder="1" applyAlignment="1">
      <alignment horizontal="right" vertical="center" readingOrder="2"/>
    </xf>
    <xf numFmtId="37" fontId="5" fillId="0" borderId="0" xfId="1" applyNumberFormat="1" applyFont="1" applyAlignment="1">
      <alignment vertical="center"/>
    </xf>
    <xf numFmtId="37" fontId="3" fillId="0" borderId="3" xfId="1" applyNumberFormat="1" applyFont="1" applyBorder="1" applyAlignment="1">
      <alignment horizontal="right" vertical="center" readingOrder="2"/>
    </xf>
    <xf numFmtId="37" fontId="3" fillId="0" borderId="4" xfId="1" applyNumberFormat="1" applyFont="1" applyBorder="1" applyAlignment="1">
      <alignment horizontal="right" vertical="center" readingOrder="2"/>
    </xf>
    <xf numFmtId="167" fontId="1" fillId="0" borderId="0" xfId="1" applyNumberFormat="1" applyBorder="1" applyAlignment="1">
      <alignment vertical="center"/>
    </xf>
    <xf numFmtId="0" fontId="10" fillId="0" borderId="0" xfId="1" applyNumberFormat="1" applyFont="1" applyBorder="1" applyAlignment="1">
      <alignment shrinkToFit="1"/>
    </xf>
    <xf numFmtId="37" fontId="3" fillId="0" borderId="2" xfId="1" applyNumberFormat="1" applyFont="1" applyBorder="1" applyAlignment="1">
      <alignment horizontal="right" vertical="center" readingOrder="2"/>
    </xf>
    <xf numFmtId="167" fontId="3" fillId="0" borderId="3" xfId="1" applyNumberFormat="1" applyFont="1" applyBorder="1" applyAlignment="1">
      <alignment horizontal="right" vertical="center" readingOrder="2"/>
    </xf>
    <xf numFmtId="167" fontId="3" fillId="0" borderId="4" xfId="1" applyNumberFormat="1" applyFont="1" applyBorder="1" applyAlignment="1">
      <alignment horizontal="right" vertical="center" readingOrder="2"/>
    </xf>
    <xf numFmtId="167" fontId="3" fillId="0" borderId="5" xfId="1" applyNumberFormat="1" applyFont="1" applyBorder="1" applyAlignment="1">
      <alignment horizontal="right" vertical="center" readingOrder="2"/>
    </xf>
    <xf numFmtId="167" fontId="3" fillId="0" borderId="6" xfId="1" applyNumberFormat="1" applyFont="1" applyBorder="1" applyAlignment="1">
      <alignment horizontal="right" vertical="center" readingOrder="2"/>
    </xf>
    <xf numFmtId="167" fontId="3" fillId="0" borderId="7" xfId="1" applyNumberFormat="1" applyFont="1" applyBorder="1" applyAlignment="1">
      <alignment horizontal="right" vertical="center" readingOrder="2"/>
    </xf>
    <xf numFmtId="37" fontId="3" fillId="0" borderId="0" xfId="1" applyNumberFormat="1" applyFont="1" applyAlignment="1">
      <alignment vertical="center"/>
    </xf>
    <xf numFmtId="167" fontId="5" fillId="0" borderId="0" xfId="1" applyNumberFormat="1" applyFont="1" applyAlignment="1">
      <alignment vertical="center"/>
    </xf>
    <xf numFmtId="167" fontId="4" fillId="0" borderId="0" xfId="1" applyNumberFormat="1" applyFont="1" applyBorder="1" applyAlignment="1">
      <alignment vertical="center"/>
    </xf>
    <xf numFmtId="37" fontId="5" fillId="0" borderId="0" xfId="1" applyNumberFormat="1" applyFont="1" applyBorder="1" applyAlignment="1">
      <alignment vertical="center"/>
    </xf>
    <xf numFmtId="37" fontId="3" fillId="0" borderId="0" xfId="1" applyNumberFormat="1" applyFont="1" applyFill="1" applyBorder="1" applyAlignment="1">
      <alignment horizontal="right" vertical="center"/>
    </xf>
    <xf numFmtId="167" fontId="8" fillId="0" borderId="0" xfId="1" applyNumberFormat="1" applyFont="1" applyAlignment="1">
      <alignment vertical="center" shrinkToFit="1"/>
    </xf>
    <xf numFmtId="167" fontId="11" fillId="0" borderId="0" xfId="1" applyNumberFormat="1" applyFont="1" applyBorder="1" applyAlignment="1">
      <alignment horizontal="center" vertical="top"/>
    </xf>
    <xf numFmtId="167" fontId="6" fillId="0" borderId="0" xfId="1" applyNumberFormat="1" applyFont="1" applyAlignment="1">
      <alignment vertical="top"/>
    </xf>
    <xf numFmtId="167" fontId="5" fillId="0" borderId="0" xfId="1" applyNumberFormat="1" applyFont="1" applyBorder="1" applyAlignment="1">
      <alignment vertical="center"/>
    </xf>
    <xf numFmtId="167" fontId="12" fillId="0" borderId="0" xfId="1" applyNumberFormat="1" applyFont="1" applyBorder="1" applyAlignment="1">
      <alignment horizontal="center" vertical="center"/>
    </xf>
    <xf numFmtId="167" fontId="2" fillId="0" borderId="4" xfId="1" applyNumberFormat="1" applyFont="1" applyBorder="1" applyAlignment="1">
      <alignment horizontal="center" vertical="center" readingOrder="2"/>
    </xf>
    <xf numFmtId="167" fontId="7" fillId="0" borderId="0" xfId="1" applyNumberFormat="1" applyFont="1" applyAlignment="1">
      <alignment vertical="center"/>
    </xf>
    <xf numFmtId="167" fontId="8" fillId="0" borderId="0" xfId="1" applyNumberFormat="1" applyFont="1" applyBorder="1" applyAlignment="1">
      <alignment vertical="center"/>
    </xf>
    <xf numFmtId="167" fontId="11" fillId="0" borderId="4" xfId="1" applyNumberFormat="1" applyFont="1" applyBorder="1" applyAlignment="1">
      <alignment horizontal="center" vertical="center"/>
    </xf>
    <xf numFmtId="167" fontId="13" fillId="0" borderId="4" xfId="1" applyNumberFormat="1" applyFont="1" applyBorder="1" applyAlignment="1">
      <alignment horizontal="center" vertical="center"/>
    </xf>
    <xf numFmtId="167" fontId="14" fillId="0" borderId="0" xfId="1" applyNumberFormat="1" applyFont="1" applyAlignment="1">
      <alignment vertical="center"/>
    </xf>
    <xf numFmtId="167" fontId="15" fillId="0" borderId="8" xfId="2" applyNumberFormat="1" applyFont="1" applyBorder="1" applyAlignment="1">
      <alignment horizontal="center" vertical="center" shrinkToFit="1"/>
    </xf>
    <xf numFmtId="167" fontId="6" fillId="0" borderId="0" xfId="1" applyNumberFormat="1" applyFont="1" applyBorder="1" applyAlignment="1">
      <alignment vertical="center"/>
    </xf>
    <xf numFmtId="167" fontId="16" fillId="0" borderId="0" xfId="2" applyNumberFormat="1" applyFont="1" applyAlignment="1">
      <alignment shrinkToFit="1"/>
    </xf>
    <xf numFmtId="168" fontId="16" fillId="0" borderId="0" xfId="2" applyNumberFormat="1" applyFont="1" applyAlignment="1">
      <alignment vertical="center" shrinkToFit="1" readingOrder="2"/>
    </xf>
    <xf numFmtId="167" fontId="16" fillId="0" borderId="0" xfId="2" applyNumberFormat="1" applyFont="1" applyAlignment="1">
      <alignment vertical="center" shrinkToFit="1" readingOrder="2"/>
    </xf>
    <xf numFmtId="37" fontId="3" fillId="0" borderId="0" xfId="2" applyNumberFormat="1" applyFont="1" applyFill="1" applyBorder="1" applyAlignment="1">
      <alignment horizontal="right" vertical="center" shrinkToFit="1" readingOrder="2"/>
    </xf>
    <xf numFmtId="37" fontId="3" fillId="0" borderId="0" xfId="2" applyNumberFormat="1" applyFont="1" applyAlignment="1">
      <alignment vertical="center" shrinkToFit="1" readingOrder="2"/>
    </xf>
    <xf numFmtId="167" fontId="17" fillId="0" borderId="0" xfId="2" applyNumberFormat="1" applyFont="1" applyAlignment="1">
      <alignment horizontal="center" vertical="center" shrinkToFit="1" readingOrder="2"/>
    </xf>
    <xf numFmtId="167" fontId="16" fillId="0" borderId="0" xfId="2" applyNumberFormat="1" applyFont="1" applyAlignment="1">
      <alignment vertical="center" shrinkToFit="1"/>
    </xf>
    <xf numFmtId="167" fontId="8" fillId="0" borderId="0" xfId="2" applyNumberFormat="1" applyFont="1" applyAlignment="1">
      <alignment vertical="center" shrinkToFit="1"/>
    </xf>
    <xf numFmtId="167" fontId="8" fillId="0" borderId="0" xfId="2" applyNumberFormat="1" applyFont="1" applyAlignment="1">
      <alignment horizontal="center" vertical="center" shrinkToFit="1"/>
    </xf>
    <xf numFmtId="167" fontId="16" fillId="0" borderId="0" xfId="2" applyNumberFormat="1" applyFont="1" applyBorder="1" applyAlignment="1">
      <alignment shrinkToFit="1"/>
    </xf>
    <xf numFmtId="167" fontId="8" fillId="0" borderId="0" xfId="2" applyNumberFormat="1" applyFont="1" applyAlignment="1">
      <alignment shrinkToFit="1"/>
    </xf>
    <xf numFmtId="167" fontId="8" fillId="0" borderId="0" xfId="2" applyNumberFormat="1" applyFont="1" applyBorder="1" applyAlignment="1">
      <alignment vertical="center" shrinkToFit="1"/>
    </xf>
    <xf numFmtId="167" fontId="13" fillId="0" borderId="0" xfId="2" applyNumberFormat="1" applyFont="1" applyBorder="1" applyAlignment="1">
      <alignment vertical="center" shrinkToFit="1"/>
    </xf>
    <xf numFmtId="167" fontId="18" fillId="0" borderId="0" xfId="2" applyNumberFormat="1" applyFont="1" applyAlignment="1">
      <alignment vertical="center" shrinkToFit="1"/>
    </xf>
    <xf numFmtId="37" fontId="3" fillId="0" borderId="10" xfId="2" applyNumberFormat="1" applyFont="1" applyBorder="1" applyAlignment="1">
      <alignment horizontal="right" vertical="center" shrinkToFit="1" readingOrder="2"/>
    </xf>
    <xf numFmtId="37" fontId="3" fillId="0" borderId="10" xfId="2" applyNumberFormat="1" applyFont="1" applyBorder="1" applyAlignment="1">
      <alignment vertical="center" shrinkToFit="1" readingOrder="2"/>
    </xf>
    <xf numFmtId="37" fontId="3" fillId="0" borderId="0" xfId="2" applyNumberFormat="1" applyFont="1" applyBorder="1" applyAlignment="1">
      <alignment vertical="center" shrinkToFit="1" readingOrder="2"/>
    </xf>
    <xf numFmtId="168" fontId="7" fillId="0" borderId="0" xfId="2" applyNumberFormat="1" applyFont="1" applyAlignment="1">
      <alignment horizontal="center" vertical="center" shrinkToFit="1" readingOrder="2"/>
    </xf>
    <xf numFmtId="167" fontId="2" fillId="0" borderId="0" xfId="2" applyNumberFormat="1" applyFont="1" applyAlignment="1">
      <alignment vertical="center" shrinkToFit="1"/>
    </xf>
    <xf numFmtId="167" fontId="2" fillId="0" borderId="0" xfId="2" applyNumberFormat="1" applyFont="1" applyBorder="1" applyAlignment="1">
      <alignment horizontal="center" vertical="center" shrinkToFit="1" readingOrder="2"/>
    </xf>
    <xf numFmtId="37" fontId="3" fillId="0" borderId="11" xfId="2" applyNumberFormat="1" applyFont="1" applyBorder="1" applyAlignment="1">
      <alignment horizontal="right" vertical="center" shrinkToFit="1" readingOrder="2"/>
    </xf>
    <xf numFmtId="37" fontId="3" fillId="0" borderId="11" xfId="2" applyNumberFormat="1" applyFont="1" applyBorder="1" applyAlignment="1">
      <alignment vertical="center" shrinkToFit="1" readingOrder="2"/>
    </xf>
    <xf numFmtId="167" fontId="7" fillId="0" borderId="0" xfId="2" applyNumberFormat="1" applyFont="1" applyAlignment="1">
      <alignment vertical="center" shrinkToFit="1"/>
    </xf>
    <xf numFmtId="167" fontId="19" fillId="0" borderId="0" xfId="2" applyNumberFormat="1" applyFont="1" applyAlignment="1">
      <alignment vertical="center" shrinkToFit="1"/>
    </xf>
    <xf numFmtId="169" fontId="3" fillId="0" borderId="0" xfId="2" applyNumberFormat="1" applyFont="1" applyAlignment="1">
      <alignment vertical="center" shrinkToFit="1" readingOrder="2"/>
    </xf>
    <xf numFmtId="37" fontId="3" fillId="0" borderId="3" xfId="2" applyNumberFormat="1" applyFont="1" applyBorder="1" applyAlignment="1">
      <alignment horizontal="right" vertical="center" shrinkToFit="1" readingOrder="2"/>
    </xf>
    <xf numFmtId="37" fontId="3" fillId="0" borderId="3" xfId="2" applyNumberFormat="1" applyFont="1" applyBorder="1" applyAlignment="1">
      <alignment vertical="center" shrinkToFit="1" readingOrder="2"/>
    </xf>
    <xf numFmtId="167" fontId="3" fillId="0" borderId="0" xfId="1" applyNumberFormat="1" applyFont="1" applyFill="1" applyBorder="1" applyAlignment="1">
      <alignment horizontal="right" vertical="center" readingOrder="2"/>
    </xf>
    <xf numFmtId="167" fontId="3" fillId="0" borderId="0" xfId="2" applyNumberFormat="1" applyFont="1" applyAlignment="1">
      <alignment vertical="center" shrinkToFit="1"/>
    </xf>
    <xf numFmtId="4" fontId="16" fillId="0" borderId="0" xfId="2" applyNumberFormat="1" applyFont="1" applyAlignment="1">
      <alignment shrinkToFit="1"/>
    </xf>
    <xf numFmtId="37" fontId="3" fillId="0" borderId="0" xfId="2" applyNumberFormat="1" applyFont="1" applyAlignment="1">
      <alignment shrinkToFit="1"/>
    </xf>
    <xf numFmtId="167" fontId="14" fillId="0" borderId="0" xfId="2" applyNumberFormat="1" applyFont="1" applyAlignment="1">
      <alignment horizontal="center" vertical="center" shrinkToFit="1"/>
    </xf>
    <xf numFmtId="167" fontId="11" fillId="0" borderId="8" xfId="2" applyNumberFormat="1" applyFont="1" applyBorder="1" applyAlignment="1">
      <alignment horizontal="center" vertical="center"/>
    </xf>
    <xf numFmtId="167" fontId="13" fillId="0" borderId="0" xfId="2" applyNumberFormat="1" applyFont="1" applyBorder="1" applyAlignment="1">
      <alignment horizontal="center" vertical="center" shrinkToFit="1"/>
    </xf>
    <xf numFmtId="167" fontId="11" fillId="0" borderId="0" xfId="2" applyNumberFormat="1" applyFont="1" applyBorder="1" applyAlignment="1">
      <alignment horizontal="center" vertical="center"/>
    </xf>
    <xf numFmtId="167" fontId="20" fillId="0" borderId="0" xfId="2" applyNumberFormat="1" applyFont="1" applyBorder="1" applyAlignment="1">
      <alignment horizontal="center" vertical="center" shrinkToFit="1"/>
    </xf>
    <xf numFmtId="167" fontId="13" fillId="0" borderId="0" xfId="2" applyNumberFormat="1" applyFont="1" applyAlignment="1">
      <alignment horizontal="center" vertical="center" shrinkToFit="1"/>
    </xf>
    <xf numFmtId="167" fontId="14" fillId="0" borderId="0" xfId="2" applyNumberFormat="1" applyFont="1" applyBorder="1" applyAlignment="1">
      <alignment horizontal="center" vertical="center" shrinkToFit="1" readingOrder="2"/>
    </xf>
    <xf numFmtId="167" fontId="2" fillId="0" borderId="9" xfId="2" applyNumberFormat="1" applyFont="1" applyBorder="1" applyAlignment="1">
      <alignment horizontal="center" vertical="center" shrinkToFit="1" readingOrder="2"/>
    </xf>
    <xf numFmtId="167" fontId="13" fillId="0" borderId="0" xfId="2" applyNumberFormat="1" applyFont="1" applyBorder="1" applyAlignment="1">
      <alignment horizontal="center" vertical="center" shrinkToFit="1" readingOrder="2"/>
    </xf>
    <xf numFmtId="167" fontId="13" fillId="0" borderId="9" xfId="2" applyNumberFormat="1" applyFont="1" applyBorder="1" applyAlignment="1">
      <alignment horizontal="center" vertical="center" shrinkToFit="1"/>
    </xf>
    <xf numFmtId="167" fontId="15" fillId="0" borderId="0" xfId="2" applyNumberFormat="1" applyFont="1" applyBorder="1" applyAlignment="1">
      <alignment horizontal="center" vertical="center" shrinkToFit="1"/>
    </xf>
    <xf numFmtId="167" fontId="13" fillId="0" borderId="8" xfId="2" applyNumberFormat="1" applyFont="1" applyBorder="1" applyAlignment="1">
      <alignment horizontal="center" vertical="center" shrinkToFit="1"/>
    </xf>
    <xf numFmtId="167" fontId="2" fillId="0" borderId="0" xfId="2" applyNumberFormat="1" applyFont="1" applyAlignment="1">
      <alignment horizontal="center" vertical="center" shrinkToFit="1"/>
    </xf>
    <xf numFmtId="167" fontId="17" fillId="0" borderId="0" xfId="2" applyNumberFormat="1" applyFont="1" applyAlignment="1">
      <alignment horizontal="center" vertical="center" shrinkToFit="1"/>
    </xf>
    <xf numFmtId="167" fontId="1" fillId="0" borderId="0" xfId="1" applyNumberFormat="1" applyAlignment="1">
      <alignment horizontal="center" vertical="center"/>
    </xf>
    <xf numFmtId="167" fontId="1" fillId="0" borderId="0" xfId="1" applyNumberFormat="1" applyFill="1" applyAlignment="1">
      <alignment horizontal="center" vertical="center"/>
    </xf>
    <xf numFmtId="0" fontId="21" fillId="0" borderId="0" xfId="3"/>
    <xf numFmtId="0" fontId="22" fillId="0" borderId="0" xfId="3" applyFont="1" applyAlignment="1">
      <alignment horizontal="right"/>
    </xf>
    <xf numFmtId="37" fontId="3" fillId="0" borderId="0" xfId="1" applyNumberFormat="1" applyFont="1" applyFill="1" applyBorder="1" applyAlignment="1">
      <alignment horizontal="center" vertical="center" readingOrder="2"/>
    </xf>
    <xf numFmtId="170" fontId="3" fillId="0" borderId="0" xfId="1" applyNumberFormat="1" applyFont="1" applyBorder="1" applyAlignment="1">
      <alignment horizontal="center" vertical="center" readingOrder="2"/>
    </xf>
    <xf numFmtId="37" fontId="3" fillId="0" borderId="0" xfId="1" applyNumberFormat="1" applyFont="1" applyBorder="1" applyAlignment="1">
      <alignment horizontal="center" vertical="center" readingOrder="2"/>
    </xf>
    <xf numFmtId="0" fontId="6" fillId="0" borderId="0" xfId="1" applyNumberFormat="1" applyFont="1" applyBorder="1" applyAlignment="1"/>
    <xf numFmtId="37" fontId="3" fillId="0" borderId="1" xfId="1" applyNumberFormat="1" applyFont="1" applyFill="1" applyBorder="1" applyAlignment="1">
      <alignment horizontal="right" vertical="center" readingOrder="2"/>
    </xf>
    <xf numFmtId="167" fontId="3" fillId="0" borderId="3" xfId="1" applyNumberFormat="1" applyFont="1" applyFill="1" applyBorder="1" applyAlignment="1">
      <alignment horizontal="right" vertical="center" readingOrder="2"/>
    </xf>
    <xf numFmtId="167" fontId="3" fillId="0" borderId="5" xfId="1" applyNumberFormat="1" applyFont="1" applyFill="1" applyBorder="1" applyAlignment="1">
      <alignment horizontal="right" vertical="center" readingOrder="2"/>
    </xf>
    <xf numFmtId="167" fontId="3" fillId="0" borderId="6" xfId="1" applyNumberFormat="1" applyFont="1" applyFill="1" applyBorder="1" applyAlignment="1">
      <alignment horizontal="right" vertical="center" readingOrder="2"/>
    </xf>
    <xf numFmtId="167" fontId="3" fillId="0" borderId="7" xfId="1" applyNumberFormat="1" applyFont="1" applyFill="1" applyBorder="1" applyAlignment="1">
      <alignment horizontal="right" vertical="center" readingOrder="2"/>
    </xf>
    <xf numFmtId="167" fontId="1" fillId="0" borderId="0" xfId="1" applyNumberFormat="1" applyFont="1" applyFill="1" applyBorder="1" applyAlignment="1">
      <alignment horizontal="right" vertical="center"/>
    </xf>
    <xf numFmtId="0" fontId="15" fillId="0" borderId="0" xfId="1" applyNumberFormat="1" applyFont="1" applyBorder="1" applyAlignment="1">
      <alignment shrinkToFit="1"/>
    </xf>
    <xf numFmtId="37" fontId="3" fillId="0" borderId="12" xfId="1" applyNumberFormat="1" applyFont="1" applyFill="1" applyBorder="1" applyAlignment="1">
      <alignment horizontal="right" vertical="center"/>
    </xf>
    <xf numFmtId="37" fontId="3" fillId="0" borderId="7" xfId="1" applyNumberFormat="1" applyFont="1" applyFill="1" applyBorder="1" applyAlignment="1">
      <alignment horizontal="right" vertical="center"/>
    </xf>
    <xf numFmtId="37" fontId="3" fillId="0" borderId="0" xfId="1" applyNumberFormat="1" applyFont="1" applyFill="1" applyBorder="1" applyAlignment="1">
      <alignment horizontal="right" vertical="center" readingOrder="2"/>
    </xf>
    <xf numFmtId="167" fontId="3" fillId="0" borderId="2" xfId="1" applyNumberFormat="1" applyFont="1" applyFill="1" applyBorder="1" applyAlignment="1">
      <alignment horizontal="right" vertical="center" readingOrder="2"/>
    </xf>
    <xf numFmtId="171" fontId="3" fillId="0" borderId="0" xfId="1" applyNumberFormat="1" applyFont="1" applyBorder="1" applyAlignment="1">
      <alignment horizontal="center" vertical="center" readingOrder="2"/>
    </xf>
    <xf numFmtId="37" fontId="3" fillId="0" borderId="0" xfId="1" applyNumberFormat="1" applyFont="1" applyBorder="1" applyAlignment="1">
      <alignment horizontal="right" vertical="center" readingOrder="2"/>
    </xf>
    <xf numFmtId="0" fontId="13" fillId="0" borderId="0" xfId="1" applyNumberFormat="1" applyFont="1" applyBorder="1" applyAlignment="1">
      <alignment shrinkToFit="1"/>
    </xf>
    <xf numFmtId="37" fontId="3" fillId="0" borderId="2" xfId="1" applyNumberFormat="1" applyFont="1" applyBorder="1" applyAlignment="1">
      <alignment horizontal="center" vertical="center" readingOrder="2"/>
    </xf>
    <xf numFmtId="37" fontId="3" fillId="0" borderId="1" xfId="1" applyNumberFormat="1" applyFont="1" applyBorder="1" applyAlignment="1">
      <alignment horizontal="center" vertical="center" readingOrder="2"/>
    </xf>
    <xf numFmtId="37" fontId="3" fillId="0" borderId="0" xfId="1" applyNumberFormat="1" applyFont="1" applyAlignment="1">
      <alignment horizontal="center" vertical="center" readingOrder="2"/>
    </xf>
    <xf numFmtId="167" fontId="3" fillId="0" borderId="1" xfId="1" applyNumberFormat="1" applyFont="1" applyFill="1" applyBorder="1" applyAlignment="1">
      <alignment horizontal="right" vertical="center" readingOrder="2"/>
    </xf>
    <xf numFmtId="37" fontId="3" fillId="0" borderId="4" xfId="1" applyNumberFormat="1" applyFont="1" applyBorder="1" applyAlignment="1">
      <alignment horizontal="center" vertical="center"/>
    </xf>
    <xf numFmtId="37" fontId="3" fillId="0" borderId="4" xfId="1" applyNumberFormat="1" applyFont="1" applyBorder="1" applyAlignment="1">
      <alignment horizontal="right" vertical="center"/>
    </xf>
    <xf numFmtId="37" fontId="3" fillId="0" borderId="4" xfId="1" applyNumberFormat="1" applyFont="1" applyFill="1" applyBorder="1" applyAlignment="1">
      <alignment horizontal="right" vertical="center"/>
    </xf>
    <xf numFmtId="37" fontId="3" fillId="0" borderId="2" xfId="1" applyNumberFormat="1" applyFont="1" applyFill="1" applyBorder="1" applyAlignment="1">
      <alignment horizontal="center" vertical="center" readingOrder="2"/>
    </xf>
    <xf numFmtId="37" fontId="3" fillId="0" borderId="2" xfId="1" applyNumberFormat="1" applyFont="1" applyFill="1" applyBorder="1" applyAlignment="1">
      <alignment horizontal="right" vertical="center" readingOrder="2"/>
    </xf>
    <xf numFmtId="37" fontId="3" fillId="0" borderId="4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 readingOrder="2"/>
    </xf>
    <xf numFmtId="37" fontId="3" fillId="0" borderId="7" xfId="1" applyNumberFormat="1" applyFont="1" applyFill="1" applyBorder="1" applyAlignment="1">
      <alignment horizontal="center" vertical="center"/>
    </xf>
    <xf numFmtId="37" fontId="3" fillId="0" borderId="0" xfId="1" applyNumberFormat="1" applyFont="1" applyAlignment="1">
      <alignment horizontal="center" vertical="center"/>
    </xf>
    <xf numFmtId="37" fontId="3" fillId="0" borderId="0" xfId="1" applyNumberFormat="1" applyFont="1" applyFill="1" applyBorder="1" applyAlignment="1">
      <alignment horizontal="center" vertical="center"/>
    </xf>
    <xf numFmtId="167" fontId="1" fillId="0" borderId="0" xfId="1" applyNumberFormat="1" applyBorder="1" applyAlignment="1">
      <alignment horizontal="center" vertical="center"/>
    </xf>
    <xf numFmtId="37" fontId="3" fillId="0" borderId="0" xfId="1" applyNumberFormat="1" applyFont="1" applyFill="1" applyBorder="1" applyAlignment="1">
      <alignment vertical="center"/>
    </xf>
    <xf numFmtId="37" fontId="7" fillId="0" borderId="0" xfId="1" applyNumberFormat="1" applyFont="1" applyBorder="1" applyAlignment="1">
      <alignment vertical="center"/>
    </xf>
    <xf numFmtId="167" fontId="3" fillId="0" borderId="0" xfId="1" applyNumberFormat="1" applyFont="1" applyFill="1" applyBorder="1" applyAlignment="1">
      <alignment horizontal="center" vertical="center" readingOrder="2"/>
    </xf>
    <xf numFmtId="37" fontId="3" fillId="0" borderId="5" xfId="1" applyNumberFormat="1" applyFont="1" applyFill="1" applyBorder="1" applyAlignment="1">
      <alignment horizontal="center" vertical="center"/>
    </xf>
    <xf numFmtId="37" fontId="3" fillId="0" borderId="6" xfId="1" applyNumberFormat="1" applyFont="1" applyFill="1" applyBorder="1" applyAlignment="1">
      <alignment horizontal="center" vertical="center"/>
    </xf>
    <xf numFmtId="37" fontId="3" fillId="0" borderId="6" xfId="1" applyNumberFormat="1" applyFont="1" applyFill="1" applyBorder="1" applyAlignment="1">
      <alignment horizontal="right" vertical="center"/>
    </xf>
    <xf numFmtId="167" fontId="3" fillId="0" borderId="4" xfId="1" applyNumberFormat="1" applyFont="1" applyBorder="1" applyAlignment="1">
      <alignment horizontal="center" vertical="center" readingOrder="2"/>
    </xf>
    <xf numFmtId="167" fontId="3" fillId="0" borderId="4" xfId="1" applyNumberFormat="1" applyFont="1" applyFill="1" applyBorder="1" applyAlignment="1">
      <alignment horizontal="right" vertical="center" readingOrder="2"/>
    </xf>
    <xf numFmtId="167" fontId="3" fillId="0" borderId="4" xfId="1" applyNumberFormat="1" applyFont="1" applyFill="1" applyBorder="1" applyAlignment="1">
      <alignment horizontal="center" vertical="center" readingOrder="2"/>
    </xf>
    <xf numFmtId="167" fontId="3" fillId="0" borderId="7" xfId="1" applyNumberFormat="1" applyFont="1" applyFill="1" applyBorder="1" applyAlignment="1">
      <alignment horizontal="center" vertical="center" readingOrder="2"/>
    </xf>
    <xf numFmtId="172" fontId="3" fillId="0" borderId="0" xfId="1" applyNumberFormat="1" applyFont="1" applyAlignment="1">
      <alignment horizontal="center" vertical="center" readingOrder="2"/>
    </xf>
    <xf numFmtId="37" fontId="3" fillId="0" borderId="13" xfId="1" applyNumberFormat="1" applyFont="1" applyFill="1" applyBorder="1" applyAlignment="1">
      <alignment horizontal="center" vertical="center"/>
    </xf>
    <xf numFmtId="37" fontId="3" fillId="0" borderId="13" xfId="1" applyNumberFormat="1" applyFont="1" applyFill="1" applyBorder="1" applyAlignment="1">
      <alignment horizontal="right" vertical="center"/>
    </xf>
    <xf numFmtId="37" fontId="3" fillId="0" borderId="3" xfId="1" applyNumberFormat="1" applyFont="1" applyFill="1" applyBorder="1" applyAlignment="1">
      <alignment horizontal="center" vertical="center" readingOrder="2"/>
    </xf>
    <xf numFmtId="37" fontId="3" fillId="0" borderId="3" xfId="1" applyNumberFormat="1" applyFont="1" applyFill="1" applyBorder="1" applyAlignment="1">
      <alignment horizontal="right" vertical="center" readingOrder="2"/>
    </xf>
    <xf numFmtId="167" fontId="3" fillId="2" borderId="5" xfId="1" applyNumberFormat="1" applyFont="1" applyFill="1" applyBorder="1" applyAlignment="1">
      <alignment horizontal="right" vertical="center" readingOrder="2"/>
    </xf>
    <xf numFmtId="167" fontId="14" fillId="0" borderId="0" xfId="1" applyNumberFormat="1" applyFont="1" applyBorder="1" applyAlignment="1">
      <alignment vertical="center"/>
    </xf>
    <xf numFmtId="37" fontId="3" fillId="0" borderId="3" xfId="1" applyNumberFormat="1" applyFont="1" applyFill="1" applyBorder="1" applyAlignment="1">
      <alignment horizontal="center" vertical="center"/>
    </xf>
    <xf numFmtId="37" fontId="3" fillId="0" borderId="3" xfId="1" applyNumberFormat="1" applyFont="1" applyFill="1" applyBorder="1" applyAlignment="1">
      <alignment horizontal="right" vertical="center"/>
    </xf>
    <xf numFmtId="167" fontId="11" fillId="0" borderId="2" xfId="1" applyNumberFormat="1" applyFont="1" applyBorder="1" applyAlignment="1">
      <alignment horizontal="center" vertical="top"/>
    </xf>
    <xf numFmtId="167" fontId="11" fillId="0" borderId="0" xfId="1" applyNumberFormat="1" applyFont="1" applyFill="1" applyBorder="1" applyAlignment="1">
      <alignment horizontal="center" vertical="top"/>
    </xf>
    <xf numFmtId="167" fontId="2" fillId="0" borderId="0" xfId="1" applyNumberFormat="1" applyFont="1" applyBorder="1" applyAlignment="1">
      <alignment horizontal="center" vertical="center" readingOrder="2"/>
    </xf>
    <xf numFmtId="167" fontId="7" fillId="0" borderId="0" xfId="1" applyNumberFormat="1" applyFont="1" applyAlignment="1">
      <alignment horizontal="center" vertical="center"/>
    </xf>
    <xf numFmtId="167" fontId="6" fillId="0" borderId="0" xfId="1" applyNumberFormat="1" applyFont="1" applyAlignment="1">
      <alignment horizontal="center" vertical="center"/>
    </xf>
    <xf numFmtId="167" fontId="6" fillId="0" borderId="0" xfId="1" applyNumberFormat="1" applyFont="1" applyFill="1" applyBorder="1" applyAlignment="1">
      <alignment horizontal="center" vertical="center"/>
    </xf>
    <xf numFmtId="167" fontId="6" fillId="0" borderId="0" xfId="1" applyNumberFormat="1" applyFont="1" applyFill="1" applyAlignment="1">
      <alignment horizontal="center" vertical="center"/>
    </xf>
    <xf numFmtId="167" fontId="13" fillId="0" borderId="0" xfId="1" applyNumberFormat="1" applyFont="1" applyAlignment="1">
      <alignment vertical="center"/>
    </xf>
    <xf numFmtId="0" fontId="24" fillId="0" borderId="0" xfId="3" applyFont="1" applyAlignment="1">
      <alignment horizontal="center" vertical="center"/>
    </xf>
    <xf numFmtId="37" fontId="24" fillId="0" borderId="0" xfId="3" applyNumberFormat="1" applyFont="1" applyAlignment="1">
      <alignment horizontal="center" vertical="center"/>
    </xf>
    <xf numFmtId="0" fontId="26" fillId="0" borderId="0" xfId="3" applyFont="1" applyAlignment="1">
      <alignment horizontal="center" vertical="center"/>
    </xf>
    <xf numFmtId="167" fontId="27" fillId="0" borderId="0" xfId="1" applyNumberFormat="1" applyFont="1" applyAlignment="1">
      <alignment horizontal="center" vertical="center"/>
    </xf>
    <xf numFmtId="37" fontId="28" fillId="0" borderId="0" xfId="3" applyNumberFormat="1" applyFont="1" applyAlignment="1">
      <alignment horizontal="center" vertical="center"/>
    </xf>
    <xf numFmtId="0" fontId="28" fillId="0" borderId="0" xfId="3" applyFont="1" applyAlignment="1">
      <alignment horizontal="center" vertical="center"/>
    </xf>
    <xf numFmtId="37" fontId="29" fillId="0" borderId="0" xfId="1" applyNumberFormat="1" applyFont="1" applyAlignment="1">
      <alignment horizontal="center" vertical="center"/>
    </xf>
    <xf numFmtId="0" fontId="30" fillId="0" borderId="0" xfId="3" applyFont="1" applyFill="1" applyAlignment="1">
      <alignment horizontal="center" vertical="center"/>
    </xf>
    <xf numFmtId="167" fontId="11" fillId="0" borderId="0" xfId="1" applyNumberFormat="1" applyFont="1" applyFill="1" applyAlignment="1">
      <alignment vertical="center"/>
    </xf>
    <xf numFmtId="37" fontId="31" fillId="0" borderId="0" xfId="1" applyNumberFormat="1" applyFont="1" applyAlignment="1">
      <alignment horizontal="center" vertical="center"/>
    </xf>
    <xf numFmtId="0" fontId="21" fillId="0" borderId="0" xfId="3" applyFill="1"/>
    <xf numFmtId="3" fontId="24" fillId="0" borderId="0" xfId="3" applyNumberFormat="1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167" fontId="13" fillId="0" borderId="3" xfId="1" applyNumberFormat="1" applyFont="1" applyBorder="1" applyAlignment="1">
      <alignment horizontal="center" vertical="center" readingOrder="2"/>
    </xf>
    <xf numFmtId="167" fontId="33" fillId="3" borderId="3" xfId="1" applyNumberFormat="1" applyFont="1" applyFill="1" applyBorder="1" applyAlignment="1">
      <alignment horizontal="center" vertical="center" readingOrder="2"/>
    </xf>
    <xf numFmtId="37" fontId="34" fillId="0" borderId="0" xfId="3" applyNumberFormat="1" applyFont="1" applyAlignment="1">
      <alignment horizontal="center" vertical="center"/>
    </xf>
    <xf numFmtId="0" fontId="8" fillId="0" borderId="16" xfId="1" applyNumberFormat="1" applyFont="1" applyBorder="1" applyAlignment="1">
      <alignment shrinkToFit="1"/>
    </xf>
    <xf numFmtId="37" fontId="35" fillId="0" borderId="16" xfId="3" applyNumberFormat="1" applyFont="1" applyBorder="1" applyAlignment="1">
      <alignment horizontal="center" vertical="center"/>
    </xf>
    <xf numFmtId="37" fontId="35" fillId="0" borderId="0" xfId="3" applyNumberFormat="1" applyFont="1" applyAlignment="1">
      <alignment horizontal="center" vertical="center"/>
    </xf>
    <xf numFmtId="0" fontId="8" fillId="0" borderId="17" xfId="1" applyNumberFormat="1" applyFont="1" applyBorder="1" applyAlignment="1">
      <alignment shrinkToFit="1"/>
    </xf>
    <xf numFmtId="37" fontId="35" fillId="0" borderId="17" xfId="3" applyNumberFormat="1" applyFont="1" applyBorder="1" applyAlignment="1">
      <alignment horizontal="center" vertical="center"/>
    </xf>
    <xf numFmtId="167" fontId="2" fillId="0" borderId="1" xfId="2" applyNumberFormat="1" applyFont="1" applyBorder="1" applyAlignment="1">
      <alignment vertical="center" shrinkToFit="1"/>
    </xf>
    <xf numFmtId="37" fontId="35" fillId="0" borderId="1" xfId="3" applyNumberFormat="1" applyFont="1" applyBorder="1" applyAlignment="1">
      <alignment horizontal="center" vertical="center"/>
    </xf>
    <xf numFmtId="37" fontId="35" fillId="0" borderId="0" xfId="3" applyNumberFormat="1" applyFont="1" applyBorder="1" applyAlignment="1">
      <alignment horizontal="center" vertical="center"/>
    </xf>
    <xf numFmtId="167" fontId="13" fillId="0" borderId="0" xfId="2" applyNumberFormat="1" applyFont="1" applyBorder="1" applyAlignment="1">
      <alignment horizontal="right" vertical="center" shrinkToFit="1"/>
    </xf>
    <xf numFmtId="167" fontId="2" fillId="0" borderId="3" xfId="2" applyNumberFormat="1" applyFont="1" applyBorder="1" applyAlignment="1">
      <alignment vertical="center" shrinkToFit="1"/>
    </xf>
    <xf numFmtId="37" fontId="35" fillId="0" borderId="3" xfId="3" applyNumberFormat="1" applyFont="1" applyBorder="1" applyAlignment="1">
      <alignment horizontal="center" vertical="center"/>
    </xf>
    <xf numFmtId="37" fontId="32" fillId="0" borderId="19" xfId="3" applyNumberFormat="1" applyFont="1" applyBorder="1" applyAlignment="1">
      <alignment vertical="center"/>
    </xf>
    <xf numFmtId="37" fontId="35" fillId="0" borderId="19" xfId="3" applyNumberFormat="1" applyFont="1" applyBorder="1" applyAlignment="1">
      <alignment horizontal="center" vertical="center"/>
    </xf>
    <xf numFmtId="0" fontId="7" fillId="0" borderId="0" xfId="1" applyNumberFormat="1" applyFont="1" applyFill="1" applyBorder="1" applyAlignment="1">
      <alignment shrinkToFit="1"/>
    </xf>
    <xf numFmtId="0" fontId="36" fillId="0" borderId="0" xfId="3" applyFont="1"/>
    <xf numFmtId="37" fontId="37" fillId="0" borderId="0" xfId="1" applyNumberFormat="1" applyFont="1" applyBorder="1" applyAlignment="1">
      <alignment horizontal="center" vertical="center"/>
    </xf>
    <xf numFmtId="37" fontId="38" fillId="0" borderId="0" xfId="1" applyNumberFormat="1" applyFont="1" applyAlignment="1">
      <alignment horizontal="center" vertical="center"/>
    </xf>
    <xf numFmtId="3" fontId="24" fillId="0" borderId="0" xfId="3" applyNumberFormat="1" applyFont="1" applyAlignment="1">
      <alignment horizontal="center" vertical="center"/>
    </xf>
    <xf numFmtId="173" fontId="24" fillId="0" borderId="0" xfId="3" applyNumberFormat="1" applyFont="1" applyAlignment="1">
      <alignment horizontal="center" vertical="center"/>
    </xf>
    <xf numFmtId="173" fontId="26" fillId="0" borderId="0" xfId="3" applyNumberFormat="1" applyFont="1" applyAlignment="1">
      <alignment horizontal="center" vertical="center"/>
    </xf>
    <xf numFmtId="3" fontId="27" fillId="0" borderId="0" xfId="1" applyNumberFormat="1" applyFont="1" applyAlignment="1">
      <alignment horizontal="center" vertical="center"/>
    </xf>
    <xf numFmtId="173" fontId="39" fillId="0" borderId="0" xfId="1" applyNumberFormat="1" applyFont="1" applyFill="1" applyBorder="1" applyAlignment="1">
      <alignment horizontal="center" vertical="center"/>
    </xf>
    <xf numFmtId="3" fontId="31" fillId="0" borderId="0" xfId="1" applyNumberFormat="1" applyFont="1" applyAlignment="1">
      <alignment horizontal="center" vertical="center"/>
    </xf>
    <xf numFmtId="173" fontId="31" fillId="0" borderId="0" xfId="1" applyNumberFormat="1" applyFont="1" applyAlignment="1">
      <alignment horizontal="center" vertical="center"/>
    </xf>
    <xf numFmtId="173" fontId="40" fillId="0" borderId="0" xfId="1" applyNumberFormat="1" applyFont="1" applyAlignment="1">
      <alignment horizontal="center" vertical="center"/>
    </xf>
    <xf numFmtId="167" fontId="13" fillId="3" borderId="3" xfId="1" applyNumberFormat="1" applyFont="1" applyFill="1" applyBorder="1" applyAlignment="1">
      <alignment horizontal="center" vertical="center" readingOrder="2"/>
    </xf>
    <xf numFmtId="3" fontId="33" fillId="3" borderId="3" xfId="1" applyNumberFormat="1" applyFont="1" applyFill="1" applyBorder="1" applyAlignment="1">
      <alignment horizontal="center" vertical="center" readingOrder="2"/>
    </xf>
    <xf numFmtId="37" fontId="8" fillId="0" borderId="20" xfId="1" applyNumberFormat="1" applyFont="1" applyFill="1" applyBorder="1" applyAlignment="1">
      <alignment horizontal="right" vertical="center"/>
    </xf>
    <xf numFmtId="3" fontId="39" fillId="0" borderId="0" xfId="1" applyNumberFormat="1" applyFont="1" applyFill="1" applyBorder="1" applyAlignment="1">
      <alignment horizontal="center" vertical="center"/>
    </xf>
    <xf numFmtId="173" fontId="34" fillId="0" borderId="0" xfId="3" applyNumberFormat="1" applyFont="1" applyAlignment="1">
      <alignment horizontal="center" vertical="center"/>
    </xf>
    <xf numFmtId="37" fontId="8" fillId="0" borderId="21" xfId="1" applyNumberFormat="1" applyFont="1" applyFill="1" applyBorder="1" applyAlignment="1">
      <alignment horizontal="right" vertical="center"/>
    </xf>
    <xf numFmtId="3" fontId="39" fillId="0" borderId="3" xfId="1" applyNumberFormat="1" applyFont="1" applyFill="1" applyBorder="1" applyAlignment="1">
      <alignment horizontal="center" vertical="center"/>
    </xf>
    <xf numFmtId="173" fontId="39" fillId="0" borderId="7" xfId="1" applyNumberFormat="1" applyFont="1" applyFill="1" applyBorder="1" applyAlignment="1">
      <alignment horizontal="center" vertical="center"/>
    </xf>
    <xf numFmtId="173" fontId="39" fillId="0" borderId="5" xfId="1" applyNumberFormat="1" applyFont="1" applyFill="1" applyBorder="1" applyAlignment="1">
      <alignment horizontal="center" vertical="center"/>
    </xf>
    <xf numFmtId="37" fontId="8" fillId="0" borderId="22" xfId="1" applyNumberFormat="1" applyFont="1" applyFill="1" applyBorder="1" applyAlignment="1">
      <alignment horizontal="right" vertical="center"/>
    </xf>
    <xf numFmtId="37" fontId="8" fillId="4" borderId="21" xfId="1" applyNumberFormat="1" applyFont="1" applyFill="1" applyBorder="1" applyAlignment="1">
      <alignment horizontal="right" vertical="center" readingOrder="2"/>
    </xf>
    <xf numFmtId="3" fontId="39" fillId="4" borderId="3" xfId="1" applyNumberFormat="1" applyFont="1" applyFill="1" applyBorder="1" applyAlignment="1">
      <alignment horizontal="center" vertical="center" readingOrder="2"/>
    </xf>
    <xf numFmtId="37" fontId="8" fillId="0" borderId="23" xfId="1" applyNumberFormat="1" applyFont="1" applyFill="1" applyBorder="1" applyAlignment="1">
      <alignment horizontal="right" vertical="center"/>
    </xf>
    <xf numFmtId="37" fontId="8" fillId="0" borderId="24" xfId="1" applyNumberFormat="1" applyFont="1" applyFill="1" applyBorder="1" applyAlignment="1">
      <alignment horizontal="right" vertical="center"/>
    </xf>
    <xf numFmtId="37" fontId="8" fillId="4" borderId="21" xfId="1" applyNumberFormat="1" applyFont="1" applyFill="1" applyBorder="1" applyAlignment="1">
      <alignment horizontal="right" vertical="center"/>
    </xf>
    <xf numFmtId="173" fontId="39" fillId="4" borderId="3" xfId="1" applyNumberFormat="1" applyFont="1" applyFill="1" applyBorder="1" applyAlignment="1">
      <alignment horizontal="center" vertical="center"/>
    </xf>
    <xf numFmtId="3" fontId="39" fillId="0" borderId="25" xfId="1" applyNumberFormat="1" applyFont="1" applyFill="1" applyBorder="1" applyAlignment="1">
      <alignment horizontal="center" vertical="center"/>
    </xf>
    <xf numFmtId="37" fontId="8" fillId="0" borderId="24" xfId="1" applyNumberFormat="1" applyFont="1" applyFill="1" applyBorder="1" applyAlignment="1">
      <alignment horizontal="right" vertical="center" shrinkToFit="1"/>
    </xf>
    <xf numFmtId="3" fontId="39" fillId="0" borderId="26" xfId="1" applyNumberFormat="1" applyFont="1" applyFill="1" applyBorder="1" applyAlignment="1">
      <alignment horizontal="center" vertical="center"/>
    </xf>
    <xf numFmtId="173" fontId="39" fillId="0" borderId="3" xfId="1" applyNumberFormat="1" applyFont="1" applyFill="1" applyBorder="1" applyAlignment="1">
      <alignment horizontal="center" vertical="center"/>
    </xf>
    <xf numFmtId="3" fontId="39" fillId="0" borderId="5" xfId="1" applyNumberFormat="1" applyFont="1" applyFill="1" applyBorder="1" applyAlignment="1">
      <alignment horizontal="center" vertical="center"/>
    </xf>
    <xf numFmtId="167" fontId="8" fillId="0" borderId="20" xfId="1" applyNumberFormat="1" applyFont="1" applyFill="1" applyBorder="1" applyAlignment="1">
      <alignment horizontal="right" vertical="center" readingOrder="2"/>
    </xf>
    <xf numFmtId="3" fontId="39" fillId="0" borderId="0" xfId="1" applyNumberFormat="1" applyFont="1" applyFill="1" applyBorder="1" applyAlignment="1">
      <alignment horizontal="center" vertical="center" readingOrder="2"/>
    </xf>
    <xf numFmtId="173" fontId="39" fillId="0" borderId="0" xfId="1" applyNumberFormat="1" applyFont="1" applyFill="1" applyBorder="1" applyAlignment="1">
      <alignment horizontal="center" vertical="center" readingOrder="2"/>
    </xf>
    <xf numFmtId="173" fontId="39" fillId="0" borderId="25" xfId="1" applyNumberFormat="1" applyFont="1" applyFill="1" applyBorder="1" applyAlignment="1">
      <alignment horizontal="center" vertical="center"/>
    </xf>
    <xf numFmtId="37" fontId="8" fillId="0" borderId="20" xfId="1" applyNumberFormat="1" applyFont="1" applyFill="1" applyBorder="1" applyAlignment="1">
      <alignment horizontal="right" vertical="center" shrinkToFit="1"/>
    </xf>
    <xf numFmtId="173" fontId="39" fillId="0" borderId="6" xfId="1" applyNumberFormat="1" applyFont="1" applyFill="1" applyBorder="1" applyAlignment="1">
      <alignment horizontal="center" vertical="center"/>
    </xf>
    <xf numFmtId="173" fontId="39" fillId="4" borderId="3" xfId="1" applyNumberFormat="1" applyFont="1" applyFill="1" applyBorder="1" applyAlignment="1">
      <alignment horizontal="center" vertical="center" readingOrder="2"/>
    </xf>
    <xf numFmtId="37" fontId="8" fillId="0" borderId="27" xfId="1" applyNumberFormat="1" applyFont="1" applyFill="1" applyBorder="1" applyAlignment="1">
      <alignment horizontal="right" vertical="center" readingOrder="2"/>
    </xf>
    <xf numFmtId="173" fontId="39" fillId="0" borderId="2" xfId="1" applyNumberFormat="1" applyFont="1" applyFill="1" applyBorder="1" applyAlignment="1">
      <alignment horizontal="center" vertical="center" readingOrder="2"/>
    </xf>
    <xf numFmtId="173" fontId="39" fillId="0" borderId="4" xfId="1" applyNumberFormat="1" applyFont="1" applyFill="1" applyBorder="1" applyAlignment="1">
      <alignment horizontal="center" vertical="center" readingOrder="2"/>
    </xf>
    <xf numFmtId="173" fontId="39" fillId="0" borderId="4" xfId="1" applyNumberFormat="1" applyFont="1" applyFill="1" applyBorder="1" applyAlignment="1">
      <alignment horizontal="center" vertical="center"/>
    </xf>
    <xf numFmtId="37" fontId="8" fillId="0" borderId="20" xfId="1" applyNumberFormat="1" applyFont="1" applyFill="1" applyBorder="1" applyAlignment="1">
      <alignment horizontal="right" vertical="center" readingOrder="2"/>
    </xf>
    <xf numFmtId="37" fontId="8" fillId="0" borderId="24" xfId="1" applyNumberFormat="1" applyFont="1" applyBorder="1" applyAlignment="1">
      <alignment horizontal="right" vertical="center"/>
    </xf>
    <xf numFmtId="3" fontId="39" fillId="0" borderId="4" xfId="1" applyNumberFormat="1" applyFont="1" applyBorder="1" applyAlignment="1">
      <alignment horizontal="center" vertical="center"/>
    </xf>
    <xf numFmtId="173" fontId="39" fillId="0" borderId="4" xfId="1" applyNumberFormat="1" applyFont="1" applyBorder="1" applyAlignment="1">
      <alignment horizontal="center" vertical="center"/>
    </xf>
    <xf numFmtId="37" fontId="8" fillId="0" borderId="28" xfId="1" applyNumberFormat="1" applyFont="1" applyBorder="1" applyAlignment="1">
      <alignment horizontal="right" vertical="center" readingOrder="2"/>
    </xf>
    <xf numFmtId="3" fontId="39" fillId="0" borderId="1" xfId="1" applyNumberFormat="1" applyFont="1" applyBorder="1" applyAlignment="1">
      <alignment horizontal="center" vertical="center" readingOrder="2"/>
    </xf>
    <xf numFmtId="173" fontId="39" fillId="0" borderId="1" xfId="1" applyNumberFormat="1" applyFont="1" applyBorder="1" applyAlignment="1">
      <alignment horizontal="center" vertical="center" readingOrder="2"/>
    </xf>
    <xf numFmtId="0" fontId="13" fillId="0" borderId="9" xfId="1" applyNumberFormat="1" applyFont="1" applyBorder="1" applyAlignment="1"/>
    <xf numFmtId="3" fontId="34" fillId="0" borderId="0" xfId="3" applyNumberFormat="1" applyFont="1" applyAlignment="1">
      <alignment horizontal="center" vertical="center"/>
    </xf>
    <xf numFmtId="3" fontId="35" fillId="0" borderId="19" xfId="3" applyNumberFormat="1" applyFont="1" applyBorder="1" applyAlignment="1">
      <alignment horizontal="center" vertical="center"/>
    </xf>
    <xf numFmtId="10" fontId="21" fillId="0" borderId="0" xfId="3" applyNumberFormat="1"/>
    <xf numFmtId="10" fontId="13" fillId="0" borderId="0" xfId="1" applyNumberFormat="1" applyFont="1" applyBorder="1" applyAlignment="1">
      <alignment shrinkToFit="1"/>
    </xf>
    <xf numFmtId="10" fontId="24" fillId="0" borderId="0" xfId="3" applyNumberFormat="1" applyFont="1" applyAlignment="1">
      <alignment horizontal="center" vertical="center"/>
    </xf>
    <xf numFmtId="10" fontId="38" fillId="0" borderId="0" xfId="1" applyNumberFormat="1" applyFont="1" applyAlignment="1">
      <alignment horizontal="center" vertical="center"/>
    </xf>
    <xf numFmtId="10" fontId="7" fillId="0" borderId="0" xfId="1" applyNumberFormat="1" applyFont="1" applyBorder="1" applyAlignment="1">
      <alignment shrinkToFit="1"/>
    </xf>
    <xf numFmtId="10" fontId="7" fillId="0" borderId="0" xfId="1" applyNumberFormat="1" applyFont="1" applyFill="1" applyBorder="1" applyAlignment="1">
      <alignment shrinkToFit="1"/>
    </xf>
    <xf numFmtId="3" fontId="37" fillId="0" borderId="0" xfId="1" applyNumberFormat="1" applyFont="1" applyAlignment="1">
      <alignment horizontal="center" vertical="center" readingOrder="2"/>
    </xf>
    <xf numFmtId="3" fontId="38" fillId="0" borderId="0" xfId="1" applyNumberFormat="1" applyFont="1" applyAlignment="1">
      <alignment horizontal="center" vertical="center"/>
    </xf>
    <xf numFmtId="173" fontId="37" fillId="0" borderId="0" xfId="1" applyNumberFormat="1" applyFont="1" applyBorder="1" applyAlignment="1">
      <alignment horizontal="center" vertical="center"/>
    </xf>
    <xf numFmtId="0" fontId="30" fillId="0" borderId="0" xfId="3" applyFont="1" applyAlignment="1">
      <alignment horizontal="center" vertical="center"/>
    </xf>
    <xf numFmtId="167" fontId="11" fillId="3" borderId="0" xfId="1" applyNumberFormat="1" applyFont="1" applyFill="1" applyAlignment="1">
      <alignment vertical="center"/>
    </xf>
    <xf numFmtId="167" fontId="11" fillId="5" borderId="0" xfId="1" applyNumberFormat="1" applyFont="1" applyFill="1" applyAlignment="1">
      <alignment vertical="center"/>
    </xf>
    <xf numFmtId="167" fontId="33" fillId="5" borderId="3" xfId="1" applyNumberFormat="1" applyFont="1" applyFill="1" applyBorder="1" applyAlignment="1">
      <alignment horizontal="center" vertical="center" readingOrder="2"/>
    </xf>
    <xf numFmtId="167" fontId="40" fillId="0" borderId="0" xfId="1" applyNumberFormat="1" applyFont="1" applyAlignment="1">
      <alignment horizontal="center" vertical="center"/>
    </xf>
    <xf numFmtId="167" fontId="33" fillId="6" borderId="3" xfId="1" applyNumberFormat="1" applyFont="1" applyFill="1" applyBorder="1" applyAlignment="1">
      <alignment horizontal="center" vertical="center" readingOrder="2"/>
    </xf>
    <xf numFmtId="167" fontId="33" fillId="7" borderId="3" xfId="1" applyNumberFormat="1" applyFont="1" applyFill="1" applyBorder="1" applyAlignment="1">
      <alignment horizontal="center" vertical="center" readingOrder="2"/>
    </xf>
    <xf numFmtId="0" fontId="30" fillId="0" borderId="31" xfId="3" applyFont="1" applyBorder="1" applyAlignment="1">
      <alignment wrapText="1"/>
    </xf>
    <xf numFmtId="0" fontId="30" fillId="0" borderId="14" xfId="3" applyFont="1" applyBorder="1" applyAlignment="1">
      <alignment horizontal="center" vertical="center" wrapText="1"/>
    </xf>
    <xf numFmtId="37" fontId="34" fillId="0" borderId="18" xfId="3" applyNumberFormat="1" applyFont="1" applyBorder="1" applyAlignment="1">
      <alignment horizontal="center" vertical="center"/>
    </xf>
    <xf numFmtId="0" fontId="8" fillId="0" borderId="42" xfId="1" applyNumberFormat="1" applyFont="1" applyFill="1" applyBorder="1" applyAlignment="1">
      <alignment horizontal="center" wrapText="1" shrinkToFit="1"/>
    </xf>
    <xf numFmtId="165" fontId="0" fillId="0" borderId="42" xfId="5" applyFont="1" applyBorder="1"/>
    <xf numFmtId="0" fontId="21" fillId="0" borderId="42" xfId="3" applyBorder="1"/>
    <xf numFmtId="0" fontId="8" fillId="0" borderId="43" xfId="1" applyNumberFormat="1" applyFont="1" applyFill="1" applyBorder="1" applyAlignment="1">
      <alignment horizontal="center" wrapText="1" shrinkToFit="1"/>
    </xf>
    <xf numFmtId="0" fontId="21" fillId="0" borderId="43" xfId="3" applyBorder="1"/>
    <xf numFmtId="174" fontId="0" fillId="0" borderId="43" xfId="5" applyNumberFormat="1" applyFont="1" applyBorder="1"/>
    <xf numFmtId="0" fontId="4" fillId="0" borderId="0" xfId="1" applyNumberFormat="1" applyFont="1" applyBorder="1" applyAlignment="1">
      <alignment horizontal="right" vertical="center"/>
    </xf>
    <xf numFmtId="0" fontId="42" fillId="0" borderId="0" xfId="3" applyFont="1" applyAlignment="1">
      <alignment horizontal="center" vertical="center" wrapText="1"/>
    </xf>
    <xf numFmtId="37" fontId="34" fillId="0" borderId="0" xfId="3" applyNumberFormat="1" applyFont="1" applyFill="1" applyAlignment="1">
      <alignment horizontal="center" vertical="center"/>
    </xf>
    <xf numFmtId="0" fontId="4" fillId="0" borderId="0" xfId="1" applyNumberFormat="1" applyFont="1" applyBorder="1" applyAlignment="1">
      <alignment horizontal="right" vertical="center" shrinkToFit="1"/>
    </xf>
    <xf numFmtId="0" fontId="8" fillId="0" borderId="0" xfId="1" applyNumberFormat="1" applyFont="1" applyBorder="1" applyAlignment="1">
      <alignment horizontal="right" vertical="center" shrinkToFit="1"/>
    </xf>
    <xf numFmtId="0" fontId="4" fillId="0" borderId="0" xfId="1" applyNumberFormat="1" applyFont="1" applyBorder="1" applyAlignment="1">
      <alignment shrinkToFit="1"/>
    </xf>
    <xf numFmtId="0" fontId="4" fillId="0" borderId="0" xfId="1" applyNumberFormat="1" applyFont="1" applyFill="1" applyBorder="1" applyAlignment="1">
      <alignment wrapText="1" shrinkToFit="1"/>
    </xf>
    <xf numFmtId="167" fontId="43" fillId="0" borderId="0" xfId="1" applyNumberFormat="1" applyFont="1" applyAlignment="1">
      <alignment vertical="center"/>
    </xf>
    <xf numFmtId="3" fontId="33" fillId="5" borderId="3" xfId="1" applyNumberFormat="1" applyFont="1" applyFill="1" applyBorder="1" applyAlignment="1">
      <alignment horizontal="center" vertical="center" readingOrder="2"/>
    </xf>
    <xf numFmtId="3" fontId="40" fillId="0" borderId="0" xfId="1" applyNumberFormat="1" applyFont="1" applyAlignment="1">
      <alignment horizontal="center" vertical="center"/>
    </xf>
    <xf numFmtId="173" fontId="33" fillId="6" borderId="3" xfId="1" applyNumberFormat="1" applyFont="1" applyFill="1" applyBorder="1" applyAlignment="1">
      <alignment horizontal="center" vertical="center" readingOrder="2"/>
    </xf>
    <xf numFmtId="173" fontId="33" fillId="5" borderId="3" xfId="1" applyNumberFormat="1" applyFont="1" applyFill="1" applyBorder="1" applyAlignment="1">
      <alignment horizontal="center" vertical="center" readingOrder="2"/>
    </xf>
    <xf numFmtId="173" fontId="33" fillId="7" borderId="3" xfId="1" applyNumberFormat="1" applyFont="1" applyFill="1" applyBorder="1" applyAlignment="1">
      <alignment horizontal="center" vertical="center" readingOrder="2"/>
    </xf>
    <xf numFmtId="173" fontId="33" fillId="3" borderId="3" xfId="1" applyNumberFormat="1" applyFont="1" applyFill="1" applyBorder="1" applyAlignment="1">
      <alignment horizontal="center" vertical="center" readingOrder="2"/>
    </xf>
    <xf numFmtId="3" fontId="39" fillId="4" borderId="3" xfId="1" applyNumberFormat="1" applyFont="1" applyFill="1" applyBorder="1" applyAlignment="1">
      <alignment horizontal="center" vertical="center"/>
    </xf>
    <xf numFmtId="3" fontId="39" fillId="0" borderId="44" xfId="1" applyNumberFormat="1" applyFont="1" applyFill="1" applyBorder="1" applyAlignment="1">
      <alignment horizontal="center" vertical="center"/>
    </xf>
    <xf numFmtId="3" fontId="39" fillId="0" borderId="2" xfId="1" applyNumberFormat="1" applyFont="1" applyFill="1" applyBorder="1" applyAlignment="1">
      <alignment horizontal="center" vertical="center" readingOrder="2"/>
    </xf>
    <xf numFmtId="3" fontId="39" fillId="0" borderId="4" xfId="1" applyNumberFormat="1" applyFont="1" applyFill="1" applyBorder="1" applyAlignment="1">
      <alignment horizontal="center" vertical="center"/>
    </xf>
    <xf numFmtId="3" fontId="34" fillId="0" borderId="8" xfId="3" applyNumberFormat="1" applyFont="1" applyBorder="1" applyAlignment="1">
      <alignment horizontal="center" vertical="center"/>
    </xf>
    <xf numFmtId="173" fontId="34" fillId="0" borderId="8" xfId="3" applyNumberFormat="1" applyFont="1" applyBorder="1" applyAlignment="1">
      <alignment horizontal="center" vertical="center"/>
    </xf>
    <xf numFmtId="3" fontId="34" fillId="0" borderId="4" xfId="3" applyNumberFormat="1" applyFont="1" applyBorder="1" applyAlignment="1">
      <alignment horizontal="center" vertical="center"/>
    </xf>
    <xf numFmtId="173" fontId="34" fillId="0" borderId="4" xfId="3" applyNumberFormat="1" applyFont="1" applyBorder="1" applyAlignment="1">
      <alignment horizontal="center" vertical="center"/>
    </xf>
    <xf numFmtId="3" fontId="31" fillId="0" borderId="2" xfId="1" applyNumberFormat="1" applyFont="1" applyBorder="1" applyAlignment="1">
      <alignment horizontal="center" vertical="center" readingOrder="2"/>
    </xf>
    <xf numFmtId="173" fontId="31" fillId="0" borderId="2" xfId="1" applyNumberFormat="1" applyFont="1" applyBorder="1" applyAlignment="1">
      <alignment horizontal="center" vertical="center" readingOrder="2"/>
    </xf>
    <xf numFmtId="3" fontId="31" fillId="0" borderId="0" xfId="1" applyNumberFormat="1" applyFont="1" applyAlignment="1">
      <alignment horizontal="center" vertical="center" readingOrder="2"/>
    </xf>
    <xf numFmtId="173" fontId="31" fillId="0" borderId="0" xfId="1" applyNumberFormat="1" applyFont="1" applyAlignment="1">
      <alignment horizontal="center" vertical="center" readingOrder="2"/>
    </xf>
    <xf numFmtId="3" fontId="31" fillId="0" borderId="0" xfId="1" applyNumberFormat="1" applyFont="1" applyBorder="1" applyAlignment="1">
      <alignment horizontal="center" vertical="center" readingOrder="2"/>
    </xf>
    <xf numFmtId="173" fontId="31" fillId="0" borderId="0" xfId="1" applyNumberFormat="1" applyFont="1" applyBorder="1" applyAlignment="1">
      <alignment horizontal="center" vertical="center" readingOrder="2"/>
    </xf>
    <xf numFmtId="3" fontId="31" fillId="0" borderId="4" xfId="1" applyNumberFormat="1" applyFont="1" applyBorder="1" applyAlignment="1">
      <alignment horizontal="center" vertical="center" readingOrder="2"/>
    </xf>
    <xf numFmtId="173" fontId="31" fillId="0" borderId="4" xfId="1" applyNumberFormat="1" applyFont="1" applyBorder="1" applyAlignment="1">
      <alignment horizontal="center" vertical="center" readingOrder="2"/>
    </xf>
    <xf numFmtId="3" fontId="31" fillId="0" borderId="1" xfId="1" applyNumberFormat="1" applyFont="1" applyBorder="1" applyAlignment="1">
      <alignment horizontal="center" vertical="center" readingOrder="2"/>
    </xf>
    <xf numFmtId="173" fontId="31" fillId="0" borderId="1" xfId="1" applyNumberFormat="1" applyFont="1" applyBorder="1" applyAlignment="1">
      <alignment horizontal="center" vertical="center" readingOrder="2"/>
    </xf>
    <xf numFmtId="174" fontId="0" fillId="0" borderId="42" xfId="5" applyNumberFormat="1" applyFont="1" applyBorder="1" applyAlignment="1">
      <alignment horizontal="center" vertical="center"/>
    </xf>
    <xf numFmtId="174" fontId="0" fillId="0" borderId="43" xfId="5" applyNumberFormat="1" applyFont="1" applyBorder="1" applyAlignment="1">
      <alignment horizontal="center" vertical="center"/>
    </xf>
    <xf numFmtId="0" fontId="21" fillId="0" borderId="0" xfId="3" applyAlignment="1">
      <alignment wrapText="1"/>
    </xf>
    <xf numFmtId="0" fontId="8" fillId="0" borderId="0" xfId="1" applyNumberFormat="1" applyFont="1" applyFill="1" applyBorder="1" applyAlignment="1">
      <alignment vertical="center" wrapText="1" shrinkToFit="1"/>
    </xf>
    <xf numFmtId="0" fontId="8" fillId="0" borderId="0" xfId="1" applyNumberFormat="1" applyFont="1" applyFill="1" applyBorder="1" applyAlignment="1">
      <alignment wrapText="1" shrinkToFit="1"/>
    </xf>
    <xf numFmtId="0" fontId="36" fillId="0" borderId="0" xfId="3" applyFont="1" applyFill="1"/>
    <xf numFmtId="165" fontId="0" fillId="0" borderId="0" xfId="5" applyFont="1"/>
    <xf numFmtId="174" fontId="0" fillId="0" borderId="0" xfId="5" applyNumberFormat="1" applyFont="1"/>
    <xf numFmtId="0" fontId="47" fillId="11" borderId="110" xfId="3" applyFont="1" applyFill="1" applyBorder="1" applyAlignment="1">
      <alignment horizontal="left" vertical="center"/>
    </xf>
    <xf numFmtId="0" fontId="47" fillId="11" borderId="114" xfId="3" applyFont="1" applyFill="1" applyBorder="1" applyAlignment="1">
      <alignment horizontal="right" vertical="center"/>
    </xf>
    <xf numFmtId="0" fontId="47" fillId="11" borderId="115" xfId="3" applyFont="1" applyFill="1" applyBorder="1" applyAlignment="1">
      <alignment horizontal="center"/>
    </xf>
    <xf numFmtId="0" fontId="47" fillId="11" borderId="116" xfId="3" applyFont="1" applyFill="1" applyBorder="1" applyAlignment="1">
      <alignment horizontal="center"/>
    </xf>
    <xf numFmtId="0" fontId="47" fillId="11" borderId="117" xfId="3" applyFont="1" applyFill="1" applyBorder="1" applyAlignment="1">
      <alignment horizontal="center"/>
    </xf>
    <xf numFmtId="0" fontId="50" fillId="0" borderId="0" xfId="3" applyFont="1"/>
    <xf numFmtId="0" fontId="54" fillId="0" borderId="22" xfId="3" applyFont="1" applyBorder="1" applyAlignment="1">
      <alignment horizontal="center" vertical="center"/>
    </xf>
    <xf numFmtId="174" fontId="55" fillId="0" borderId="14" xfId="5" applyNumberFormat="1" applyFont="1" applyBorder="1" applyAlignment="1">
      <alignment horizontal="center" vertical="center"/>
    </xf>
    <xf numFmtId="0" fontId="55" fillId="0" borderId="14" xfId="3" applyFont="1" applyBorder="1" applyAlignment="1">
      <alignment horizontal="center" vertical="center"/>
    </xf>
    <xf numFmtId="173" fontId="55" fillId="0" borderId="31" xfId="5" applyNumberFormat="1" applyFont="1" applyBorder="1" applyAlignment="1">
      <alignment horizontal="center" vertical="center"/>
    </xf>
    <xf numFmtId="173" fontId="55" fillId="0" borderId="42" xfId="5" applyNumberFormat="1" applyFont="1" applyBorder="1" applyAlignment="1">
      <alignment horizontal="center" vertical="center"/>
    </xf>
    <xf numFmtId="175" fontId="55" fillId="0" borderId="43" xfId="5" applyNumberFormat="1" applyFont="1" applyBorder="1" applyAlignment="1">
      <alignment horizontal="center" vertical="center"/>
    </xf>
    <xf numFmtId="0" fontId="45" fillId="0" borderId="0" xfId="3" applyFont="1"/>
    <xf numFmtId="0" fontId="47" fillId="11" borderId="134" xfId="3" applyFont="1" applyFill="1" applyBorder="1" applyAlignment="1">
      <alignment horizontal="center"/>
    </xf>
    <xf numFmtId="0" fontId="45" fillId="0" borderId="94" xfId="3" applyFont="1" applyBorder="1" applyAlignment="1">
      <alignment horizontal="right" vertical="center"/>
    </xf>
    <xf numFmtId="0" fontId="45" fillId="0" borderId="83" xfId="3" applyFont="1" applyBorder="1" applyAlignment="1">
      <alignment horizontal="center" vertical="center"/>
    </xf>
    <xf numFmtId="0" fontId="45" fillId="0" borderId="84" xfId="3" applyFont="1" applyBorder="1" applyAlignment="1">
      <alignment horizontal="center" vertical="center"/>
    </xf>
    <xf numFmtId="0" fontId="45" fillId="0" borderId="92" xfId="3" applyFont="1" applyBorder="1" applyAlignment="1">
      <alignment horizontal="right" vertical="center"/>
    </xf>
    <xf numFmtId="0" fontId="45" fillId="0" borderId="45" xfId="3" applyFont="1" applyBorder="1" applyAlignment="1">
      <alignment horizontal="center" vertical="center"/>
    </xf>
    <xf numFmtId="0" fontId="45" fillId="0" borderId="85" xfId="3" applyFont="1" applyBorder="1" applyAlignment="1">
      <alignment horizontal="center" vertical="center"/>
    </xf>
    <xf numFmtId="3" fontId="45" fillId="0" borderId="45" xfId="3" applyNumberFormat="1" applyFont="1" applyBorder="1" applyAlignment="1">
      <alignment horizontal="center" vertical="center"/>
    </xf>
    <xf numFmtId="3" fontId="45" fillId="0" borderId="85" xfId="3" applyNumberFormat="1" applyFont="1" applyBorder="1" applyAlignment="1">
      <alignment horizontal="center" vertical="center"/>
    </xf>
    <xf numFmtId="0" fontId="45" fillId="0" borderId="93" xfId="3" applyFont="1" applyBorder="1" applyAlignment="1">
      <alignment horizontal="right" vertical="center"/>
    </xf>
    <xf numFmtId="2" fontId="47" fillId="0" borderId="86" xfId="3" applyNumberFormat="1" applyFont="1" applyBorder="1" applyAlignment="1">
      <alignment horizontal="center" vertical="center"/>
    </xf>
    <xf numFmtId="2" fontId="47" fillId="0" borderId="87" xfId="3" applyNumberFormat="1" applyFont="1" applyBorder="1" applyAlignment="1">
      <alignment horizontal="center" vertical="center"/>
    </xf>
    <xf numFmtId="2" fontId="45" fillId="0" borderId="45" xfId="3" applyNumberFormat="1" applyFont="1" applyBorder="1" applyAlignment="1">
      <alignment horizontal="center" vertical="center"/>
    </xf>
    <xf numFmtId="0" fontId="48" fillId="14" borderId="107" xfId="7" applyFont="1" applyFill="1" applyBorder="1" applyAlignment="1">
      <alignment horizontal="right" vertical="center"/>
    </xf>
    <xf numFmtId="0" fontId="48" fillId="14" borderId="144" xfId="7" applyFont="1" applyFill="1" applyBorder="1" applyAlignment="1">
      <alignment horizontal="right" vertical="center"/>
    </xf>
    <xf numFmtId="0" fontId="58" fillId="0" borderId="0" xfId="0" applyFont="1"/>
    <xf numFmtId="167" fontId="63" fillId="0" borderId="0" xfId="1" applyNumberFormat="1" applyFont="1" applyAlignment="1">
      <alignment vertical="center"/>
    </xf>
    <xf numFmtId="0" fontId="58" fillId="0" borderId="0" xfId="3" applyFont="1" applyAlignment="1">
      <alignment horizontal="center" vertical="center"/>
    </xf>
    <xf numFmtId="0" fontId="58" fillId="0" borderId="0" xfId="3" applyFont="1"/>
    <xf numFmtId="167" fontId="64" fillId="0" borderId="0" xfId="1" applyNumberFormat="1" applyFont="1" applyAlignment="1">
      <alignment vertical="center"/>
    </xf>
    <xf numFmtId="0" fontId="66" fillId="0" borderId="0" xfId="3" applyFont="1" applyAlignment="1">
      <alignment horizontal="center" vertical="center"/>
    </xf>
    <xf numFmtId="37" fontId="67" fillId="0" borderId="0" xfId="1" applyNumberFormat="1" applyFont="1" applyAlignment="1">
      <alignment horizontal="center" vertical="center"/>
    </xf>
    <xf numFmtId="167" fontId="63" fillId="0" borderId="3" xfId="1" applyNumberFormat="1" applyFont="1" applyBorder="1" applyAlignment="1">
      <alignment horizontal="center" vertical="center" readingOrder="2"/>
    </xf>
    <xf numFmtId="0" fontId="63" fillId="14" borderId="3" xfId="1" applyNumberFormat="1" applyFont="1" applyFill="1" applyBorder="1" applyAlignment="1">
      <alignment horizontal="center" vertical="center" readingOrder="2"/>
    </xf>
    <xf numFmtId="0" fontId="64" fillId="0" borderId="0" xfId="1" applyNumberFormat="1" applyFont="1" applyAlignment="1">
      <alignment horizontal="center" vertical="center"/>
    </xf>
    <xf numFmtId="0" fontId="58" fillId="0" borderId="0" xfId="3" applyNumberFormat="1" applyFont="1"/>
    <xf numFmtId="0" fontId="63" fillId="0" borderId="0" xfId="1" applyNumberFormat="1" applyFont="1" applyBorder="1" applyAlignment="1">
      <alignment shrinkToFit="1"/>
    </xf>
    <xf numFmtId="37" fontId="68" fillId="0" borderId="0" xfId="3" applyNumberFormat="1" applyFont="1" applyAlignment="1">
      <alignment horizontal="center" vertical="center"/>
    </xf>
    <xf numFmtId="0" fontId="69" fillId="0" borderId="16" xfId="1" applyNumberFormat="1" applyFont="1" applyBorder="1" applyAlignment="1">
      <alignment shrinkToFit="1"/>
    </xf>
    <xf numFmtId="0" fontId="69" fillId="0" borderId="17" xfId="1" applyNumberFormat="1" applyFont="1" applyBorder="1" applyAlignment="1">
      <alignment shrinkToFit="1"/>
    </xf>
    <xf numFmtId="167" fontId="70" fillId="0" borderId="1" xfId="2" applyNumberFormat="1" applyFont="1" applyBorder="1" applyAlignment="1">
      <alignment vertical="center" shrinkToFit="1"/>
    </xf>
    <xf numFmtId="167" fontId="63" fillId="0" borderId="0" xfId="2" applyNumberFormat="1" applyFont="1" applyBorder="1" applyAlignment="1">
      <alignment horizontal="right" vertical="center" shrinkToFit="1"/>
    </xf>
    <xf numFmtId="167" fontId="70" fillId="0" borderId="3" xfId="2" applyNumberFormat="1" applyFont="1" applyBorder="1" applyAlignment="1">
      <alignment vertical="center" shrinkToFit="1"/>
    </xf>
    <xf numFmtId="167" fontId="70" fillId="0" borderId="0" xfId="2" applyNumberFormat="1" applyFont="1" applyAlignment="1">
      <alignment vertical="center" shrinkToFit="1"/>
    </xf>
    <xf numFmtId="0" fontId="73" fillId="0" borderId="0" xfId="1" applyNumberFormat="1" applyFont="1" applyBorder="1" applyAlignment="1">
      <alignment shrinkToFit="1"/>
    </xf>
    <xf numFmtId="0" fontId="74" fillId="0" borderId="0" xfId="1" applyNumberFormat="1" applyFont="1" applyBorder="1" applyAlignment="1">
      <alignment horizontal="right" vertical="center"/>
    </xf>
    <xf numFmtId="37" fontId="68" fillId="0" borderId="0" xfId="3" applyNumberFormat="1" applyFont="1" applyFill="1" applyAlignment="1">
      <alignment horizontal="center" vertical="center"/>
    </xf>
    <xf numFmtId="37" fontId="60" fillId="0" borderId="0" xfId="3" applyNumberFormat="1" applyFont="1" applyAlignment="1">
      <alignment horizontal="center" vertical="center"/>
    </xf>
    <xf numFmtId="0" fontId="58" fillId="0" borderId="0" xfId="0" applyFont="1" applyAlignment="1"/>
    <xf numFmtId="0" fontId="59" fillId="0" borderId="0" xfId="0" applyFont="1" applyAlignment="1"/>
    <xf numFmtId="173" fontId="59" fillId="0" borderId="0" xfId="0" applyNumberFormat="1" applyFont="1" applyAlignment="1">
      <alignment horizontal="left"/>
    </xf>
    <xf numFmtId="176" fontId="59" fillId="0" borderId="0" xfId="8" applyNumberFormat="1" applyFont="1" applyAlignment="1">
      <alignment horizontal="right" vertical="center"/>
    </xf>
    <xf numFmtId="0" fontId="60" fillId="13" borderId="126" xfId="0" applyFont="1" applyFill="1" applyBorder="1" applyAlignment="1">
      <alignment horizontal="center" vertical="center"/>
    </xf>
    <xf numFmtId="0" fontId="60" fillId="13" borderId="128" xfId="0" applyFont="1" applyFill="1" applyBorder="1" applyAlignment="1">
      <alignment horizontal="center" vertical="center"/>
    </xf>
    <xf numFmtId="173" fontId="60" fillId="13" borderId="127" xfId="0" applyNumberFormat="1" applyFont="1" applyFill="1" applyBorder="1" applyAlignment="1">
      <alignment horizontal="center" vertical="center"/>
    </xf>
    <xf numFmtId="173" fontId="60" fillId="13" borderId="127" xfId="0" applyNumberFormat="1" applyFont="1" applyFill="1" applyBorder="1" applyAlignment="1">
      <alignment horizontal="center" vertical="center" wrapText="1"/>
    </xf>
    <xf numFmtId="173" fontId="59" fillId="13" borderId="128" xfId="0" applyNumberFormat="1" applyFont="1" applyFill="1" applyBorder="1" applyAlignment="1">
      <alignment horizontal="center" vertical="center" wrapText="1"/>
    </xf>
    <xf numFmtId="0" fontId="58" fillId="0" borderId="111" xfId="0" applyFont="1" applyBorder="1" applyAlignment="1">
      <alignment horizontal="center" vertical="center"/>
    </xf>
    <xf numFmtId="0" fontId="76" fillId="2" borderId="139" xfId="0" applyFont="1" applyFill="1" applyBorder="1" applyAlignment="1"/>
    <xf numFmtId="173" fontId="58" fillId="0" borderId="112" xfId="0" applyNumberFormat="1" applyFont="1" applyBorder="1" applyAlignment="1">
      <alignment horizontal="center" vertical="center"/>
    </xf>
    <xf numFmtId="173" fontId="58" fillId="0" borderId="113" xfId="0" applyNumberFormat="1" applyFont="1" applyBorder="1" applyAlignment="1">
      <alignment horizontal="center" vertical="center"/>
    </xf>
    <xf numFmtId="0" fontId="58" fillId="0" borderId="122" xfId="0" applyFont="1" applyBorder="1" applyAlignment="1">
      <alignment horizontal="center" vertical="center"/>
    </xf>
    <xf numFmtId="0" fontId="77" fillId="2" borderId="136" xfId="0" applyFont="1" applyFill="1" applyBorder="1" applyAlignment="1"/>
    <xf numFmtId="173" fontId="58" fillId="0" borderId="22" xfId="0" applyNumberFormat="1" applyFont="1" applyBorder="1" applyAlignment="1">
      <alignment horizontal="center" vertical="center"/>
    </xf>
    <xf numFmtId="173" fontId="58" fillId="0" borderId="123" xfId="0" applyNumberFormat="1" applyFont="1" applyBorder="1" applyAlignment="1">
      <alignment horizontal="center" vertical="center"/>
    </xf>
    <xf numFmtId="0" fontId="76" fillId="2" borderId="136" xfId="0" applyFont="1" applyFill="1" applyBorder="1" applyAlignment="1"/>
    <xf numFmtId="0" fontId="58" fillId="0" borderId="115" xfId="0" applyFont="1" applyBorder="1" applyAlignment="1">
      <alignment horizontal="center" vertical="center"/>
    </xf>
    <xf numFmtId="0" fontId="76" fillId="2" borderId="140" xfId="0" applyFont="1" applyFill="1" applyBorder="1" applyAlignment="1"/>
    <xf numFmtId="173" fontId="58" fillId="0" borderId="116" xfId="0" applyNumberFormat="1" applyFont="1" applyBorder="1" applyAlignment="1">
      <alignment horizontal="center" vertical="center"/>
    </xf>
    <xf numFmtId="173" fontId="58" fillId="0" borderId="117" xfId="0" applyNumberFormat="1" applyFont="1" applyBorder="1" applyAlignment="1">
      <alignment horizontal="center" vertical="center"/>
    </xf>
    <xf numFmtId="173" fontId="58" fillId="0" borderId="0" xfId="0" applyNumberFormat="1" applyFont="1" applyAlignment="1"/>
    <xf numFmtId="173" fontId="59" fillId="13" borderId="138" xfId="0" applyNumberFormat="1" applyFont="1" applyFill="1" applyBorder="1" applyAlignment="1">
      <alignment horizontal="center" vertical="center"/>
    </xf>
    <xf numFmtId="0" fontId="59" fillId="0" borderId="101" xfId="0" applyFont="1" applyBorder="1" applyAlignment="1">
      <alignment horizontal="center" vertical="center"/>
    </xf>
    <xf numFmtId="173" fontId="59" fillId="0" borderId="0" xfId="0" applyNumberFormat="1" applyFont="1" applyAlignment="1"/>
    <xf numFmtId="0" fontId="59" fillId="0" borderId="0" xfId="0" applyFont="1" applyAlignment="1">
      <alignment horizontal="center" vertical="center"/>
    </xf>
    <xf numFmtId="173" fontId="59" fillId="0" borderId="0" xfId="0" applyNumberFormat="1" applyFont="1" applyAlignment="1">
      <alignment horizontal="center" vertical="center"/>
    </xf>
    <xf numFmtId="173" fontId="59" fillId="14" borderId="88" xfId="0" applyNumberFormat="1" applyFont="1" applyFill="1" applyBorder="1" applyAlignment="1">
      <alignment horizontal="center" vertical="center"/>
    </xf>
    <xf numFmtId="173" fontId="71" fillId="0" borderId="129" xfId="0" applyNumberFormat="1" applyFont="1" applyBorder="1" applyAlignment="1">
      <alignment horizontal="center" vertical="center"/>
    </xf>
    <xf numFmtId="173" fontId="71" fillId="0" borderId="135" xfId="0" applyNumberFormat="1" applyFont="1" applyBorder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3" fontId="59" fillId="8" borderId="0" xfId="0" applyNumberFormat="1" applyFont="1" applyFill="1" applyAlignment="1">
      <alignment horizontal="center" vertical="center"/>
    </xf>
    <xf numFmtId="3" fontId="59" fillId="0" borderId="129" xfId="0" applyNumberFormat="1" applyFont="1" applyBorder="1" applyAlignment="1">
      <alignment horizontal="center" vertical="center"/>
    </xf>
    <xf numFmtId="3" fontId="59" fillId="0" borderId="135" xfId="0" applyNumberFormat="1" applyFont="1" applyBorder="1" applyAlignment="1">
      <alignment horizontal="center" vertical="center"/>
    </xf>
    <xf numFmtId="3" fontId="59" fillId="14" borderId="88" xfId="0" applyNumberFormat="1" applyFont="1" applyFill="1" applyBorder="1" applyAlignment="1">
      <alignment horizontal="center" vertical="center"/>
    </xf>
    <xf numFmtId="3" fontId="61" fillId="0" borderId="101" xfId="0" applyNumberFormat="1" applyFont="1" applyFill="1" applyBorder="1" applyAlignment="1">
      <alignment horizontal="center" vertical="center"/>
    </xf>
    <xf numFmtId="0" fontId="59" fillId="0" borderId="0" xfId="0" applyFont="1"/>
    <xf numFmtId="0" fontId="79" fillId="0" borderId="0" xfId="0" applyFont="1" applyAlignment="1">
      <alignment horizontal="center" vertical="center"/>
    </xf>
    <xf numFmtId="0" fontId="59" fillId="4" borderId="126" xfId="7" applyFont="1" applyFill="1" applyBorder="1" applyAlignment="1">
      <alignment horizontal="center"/>
    </xf>
    <xf numFmtId="0" fontId="59" fillId="4" borderId="127" xfId="7" applyFont="1" applyFill="1" applyBorder="1" applyAlignment="1">
      <alignment horizontal="center"/>
    </xf>
    <xf numFmtId="0" fontId="59" fillId="4" borderId="128" xfId="7" applyFont="1" applyFill="1" applyBorder="1" applyAlignment="1">
      <alignment horizontal="center"/>
    </xf>
    <xf numFmtId="38" fontId="58" fillId="0" borderId="0" xfId="0" applyNumberFormat="1" applyFont="1"/>
    <xf numFmtId="38" fontId="59" fillId="0" borderId="2" xfId="0" applyNumberFormat="1" applyFont="1" applyBorder="1"/>
    <xf numFmtId="38" fontId="71" fillId="0" borderId="2" xfId="0" applyNumberFormat="1" applyFont="1" applyBorder="1"/>
    <xf numFmtId="37" fontId="58" fillId="0" borderId="0" xfId="0" applyNumberFormat="1" applyFont="1"/>
    <xf numFmtId="37" fontId="72" fillId="0" borderId="0" xfId="0" applyNumberFormat="1" applyFont="1"/>
    <xf numFmtId="0" fontId="72" fillId="0" borderId="0" xfId="0" applyFont="1"/>
    <xf numFmtId="38" fontId="71" fillId="0" borderId="3" xfId="0" applyNumberFormat="1" applyFont="1" applyBorder="1"/>
    <xf numFmtId="0" fontId="67" fillId="0" borderId="0" xfId="7" applyFont="1"/>
    <xf numFmtId="0" fontId="81" fillId="0" borderId="0" xfId="7" applyFont="1" applyAlignment="1">
      <alignment horizontal="center" vertical="center"/>
    </xf>
    <xf numFmtId="0" fontId="59" fillId="13" borderId="132" xfId="7" applyFont="1" applyFill="1" applyBorder="1" applyAlignment="1">
      <alignment horizontal="center"/>
    </xf>
    <xf numFmtId="0" fontId="59" fillId="13" borderId="130" xfId="7" applyFont="1" applyFill="1" applyBorder="1" applyAlignment="1">
      <alignment horizontal="center"/>
    </xf>
    <xf numFmtId="0" fontId="59" fillId="13" borderId="131" xfId="7" applyFont="1" applyFill="1" applyBorder="1" applyAlignment="1">
      <alignment horizontal="center"/>
    </xf>
    <xf numFmtId="3" fontId="74" fillId="0" borderId="121" xfId="7" applyNumberFormat="1" applyFont="1" applyBorder="1"/>
    <xf numFmtId="3" fontId="74" fillId="0" borderId="122" xfId="7" applyNumberFormat="1" applyFont="1" applyBorder="1" applyAlignment="1">
      <alignment horizontal="center" vertical="center"/>
    </xf>
    <xf numFmtId="3" fontId="74" fillId="0" borderId="22" xfId="7" applyNumberFormat="1" applyFont="1" applyBorder="1" applyAlignment="1">
      <alignment horizontal="center" vertical="center"/>
    </xf>
    <xf numFmtId="3" fontId="74" fillId="0" borderId="123" xfId="7" applyNumberFormat="1" applyFont="1" applyBorder="1" applyAlignment="1">
      <alignment horizontal="center" vertical="center"/>
    </xf>
    <xf numFmtId="3" fontId="74" fillId="0" borderId="122" xfId="7" applyNumberFormat="1" applyFont="1" applyFill="1" applyBorder="1" applyAlignment="1">
      <alignment horizontal="center" vertical="center"/>
    </xf>
    <xf numFmtId="3" fontId="74" fillId="0" borderId="124" xfId="7" applyNumberFormat="1" applyFont="1" applyBorder="1"/>
    <xf numFmtId="3" fontId="74" fillId="0" borderId="119" xfId="7" applyNumberFormat="1" applyFont="1" applyFill="1" applyBorder="1" applyAlignment="1">
      <alignment horizontal="center" vertical="center"/>
    </xf>
    <xf numFmtId="3" fontId="74" fillId="0" borderId="14" xfId="7" applyNumberFormat="1" applyFont="1" applyBorder="1" applyAlignment="1">
      <alignment horizontal="center" vertical="center"/>
    </xf>
    <xf numFmtId="3" fontId="74" fillId="0" borderId="120" xfId="7" applyNumberFormat="1" applyFont="1" applyBorder="1" applyAlignment="1">
      <alignment horizontal="center" vertical="center"/>
    </xf>
    <xf numFmtId="3" fontId="74" fillId="0" borderId="125" xfId="7" applyNumberFormat="1" applyFont="1" applyBorder="1"/>
    <xf numFmtId="3" fontId="74" fillId="0" borderId="116" xfId="7" applyNumberFormat="1" applyFont="1" applyBorder="1" applyAlignment="1">
      <alignment horizontal="center" vertical="center"/>
    </xf>
    <xf numFmtId="3" fontId="74" fillId="0" borderId="117" xfId="7" applyNumberFormat="1" applyFont="1" applyBorder="1" applyAlignment="1">
      <alignment horizontal="center" vertical="center"/>
    </xf>
    <xf numFmtId="173" fontId="58" fillId="0" borderId="0" xfId="3" applyNumberFormat="1" applyFont="1" applyAlignment="1">
      <alignment horizontal="center" vertical="center"/>
    </xf>
    <xf numFmtId="167" fontId="64" fillId="0" borderId="0" xfId="1" applyNumberFormat="1" applyFont="1" applyBorder="1" applyAlignment="1">
      <alignment vertical="center"/>
    </xf>
    <xf numFmtId="167" fontId="64" fillId="0" borderId="0" xfId="1" applyNumberFormat="1" applyFont="1" applyBorder="1" applyAlignment="1">
      <alignment horizontal="center" vertical="center"/>
    </xf>
    <xf numFmtId="173" fontId="81" fillId="0" borderId="0" xfId="1" applyNumberFormat="1" applyFont="1" applyFill="1" applyBorder="1" applyAlignment="1">
      <alignment horizontal="center" vertical="center"/>
    </xf>
    <xf numFmtId="167" fontId="63" fillId="0" borderId="2" xfId="1" applyNumberFormat="1" applyFont="1" applyBorder="1" applyAlignment="1">
      <alignment horizontal="center" vertical="center" readingOrder="2"/>
    </xf>
    <xf numFmtId="0" fontId="63" fillId="13" borderId="2" xfId="1" applyNumberFormat="1" applyFont="1" applyFill="1" applyBorder="1" applyAlignment="1">
      <alignment horizontal="center" vertical="center" readingOrder="2"/>
    </xf>
    <xf numFmtId="167" fontId="63" fillId="0" borderId="0" xfId="1" applyNumberFormat="1" applyFont="1" applyFill="1" applyBorder="1" applyAlignment="1">
      <alignment vertical="center"/>
    </xf>
    <xf numFmtId="0" fontId="63" fillId="14" borderId="2" xfId="1" applyNumberFormat="1" applyFont="1" applyFill="1" applyBorder="1" applyAlignment="1">
      <alignment horizontal="center" vertical="center" readingOrder="2"/>
    </xf>
    <xf numFmtId="0" fontId="58" fillId="0" borderId="0" xfId="3" applyFont="1" applyFill="1"/>
    <xf numFmtId="0" fontId="49" fillId="0" borderId="0" xfId="0" applyFont="1" applyFill="1" applyAlignment="1">
      <alignment readingOrder="2"/>
    </xf>
    <xf numFmtId="38" fontId="74" fillId="13" borderId="0" xfId="0" applyNumberFormat="1" applyFont="1" applyFill="1" applyAlignment="1">
      <alignment horizontal="center" readingOrder="2"/>
    </xf>
    <xf numFmtId="38" fontId="49" fillId="0" borderId="0" xfId="0" applyNumberFormat="1" applyFont="1" applyFill="1" applyBorder="1" applyAlignment="1">
      <alignment horizontal="center" readingOrder="2"/>
    </xf>
    <xf numFmtId="38" fontId="74" fillId="0" borderId="0" xfId="0" applyNumberFormat="1" applyFont="1" applyFill="1" applyAlignment="1">
      <alignment horizontal="center" readingOrder="2"/>
    </xf>
    <xf numFmtId="173" fontId="68" fillId="0" borderId="0" xfId="3" applyNumberFormat="1" applyFont="1" applyFill="1" applyBorder="1" applyAlignment="1">
      <alignment horizontal="center" vertical="center"/>
    </xf>
    <xf numFmtId="173" fontId="58" fillId="0" borderId="0" xfId="3" applyNumberFormat="1" applyFont="1" applyFill="1" applyBorder="1" applyAlignment="1">
      <alignment horizontal="center" vertical="center"/>
    </xf>
    <xf numFmtId="173" fontId="58" fillId="0" borderId="0" xfId="3" applyNumberFormat="1" applyFont="1" applyFill="1" applyAlignment="1">
      <alignment horizontal="center" vertical="center"/>
    </xf>
    <xf numFmtId="0" fontId="63" fillId="0" borderId="0" xfId="0" applyFont="1" applyFill="1" applyAlignment="1">
      <alignment readingOrder="2"/>
    </xf>
    <xf numFmtId="0" fontId="49" fillId="10" borderId="0" xfId="0" applyFont="1" applyFill="1" applyAlignment="1">
      <alignment readingOrder="2"/>
    </xf>
    <xf numFmtId="0" fontId="49" fillId="0" borderId="0" xfId="0" applyFont="1" applyFill="1" applyBorder="1" applyAlignment="1">
      <alignment readingOrder="2"/>
    </xf>
    <xf numFmtId="0" fontId="82" fillId="0" borderId="0" xfId="3" applyFont="1" applyFill="1" applyBorder="1"/>
    <xf numFmtId="0" fontId="58" fillId="0" borderId="0" xfId="3" applyFont="1" applyFill="1" applyBorder="1"/>
    <xf numFmtId="173" fontId="60" fillId="0" borderId="0" xfId="3" applyNumberFormat="1" applyFont="1" applyFill="1" applyBorder="1" applyAlignment="1">
      <alignment horizontal="center" vertical="center"/>
    </xf>
    <xf numFmtId="173" fontId="59" fillId="0" borderId="0" xfId="3" applyNumberFormat="1" applyFont="1" applyFill="1" applyBorder="1" applyAlignment="1">
      <alignment horizontal="center" vertical="center"/>
    </xf>
    <xf numFmtId="3" fontId="59" fillId="0" borderId="129" xfId="0" applyNumberFormat="1" applyFont="1" applyBorder="1" applyAlignment="1">
      <alignment horizontal="center" vertical="center" wrapText="1"/>
    </xf>
    <xf numFmtId="0" fontId="83" fillId="0" borderId="0" xfId="0" applyFont="1" applyAlignment="1">
      <alignment horizontal="left"/>
    </xf>
    <xf numFmtId="0" fontId="83" fillId="0" borderId="0" xfId="0" applyFont="1" applyAlignment="1">
      <alignment horizontal="right"/>
    </xf>
    <xf numFmtId="0" fontId="61" fillId="0" borderId="0" xfId="0" applyFont="1" applyAlignment="1">
      <alignment horizontal="center" vertical="center"/>
    </xf>
    <xf numFmtId="0" fontId="58" fillId="13" borderId="4" xfId="0" applyFont="1" applyFill="1" applyBorder="1" applyAlignment="1">
      <alignment horizontal="center" vertical="center"/>
    </xf>
    <xf numFmtId="0" fontId="59" fillId="13" borderId="4" xfId="0" applyFont="1" applyFill="1" applyBorder="1" applyAlignment="1">
      <alignment horizontal="center" vertical="center"/>
    </xf>
    <xf numFmtId="37" fontId="58" fillId="0" borderId="0" xfId="0" applyNumberFormat="1" applyFont="1" applyAlignment="1">
      <alignment horizontal="right" vertical="center"/>
    </xf>
    <xf numFmtId="0" fontId="58" fillId="0" borderId="0" xfId="0" applyFont="1" applyAlignment="1">
      <alignment horizontal="center" vertical="center"/>
    </xf>
    <xf numFmtId="38" fontId="58" fillId="0" borderId="0" xfId="0" applyNumberFormat="1" applyFont="1" applyAlignment="1">
      <alignment horizontal="right" vertical="center"/>
    </xf>
    <xf numFmtId="0" fontId="60" fillId="16" borderId="0" xfId="0" applyFont="1" applyFill="1"/>
    <xf numFmtId="0" fontId="68" fillId="0" borderId="0" xfId="0" applyFont="1"/>
    <xf numFmtId="0" fontId="59" fillId="0" borderId="0" xfId="0" applyFont="1" applyAlignment="1">
      <alignment horizontal="right" vertical="center"/>
    </xf>
    <xf numFmtId="173" fontId="59" fillId="0" borderId="112" xfId="0" applyNumberFormat="1" applyFont="1" applyBorder="1" applyAlignment="1">
      <alignment horizontal="center" vertical="center"/>
    </xf>
    <xf numFmtId="167" fontId="63" fillId="0" borderId="94" xfId="1" applyNumberFormat="1" applyFont="1" applyBorder="1" applyAlignment="1">
      <alignment horizontal="center" vertical="center" readingOrder="2"/>
    </xf>
    <xf numFmtId="0" fontId="63" fillId="14" borderId="83" xfId="1" applyNumberFormat="1" applyFont="1" applyFill="1" applyBorder="1" applyAlignment="1">
      <alignment horizontal="center" vertical="center" readingOrder="2"/>
    </xf>
    <xf numFmtId="0" fontId="63" fillId="14" borderId="84" xfId="1" applyNumberFormat="1" applyFont="1" applyFill="1" applyBorder="1" applyAlignment="1">
      <alignment horizontal="center" vertical="center" readingOrder="2"/>
    </xf>
    <xf numFmtId="0" fontId="63" fillId="8" borderId="45" xfId="1" applyNumberFormat="1" applyFont="1" applyFill="1" applyBorder="1" applyAlignment="1">
      <alignment horizontal="center" vertical="center" readingOrder="2"/>
    </xf>
    <xf numFmtId="0" fontId="63" fillId="8" borderId="85" xfId="1" applyNumberFormat="1" applyFont="1" applyFill="1" applyBorder="1" applyAlignment="1">
      <alignment horizontal="center" vertical="center" readingOrder="2"/>
    </xf>
    <xf numFmtId="167" fontId="63" fillId="8" borderId="92" xfId="1" applyNumberFormat="1" applyFont="1" applyFill="1" applyBorder="1" applyAlignment="1">
      <alignment horizontal="center" vertical="center" readingOrder="2"/>
    </xf>
    <xf numFmtId="3" fontId="58" fillId="0" borderId="45" xfId="6" applyNumberFormat="1" applyFont="1" applyBorder="1" applyAlignment="1">
      <alignment horizontal="center" vertical="center" readingOrder="2"/>
    </xf>
    <xf numFmtId="3" fontId="58" fillId="0" borderId="85" xfId="6" applyNumberFormat="1" applyFont="1" applyBorder="1" applyAlignment="1">
      <alignment horizontal="center" vertical="center" readingOrder="2"/>
    </xf>
    <xf numFmtId="38" fontId="58" fillId="0" borderId="45" xfId="6" applyNumberFormat="1" applyFont="1" applyBorder="1" applyAlignment="1">
      <alignment horizontal="center" vertical="center" readingOrder="2"/>
    </xf>
    <xf numFmtId="38" fontId="58" fillId="0" borderId="85" xfId="6" applyNumberFormat="1" applyFont="1" applyBorder="1" applyAlignment="1">
      <alignment horizontal="center" vertical="center" readingOrder="2"/>
    </xf>
    <xf numFmtId="37" fontId="58" fillId="0" borderId="0" xfId="3" applyNumberFormat="1" applyFont="1" applyAlignment="1">
      <alignment horizontal="center" vertical="center" readingOrder="2"/>
    </xf>
    <xf numFmtId="0" fontId="58" fillId="0" borderId="0" xfId="0" applyFont="1" applyAlignment="1">
      <alignment horizontal="center" vertical="center" readingOrder="2"/>
    </xf>
    <xf numFmtId="0" fontId="58" fillId="0" borderId="92" xfId="0" applyFont="1" applyBorder="1" applyAlignment="1">
      <alignment horizontal="center" vertical="center" readingOrder="2"/>
    </xf>
    <xf numFmtId="10" fontId="58" fillId="0" borderId="45" xfId="6" applyNumberFormat="1" applyFont="1" applyBorder="1" applyAlignment="1">
      <alignment horizontal="center" vertical="center" readingOrder="2"/>
    </xf>
    <xf numFmtId="10" fontId="58" fillId="0" borderId="85" xfId="6" applyNumberFormat="1" applyFont="1" applyBorder="1" applyAlignment="1">
      <alignment horizontal="center" vertical="center" readingOrder="2"/>
    </xf>
    <xf numFmtId="0" fontId="58" fillId="0" borderId="93" xfId="0" applyFont="1" applyBorder="1" applyAlignment="1">
      <alignment horizontal="center" vertical="center" readingOrder="2"/>
    </xf>
    <xf numFmtId="3" fontId="58" fillId="0" borderId="86" xfId="6" applyNumberFormat="1" applyFont="1" applyBorder="1" applyAlignment="1">
      <alignment horizontal="center" vertical="center" readingOrder="2"/>
    </xf>
    <xf numFmtId="3" fontId="58" fillId="0" borderId="87" xfId="6" applyNumberFormat="1" applyFont="1" applyBorder="1" applyAlignment="1">
      <alignment horizontal="center" vertical="center" readingOrder="2"/>
    </xf>
    <xf numFmtId="9" fontId="58" fillId="0" borderId="0" xfId="6" applyFont="1" applyAlignment="1">
      <alignment horizontal="center" vertical="center" readingOrder="2"/>
    </xf>
    <xf numFmtId="177" fontId="68" fillId="0" borderId="0" xfId="3" applyNumberFormat="1" applyFont="1" applyFill="1" applyBorder="1" applyAlignment="1">
      <alignment horizontal="center" vertical="center"/>
    </xf>
    <xf numFmtId="177" fontId="58" fillId="0" borderId="0" xfId="3" applyNumberFormat="1" applyFont="1" applyFill="1" applyBorder="1" applyAlignment="1">
      <alignment horizontal="center" vertical="center"/>
    </xf>
    <xf numFmtId="38" fontId="74" fillId="13" borderId="0" xfId="0" applyNumberFormat="1" applyFont="1" applyFill="1" applyAlignment="1">
      <alignment horizontal="center" vertical="center" readingOrder="2"/>
    </xf>
    <xf numFmtId="38" fontId="49" fillId="0" borderId="0" xfId="0" applyNumberFormat="1" applyFont="1" applyFill="1" applyBorder="1" applyAlignment="1">
      <alignment horizontal="center" vertical="center" readingOrder="2"/>
    </xf>
    <xf numFmtId="38" fontId="74" fillId="0" borderId="0" xfId="0" applyNumberFormat="1" applyFont="1" applyFill="1" applyAlignment="1">
      <alignment horizontal="center" vertical="center" readingOrder="2"/>
    </xf>
    <xf numFmtId="38" fontId="74" fillId="13" borderId="4" xfId="0" applyNumberFormat="1" applyFont="1" applyFill="1" applyBorder="1" applyAlignment="1">
      <alignment horizontal="center" vertical="center" readingOrder="2"/>
    </xf>
    <xf numFmtId="38" fontId="74" fillId="0" borderId="4" xfId="0" applyNumberFormat="1" applyFont="1" applyFill="1" applyBorder="1" applyAlignment="1">
      <alignment horizontal="center" vertical="center" readingOrder="2"/>
    </xf>
    <xf numFmtId="38" fontId="69" fillId="13" borderId="0" xfId="0" applyNumberFormat="1" applyFont="1" applyFill="1" applyAlignment="1">
      <alignment horizontal="center" vertical="center" readingOrder="2"/>
    </xf>
    <xf numFmtId="38" fontId="63" fillId="0" borderId="0" xfId="0" applyNumberFormat="1" applyFont="1" applyFill="1" applyBorder="1" applyAlignment="1">
      <alignment horizontal="center" vertical="center" readingOrder="2"/>
    </xf>
    <xf numFmtId="38" fontId="69" fillId="0" borderId="0" xfId="0" applyNumberFormat="1" applyFont="1" applyFill="1" applyAlignment="1">
      <alignment horizontal="center" vertical="center" readingOrder="2"/>
    </xf>
    <xf numFmtId="38" fontId="74" fillId="13" borderId="3" xfId="0" applyNumberFormat="1" applyFont="1" applyFill="1" applyBorder="1" applyAlignment="1">
      <alignment horizontal="center" vertical="center" readingOrder="2"/>
    </xf>
    <xf numFmtId="38" fontId="74" fillId="0" borderId="3" xfId="0" applyNumberFormat="1" applyFont="1" applyFill="1" applyBorder="1" applyAlignment="1">
      <alignment horizontal="center" vertical="center" readingOrder="2"/>
    </xf>
    <xf numFmtId="177" fontId="74" fillId="13" borderId="0" xfId="0" applyNumberFormat="1" applyFont="1" applyFill="1" applyAlignment="1">
      <alignment horizontal="center" vertical="center" readingOrder="2"/>
    </xf>
    <xf numFmtId="177" fontId="49" fillId="0" borderId="0" xfId="0" applyNumberFormat="1" applyFont="1" applyFill="1" applyBorder="1" applyAlignment="1">
      <alignment horizontal="center" vertical="center" readingOrder="2"/>
    </xf>
    <xf numFmtId="177" fontId="74" fillId="0" borderId="0" xfId="0" applyNumberFormat="1" applyFont="1" applyFill="1" applyAlignment="1">
      <alignment horizontal="center" vertical="center" readingOrder="2"/>
    </xf>
    <xf numFmtId="38" fontId="49" fillId="13" borderId="1" xfId="0" applyNumberFormat="1" applyFont="1" applyFill="1" applyBorder="1" applyAlignment="1">
      <alignment horizontal="center" vertical="center" readingOrder="2"/>
    </xf>
    <xf numFmtId="38" fontId="49" fillId="0" borderId="1" xfId="0" applyNumberFormat="1" applyFont="1" applyFill="1" applyBorder="1" applyAlignment="1">
      <alignment horizontal="center" vertical="center" readingOrder="2"/>
    </xf>
    <xf numFmtId="0" fontId="69" fillId="14" borderId="65" xfId="7" applyFont="1" applyFill="1" applyBorder="1" applyAlignment="1">
      <alignment horizontal="center"/>
    </xf>
    <xf numFmtId="0" fontId="74" fillId="14" borderId="8" xfId="7" applyFont="1" applyFill="1" applyBorder="1"/>
    <xf numFmtId="0" fontId="69" fillId="14" borderId="8" xfId="7" applyFont="1" applyFill="1" applyBorder="1"/>
    <xf numFmtId="0" fontId="69" fillId="14" borderId="8" xfId="7" applyFont="1" applyFill="1" applyBorder="1" applyAlignment="1">
      <alignment horizontal="center"/>
    </xf>
    <xf numFmtId="0" fontId="69" fillId="14" borderId="66" xfId="7" applyFont="1" applyFill="1" applyBorder="1"/>
    <xf numFmtId="0" fontId="69" fillId="0" borderId="0" xfId="7" applyFont="1"/>
    <xf numFmtId="0" fontId="74" fillId="0" borderId="0" xfId="7" applyFont="1"/>
    <xf numFmtId="0" fontId="84" fillId="0" borderId="0" xfId="7" applyFont="1" applyAlignment="1">
      <alignment horizontal="center"/>
    </xf>
    <xf numFmtId="0" fontId="84" fillId="14" borderId="145" xfId="7" applyNumberFormat="1" applyFont="1" applyFill="1" applyBorder="1" applyAlignment="1">
      <alignment horizontal="center" vertical="center"/>
    </xf>
    <xf numFmtId="0" fontId="84" fillId="14" borderId="146" xfId="7" applyNumberFormat="1" applyFont="1" applyFill="1" applyBorder="1" applyAlignment="1">
      <alignment horizontal="center" vertical="center" wrapText="1" readingOrder="2"/>
    </xf>
    <xf numFmtId="0" fontId="84" fillId="14" borderId="147" xfId="7" applyNumberFormat="1" applyFont="1" applyFill="1" applyBorder="1" applyAlignment="1">
      <alignment horizontal="center" vertical="center" wrapText="1" readingOrder="2"/>
    </xf>
    <xf numFmtId="0" fontId="84" fillId="14" borderId="148" xfId="7" applyNumberFormat="1" applyFont="1" applyFill="1" applyBorder="1" applyAlignment="1">
      <alignment horizontal="center" vertical="center"/>
    </xf>
    <xf numFmtId="0" fontId="84" fillId="14" borderId="149" xfId="7" applyNumberFormat="1" applyFont="1" applyFill="1" applyBorder="1" applyAlignment="1">
      <alignment horizontal="center" vertical="center" wrapText="1" readingOrder="2"/>
    </xf>
    <xf numFmtId="0" fontId="84" fillId="14" borderId="150" xfId="7" applyNumberFormat="1" applyFont="1" applyFill="1" applyBorder="1" applyAlignment="1">
      <alignment horizontal="center" vertical="center" wrapText="1" readingOrder="2"/>
    </xf>
    <xf numFmtId="0" fontId="84" fillId="0" borderId="0" xfId="7" applyFont="1" applyAlignment="1">
      <alignment horizontal="center" vertical="center"/>
    </xf>
    <xf numFmtId="0" fontId="81" fillId="0" borderId="72" xfId="7" applyFont="1" applyBorder="1" applyAlignment="1">
      <alignment horizontal="center" vertical="center" readingOrder="2"/>
    </xf>
    <xf numFmtId="0" fontId="81" fillId="0" borderId="16" xfId="1" applyNumberFormat="1" applyFont="1" applyBorder="1" applyAlignment="1">
      <alignment shrinkToFit="1"/>
    </xf>
    <xf numFmtId="3" fontId="81" fillId="0" borderId="48" xfId="7" applyNumberFormat="1" applyFont="1" applyFill="1" applyBorder="1" applyAlignment="1">
      <alignment horizontal="center" vertical="center" readingOrder="2"/>
    </xf>
    <xf numFmtId="10" fontId="81" fillId="0" borderId="49" xfId="7" applyNumberFormat="1" applyFont="1" applyBorder="1" applyAlignment="1">
      <alignment horizontal="center" vertical="center" readingOrder="2"/>
    </xf>
    <xf numFmtId="4" fontId="81" fillId="0" borderId="50" xfId="7" applyNumberFormat="1" applyFont="1" applyBorder="1" applyAlignment="1">
      <alignment horizontal="center" vertical="center" readingOrder="2"/>
    </xf>
    <xf numFmtId="0" fontId="81" fillId="0" borderId="0" xfId="7" applyFont="1"/>
    <xf numFmtId="0" fontId="81" fillId="0" borderId="73" xfId="7" applyFont="1" applyBorder="1" applyAlignment="1">
      <alignment horizontal="center" vertical="center" readingOrder="2"/>
    </xf>
    <xf numFmtId="0" fontId="81" fillId="0" borderId="17" xfId="1" applyNumberFormat="1" applyFont="1" applyBorder="1" applyAlignment="1">
      <alignment shrinkToFit="1"/>
    </xf>
    <xf numFmtId="3" fontId="81" fillId="0" borderId="52" xfId="7" applyNumberFormat="1" applyFont="1" applyFill="1" applyBorder="1" applyAlignment="1">
      <alignment horizontal="center" vertical="center" readingOrder="2"/>
    </xf>
    <xf numFmtId="3" fontId="81" fillId="9" borderId="55" xfId="7" applyNumberFormat="1" applyFont="1" applyFill="1" applyBorder="1" applyAlignment="1">
      <alignment horizontal="center" vertical="center" readingOrder="2"/>
    </xf>
    <xf numFmtId="3" fontId="81" fillId="9" borderId="56" xfId="7" applyNumberFormat="1" applyFont="1" applyFill="1" applyBorder="1" applyAlignment="1">
      <alignment horizontal="center" vertical="center" readingOrder="2"/>
    </xf>
    <xf numFmtId="3" fontId="81" fillId="9" borderId="57" xfId="7" applyNumberFormat="1" applyFont="1" applyFill="1" applyBorder="1" applyAlignment="1">
      <alignment horizontal="center" vertical="center" readingOrder="2"/>
    </xf>
    <xf numFmtId="3" fontId="81" fillId="9" borderId="58" xfId="7" applyNumberFormat="1" applyFont="1" applyFill="1" applyBorder="1" applyAlignment="1">
      <alignment horizontal="center" vertical="center" readingOrder="2"/>
    </xf>
    <xf numFmtId="3" fontId="81" fillId="9" borderId="59" xfId="7" applyNumberFormat="1" applyFont="1" applyFill="1" applyBorder="1" applyAlignment="1">
      <alignment horizontal="center" vertical="center" readingOrder="2"/>
    </xf>
    <xf numFmtId="3" fontId="81" fillId="9" borderId="61" xfId="7" applyNumberFormat="1" applyFont="1" applyFill="1" applyBorder="1" applyAlignment="1">
      <alignment horizontal="center" vertical="center" readingOrder="2"/>
    </xf>
    <xf numFmtId="3" fontId="81" fillId="9" borderId="62" xfId="7" applyNumberFormat="1" applyFont="1" applyFill="1" applyBorder="1" applyAlignment="1">
      <alignment horizontal="center" vertical="center" readingOrder="2"/>
    </xf>
    <xf numFmtId="3" fontId="81" fillId="9" borderId="53" xfId="7" applyNumberFormat="1" applyFont="1" applyFill="1" applyBorder="1" applyAlignment="1">
      <alignment horizontal="center" vertical="center" readingOrder="2"/>
    </xf>
    <xf numFmtId="3" fontId="81" fillId="9" borderId="63" xfId="7" applyNumberFormat="1" applyFont="1" applyFill="1" applyBorder="1" applyAlignment="1">
      <alignment horizontal="center" vertical="center" readingOrder="2"/>
    </xf>
    <xf numFmtId="3" fontId="81" fillId="9" borderId="64" xfId="7" applyNumberFormat="1" applyFont="1" applyFill="1" applyBorder="1" applyAlignment="1">
      <alignment horizontal="center" vertical="center" readingOrder="2"/>
    </xf>
    <xf numFmtId="3" fontId="81" fillId="9" borderId="78" xfId="7" applyNumberFormat="1" applyFont="1" applyFill="1" applyBorder="1" applyAlignment="1">
      <alignment horizontal="center" vertical="center" readingOrder="2"/>
    </xf>
    <xf numFmtId="3" fontId="81" fillId="9" borderId="79" xfId="7" applyNumberFormat="1" applyFont="1" applyFill="1" applyBorder="1" applyAlignment="1">
      <alignment horizontal="center" vertical="center" readingOrder="2"/>
    </xf>
    <xf numFmtId="3" fontId="81" fillId="9" borderId="80" xfId="7" applyNumberFormat="1" applyFont="1" applyFill="1" applyBorder="1" applyAlignment="1">
      <alignment horizontal="center" vertical="center" readingOrder="2"/>
    </xf>
    <xf numFmtId="3" fontId="81" fillId="9" borderId="81" xfId="7" applyNumberFormat="1" applyFont="1" applyFill="1" applyBorder="1" applyAlignment="1">
      <alignment horizontal="center" vertical="center" readingOrder="2"/>
    </xf>
    <xf numFmtId="3" fontId="81" fillId="9" borderId="82" xfId="7" applyNumberFormat="1" applyFont="1" applyFill="1" applyBorder="1" applyAlignment="1">
      <alignment horizontal="center" vertical="center" readingOrder="2"/>
    </xf>
    <xf numFmtId="0" fontId="81" fillId="0" borderId="0" xfId="7" applyFont="1" applyAlignment="1">
      <alignment horizontal="center"/>
    </xf>
    <xf numFmtId="0" fontId="84" fillId="0" borderId="0" xfId="7" applyFont="1"/>
    <xf numFmtId="3" fontId="84" fillId="0" borderId="0" xfId="7" applyNumberFormat="1" applyFont="1"/>
    <xf numFmtId="3" fontId="84" fillId="0" borderId="0" xfId="7" applyNumberFormat="1" applyFont="1" applyAlignment="1">
      <alignment horizontal="center"/>
    </xf>
    <xf numFmtId="0" fontId="74" fillId="0" borderId="0" xfId="7" applyFont="1" applyAlignment="1">
      <alignment horizontal="center"/>
    </xf>
    <xf numFmtId="3" fontId="74" fillId="0" borderId="0" xfId="7" applyNumberFormat="1" applyFont="1"/>
    <xf numFmtId="0" fontId="69" fillId="0" borderId="0" xfId="7" applyFont="1" applyAlignment="1">
      <alignment horizontal="center"/>
    </xf>
    <xf numFmtId="0" fontId="68" fillId="0" borderId="0" xfId="3" applyFont="1" applyAlignment="1">
      <alignment horizontal="center" vertical="center"/>
    </xf>
    <xf numFmtId="37" fontId="69" fillId="0" borderId="0" xfId="1" applyNumberFormat="1" applyFont="1" applyAlignment="1">
      <alignment horizontal="center" vertical="center"/>
    </xf>
    <xf numFmtId="37" fontId="68" fillId="0" borderId="0" xfId="3" applyNumberFormat="1" applyFont="1" applyAlignment="1">
      <alignment horizontal="right" vertical="center"/>
    </xf>
    <xf numFmtId="37" fontId="69" fillId="0" borderId="0" xfId="1" applyNumberFormat="1" applyFont="1" applyAlignment="1">
      <alignment horizontal="right" vertical="center"/>
    </xf>
    <xf numFmtId="37" fontId="68" fillId="0" borderId="16" xfId="3" applyNumberFormat="1" applyFont="1" applyBorder="1" applyAlignment="1">
      <alignment horizontal="center" vertical="center"/>
    </xf>
    <xf numFmtId="0" fontId="68" fillId="0" borderId="0" xfId="3" applyFont="1"/>
    <xf numFmtId="37" fontId="68" fillId="0" borderId="17" xfId="3" applyNumberFormat="1" applyFont="1" applyBorder="1" applyAlignment="1">
      <alignment horizontal="center" vertical="center"/>
    </xf>
    <xf numFmtId="37" fontId="60" fillId="0" borderId="1" xfId="3" applyNumberFormat="1" applyFont="1" applyBorder="1" applyAlignment="1">
      <alignment horizontal="center" vertical="center"/>
    </xf>
    <xf numFmtId="37" fontId="60" fillId="0" borderId="0" xfId="3" applyNumberFormat="1" applyFont="1" applyBorder="1" applyAlignment="1">
      <alignment horizontal="center" vertical="center"/>
    </xf>
    <xf numFmtId="37" fontId="68" fillId="0" borderId="0" xfId="3" applyNumberFormat="1" applyFont="1" applyBorder="1" applyAlignment="1">
      <alignment horizontal="center" vertical="center"/>
    </xf>
    <xf numFmtId="37" fontId="60" fillId="0" borderId="3" xfId="3" applyNumberFormat="1" applyFont="1" applyBorder="1" applyAlignment="1">
      <alignment horizontal="center" vertical="center"/>
    </xf>
    <xf numFmtId="49" fontId="2" fillId="0" borderId="0" xfId="1" applyNumberFormat="1" applyFont="1" applyAlignment="1">
      <alignment horizontal="center" vertical="center" readingOrder="2"/>
    </xf>
    <xf numFmtId="167" fontId="2" fillId="0" borderId="0" xfId="1" applyNumberFormat="1" applyFont="1" applyAlignment="1">
      <alignment horizontal="center" vertical="center"/>
    </xf>
    <xf numFmtId="167" fontId="13" fillId="0" borderId="0" xfId="1" applyNumberFormat="1" applyFont="1" applyAlignment="1">
      <alignment horizontal="center" vertical="center"/>
    </xf>
    <xf numFmtId="167" fontId="13" fillId="0" borderId="9" xfId="1" applyNumberFormat="1" applyFont="1" applyBorder="1" applyAlignment="1">
      <alignment horizontal="center" vertical="center"/>
    </xf>
    <xf numFmtId="167" fontId="7" fillId="0" borderId="0" xfId="1" applyNumberFormat="1" applyFont="1" applyBorder="1" applyAlignment="1">
      <alignment horizontal="center" shrinkToFit="1"/>
    </xf>
    <xf numFmtId="0" fontId="7" fillId="0" borderId="0" xfId="1" applyNumberFormat="1" applyFont="1" applyBorder="1" applyAlignment="1">
      <alignment horizontal="center" shrinkToFit="1"/>
    </xf>
    <xf numFmtId="167" fontId="3" fillId="0" borderId="0" xfId="1" applyNumberFormat="1" applyFont="1" applyAlignment="1">
      <alignment horizontal="center" vertical="center"/>
    </xf>
    <xf numFmtId="167" fontId="2" fillId="0" borderId="4" xfId="1" applyNumberFormat="1" applyFont="1" applyBorder="1" applyAlignment="1">
      <alignment horizontal="center" vertical="center" readingOrder="2"/>
    </xf>
    <xf numFmtId="167" fontId="17" fillId="0" borderId="0" xfId="2" applyNumberFormat="1" applyFont="1" applyAlignment="1">
      <alignment horizontal="center" vertical="center" shrinkToFit="1"/>
    </xf>
    <xf numFmtId="167" fontId="2" fillId="0" borderId="0" xfId="2" applyNumberFormat="1" applyFont="1" applyAlignment="1">
      <alignment horizontal="center" vertical="center" shrinkToFit="1"/>
    </xf>
    <xf numFmtId="167" fontId="8" fillId="0" borderId="0" xfId="2" applyNumberFormat="1" applyFont="1" applyAlignment="1">
      <alignment horizontal="center" vertical="center" shrinkToFit="1"/>
    </xf>
    <xf numFmtId="167" fontId="17" fillId="0" borderId="0" xfId="2" applyNumberFormat="1" applyFont="1" applyAlignment="1">
      <alignment horizontal="center" vertical="center" shrinkToFit="1" readingOrder="2"/>
    </xf>
    <xf numFmtId="167" fontId="13" fillId="0" borderId="9" xfId="2" applyNumberFormat="1" applyFont="1" applyBorder="1" applyAlignment="1">
      <alignment horizontal="center" vertical="center" shrinkToFit="1"/>
    </xf>
    <xf numFmtId="167" fontId="2" fillId="0" borderId="0" xfId="4" applyNumberFormat="1" applyFont="1" applyAlignment="1">
      <alignment horizontal="center" vertical="center" shrinkToFit="1" readingOrder="2"/>
    </xf>
    <xf numFmtId="167" fontId="23" fillId="0" borderId="0" xfId="1" applyNumberFormat="1" applyFont="1" applyBorder="1" applyAlignment="1">
      <alignment horizontal="center" shrinkToFit="1"/>
    </xf>
    <xf numFmtId="0" fontId="23" fillId="0" borderId="0" xfId="1" applyNumberFormat="1" applyFont="1" applyBorder="1" applyAlignment="1">
      <alignment horizontal="center" shrinkToFit="1"/>
    </xf>
    <xf numFmtId="0" fontId="13" fillId="0" borderId="9" xfId="1" applyNumberFormat="1" applyFont="1" applyBorder="1" applyAlignment="1">
      <alignment horizontal="center"/>
    </xf>
    <xf numFmtId="0" fontId="32" fillId="0" borderId="14" xfId="3" applyFont="1" applyBorder="1" applyAlignment="1">
      <alignment horizontal="center" vertical="center" textRotation="180"/>
    </xf>
    <xf numFmtId="0" fontId="32" fillId="0" borderId="15" xfId="3" applyFont="1" applyBorder="1" applyAlignment="1">
      <alignment horizontal="center" vertical="center" textRotation="180"/>
    </xf>
    <xf numFmtId="0" fontId="32" fillId="0" borderId="18" xfId="3" applyFont="1" applyBorder="1" applyAlignment="1">
      <alignment horizontal="center" vertical="center" textRotation="180"/>
    </xf>
    <xf numFmtId="0" fontId="21" fillId="0" borderId="34" xfId="3" applyBorder="1" applyAlignment="1">
      <alignment horizontal="center"/>
    </xf>
    <xf numFmtId="0" fontId="21" fillId="0" borderId="2" xfId="3" applyBorder="1" applyAlignment="1">
      <alignment horizontal="center"/>
    </xf>
    <xf numFmtId="0" fontId="21" fillId="0" borderId="27" xfId="3" applyBorder="1" applyAlignment="1">
      <alignment horizontal="center"/>
    </xf>
    <xf numFmtId="0" fontId="21" fillId="0" borderId="38" xfId="3" applyBorder="1" applyAlignment="1">
      <alignment horizontal="center"/>
    </xf>
    <xf numFmtId="0" fontId="21" fillId="0" borderId="0" xfId="3" applyBorder="1" applyAlignment="1">
      <alignment horizontal="center"/>
    </xf>
    <xf numFmtId="0" fontId="21" fillId="0" borderId="20" xfId="3" applyBorder="1" applyAlignment="1">
      <alignment horizontal="center"/>
    </xf>
    <xf numFmtId="0" fontId="21" fillId="0" borderId="41" xfId="3" applyBorder="1" applyAlignment="1">
      <alignment horizontal="center"/>
    </xf>
    <xf numFmtId="0" fontId="21" fillId="0" borderId="4" xfId="3" applyBorder="1" applyAlignment="1">
      <alignment horizontal="center"/>
    </xf>
    <xf numFmtId="0" fontId="21" fillId="0" borderId="24" xfId="3" applyBorder="1" applyAlignment="1">
      <alignment horizontal="center"/>
    </xf>
    <xf numFmtId="37" fontId="21" fillId="0" borderId="37" xfId="3" applyNumberFormat="1" applyBorder="1" applyAlignment="1">
      <alignment horizontal="center" vertical="center"/>
    </xf>
    <xf numFmtId="37" fontId="21" fillId="0" borderId="42" xfId="3" applyNumberFormat="1" applyBorder="1" applyAlignment="1">
      <alignment horizontal="center" vertical="center"/>
    </xf>
    <xf numFmtId="0" fontId="8" fillId="0" borderId="32" xfId="1" applyNumberFormat="1" applyFont="1" applyFill="1" applyBorder="1" applyAlignment="1">
      <alignment horizontal="center" wrapText="1" shrinkToFit="1"/>
    </xf>
    <xf numFmtId="0" fontId="8" fillId="0" borderId="23" xfId="1" applyNumberFormat="1" applyFont="1" applyFill="1" applyBorder="1" applyAlignment="1">
      <alignment horizontal="center" wrapText="1" shrinkToFit="1"/>
    </xf>
    <xf numFmtId="0" fontId="8" fillId="0" borderId="35" xfId="1" applyNumberFormat="1" applyFont="1" applyFill="1" applyBorder="1" applyAlignment="1">
      <alignment horizontal="center" wrapText="1" shrinkToFit="1"/>
    </xf>
    <xf numFmtId="0" fontId="8" fillId="0" borderId="36" xfId="1" applyNumberFormat="1" applyFont="1" applyFill="1" applyBorder="1" applyAlignment="1">
      <alignment horizontal="center" wrapText="1" shrinkToFit="1"/>
    </xf>
    <xf numFmtId="37" fontId="21" fillId="0" borderId="33" xfId="3" applyNumberFormat="1" applyBorder="1" applyAlignment="1">
      <alignment horizontal="center" vertical="center"/>
    </xf>
    <xf numFmtId="0" fontId="41" fillId="0" borderId="29" xfId="3" applyFont="1" applyBorder="1" applyAlignment="1">
      <alignment horizontal="center" vertical="center" wrapText="1"/>
    </xf>
    <xf numFmtId="0" fontId="41" fillId="0" borderId="30" xfId="3" applyFont="1" applyBorder="1" applyAlignment="1">
      <alignment horizontal="center" vertical="center" wrapText="1"/>
    </xf>
    <xf numFmtId="0" fontId="42" fillId="0" borderId="32" xfId="3" applyFont="1" applyBorder="1" applyAlignment="1">
      <alignment horizontal="center" vertical="center" wrapText="1"/>
    </xf>
    <xf numFmtId="0" fontId="42" fillId="0" borderId="23" xfId="3" applyFont="1" applyBorder="1" applyAlignment="1">
      <alignment horizontal="center" vertical="center" wrapText="1"/>
    </xf>
    <xf numFmtId="0" fontId="42" fillId="0" borderId="35" xfId="3" applyFont="1" applyBorder="1" applyAlignment="1">
      <alignment horizontal="center" vertical="center" wrapText="1"/>
    </xf>
    <xf numFmtId="0" fontId="42" fillId="0" borderId="36" xfId="3" applyFont="1" applyBorder="1" applyAlignment="1">
      <alignment horizontal="center" vertical="center" wrapText="1"/>
    </xf>
    <xf numFmtId="0" fontId="8" fillId="0" borderId="32" xfId="1" applyNumberFormat="1" applyFont="1" applyBorder="1" applyAlignment="1">
      <alignment horizontal="center" vertical="center" shrinkToFit="1"/>
    </xf>
    <xf numFmtId="0" fontId="8" fillId="0" borderId="23" xfId="1" applyNumberFormat="1" applyFont="1" applyBorder="1" applyAlignment="1">
      <alignment horizontal="center" vertical="center" shrinkToFit="1"/>
    </xf>
    <xf numFmtId="0" fontId="8" fillId="0" borderId="35" xfId="1" applyNumberFormat="1" applyFont="1" applyBorder="1" applyAlignment="1">
      <alignment horizontal="center" vertical="center" shrinkToFit="1"/>
    </xf>
    <xf numFmtId="0" fontId="8" fillId="0" borderId="36" xfId="1" applyNumberFormat="1" applyFont="1" applyBorder="1" applyAlignment="1">
      <alignment horizontal="center" vertical="center" shrinkToFit="1"/>
    </xf>
    <xf numFmtId="0" fontId="8" fillId="0" borderId="32" xfId="1" applyNumberFormat="1" applyFont="1" applyBorder="1" applyAlignment="1">
      <alignment horizontal="center" shrinkToFit="1"/>
    </xf>
    <xf numFmtId="0" fontId="8" fillId="0" borderId="23" xfId="1" applyNumberFormat="1" applyFont="1" applyBorder="1" applyAlignment="1">
      <alignment horizontal="center" shrinkToFit="1"/>
    </xf>
    <xf numFmtId="0" fontId="8" fillId="0" borderId="35" xfId="1" applyNumberFormat="1" applyFont="1" applyBorder="1" applyAlignment="1">
      <alignment horizontal="center" shrinkToFit="1"/>
    </xf>
    <xf numFmtId="0" fontId="8" fillId="0" borderId="36" xfId="1" applyNumberFormat="1" applyFont="1" applyBorder="1" applyAlignment="1">
      <alignment horizontal="center" shrinkToFit="1"/>
    </xf>
    <xf numFmtId="0" fontId="4" fillId="0" borderId="32" xfId="1" applyNumberFormat="1" applyFont="1" applyBorder="1" applyAlignment="1">
      <alignment horizontal="center" shrinkToFit="1"/>
    </xf>
    <xf numFmtId="0" fontId="4" fillId="0" borderId="23" xfId="1" applyNumberFormat="1" applyFont="1" applyBorder="1" applyAlignment="1">
      <alignment horizontal="center" shrinkToFit="1"/>
    </xf>
    <xf numFmtId="0" fontId="4" fillId="0" borderId="35" xfId="1" applyNumberFormat="1" applyFont="1" applyBorder="1" applyAlignment="1">
      <alignment horizontal="center" shrinkToFit="1"/>
    </xf>
    <xf numFmtId="0" fontId="4" fillId="0" borderId="36" xfId="1" applyNumberFormat="1" applyFont="1" applyBorder="1" applyAlignment="1">
      <alignment horizontal="center" shrinkToFit="1"/>
    </xf>
    <xf numFmtId="0" fontId="8" fillId="0" borderId="29" xfId="1" applyNumberFormat="1" applyFont="1" applyFill="1" applyBorder="1" applyAlignment="1">
      <alignment horizontal="center" wrapText="1" shrinkToFit="1"/>
    </xf>
    <xf numFmtId="0" fontId="8" fillId="0" borderId="30" xfId="1" applyNumberFormat="1" applyFont="1" applyFill="1" applyBorder="1" applyAlignment="1">
      <alignment horizontal="center" wrapText="1" shrinkToFit="1"/>
    </xf>
    <xf numFmtId="0" fontId="8" fillId="0" borderId="39" xfId="1" applyNumberFormat="1" applyFont="1" applyFill="1" applyBorder="1" applyAlignment="1">
      <alignment horizontal="center" wrapText="1" shrinkToFit="1"/>
    </xf>
    <xf numFmtId="0" fontId="8" fillId="0" borderId="40" xfId="1" applyNumberFormat="1" applyFont="1" applyFill="1" applyBorder="1" applyAlignment="1">
      <alignment horizontal="center" wrapText="1" shrinkToFit="1"/>
    </xf>
    <xf numFmtId="37" fontId="21" fillId="0" borderId="7" xfId="3" applyNumberFormat="1" applyBorder="1" applyAlignment="1">
      <alignment horizontal="center" vertical="center"/>
    </xf>
    <xf numFmtId="37" fontId="21" fillId="0" borderId="6" xfId="3" applyNumberFormat="1" applyBorder="1" applyAlignment="1">
      <alignment horizontal="center" vertical="center"/>
    </xf>
    <xf numFmtId="37" fontId="21" fillId="0" borderId="13" xfId="3" applyNumberFormat="1" applyBorder="1" applyAlignment="1">
      <alignment horizontal="center" vertical="center"/>
    </xf>
    <xf numFmtId="37" fontId="21" fillId="0" borderId="45" xfId="3" applyNumberFormat="1" applyBorder="1" applyAlignment="1">
      <alignment horizontal="center" vertical="center"/>
    </xf>
    <xf numFmtId="0" fontId="21" fillId="0" borderId="45" xfId="3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48" fillId="14" borderId="67" xfId="7" applyFont="1" applyFill="1" applyBorder="1" applyAlignment="1">
      <alignment horizontal="center" vertical="center"/>
    </xf>
    <xf numFmtId="0" fontId="48" fillId="14" borderId="46" xfId="7" applyFont="1" applyFill="1" applyBorder="1" applyAlignment="1">
      <alignment horizontal="center" vertical="center"/>
    </xf>
    <xf numFmtId="0" fontId="48" fillId="14" borderId="68" xfId="7" applyFont="1" applyFill="1" applyBorder="1" applyAlignment="1">
      <alignment horizontal="center" vertical="center"/>
    </xf>
    <xf numFmtId="0" fontId="48" fillId="14" borderId="47" xfId="7" applyFont="1" applyFill="1" applyBorder="1" applyAlignment="1">
      <alignment horizontal="center" vertical="center"/>
    </xf>
    <xf numFmtId="0" fontId="48" fillId="14" borderId="0" xfId="7" applyFont="1" applyFill="1" applyBorder="1" applyAlignment="1">
      <alignment horizontal="center" vertical="center"/>
    </xf>
    <xf numFmtId="0" fontId="84" fillId="14" borderId="154" xfId="7" applyNumberFormat="1" applyFont="1" applyFill="1" applyBorder="1" applyAlignment="1">
      <alignment horizontal="center" vertical="center" readingOrder="2"/>
    </xf>
    <xf numFmtId="0" fontId="84" fillId="14" borderId="152" xfId="7" applyNumberFormat="1" applyFont="1" applyFill="1" applyBorder="1" applyAlignment="1">
      <alignment horizontal="center" vertical="center" readingOrder="2"/>
    </xf>
    <xf numFmtId="0" fontId="84" fillId="14" borderId="157" xfId="7" applyNumberFormat="1" applyFont="1" applyFill="1" applyBorder="1" applyAlignment="1">
      <alignment horizontal="center" vertical="center" readingOrder="2"/>
    </xf>
    <xf numFmtId="37" fontId="69" fillId="0" borderId="0" xfId="7" applyNumberFormat="1" applyFont="1" applyAlignment="1">
      <alignment horizontal="center"/>
    </xf>
    <xf numFmtId="0" fontId="81" fillId="9" borderId="76" xfId="7" applyFont="1" applyFill="1" applyBorder="1" applyAlignment="1">
      <alignment vertical="center" readingOrder="2"/>
    </xf>
    <xf numFmtId="0" fontId="81" fillId="9" borderId="77" xfId="7" applyFont="1" applyFill="1" applyBorder="1" applyAlignment="1">
      <alignment vertical="center" readingOrder="2"/>
    </xf>
    <xf numFmtId="0" fontId="84" fillId="14" borderId="156" xfId="7" applyNumberFormat="1" applyFont="1" applyFill="1" applyBorder="1" applyAlignment="1">
      <alignment horizontal="center" vertical="center" readingOrder="2"/>
    </xf>
    <xf numFmtId="0" fontId="81" fillId="9" borderId="74" xfId="7" applyFont="1" applyFill="1" applyBorder="1" applyAlignment="1">
      <alignment horizontal="right" vertical="center" readingOrder="2"/>
    </xf>
    <xf numFmtId="0" fontId="81" fillId="9" borderId="54" xfId="7" applyFont="1" applyFill="1" applyBorder="1" applyAlignment="1">
      <alignment horizontal="right" vertical="center" readingOrder="2"/>
    </xf>
    <xf numFmtId="0" fontId="81" fillId="9" borderId="75" xfId="7" applyFont="1" applyFill="1" applyBorder="1" applyAlignment="1">
      <alignment vertical="center" readingOrder="2"/>
    </xf>
    <xf numFmtId="0" fontId="81" fillId="9" borderId="60" xfId="7" applyFont="1" applyFill="1" applyBorder="1" applyAlignment="1">
      <alignment vertical="center" readingOrder="2"/>
    </xf>
    <xf numFmtId="0" fontId="84" fillId="14" borderId="69" xfId="7" applyFont="1" applyFill="1" applyBorder="1" applyAlignment="1">
      <alignment horizontal="center" vertical="center"/>
    </xf>
    <xf numFmtId="0" fontId="84" fillId="14" borderId="71" xfId="7" applyFont="1" applyFill="1" applyBorder="1" applyAlignment="1">
      <alignment horizontal="center" vertical="center"/>
    </xf>
    <xf numFmtId="0" fontId="84" fillId="14" borderId="143" xfId="7" applyFont="1" applyFill="1" applyBorder="1" applyAlignment="1">
      <alignment horizontal="center" vertical="center"/>
    </xf>
    <xf numFmtId="0" fontId="84" fillId="14" borderId="51" xfId="7" applyFont="1" applyFill="1" applyBorder="1" applyAlignment="1">
      <alignment horizontal="center" vertical="center"/>
    </xf>
    <xf numFmtId="0" fontId="84" fillId="14" borderId="151" xfId="7" applyNumberFormat="1" applyFont="1" applyFill="1" applyBorder="1" applyAlignment="1">
      <alignment horizontal="center" vertical="center" readingOrder="2"/>
    </xf>
    <xf numFmtId="0" fontId="84" fillId="14" borderId="153" xfId="7" applyNumberFormat="1" applyFont="1" applyFill="1" applyBorder="1" applyAlignment="1">
      <alignment horizontal="center" vertical="center" readingOrder="2"/>
    </xf>
    <xf numFmtId="0" fontId="84" fillId="14" borderId="155" xfId="7" applyNumberFormat="1" applyFont="1" applyFill="1" applyBorder="1" applyAlignment="1">
      <alignment horizontal="center" vertical="center" readingOrder="2"/>
    </xf>
    <xf numFmtId="0" fontId="49" fillId="14" borderId="108" xfId="7" applyFont="1" applyFill="1" applyBorder="1" applyAlignment="1">
      <alignment horizontal="center" vertical="center"/>
    </xf>
    <xf numFmtId="0" fontId="49" fillId="14" borderId="109" xfId="7" applyFont="1" applyFill="1" applyBorder="1" applyAlignment="1">
      <alignment horizontal="center" vertical="center"/>
    </xf>
    <xf numFmtId="0" fontId="49" fillId="14" borderId="9" xfId="7" applyFont="1" applyFill="1" applyBorder="1" applyAlignment="1">
      <alignment horizontal="center" vertical="center"/>
    </xf>
    <xf numFmtId="0" fontId="49" fillId="14" borderId="158" xfId="7" applyFont="1" applyFill="1" applyBorder="1" applyAlignment="1">
      <alignment horizontal="center" vertical="center"/>
    </xf>
    <xf numFmtId="37" fontId="59" fillId="0" borderId="0" xfId="3" applyNumberFormat="1" applyFont="1" applyAlignment="1">
      <alignment horizontal="center" vertical="center"/>
    </xf>
    <xf numFmtId="167" fontId="63" fillId="0" borderId="0" xfId="1" applyNumberFormat="1" applyFont="1" applyBorder="1" applyAlignment="1">
      <alignment horizontal="center" vertical="center"/>
    </xf>
    <xf numFmtId="37" fontId="59" fillId="0" borderId="0" xfId="3" applyNumberFormat="1" applyFont="1" applyAlignment="1">
      <alignment horizontal="center" vertical="center" readingOrder="2"/>
    </xf>
    <xf numFmtId="0" fontId="59" fillId="0" borderId="9" xfId="0" applyFont="1" applyBorder="1" applyAlignment="1">
      <alignment horizontal="center" vertical="center" readingOrder="2"/>
    </xf>
    <xf numFmtId="0" fontId="59" fillId="0" borderId="0" xfId="0" applyFont="1" applyAlignment="1">
      <alignment horizontal="center" vertical="center" readingOrder="2"/>
    </xf>
    <xf numFmtId="37" fontId="58" fillId="0" borderId="0" xfId="0" applyNumberFormat="1" applyFont="1" applyAlignment="1">
      <alignment horizontal="center"/>
    </xf>
    <xf numFmtId="0" fontId="59" fillId="13" borderId="65" xfId="7" applyFont="1" applyFill="1" applyBorder="1" applyAlignment="1">
      <alignment horizontal="center" vertical="center"/>
    </xf>
    <xf numFmtId="0" fontId="59" fillId="13" borderId="97" xfId="7" applyFont="1" applyFill="1" applyBorder="1" applyAlignment="1">
      <alignment horizontal="center" vertical="center"/>
    </xf>
    <xf numFmtId="0" fontId="80" fillId="0" borderId="0" xfId="7" applyFont="1" applyAlignment="1">
      <alignment horizontal="center"/>
    </xf>
    <xf numFmtId="0" fontId="59" fillId="13" borderId="8" xfId="7" applyFont="1" applyFill="1" applyBorder="1" applyAlignment="1">
      <alignment horizontal="center" vertical="center"/>
    </xf>
    <xf numFmtId="0" fontId="59" fillId="13" borderId="66" xfId="7" applyFont="1" applyFill="1" applyBorder="1" applyAlignment="1">
      <alignment horizontal="center" vertical="center"/>
    </xf>
    <xf numFmtId="0" fontId="59" fillId="11" borderId="65" xfId="7" applyFont="1" applyFill="1" applyBorder="1" applyAlignment="1">
      <alignment horizontal="center" vertical="center"/>
    </xf>
    <xf numFmtId="0" fontId="59" fillId="11" borderId="114" xfId="7" applyFont="1" applyFill="1" applyBorder="1" applyAlignment="1">
      <alignment horizontal="center" vertical="center"/>
    </xf>
    <xf numFmtId="0" fontId="59" fillId="4" borderId="65" xfId="7" applyFont="1" applyFill="1" applyBorder="1" applyAlignment="1">
      <alignment horizontal="center" vertical="center"/>
    </xf>
    <xf numFmtId="0" fontId="59" fillId="4" borderId="8" xfId="7" applyFont="1" applyFill="1" applyBorder="1" applyAlignment="1">
      <alignment horizontal="center" vertical="center"/>
    </xf>
    <xf numFmtId="0" fontId="59" fillId="4" borderId="66" xfId="7" applyFont="1" applyFill="1" applyBorder="1" applyAlignment="1">
      <alignment horizontal="center" vertical="center"/>
    </xf>
    <xf numFmtId="0" fontId="59" fillId="11" borderId="97" xfId="7" applyFont="1" applyFill="1" applyBorder="1" applyAlignment="1">
      <alignment horizontal="center" vertical="center"/>
    </xf>
    <xf numFmtId="0" fontId="59" fillId="0" borderId="9" xfId="0" applyFont="1" applyBorder="1" applyAlignment="1">
      <alignment horizontal="center"/>
    </xf>
    <xf numFmtId="0" fontId="60" fillId="0" borderId="88" xfId="0" applyFont="1" applyBorder="1" applyAlignment="1">
      <alignment horizontal="left" vertical="center"/>
    </xf>
    <xf numFmtId="0" fontId="60" fillId="0" borderId="129" xfId="0" applyFont="1" applyBorder="1" applyAlignment="1">
      <alignment horizontal="left" vertical="center"/>
    </xf>
    <xf numFmtId="0" fontId="60" fillId="0" borderId="135" xfId="0" applyFont="1" applyBorder="1" applyAlignment="1">
      <alignment horizontal="left" vertical="center"/>
    </xf>
    <xf numFmtId="3" fontId="59" fillId="8" borderId="0" xfId="0" applyNumberFormat="1" applyFont="1" applyFill="1" applyAlignment="1">
      <alignment horizontal="center" vertical="center"/>
    </xf>
    <xf numFmtId="3" fontId="59" fillId="14" borderId="88" xfId="0" applyNumberFormat="1" applyFont="1" applyFill="1" applyBorder="1" applyAlignment="1">
      <alignment horizontal="center" vertical="center"/>
    </xf>
    <xf numFmtId="3" fontId="59" fillId="14" borderId="135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173" fontId="61" fillId="0" borderId="9" xfId="0" applyNumberFormat="1" applyFont="1" applyBorder="1" applyAlignment="1">
      <alignment horizontal="center"/>
    </xf>
    <xf numFmtId="0" fontId="60" fillId="0" borderId="88" xfId="0" applyFont="1" applyBorder="1" applyAlignment="1">
      <alignment horizontal="center" vertical="center"/>
    </xf>
    <xf numFmtId="0" fontId="60" fillId="0" borderId="129" xfId="0" applyFont="1" applyBorder="1" applyAlignment="1">
      <alignment horizontal="center" vertical="center"/>
    </xf>
    <xf numFmtId="0" fontId="60" fillId="0" borderId="135" xfId="0" applyFont="1" applyBorder="1" applyAlignment="1">
      <alignment horizontal="center" vertical="center"/>
    </xf>
    <xf numFmtId="0" fontId="59" fillId="0" borderId="129" xfId="0" applyFont="1" applyBorder="1" applyAlignment="1">
      <alignment horizontal="center" vertical="center"/>
    </xf>
    <xf numFmtId="0" fontId="59" fillId="0" borderId="135" xfId="0" applyFont="1" applyBorder="1" applyAlignment="1">
      <alignment horizontal="center" vertical="center"/>
    </xf>
    <xf numFmtId="0" fontId="60" fillId="13" borderId="137" xfId="0" applyFont="1" applyFill="1" applyBorder="1" applyAlignment="1">
      <alignment horizontal="center" vertical="center"/>
    </xf>
    <xf numFmtId="0" fontId="60" fillId="13" borderId="141" xfId="0" applyFont="1" applyFill="1" applyBorder="1" applyAlignment="1">
      <alignment horizontal="center" vertical="center"/>
    </xf>
    <xf numFmtId="0" fontId="83" fillId="0" borderId="0" xfId="0" applyFont="1" applyAlignment="1">
      <alignment horizontal="center"/>
    </xf>
    <xf numFmtId="0" fontId="59" fillId="0" borderId="0" xfId="0" applyFont="1" applyAlignment="1">
      <alignment horizontal="right" vertical="center"/>
    </xf>
    <xf numFmtId="0" fontId="59" fillId="0" borderId="0" xfId="0" applyFont="1" applyAlignment="1">
      <alignment horizontal="right"/>
    </xf>
    <xf numFmtId="173" fontId="60" fillId="13" borderId="137" xfId="0" applyNumberFormat="1" applyFont="1" applyFill="1" applyBorder="1" applyAlignment="1">
      <alignment horizontal="center" vertical="center" wrapText="1"/>
    </xf>
    <xf numFmtId="173" fontId="60" fillId="13" borderId="141" xfId="0" applyNumberFormat="1" applyFont="1" applyFill="1" applyBorder="1" applyAlignment="1">
      <alignment horizontal="center" vertical="center" wrapText="1"/>
    </xf>
    <xf numFmtId="173" fontId="59" fillId="0" borderId="133" xfId="0" applyNumberFormat="1" applyFont="1" applyBorder="1" applyAlignment="1">
      <alignment horizontal="center" vertical="center"/>
    </xf>
    <xf numFmtId="173" fontId="59" fillId="0" borderId="142" xfId="0" applyNumberFormat="1" applyFont="1" applyBorder="1" applyAlignment="1">
      <alignment horizontal="center" vertical="center"/>
    </xf>
    <xf numFmtId="0" fontId="47" fillId="11" borderId="111" xfId="3" applyFont="1" applyFill="1" applyBorder="1" applyAlignment="1">
      <alignment horizontal="center" vertical="center"/>
    </xf>
    <xf numFmtId="0" fontId="47" fillId="11" borderId="112" xfId="3" applyFont="1" applyFill="1" applyBorder="1" applyAlignment="1">
      <alignment horizontal="center" vertical="center"/>
    </xf>
    <xf numFmtId="0" fontId="47" fillId="11" borderId="133" xfId="3" applyFont="1" applyFill="1" applyBorder="1" applyAlignment="1">
      <alignment horizontal="center" vertical="center"/>
    </xf>
    <xf numFmtId="0" fontId="47" fillId="11" borderId="113" xfId="3" applyFont="1" applyFill="1" applyBorder="1" applyAlignment="1">
      <alignment horizontal="center" vertical="center"/>
    </xf>
    <xf numFmtId="0" fontId="50" fillId="0" borderId="118" xfId="3" applyFont="1" applyFill="1" applyBorder="1" applyAlignment="1">
      <alignment horizontal="center" vertical="center"/>
    </xf>
    <xf numFmtId="0" fontId="50" fillId="0" borderId="3" xfId="3" applyFont="1" applyFill="1" applyBorder="1" applyAlignment="1">
      <alignment horizontal="center" vertical="center"/>
    </xf>
    <xf numFmtId="0" fontId="50" fillId="0" borderId="21" xfId="3" applyFont="1" applyFill="1" applyBorder="1" applyAlignment="1">
      <alignment horizontal="center" vertical="center"/>
    </xf>
    <xf numFmtId="0" fontId="51" fillId="12" borderId="14" xfId="3" applyFont="1" applyFill="1" applyBorder="1" applyAlignment="1">
      <alignment horizontal="center" vertical="center"/>
    </xf>
    <xf numFmtId="0" fontId="51" fillId="12" borderId="18" xfId="3" applyFont="1" applyFill="1" applyBorder="1" applyAlignment="1">
      <alignment horizontal="center" vertical="center"/>
    </xf>
    <xf numFmtId="0" fontId="53" fillId="13" borderId="14" xfId="3" applyFont="1" applyFill="1" applyBorder="1" applyAlignment="1">
      <alignment horizontal="center" vertical="center"/>
    </xf>
    <xf numFmtId="0" fontId="53" fillId="13" borderId="15" xfId="3" applyFont="1" applyFill="1" applyBorder="1" applyAlignment="1">
      <alignment horizontal="center" vertical="center"/>
    </xf>
    <xf numFmtId="0" fontId="53" fillId="13" borderId="18" xfId="3" applyFont="1" applyFill="1" applyBorder="1" applyAlignment="1">
      <alignment horizontal="center" vertical="center"/>
    </xf>
    <xf numFmtId="0" fontId="52" fillId="12" borderId="14" xfId="3" applyFont="1" applyFill="1" applyBorder="1" applyAlignment="1">
      <alignment horizontal="center" vertical="center"/>
    </xf>
    <xf numFmtId="0" fontId="52" fillId="12" borderId="18" xfId="3" applyFont="1" applyFill="1" applyBorder="1" applyAlignment="1">
      <alignment horizontal="center" vertical="center"/>
    </xf>
    <xf numFmtId="167" fontId="63" fillId="0" borderId="0" xfId="1" applyNumberFormat="1" applyFont="1" applyAlignment="1">
      <alignment horizontal="center" vertical="center"/>
    </xf>
    <xf numFmtId="167" fontId="80" fillId="0" borderId="0" xfId="1" applyNumberFormat="1" applyFont="1" applyAlignment="1">
      <alignment vertical="center"/>
    </xf>
    <xf numFmtId="167" fontId="63" fillId="0" borderId="101" xfId="1" applyNumberFormat="1" applyFont="1" applyBorder="1" applyAlignment="1">
      <alignment horizontal="center" vertical="center" readingOrder="2"/>
    </xf>
    <xf numFmtId="0" fontId="63" fillId="14" borderId="91" xfId="1" applyNumberFormat="1" applyFont="1" applyFill="1" applyBorder="1" applyAlignment="1">
      <alignment horizontal="center" vertical="center" readingOrder="2"/>
    </xf>
    <xf numFmtId="0" fontId="65" fillId="15" borderId="90" xfId="7" applyNumberFormat="1" applyFont="1" applyFill="1" applyBorder="1" applyAlignment="1">
      <alignment horizontal="center" vertical="center" wrapText="1" readingOrder="2"/>
    </xf>
    <xf numFmtId="0" fontId="65" fillId="0" borderId="96" xfId="7" applyNumberFormat="1" applyFont="1" applyFill="1" applyBorder="1" applyAlignment="1">
      <alignment horizontal="center" vertical="center" wrapText="1" readingOrder="2"/>
    </xf>
    <xf numFmtId="0" fontId="65" fillId="15" borderId="89" xfId="7" applyNumberFormat="1" applyFont="1" applyFill="1" applyBorder="1" applyAlignment="1">
      <alignment horizontal="center" vertical="center" wrapText="1" readingOrder="2"/>
    </xf>
    <xf numFmtId="0" fontId="65" fillId="0" borderId="99" xfId="7" applyNumberFormat="1" applyFont="1" applyFill="1" applyBorder="1" applyAlignment="1">
      <alignment horizontal="center" vertical="center" wrapText="1" readingOrder="2"/>
    </xf>
    <xf numFmtId="0" fontId="65" fillId="0" borderId="97" xfId="7" applyNumberFormat="1" applyFont="1" applyFill="1" applyBorder="1" applyAlignment="1">
      <alignment horizontal="center" vertical="center" wrapText="1" readingOrder="2"/>
    </xf>
    <xf numFmtId="0" fontId="69" fillId="0" borderId="102" xfId="1" applyNumberFormat="1" applyFont="1" applyBorder="1" applyAlignment="1">
      <alignment shrinkToFit="1"/>
    </xf>
    <xf numFmtId="38" fontId="67" fillId="0" borderId="94" xfId="7" applyNumberFormat="1" applyFont="1" applyFill="1" applyBorder="1" applyAlignment="1">
      <alignment horizontal="center" vertical="center" readingOrder="2"/>
    </xf>
    <xf numFmtId="10" fontId="67" fillId="8" borderId="84" xfId="7" applyNumberFormat="1" applyFont="1" applyFill="1" applyBorder="1" applyAlignment="1">
      <alignment horizontal="center" vertical="center" readingOrder="2"/>
    </xf>
    <xf numFmtId="10" fontId="67" fillId="0" borderId="95" xfId="7" applyNumberFormat="1" applyFont="1" applyFill="1" applyBorder="1" applyAlignment="1">
      <alignment horizontal="center" vertical="center" readingOrder="2"/>
    </xf>
    <xf numFmtId="10" fontId="67" fillId="8" borderId="83" xfId="7" applyNumberFormat="1" applyFont="1" applyFill="1" applyBorder="1" applyAlignment="1">
      <alignment horizontal="center" vertical="center" readingOrder="2"/>
    </xf>
    <xf numFmtId="4" fontId="85" fillId="0" borderId="70" xfId="7" applyNumberFormat="1" applyFont="1" applyBorder="1" applyAlignment="1">
      <alignment horizontal="center" vertical="center" readingOrder="2"/>
    </xf>
    <xf numFmtId="10" fontId="67" fillId="0" borderId="100" xfId="7" applyNumberFormat="1" applyFont="1" applyFill="1" applyBorder="1" applyAlignment="1">
      <alignment horizontal="center" vertical="center" readingOrder="2"/>
    </xf>
    <xf numFmtId="4" fontId="85" fillId="0" borderId="105" xfId="7" applyNumberFormat="1" applyFont="1" applyBorder="1" applyAlignment="1">
      <alignment horizontal="center" vertical="center" readingOrder="2"/>
    </xf>
    <xf numFmtId="10" fontId="67" fillId="0" borderId="98" xfId="7" applyNumberFormat="1" applyFont="1" applyFill="1" applyBorder="1" applyAlignment="1">
      <alignment horizontal="center" vertical="center" readingOrder="2"/>
    </xf>
    <xf numFmtId="0" fontId="69" fillId="0" borderId="103" xfId="1" applyNumberFormat="1" applyFont="1" applyBorder="1" applyAlignment="1">
      <alignment shrinkToFit="1"/>
    </xf>
    <xf numFmtId="38" fontId="67" fillId="0" borderId="92" xfId="7" applyNumberFormat="1" applyFont="1" applyFill="1" applyBorder="1" applyAlignment="1">
      <alignment horizontal="center" vertical="center" readingOrder="2"/>
    </xf>
    <xf numFmtId="10" fontId="67" fillId="0" borderId="85" xfId="7" applyNumberFormat="1" applyFont="1" applyBorder="1" applyAlignment="1">
      <alignment horizontal="center" vertical="center" readingOrder="2"/>
    </xf>
    <xf numFmtId="10" fontId="67" fillId="0" borderId="16" xfId="7" applyNumberFormat="1" applyFont="1" applyFill="1" applyBorder="1" applyAlignment="1">
      <alignment horizontal="center" vertical="center" readingOrder="2"/>
    </xf>
    <xf numFmtId="10" fontId="67" fillId="0" borderId="45" xfId="7" applyNumberFormat="1" applyFont="1" applyBorder="1" applyAlignment="1">
      <alignment horizontal="center" vertical="center" readingOrder="2"/>
    </xf>
    <xf numFmtId="0" fontId="69" fillId="4" borderId="103" xfId="1" applyNumberFormat="1" applyFont="1" applyFill="1" applyBorder="1" applyAlignment="1">
      <alignment shrinkToFit="1"/>
    </xf>
    <xf numFmtId="10" fontId="67" fillId="4" borderId="85" xfId="7" applyNumberFormat="1" applyFont="1" applyFill="1" applyBorder="1" applyAlignment="1">
      <alignment horizontal="center" vertical="center" readingOrder="2"/>
    </xf>
    <xf numFmtId="10" fontId="67" fillId="4" borderId="45" xfId="7" applyNumberFormat="1" applyFont="1" applyFill="1" applyBorder="1" applyAlignment="1">
      <alignment horizontal="center" vertical="center" readingOrder="2"/>
    </xf>
    <xf numFmtId="0" fontId="69" fillId="4" borderId="104" xfId="1" applyNumberFormat="1" applyFont="1" applyFill="1" applyBorder="1" applyAlignment="1">
      <alignment shrinkToFit="1"/>
    </xf>
    <xf numFmtId="38" fontId="67" fillId="0" borderId="93" xfId="7" applyNumberFormat="1" applyFont="1" applyFill="1" applyBorder="1" applyAlignment="1">
      <alignment horizontal="center" vertical="center" readingOrder="2"/>
    </xf>
    <xf numFmtId="10" fontId="67" fillId="0" borderId="87" xfId="7" applyNumberFormat="1" applyFont="1" applyBorder="1" applyAlignment="1">
      <alignment horizontal="center" vertical="center" readingOrder="2"/>
    </xf>
    <xf numFmtId="10" fontId="67" fillId="0" borderId="86" xfId="7" applyNumberFormat="1" applyFont="1" applyBorder="1" applyAlignment="1">
      <alignment horizontal="center" vertical="center" readingOrder="2"/>
    </xf>
    <xf numFmtId="4" fontId="85" fillId="0" borderId="106" xfId="7" applyNumberFormat="1" applyFont="1" applyBorder="1" applyAlignment="1">
      <alignment horizontal="center" vertical="center" readingOrder="2"/>
    </xf>
    <xf numFmtId="0" fontId="69" fillId="4" borderId="0" xfId="1" applyNumberFormat="1" applyFont="1" applyFill="1" applyBorder="1" applyAlignment="1">
      <alignment shrinkToFit="1"/>
    </xf>
    <xf numFmtId="38" fontId="67" fillId="0" borderId="0" xfId="7" applyNumberFormat="1" applyFont="1" applyFill="1" applyBorder="1" applyAlignment="1">
      <alignment horizontal="center" vertical="center" readingOrder="2"/>
    </xf>
    <xf numFmtId="10" fontId="67" fillId="0" borderId="0" xfId="7" applyNumberFormat="1" applyFont="1" applyBorder="1" applyAlignment="1">
      <alignment horizontal="center" vertical="center" readingOrder="2"/>
    </xf>
    <xf numFmtId="10" fontId="67" fillId="0" borderId="0" xfId="7" applyNumberFormat="1" applyFont="1" applyFill="1" applyBorder="1" applyAlignment="1">
      <alignment horizontal="center" vertical="center" readingOrder="2"/>
    </xf>
    <xf numFmtId="4" fontId="85" fillId="0" borderId="0" xfId="7" applyNumberFormat="1" applyFont="1" applyBorder="1" applyAlignment="1">
      <alignment horizontal="center" vertical="center" readingOrder="2"/>
    </xf>
    <xf numFmtId="3" fontId="74" fillId="0" borderId="115" xfId="7" applyNumberFormat="1" applyFont="1" applyBorder="1" applyAlignment="1">
      <alignment horizontal="center" vertical="center"/>
    </xf>
    <xf numFmtId="0" fontId="59" fillId="0" borderId="0" xfId="0" applyFont="1" applyAlignment="1">
      <alignment horizontal="center"/>
    </xf>
  </cellXfs>
  <cellStyles count="9">
    <cellStyle name="Comma" xfId="8" builtinId="3"/>
    <cellStyle name="Comma 2" xfId="5"/>
    <cellStyle name="Normal" xfId="0" builtinId="0"/>
    <cellStyle name="Normal 2" xfId="3"/>
    <cellStyle name="Normal 23" xfId="4"/>
    <cellStyle name="Normal 3" xfId="7"/>
    <cellStyle name="Normal 6" xfId="1"/>
    <cellStyle name="Normal 8" xfId="2"/>
    <cellStyle name="Percent" xfId="6" builtinId="5"/>
  </cellStyles>
  <dxfs count="7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'تجزیه و تحلیل نسبت‌های مالی'!$B$5</c:f>
              <c:strCache>
                <c:ptCount val="1"/>
                <c:pt idx="0">
                  <c:v>فروش به ارزش ویژه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[$-3010000]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'تجزیه و تحلیل نسبت‌های مالی'!$C$3:$G$3</c:f>
              <c:numCache>
                <c:formatCode>General</c:formatCode>
                <c:ptCount val="5"/>
                <c:pt idx="0">
                  <c:v>1396</c:v>
                </c:pt>
                <c:pt idx="1">
                  <c:v>1397</c:v>
                </c:pt>
                <c:pt idx="2">
                  <c:v>1398</c:v>
                </c:pt>
                <c:pt idx="3">
                  <c:v>1399</c:v>
                </c:pt>
                <c:pt idx="4">
                  <c:v>1400</c:v>
                </c:pt>
              </c:numCache>
            </c:numRef>
          </c:cat>
          <c:val>
            <c:numRef>
              <c:f>'تجزیه و تحلیل نسبت‌های مالی'!$C$5:$G$5</c:f>
              <c:numCache>
                <c:formatCode>0.00%</c:formatCode>
                <c:ptCount val="5"/>
                <c:pt idx="0">
                  <c:v>0.13612332035664951</c:v>
                </c:pt>
                <c:pt idx="1">
                  <c:v>0.18925936843790828</c:v>
                </c:pt>
                <c:pt idx="2">
                  <c:v>0.29742685462658558</c:v>
                </c:pt>
                <c:pt idx="3">
                  <c:v>0.69907304319655295</c:v>
                </c:pt>
                <c:pt idx="4">
                  <c:v>0.26489158283444064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6A-4251-864D-F8824740A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49696"/>
        <c:axId val="-98752416"/>
      </c:lineChart>
      <c:catAx>
        <c:axId val="-98749696"/>
        <c:scaling>
          <c:orientation val="minMax"/>
        </c:scaling>
        <c:delete val="0"/>
        <c:axPos val="b"/>
        <c:numFmt formatCode="0[$-3010000]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2416"/>
        <c:crosses val="autoZero"/>
        <c:auto val="1"/>
        <c:lblAlgn val="ctr"/>
        <c:lblOffset val="100"/>
        <c:noMultiLvlLbl val="0"/>
      </c:catAx>
      <c:valAx>
        <c:axId val="-9875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[$-3010000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49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'تجزیه و تحلیل نسبت‌های مالی'!$B$14</c:f>
              <c:strCache>
                <c:ptCount val="1"/>
                <c:pt idx="0">
                  <c:v>سود خالص بعد از کسر مالیات به حقوق صاحبان سهام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[$-3010000]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'تجزیه و تحلیل نسبت‌های مالی'!$C$3:$G$3</c:f>
              <c:numCache>
                <c:formatCode>General</c:formatCode>
                <c:ptCount val="5"/>
                <c:pt idx="0">
                  <c:v>1396</c:v>
                </c:pt>
                <c:pt idx="1">
                  <c:v>1397</c:v>
                </c:pt>
                <c:pt idx="2">
                  <c:v>1398</c:v>
                </c:pt>
                <c:pt idx="3">
                  <c:v>1399</c:v>
                </c:pt>
                <c:pt idx="4">
                  <c:v>1400</c:v>
                </c:pt>
              </c:numCache>
            </c:numRef>
          </c:cat>
          <c:val>
            <c:numRef>
              <c:f>'تجزیه و تحلیل نسبت‌های مالی'!$C$14:$G$14</c:f>
              <c:numCache>
                <c:formatCode>0.00%</c:formatCode>
                <c:ptCount val="5"/>
                <c:pt idx="0">
                  <c:v>0.10561974130352882</c:v>
                </c:pt>
                <c:pt idx="1">
                  <c:v>0.17428187743604862</c:v>
                </c:pt>
                <c:pt idx="2">
                  <c:v>0.27346434219854932</c:v>
                </c:pt>
                <c:pt idx="3">
                  <c:v>0.69160178831756869</c:v>
                </c:pt>
                <c:pt idx="4">
                  <c:v>0.25868691961279433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F6-46C0-A70E-8EC91D60407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8754592"/>
        <c:axId val="-98751328"/>
      </c:lineChart>
      <c:catAx>
        <c:axId val="-98754592"/>
        <c:scaling>
          <c:orientation val="minMax"/>
        </c:scaling>
        <c:delete val="0"/>
        <c:axPos val="b"/>
        <c:numFmt formatCode="0[$-3010000]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1328"/>
        <c:crosses val="autoZero"/>
        <c:auto val="1"/>
        <c:lblAlgn val="ctr"/>
        <c:lblOffset val="100"/>
        <c:noMultiLvlLbl val="0"/>
      </c:catAx>
      <c:valAx>
        <c:axId val="-9875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[$-3010000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'تجزیه و تحلیل نسبت‌های مالی'!$B$15</c:f>
              <c:strCache>
                <c:ptCount val="1"/>
                <c:pt idx="0">
                  <c:v>هزینه مالی به درآمد عملیاتی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[$-3010000]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'تجزیه و تحلیل نسبت‌های مالی'!$C$3:$G$3</c:f>
              <c:numCache>
                <c:formatCode>General</c:formatCode>
                <c:ptCount val="5"/>
                <c:pt idx="0">
                  <c:v>1396</c:v>
                </c:pt>
                <c:pt idx="1">
                  <c:v>1397</c:v>
                </c:pt>
                <c:pt idx="2">
                  <c:v>1398</c:v>
                </c:pt>
                <c:pt idx="3">
                  <c:v>1399</c:v>
                </c:pt>
                <c:pt idx="4">
                  <c:v>1400</c:v>
                </c:pt>
              </c:numCache>
            </c:numRef>
          </c:cat>
          <c:val>
            <c:numRef>
              <c:f>'تجزیه و تحلیل نسبت‌های مالی'!$C$15:$G$15</c:f>
              <c:numCache>
                <c:formatCode>0.00%</c:formatCode>
                <c:ptCount val="5"/>
                <c:pt idx="0">
                  <c:v>0.14365668773159893</c:v>
                </c:pt>
                <c:pt idx="1">
                  <c:v>2.2709573210010672E-2</c:v>
                </c:pt>
                <c:pt idx="2">
                  <c:v>4.6122381814335082E-2</c:v>
                </c:pt>
                <c:pt idx="3">
                  <c:v>8.9492313044366352E-4</c:v>
                </c:pt>
                <c:pt idx="4">
                  <c:v>4.076378747530281E-3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32-47FD-BA05-4C0024F07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8748064"/>
        <c:axId val="-98746976"/>
      </c:lineChart>
      <c:catAx>
        <c:axId val="-98748064"/>
        <c:scaling>
          <c:orientation val="minMax"/>
        </c:scaling>
        <c:delete val="0"/>
        <c:axPos val="b"/>
        <c:numFmt formatCode="0[$-3010000]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46976"/>
        <c:crosses val="autoZero"/>
        <c:auto val="1"/>
        <c:lblAlgn val="ctr"/>
        <c:lblOffset val="100"/>
        <c:noMultiLvlLbl val="0"/>
      </c:catAx>
      <c:valAx>
        <c:axId val="-9874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[$-3010000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'تجزیه و تحلیل نسبت‌های مالی'!$B$16</c:f>
              <c:strCache>
                <c:ptCount val="1"/>
                <c:pt idx="0">
                  <c:v>نرخ رشد هزینه‌ها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[$-3010000]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'تجزیه و تحلیل نسبت‌های مالی'!$C$3:$G$3</c:f>
              <c:numCache>
                <c:formatCode>General</c:formatCode>
                <c:ptCount val="5"/>
                <c:pt idx="0">
                  <c:v>1396</c:v>
                </c:pt>
                <c:pt idx="1">
                  <c:v>1397</c:v>
                </c:pt>
                <c:pt idx="2">
                  <c:v>1398</c:v>
                </c:pt>
                <c:pt idx="3">
                  <c:v>1399</c:v>
                </c:pt>
                <c:pt idx="4">
                  <c:v>1400</c:v>
                </c:pt>
              </c:numCache>
            </c:numRef>
          </c:cat>
          <c:val>
            <c:numRef>
              <c:f>'تجزیه و تحلیل نسبت‌های مالی'!$C$16:$G$16</c:f>
              <c:numCache>
                <c:formatCode>0.00%</c:formatCode>
                <c:ptCount val="5"/>
                <c:pt idx="0">
                  <c:v>6.4869089488081233E-2</c:v>
                </c:pt>
                <c:pt idx="1">
                  <c:v>0.30165137614678894</c:v>
                </c:pt>
                <c:pt idx="2">
                  <c:v>0.24344516492810819</c:v>
                </c:pt>
                <c:pt idx="3">
                  <c:v>0.95952839814080026</c:v>
                </c:pt>
                <c:pt idx="4">
                  <c:v>-0.11194677466010994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9F-4CDA-ABE1-42592048AE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8746432"/>
        <c:axId val="-98761664"/>
      </c:lineChart>
      <c:catAx>
        <c:axId val="-98746432"/>
        <c:scaling>
          <c:orientation val="minMax"/>
        </c:scaling>
        <c:delete val="0"/>
        <c:axPos val="b"/>
        <c:numFmt formatCode="0[$-3010000]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61664"/>
        <c:crosses val="autoZero"/>
        <c:auto val="1"/>
        <c:lblAlgn val="ctr"/>
        <c:lblOffset val="100"/>
        <c:noMultiLvlLbl val="0"/>
      </c:catAx>
      <c:valAx>
        <c:axId val="-9876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[$-3010000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46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'تجزیه و تحلیل نسبت‌های مالی'!$B$6</c:f>
              <c:strCache>
                <c:ptCount val="1"/>
                <c:pt idx="0">
                  <c:v>تغییر در فروش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[$-3010000]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'تجزیه و تحلیل نسبت‌های مالی'!$C$3:$G$3</c:f>
              <c:numCache>
                <c:formatCode>General</c:formatCode>
                <c:ptCount val="5"/>
                <c:pt idx="0">
                  <c:v>1396</c:v>
                </c:pt>
                <c:pt idx="1">
                  <c:v>1397</c:v>
                </c:pt>
                <c:pt idx="2">
                  <c:v>1398</c:v>
                </c:pt>
                <c:pt idx="3">
                  <c:v>1399</c:v>
                </c:pt>
                <c:pt idx="4">
                  <c:v>1400</c:v>
                </c:pt>
              </c:numCache>
            </c:numRef>
          </c:cat>
          <c:val>
            <c:numRef>
              <c:f>'تجزیه و تحلیل نسبت‌های مالی'!$C$6:$G$6</c:f>
              <c:numCache>
                <c:formatCode>0.00%</c:formatCode>
                <c:ptCount val="5"/>
                <c:pt idx="0">
                  <c:v>0.50072686157325141</c:v>
                </c:pt>
                <c:pt idx="1">
                  <c:v>0.59922813167889055</c:v>
                </c:pt>
                <c:pt idx="2">
                  <c:v>1.0449672624484418</c:v>
                </c:pt>
                <c:pt idx="3">
                  <c:v>6.3655469098944497</c:v>
                </c:pt>
                <c:pt idx="4">
                  <c:v>-0.52443708249952925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38-40C0-9DCC-28691C6C7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50784"/>
        <c:axId val="-98755136"/>
      </c:lineChart>
      <c:catAx>
        <c:axId val="-98750784"/>
        <c:scaling>
          <c:orientation val="minMax"/>
        </c:scaling>
        <c:delete val="0"/>
        <c:axPos val="b"/>
        <c:numFmt formatCode="0[$-3010000]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5136"/>
        <c:crosses val="autoZero"/>
        <c:auto val="1"/>
        <c:lblAlgn val="ctr"/>
        <c:lblOffset val="100"/>
        <c:noMultiLvlLbl val="0"/>
      </c:catAx>
      <c:valAx>
        <c:axId val="-9875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[$-3010000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'تجزیه و تحلیل نسبت‌های مالی'!$B$7</c:f>
              <c:strCache>
                <c:ptCount val="1"/>
                <c:pt idx="0">
                  <c:v>سودناخالص به سود(زیان) غیر عملیاتی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[$-3010000]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'تجزیه و تحلیل نسبت‌های مالی'!$C$3:$G$3</c:f>
              <c:numCache>
                <c:formatCode>General</c:formatCode>
                <c:ptCount val="5"/>
                <c:pt idx="0">
                  <c:v>1396</c:v>
                </c:pt>
                <c:pt idx="1">
                  <c:v>1397</c:v>
                </c:pt>
                <c:pt idx="2">
                  <c:v>1398</c:v>
                </c:pt>
                <c:pt idx="3">
                  <c:v>1399</c:v>
                </c:pt>
                <c:pt idx="4">
                  <c:v>1400</c:v>
                </c:pt>
              </c:numCache>
            </c:numRef>
          </c:cat>
          <c:val>
            <c:numRef>
              <c:f>'تجزیه و تحلیل نسبت‌های مالی'!$C$7:$G$7</c:f>
              <c:numCache>
                <c:formatCode>0.00%</c:formatCode>
                <c:ptCount val="5"/>
                <c:pt idx="0">
                  <c:v>296.97260273972603</c:v>
                </c:pt>
                <c:pt idx="1">
                  <c:v>84.905306122448977</c:v>
                </c:pt>
                <c:pt idx="2">
                  <c:v>142.27090301003344</c:v>
                </c:pt>
                <c:pt idx="3">
                  <c:v>805.87191358024688</c:v>
                </c:pt>
                <c:pt idx="4">
                  <c:v>795.96581196581201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EC-4587-826A-E44E1F722CA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8750240"/>
        <c:axId val="-98757856"/>
      </c:lineChart>
      <c:catAx>
        <c:axId val="-98750240"/>
        <c:scaling>
          <c:orientation val="minMax"/>
        </c:scaling>
        <c:delete val="0"/>
        <c:axPos val="b"/>
        <c:numFmt formatCode="0[$-3010000]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7856"/>
        <c:crosses val="autoZero"/>
        <c:auto val="1"/>
        <c:lblAlgn val="ctr"/>
        <c:lblOffset val="100"/>
        <c:noMultiLvlLbl val="0"/>
      </c:catAx>
      <c:valAx>
        <c:axId val="-9875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[$-3010000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'تجزیه و تحلیل نسبت‌های مالی'!$B$8</c:f>
              <c:strCache>
                <c:ptCount val="1"/>
                <c:pt idx="0">
                  <c:v>جمع بدهی‌ها به ارزش ویژه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[$-3010000]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'تجزیه و تحلیل نسبت‌های مالی'!$C$3:$G$3</c:f>
              <c:numCache>
                <c:formatCode>General</c:formatCode>
                <c:ptCount val="5"/>
                <c:pt idx="0">
                  <c:v>1396</c:v>
                </c:pt>
                <c:pt idx="1">
                  <c:v>1397</c:v>
                </c:pt>
                <c:pt idx="2">
                  <c:v>1398</c:v>
                </c:pt>
                <c:pt idx="3">
                  <c:v>1399</c:v>
                </c:pt>
                <c:pt idx="4">
                  <c:v>1400</c:v>
                </c:pt>
              </c:numCache>
            </c:numRef>
          </c:cat>
          <c:val>
            <c:numRef>
              <c:f>'تجزیه و تحلیل نسبت‌های مالی'!$C$8:$G$8</c:f>
              <c:numCache>
                <c:formatCode>0.00%</c:formatCode>
                <c:ptCount val="5"/>
                <c:pt idx="0">
                  <c:v>0.21023902214408305</c:v>
                </c:pt>
                <c:pt idx="1">
                  <c:v>0.21694525418609137</c:v>
                </c:pt>
                <c:pt idx="2">
                  <c:v>0.15160036749231245</c:v>
                </c:pt>
                <c:pt idx="3">
                  <c:v>5.9794581767246516E-2</c:v>
                </c:pt>
                <c:pt idx="4">
                  <c:v>6.9429936122297031E-2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74-4505-926D-A07AEF8E948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8754048"/>
        <c:axId val="-98757312"/>
      </c:lineChart>
      <c:catAx>
        <c:axId val="-98754048"/>
        <c:scaling>
          <c:orientation val="minMax"/>
        </c:scaling>
        <c:delete val="0"/>
        <c:axPos val="b"/>
        <c:numFmt formatCode="0[$-3010000]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7312"/>
        <c:crosses val="autoZero"/>
        <c:auto val="1"/>
        <c:lblAlgn val="ctr"/>
        <c:lblOffset val="100"/>
        <c:noMultiLvlLbl val="0"/>
      </c:catAx>
      <c:valAx>
        <c:axId val="-9875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[$-3010000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4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'تجزیه و تحلیل نسبت‌های مالی'!$B$9</c:f>
              <c:strCache>
                <c:ptCount val="1"/>
                <c:pt idx="0">
                  <c:v>جمع بدهی‌ها و ارزش ویژه به درآمد عملیاتی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[$-3010000]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'تجزیه و تحلیل نسبت‌های مالی'!$C$3:$G$3</c:f>
              <c:numCache>
                <c:formatCode>General</c:formatCode>
                <c:ptCount val="5"/>
                <c:pt idx="0">
                  <c:v>1396</c:v>
                </c:pt>
                <c:pt idx="1">
                  <c:v>1397</c:v>
                </c:pt>
                <c:pt idx="2">
                  <c:v>1398</c:v>
                </c:pt>
                <c:pt idx="3">
                  <c:v>1399</c:v>
                </c:pt>
                <c:pt idx="4">
                  <c:v>1400</c:v>
                </c:pt>
              </c:numCache>
            </c:numRef>
          </c:cat>
          <c:val>
            <c:numRef>
              <c:f>'تجزیه و تحلیل نسبت‌های مالی'!$C$9:$G$9</c:f>
              <c:numCache>
                <c:formatCode>0.00%</c:formatCode>
                <c:ptCount val="5"/>
                <c:pt idx="0">
                  <c:v>8.8907544935959528</c:v>
                </c:pt>
                <c:pt idx="1">
                  <c:v>6.4300397081021838</c:v>
                </c:pt>
                <c:pt idx="2">
                  <c:v>3.8718775711699851</c:v>
                </c:pt>
                <c:pt idx="3">
                  <c:v>1.5159997829715661</c:v>
                </c:pt>
                <c:pt idx="4">
                  <c:v>4.0372363843312433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28-4E17-8C2D-60A8439A5DF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8756224"/>
        <c:axId val="-98749152"/>
      </c:lineChart>
      <c:catAx>
        <c:axId val="-98756224"/>
        <c:scaling>
          <c:orientation val="minMax"/>
        </c:scaling>
        <c:delete val="0"/>
        <c:axPos val="b"/>
        <c:numFmt formatCode="0[$-3010000]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49152"/>
        <c:crosses val="autoZero"/>
        <c:auto val="1"/>
        <c:lblAlgn val="ctr"/>
        <c:lblOffset val="100"/>
        <c:noMultiLvlLbl val="0"/>
      </c:catAx>
      <c:valAx>
        <c:axId val="-9874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[$-3010000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6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'تجزیه و تحلیل نسبت‌های مالی'!$B$10</c:f>
              <c:strCache>
                <c:ptCount val="1"/>
                <c:pt idx="0">
                  <c:v>حقوق صاحبان سهام به دارایی‌ها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[$-3010000]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'تجزیه و تحلیل نسبت‌های مالی'!$C$3:$G$3</c:f>
              <c:numCache>
                <c:formatCode>General</c:formatCode>
                <c:ptCount val="5"/>
                <c:pt idx="0">
                  <c:v>1396</c:v>
                </c:pt>
                <c:pt idx="1">
                  <c:v>1397</c:v>
                </c:pt>
                <c:pt idx="2">
                  <c:v>1398</c:v>
                </c:pt>
                <c:pt idx="3">
                  <c:v>1399</c:v>
                </c:pt>
                <c:pt idx="4">
                  <c:v>1400</c:v>
                </c:pt>
              </c:numCache>
            </c:numRef>
          </c:cat>
          <c:val>
            <c:numRef>
              <c:f>'تجزیه و تحلیل نسبت‌های مالی'!$C$10:$G$10</c:f>
              <c:numCache>
                <c:formatCode>0.00%</c:formatCode>
                <c:ptCount val="5"/>
                <c:pt idx="0">
                  <c:v>0.82628305789411793</c:v>
                </c:pt>
                <c:pt idx="1">
                  <c:v>0.82172965181479163</c:v>
                </c:pt>
                <c:pt idx="2">
                  <c:v>0.86835679132125276</c:v>
                </c:pt>
                <c:pt idx="3">
                  <c:v>0.9435790833469474</c:v>
                </c:pt>
                <c:pt idx="4">
                  <c:v>0.93507762053674437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72-40E4-9C9C-52EAD0D8FA2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8753504"/>
        <c:axId val="-98756768"/>
      </c:lineChart>
      <c:catAx>
        <c:axId val="-98753504"/>
        <c:scaling>
          <c:orientation val="minMax"/>
        </c:scaling>
        <c:delete val="0"/>
        <c:axPos val="b"/>
        <c:numFmt formatCode="0[$-3010000]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6768"/>
        <c:crosses val="autoZero"/>
        <c:auto val="1"/>
        <c:lblAlgn val="ctr"/>
        <c:lblOffset val="100"/>
        <c:noMultiLvlLbl val="0"/>
      </c:catAx>
      <c:valAx>
        <c:axId val="-9875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[$-3010000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3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'تجزیه و تحلیل نسبت‌های مالی'!$B$11</c:f>
              <c:strCache>
                <c:ptCount val="1"/>
                <c:pt idx="0">
                  <c:v>هزینه اداری و فروش به درآمد عملیاتی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[$-3010000]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'تجزیه و تحلیل نسبت‌های مالی'!$C$3:$G$3</c:f>
              <c:numCache>
                <c:formatCode>General</c:formatCode>
                <c:ptCount val="5"/>
                <c:pt idx="0">
                  <c:v>1396</c:v>
                </c:pt>
                <c:pt idx="1">
                  <c:v>1397</c:v>
                </c:pt>
                <c:pt idx="2">
                  <c:v>1398</c:v>
                </c:pt>
                <c:pt idx="3">
                  <c:v>1399</c:v>
                </c:pt>
                <c:pt idx="4">
                  <c:v>1400</c:v>
                </c:pt>
              </c:numCache>
            </c:numRef>
          </c:cat>
          <c:val>
            <c:numRef>
              <c:f>'تجزیه و تحلیل نسبت‌های مالی'!$C$11:$G$11</c:f>
              <c:numCache>
                <c:formatCode>0.00%</c:formatCode>
                <c:ptCount val="5"/>
                <c:pt idx="0">
                  <c:v>8.3798453188185185E-2</c:v>
                </c:pt>
                <c:pt idx="1">
                  <c:v>6.8205636050726381E-2</c:v>
                </c:pt>
                <c:pt idx="2">
                  <c:v>4.147253108911822E-2</c:v>
                </c:pt>
                <c:pt idx="3">
                  <c:v>1.1033342588957721E-2</c:v>
                </c:pt>
                <c:pt idx="4">
                  <c:v>2.0603363113134609E-2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89-4B45-82A0-2C258D5F1C5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8752960"/>
        <c:axId val="-98760032"/>
      </c:lineChart>
      <c:catAx>
        <c:axId val="-98752960"/>
        <c:scaling>
          <c:orientation val="minMax"/>
        </c:scaling>
        <c:delete val="0"/>
        <c:axPos val="b"/>
        <c:numFmt formatCode="0[$-3010000]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60032"/>
        <c:crosses val="autoZero"/>
        <c:auto val="1"/>
        <c:lblAlgn val="ctr"/>
        <c:lblOffset val="100"/>
        <c:noMultiLvlLbl val="0"/>
      </c:catAx>
      <c:valAx>
        <c:axId val="-9876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[$-3010000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'تجزیه و تحلیل نسبت‌های مالی'!$B$12</c:f>
              <c:strCache>
                <c:ptCount val="1"/>
                <c:pt idx="0">
                  <c:v>سود ناخالص به فروش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[$-3010000]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'تجزیه و تحلیل نسبت‌های مالی'!$C$3:$G$3</c:f>
              <c:numCache>
                <c:formatCode>General</c:formatCode>
                <c:ptCount val="5"/>
                <c:pt idx="0">
                  <c:v>1396</c:v>
                </c:pt>
                <c:pt idx="1">
                  <c:v>1397</c:v>
                </c:pt>
                <c:pt idx="2">
                  <c:v>1398</c:v>
                </c:pt>
                <c:pt idx="3">
                  <c:v>1399</c:v>
                </c:pt>
                <c:pt idx="4">
                  <c:v>1400</c:v>
                </c:pt>
              </c:numCache>
            </c:numRef>
          </c:cat>
          <c:val>
            <c:numRef>
              <c:f>'تجزیه و تحلیل نسبت‌های مالی'!$C$12:$G$12</c:f>
              <c:numCache>
                <c:formatCode>0.00%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57-4BAD-8C1A-08C74CFF445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8748608"/>
        <c:axId val="-98747520"/>
      </c:lineChart>
      <c:catAx>
        <c:axId val="-98748608"/>
        <c:scaling>
          <c:orientation val="minMax"/>
        </c:scaling>
        <c:delete val="0"/>
        <c:axPos val="b"/>
        <c:numFmt formatCode="0[$-3010000]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47520"/>
        <c:crosses val="autoZero"/>
        <c:auto val="1"/>
        <c:lblAlgn val="ctr"/>
        <c:lblOffset val="100"/>
        <c:noMultiLvlLbl val="0"/>
      </c:catAx>
      <c:valAx>
        <c:axId val="-9874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[$-3010000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48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'تجزیه و تحلیل نسبت‌های مالی'!$B$13</c:f>
              <c:strCache>
                <c:ptCount val="1"/>
                <c:pt idx="0">
                  <c:v>سود خالص بعد از کسر مالیات به درآمد عملیاتی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0[$-3010000]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'تجزیه و تحلیل نسبت‌های مالی'!$C$3:$G$3</c:f>
              <c:numCache>
                <c:formatCode>General</c:formatCode>
                <c:ptCount val="5"/>
                <c:pt idx="0">
                  <c:v>1396</c:v>
                </c:pt>
                <c:pt idx="1">
                  <c:v>1397</c:v>
                </c:pt>
                <c:pt idx="2">
                  <c:v>1398</c:v>
                </c:pt>
                <c:pt idx="3">
                  <c:v>1399</c:v>
                </c:pt>
                <c:pt idx="4">
                  <c:v>1400</c:v>
                </c:pt>
              </c:numCache>
            </c:numRef>
          </c:cat>
          <c:val>
            <c:numRef>
              <c:f>'تجزیه و تحلیل نسبت‌های مالی'!$C$13:$G$13</c:f>
              <c:numCache>
                <c:formatCode>0.00%</c:formatCode>
                <c:ptCount val="5"/>
                <c:pt idx="0">
                  <c:v>0.77591217307071358</c:v>
                </c:pt>
                <c:pt idx="1">
                  <c:v>0.9208626176580873</c:v>
                </c:pt>
                <c:pt idx="2">
                  <c:v>0.91943393121606054</c:v>
                </c:pt>
                <c:pt idx="3">
                  <c:v>0.98931262626746197</c:v>
                </c:pt>
                <c:pt idx="4">
                  <c:v>0.97657659350571258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D6-4A88-B802-C71E3C25804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8751872"/>
        <c:axId val="-98755680"/>
      </c:lineChart>
      <c:catAx>
        <c:axId val="-98751872"/>
        <c:scaling>
          <c:orientation val="minMax"/>
        </c:scaling>
        <c:delete val="0"/>
        <c:axPos val="b"/>
        <c:numFmt formatCode="0[$-3010000]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5680"/>
        <c:crosses val="autoZero"/>
        <c:auto val="1"/>
        <c:lblAlgn val="ctr"/>
        <c:lblOffset val="100"/>
        <c:noMultiLvlLbl val="0"/>
      </c:catAx>
      <c:valAx>
        <c:axId val="-9875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[$-3010000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875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633411</xdr:colOff>
      <xdr:row>49</xdr:row>
      <xdr:rowOff>166687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101789" y="0"/>
          <a:ext cx="5815011" cy="903446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</xdr:row>
      <xdr:rowOff>0</xdr:rowOff>
    </xdr:from>
    <xdr:ext cx="5810250" cy="3090863"/>
    <xdr:sp macro="" textlink="">
      <xdr:nvSpPr>
        <xdr:cNvPr id="19457" name="Text Box 15">
          <a:extLst>
            <a:ext uri="{FF2B5EF4-FFF2-40B4-BE49-F238E27FC236}">
              <a16:creationId xmlns:a16="http://schemas.microsoft.com/office/drawing/2014/main" xmlns="" id="{00000000-0008-0000-0900-0000014C0000}"/>
            </a:ext>
          </a:extLst>
        </xdr:cNvPr>
        <xdr:cNvSpPr txBox="1">
          <a:spLocks noChangeArrowheads="1"/>
        </xdr:cNvSpPr>
      </xdr:nvSpPr>
      <xdr:spPr bwMode="auto">
        <a:xfrm>
          <a:off x="10606106550" y="723900"/>
          <a:ext cx="5810250" cy="3090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ctr" upright="1">
          <a:noAutofit/>
        </a:bodyPr>
        <a:lstStyle/>
        <a:p>
          <a:pPr algn="ctr" rtl="1">
            <a:defRPr sz="1000"/>
          </a:pPr>
          <a:r>
            <a:rPr lang="fa-IR" sz="2800" b="1" i="0" u="none" strike="noStrike" baseline="0">
              <a:solidFill>
                <a:srgbClr val="003399"/>
              </a:solidFill>
              <a:latin typeface="IranNastaliq" panose="02020505000000020003" pitchFamily="18" charset="0"/>
              <a:cs typeface="B Mitra" panose="00000400000000000000" pitchFamily="2" charset="-78"/>
            </a:rPr>
            <a:t>شرکت گروه صنعتی بارز</a:t>
          </a:r>
          <a:r>
            <a:rPr lang="fa-IR" sz="1600" b="1" i="0" u="none" strike="noStrike" baseline="0">
              <a:solidFill>
                <a:srgbClr val="003399"/>
              </a:solidFill>
              <a:latin typeface="IranNastaliq" panose="02020505000000020003" pitchFamily="18" charset="0"/>
              <a:cs typeface="B Mitra" panose="00000400000000000000" pitchFamily="2" charset="-78"/>
            </a:rPr>
            <a:t>(سهامی عام)</a:t>
          </a:r>
        </a:p>
        <a:p>
          <a:pPr algn="ctr" rtl="1">
            <a:defRPr sz="1000"/>
          </a:pPr>
          <a:r>
            <a:rPr lang="fa-IR" sz="2800" b="1" i="0" u="none" strike="noStrike" baseline="0">
              <a:solidFill>
                <a:srgbClr val="003399"/>
              </a:solidFill>
              <a:latin typeface="IranNastaliq" panose="02020505000000020003" pitchFamily="18" charset="0"/>
              <a:cs typeface="B Mitra" panose="00000400000000000000" pitchFamily="2" charset="-78"/>
            </a:rPr>
            <a:t>تجزیه و تحلیل صورت‌های مالی </a:t>
          </a:r>
        </a:p>
        <a:p>
          <a:pPr algn="ctr" rtl="1">
            <a:defRPr sz="1000"/>
          </a:pPr>
          <a:r>
            <a:rPr lang="fa-IR" sz="2800" b="1" i="0" u="none" strike="noStrike" baseline="0">
              <a:solidFill>
                <a:srgbClr val="003399"/>
              </a:solidFill>
              <a:latin typeface="IranNastaliq" panose="02020505000000020003" pitchFamily="18" charset="0"/>
              <a:cs typeface="B Mitra" panose="00000400000000000000" pitchFamily="2" charset="-78"/>
            </a:rPr>
            <a:t>منتهی به 1397/12/29</a:t>
          </a:r>
          <a:endParaRPr lang="en-US" sz="2800" b="1" i="0" u="none" strike="noStrike" baseline="0">
            <a:solidFill>
              <a:srgbClr val="003399"/>
            </a:solidFill>
            <a:latin typeface="IranNastaliq" panose="02020505000000020003" pitchFamily="18" charset="0"/>
            <a:cs typeface="B Mitra" panose="00000400000000000000" pitchFamily="2" charset="-78"/>
          </a:endParaRPr>
        </a:p>
      </xdr:txBody>
    </xdr:sp>
    <xdr:clientData/>
  </xdr:oneCellAnchor>
  <xdr:oneCellAnchor>
    <xdr:from>
      <xdr:col>6</xdr:col>
      <xdr:colOff>105040</xdr:colOff>
      <xdr:row>46</xdr:row>
      <xdr:rowOff>138404</xdr:rowOff>
    </xdr:from>
    <xdr:ext cx="1756827" cy="404021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>
          <a:off x="10606168733" y="8463254"/>
          <a:ext cx="1756827" cy="40402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a-IR" sz="1600" b="1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cs typeface="B Mitra" panose="00000400000000000000" pitchFamily="2" charset="-78"/>
            </a:rPr>
            <a:t>واحد امور مالی</a:t>
          </a:r>
          <a:r>
            <a:rPr lang="fa-IR" sz="1600" b="1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cs typeface="B Mitra" panose="00000400000000000000" pitchFamily="2" charset="-78"/>
            </a:rPr>
            <a:t> و بودجه</a:t>
          </a:r>
          <a:endParaRPr lang="en-US" sz="1600" b="1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cs typeface="B Mitra" panose="00000400000000000000" pitchFamily="2" charset="-7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63500</xdr:colOff>
      <xdr:row>0</xdr:row>
      <xdr:rowOff>161925</xdr:rowOff>
    </xdr:from>
    <xdr:to>
      <xdr:col>8</xdr:col>
      <xdr:colOff>492125</xdr:colOff>
      <xdr:row>14</xdr:row>
      <xdr:rowOff>34926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57D35C3-756B-438A-8E50-1EF79CE8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8329875" y="161925"/>
          <a:ext cx="4048125" cy="34290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990600</xdr:colOff>
      <xdr:row>1</xdr:row>
      <xdr:rowOff>266700</xdr:rowOff>
    </xdr:from>
    <xdr:to>
      <xdr:col>5</xdr:col>
      <xdr:colOff>990600</xdr:colOff>
      <xdr:row>1</xdr:row>
      <xdr:rowOff>266700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>
          <a:spLocks noChangeShapeType="1"/>
        </xdr:cNvSpPr>
      </xdr:nvSpPr>
      <xdr:spPr bwMode="auto">
        <a:xfrm>
          <a:off x="10686102263" y="32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</xdr:row>
      <xdr:rowOff>61914</xdr:rowOff>
    </xdr:from>
    <xdr:to>
      <xdr:col>8</xdr:col>
      <xdr:colOff>123824</xdr:colOff>
      <xdr:row>14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157163</xdr:colOff>
      <xdr:row>1</xdr:row>
      <xdr:rowOff>66676</xdr:rowOff>
    </xdr:from>
    <xdr:to>
      <xdr:col>16</xdr:col>
      <xdr:colOff>11112</xdr:colOff>
      <xdr:row>14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227012</xdr:colOff>
      <xdr:row>15</xdr:row>
      <xdr:rowOff>0</xdr:rowOff>
    </xdr:from>
    <xdr:to>
      <xdr:col>16</xdr:col>
      <xdr:colOff>90486</xdr:colOff>
      <xdr:row>27</xdr:row>
      <xdr:rowOff>15875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15875</xdr:colOff>
      <xdr:row>30</xdr:row>
      <xdr:rowOff>49212</xdr:rowOff>
    </xdr:from>
    <xdr:to>
      <xdr:col>8</xdr:col>
      <xdr:colOff>53974</xdr:colOff>
      <xdr:row>45</xdr:row>
      <xdr:rowOff>150812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212725</xdr:colOff>
      <xdr:row>30</xdr:row>
      <xdr:rowOff>19050</xdr:rowOff>
    </xdr:from>
    <xdr:to>
      <xdr:col>16</xdr:col>
      <xdr:colOff>76199</xdr:colOff>
      <xdr:row>45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28574</xdr:colOff>
      <xdr:row>15</xdr:row>
      <xdr:rowOff>0</xdr:rowOff>
    </xdr:from>
    <xdr:to>
      <xdr:col>8</xdr:col>
      <xdr:colOff>66673</xdr:colOff>
      <xdr:row>27</xdr:row>
      <xdr:rowOff>15876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31750</xdr:colOff>
      <xdr:row>46</xdr:row>
      <xdr:rowOff>179388</xdr:rowOff>
    </xdr:from>
    <xdr:to>
      <xdr:col>8</xdr:col>
      <xdr:colOff>69849</xdr:colOff>
      <xdr:row>61</xdr:row>
      <xdr:rowOff>207963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180975</xdr:colOff>
      <xdr:row>46</xdr:row>
      <xdr:rowOff>158750</xdr:rowOff>
    </xdr:from>
    <xdr:to>
      <xdr:col>16</xdr:col>
      <xdr:colOff>44449</xdr:colOff>
      <xdr:row>61</xdr:row>
      <xdr:rowOff>187325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47625</xdr:colOff>
      <xdr:row>64</xdr:row>
      <xdr:rowOff>0</xdr:rowOff>
    </xdr:from>
    <xdr:to>
      <xdr:col>8</xdr:col>
      <xdr:colOff>85724</xdr:colOff>
      <xdr:row>77</xdr:row>
      <xdr:rowOff>238125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133350</xdr:colOff>
      <xdr:row>64</xdr:row>
      <xdr:rowOff>1</xdr:rowOff>
    </xdr:from>
    <xdr:to>
      <xdr:col>15</xdr:col>
      <xdr:colOff>171449</xdr:colOff>
      <xdr:row>77</xdr:row>
      <xdr:rowOff>222251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63500</xdr:colOff>
      <xdr:row>78</xdr:row>
      <xdr:rowOff>142876</xdr:rowOff>
    </xdr:from>
    <xdr:to>
      <xdr:col>8</xdr:col>
      <xdr:colOff>101599</xdr:colOff>
      <xdr:row>92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165100</xdr:colOff>
      <xdr:row>78</xdr:row>
      <xdr:rowOff>84139</xdr:rowOff>
    </xdr:from>
    <xdr:to>
      <xdr:col>16</xdr:col>
      <xdr:colOff>28574</xdr:colOff>
      <xdr:row>91</xdr:row>
      <xdr:rowOff>190501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233364</xdr:rowOff>
    </xdr:from>
    <xdr:to>
      <xdr:col>1</xdr:col>
      <xdr:colOff>1552574</xdr:colOff>
      <xdr:row>29</xdr:row>
      <xdr:rowOff>28577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01" t="3961" r="1072"/>
        <a:stretch/>
      </xdr:blipFill>
      <xdr:spPr bwMode="auto">
        <a:xfrm>
          <a:off x="9987305401" y="490539"/>
          <a:ext cx="2152649" cy="6948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960902-laptapLenovo\&#1601;&#1575;&#1740;&#1604;&#8204;&#1607;&#1575;&#1740;%20&#1705;&#1575;&#1585;&#1740;\KARAFARIN%20CO\&#1576;&#1740;&#1605;&#1607;%20&#1705;&#1575;&#1585;&#1570;&#1601;&#1585;&#1740;&#1606;-960422\&#1589;&#1608;&#1585;&#1578;&#8204;&#1607;&#1575;&#1740;%20&#1605;&#1575;&#1604;&#1740;951229\&#1589;&#1608;&#1585;&#1578;&#8204;&#1607;&#1575;&#1740;%20&#1605;&#1575;&#1604;&#1740;%20&#1575;&#1608;&#1604;&#1740;&#1607;\960323\9512-Ra2-960323-&#1587;&#1608;&#1583;%20&#1608;%20&#1586;&#1740;&#1575;&#160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ثالث"/>
      <sheetName val="فعالیت بیمه ای "/>
      <sheetName val="بودجه 94"/>
      <sheetName val="cfs2"/>
      <sheetName val="is2"/>
      <sheetName val="BS2"/>
      <sheetName val="عمر و غیر عمر "/>
      <sheetName val="1-3-2"/>
      <sheetName val="سهام"/>
      <sheetName val="گزارش"/>
      <sheetName val="trz"/>
      <sheetName val="ذف"/>
      <sheetName val="ذف2"/>
      <sheetName val="a"/>
      <sheetName val="b"/>
      <sheetName val="c"/>
      <sheetName val="اشخاص وابسته46 (2)"/>
      <sheetName val="اشخاص وابسته46"/>
      <sheetName val="tax "/>
      <sheetName val="Sheet1"/>
      <sheetName val="گزارش (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05">
          <cell r="N805">
            <v>1260967</v>
          </cell>
        </row>
        <row r="806">
          <cell r="N806">
            <v>135817</v>
          </cell>
        </row>
        <row r="807">
          <cell r="N807">
            <v>239752</v>
          </cell>
        </row>
        <row r="1003">
          <cell r="N1003">
            <v>1224897</v>
          </cell>
        </row>
      </sheetData>
      <sheetData sheetId="10">
        <row r="11">
          <cell r="I11">
            <v>1039654</v>
          </cell>
          <cell r="J11">
            <v>3</v>
          </cell>
        </row>
        <row r="12">
          <cell r="I12">
            <v>7929312</v>
          </cell>
          <cell r="J12">
            <v>4</v>
          </cell>
        </row>
        <row r="13">
          <cell r="I13">
            <v>1421934</v>
          </cell>
          <cell r="J13">
            <v>5</v>
          </cell>
        </row>
        <row r="14">
          <cell r="I14">
            <v>867975</v>
          </cell>
          <cell r="J14">
            <v>6</v>
          </cell>
        </row>
        <row r="15">
          <cell r="I15">
            <v>583364</v>
          </cell>
          <cell r="J15">
            <v>7</v>
          </cell>
        </row>
        <row r="16">
          <cell r="I16">
            <v>0</v>
          </cell>
          <cell r="J16">
            <v>8</v>
          </cell>
        </row>
        <row r="17">
          <cell r="I17">
            <v>1445963</v>
          </cell>
          <cell r="J17">
            <v>9</v>
          </cell>
        </row>
        <row r="18">
          <cell r="I18">
            <v>1478379</v>
          </cell>
          <cell r="J18">
            <v>10</v>
          </cell>
        </row>
        <row r="19">
          <cell r="I19">
            <v>1656162</v>
          </cell>
          <cell r="J19">
            <v>12</v>
          </cell>
        </row>
        <row r="20">
          <cell r="I20">
            <v>1469</v>
          </cell>
          <cell r="J20">
            <v>11</v>
          </cell>
        </row>
        <row r="21">
          <cell r="I21">
            <v>-172464</v>
          </cell>
          <cell r="J21">
            <v>13</v>
          </cell>
        </row>
        <row r="22">
          <cell r="I22">
            <v>-553365</v>
          </cell>
          <cell r="J22">
            <v>14</v>
          </cell>
        </row>
        <row r="23">
          <cell r="I23">
            <v>-66879</v>
          </cell>
          <cell r="J23">
            <v>15</v>
          </cell>
        </row>
        <row r="24">
          <cell r="I24">
            <v>-3141</v>
          </cell>
          <cell r="J24">
            <v>16</v>
          </cell>
        </row>
        <row r="25">
          <cell r="I25">
            <v>-16865</v>
          </cell>
          <cell r="J25">
            <v>17</v>
          </cell>
        </row>
        <row r="26">
          <cell r="I26">
            <v>3136163</v>
          </cell>
          <cell r="J26">
            <v>18.100000000000001</v>
          </cell>
        </row>
        <row r="27">
          <cell r="I27">
            <v>-12571239</v>
          </cell>
          <cell r="J27">
            <v>19</v>
          </cell>
        </row>
        <row r="28">
          <cell r="I28">
            <v>0</v>
          </cell>
          <cell r="J28">
            <v>20</v>
          </cell>
        </row>
        <row r="29">
          <cell r="I29">
            <v>-340330</v>
          </cell>
          <cell r="J29">
            <v>21</v>
          </cell>
        </row>
        <row r="30">
          <cell r="I30">
            <v>-85020</v>
          </cell>
          <cell r="J30">
            <v>22</v>
          </cell>
        </row>
        <row r="31">
          <cell r="I31">
            <v>-473508</v>
          </cell>
          <cell r="J31">
            <v>23</v>
          </cell>
        </row>
        <row r="32">
          <cell r="I32">
            <v>-1500000</v>
          </cell>
          <cell r="J32">
            <v>24</v>
          </cell>
        </row>
        <row r="33">
          <cell r="I33">
            <v>-102914</v>
          </cell>
          <cell r="J33">
            <v>25.1</v>
          </cell>
        </row>
        <row r="34">
          <cell r="I34">
            <v>-134770</v>
          </cell>
          <cell r="J34">
            <v>26.1</v>
          </cell>
        </row>
        <row r="35">
          <cell r="I35">
            <v>-8260670</v>
          </cell>
          <cell r="J35">
            <v>27</v>
          </cell>
        </row>
        <row r="36">
          <cell r="I36">
            <v>2508700</v>
          </cell>
          <cell r="J36">
            <v>28</v>
          </cell>
        </row>
        <row r="37">
          <cell r="I37">
            <v>3800460</v>
          </cell>
          <cell r="J37">
            <v>29</v>
          </cell>
        </row>
        <row r="38">
          <cell r="I38">
            <v>-977673</v>
          </cell>
          <cell r="J38">
            <v>30</v>
          </cell>
        </row>
        <row r="39">
          <cell r="I39">
            <v>987314</v>
          </cell>
          <cell r="J39">
            <v>31</v>
          </cell>
        </row>
        <row r="40">
          <cell r="I40">
            <v>-366875</v>
          </cell>
          <cell r="J40">
            <v>32</v>
          </cell>
        </row>
        <row r="43">
          <cell r="I43">
            <v>259432</v>
          </cell>
          <cell r="J43">
            <v>33</v>
          </cell>
        </row>
        <row r="44">
          <cell r="I44">
            <v>2709</v>
          </cell>
          <cell r="J44">
            <v>34</v>
          </cell>
        </row>
        <row r="45">
          <cell r="I45">
            <v>-1636536</v>
          </cell>
          <cell r="J45">
            <v>35</v>
          </cell>
        </row>
        <row r="46">
          <cell r="I46">
            <v>-1260592</v>
          </cell>
          <cell r="J46">
            <v>35.1</v>
          </cell>
        </row>
        <row r="47">
          <cell r="I47">
            <v>-375944</v>
          </cell>
          <cell r="J47">
            <v>35.200000000000003</v>
          </cell>
        </row>
        <row r="48">
          <cell r="I48">
            <v>588017</v>
          </cell>
          <cell r="J48">
            <v>36</v>
          </cell>
        </row>
        <row r="49">
          <cell r="I49">
            <v>29301</v>
          </cell>
          <cell r="J49">
            <v>36.1</v>
          </cell>
        </row>
        <row r="50">
          <cell r="I50">
            <v>381614</v>
          </cell>
          <cell r="J50">
            <v>36.200000000000003</v>
          </cell>
        </row>
        <row r="51">
          <cell r="I51">
            <v>31528</v>
          </cell>
          <cell r="J51">
            <v>36.299999999999997</v>
          </cell>
        </row>
        <row r="52">
          <cell r="I52">
            <v>145574</v>
          </cell>
          <cell r="J52">
            <v>36.4</v>
          </cell>
        </row>
        <row r="53">
          <cell r="I53">
            <v>-58349</v>
          </cell>
          <cell r="J53">
            <v>37</v>
          </cell>
        </row>
        <row r="54">
          <cell r="I54">
            <v>0</v>
          </cell>
          <cell r="J54">
            <v>38</v>
          </cell>
        </row>
        <row r="55">
          <cell r="I55">
            <v>-386411</v>
          </cell>
          <cell r="J55">
            <v>39</v>
          </cell>
        </row>
        <row r="142">
          <cell r="B142">
            <v>0</v>
          </cell>
        </row>
        <row r="143">
          <cell r="B143">
            <v>-1260967016099</v>
          </cell>
        </row>
        <row r="144">
          <cell r="B144">
            <v>-135817137689</v>
          </cell>
        </row>
        <row r="145">
          <cell r="B145">
            <v>-239751873912</v>
          </cell>
        </row>
      </sheetData>
      <sheetData sheetId="11">
        <row r="18">
          <cell r="I18">
            <v>7991850</v>
          </cell>
          <cell r="J18">
            <v>18597982</v>
          </cell>
          <cell r="Q18">
            <v>1876635</v>
          </cell>
          <cell r="R18">
            <v>4533223</v>
          </cell>
        </row>
        <row r="94">
          <cell r="I94">
            <v>102983</v>
          </cell>
          <cell r="J94">
            <v>1342075</v>
          </cell>
          <cell r="Q94">
            <v>75703</v>
          </cell>
          <cell r="R94">
            <v>383843</v>
          </cell>
        </row>
        <row r="155">
          <cell r="I155">
            <v>0</v>
          </cell>
          <cell r="J155">
            <v>726018</v>
          </cell>
          <cell r="P155">
            <v>171437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U62"/>
  <sheetViews>
    <sheetView rightToLeft="1" zoomScaleNormal="100" workbookViewId="0">
      <selection activeCell="F21" sqref="F21"/>
    </sheetView>
  </sheetViews>
  <sheetFormatPr defaultColWidth="6.7109375" defaultRowHeight="12.75"/>
  <cols>
    <col min="1" max="1" width="5.5703125" style="1" customWidth="1"/>
    <col min="2" max="2" width="30.7109375" style="1" customWidth="1"/>
    <col min="3" max="3" width="1.7109375" style="1" customWidth="1"/>
    <col min="4" max="4" width="7.7109375" style="1" customWidth="1"/>
    <col min="5" max="5" width="1.7109375" style="1" customWidth="1"/>
    <col min="6" max="6" width="15" style="1" bestFit="1" customWidth="1"/>
    <col min="7" max="7" width="1.28515625" style="1" customWidth="1"/>
    <col min="8" max="8" width="15" style="1" bestFit="1" customWidth="1"/>
    <col min="9" max="9" width="1.7109375" style="1" customWidth="1"/>
    <col min="10" max="10" width="14.5703125" style="1" customWidth="1"/>
    <col min="11" max="11" width="3.28515625" style="1" customWidth="1"/>
    <col min="12" max="12" width="1.28515625" style="1" customWidth="1"/>
    <col min="13" max="13" width="7.42578125" style="1" customWidth="1"/>
    <col min="14" max="14" width="16" style="1" customWidth="1"/>
    <col min="15" max="15" width="18.42578125" style="1" customWidth="1"/>
    <col min="16" max="16" width="6.7109375" style="1"/>
    <col min="17" max="17" width="6.7109375" style="1" customWidth="1"/>
    <col min="18" max="18" width="6.7109375" style="1"/>
    <col min="19" max="19" width="30.7109375" style="1" customWidth="1"/>
    <col min="20" max="20" width="15.140625" style="1" customWidth="1"/>
    <col min="21" max="21" width="16.140625" style="1" customWidth="1"/>
    <col min="22" max="16384" width="6.7109375" style="1"/>
  </cols>
  <sheetData>
    <row r="1" spans="2:21" ht="13.5">
      <c r="B1" s="6"/>
      <c r="C1" s="6"/>
      <c r="D1" s="6"/>
      <c r="E1" s="6"/>
      <c r="F1" s="6"/>
      <c r="G1" s="6"/>
      <c r="H1" s="6"/>
      <c r="I1" s="6"/>
      <c r="J1" s="6"/>
    </row>
    <row r="2" spans="2:21" ht="21.95" customHeight="1">
      <c r="B2" s="552" t="s">
        <v>32</v>
      </c>
      <c r="C2" s="552"/>
      <c r="D2" s="552"/>
      <c r="E2" s="552"/>
      <c r="F2" s="552"/>
      <c r="G2" s="552"/>
      <c r="H2" s="552"/>
      <c r="I2" s="552"/>
      <c r="J2" s="552"/>
      <c r="K2" s="45"/>
      <c r="L2" s="45"/>
      <c r="P2" s="45"/>
      <c r="Q2" s="45"/>
    </row>
    <row r="3" spans="2:21" ht="21" customHeight="1">
      <c r="B3" s="553" t="s">
        <v>31</v>
      </c>
      <c r="C3" s="553"/>
      <c r="D3" s="553"/>
      <c r="E3" s="553"/>
      <c r="F3" s="553"/>
      <c r="G3" s="553"/>
      <c r="H3" s="553"/>
      <c r="I3" s="553"/>
      <c r="J3" s="553"/>
      <c r="P3" s="45"/>
      <c r="Q3" s="45"/>
    </row>
    <row r="4" spans="2:21" ht="21" customHeight="1" thickBot="1">
      <c r="B4" s="554" t="s">
        <v>30</v>
      </c>
      <c r="C4" s="554"/>
      <c r="D4" s="554"/>
      <c r="E4" s="554"/>
      <c r="F4" s="554"/>
      <c r="G4" s="554"/>
      <c r="H4" s="554"/>
      <c r="I4" s="554"/>
      <c r="J4" s="554"/>
      <c r="P4" s="45"/>
      <c r="Q4" s="45"/>
    </row>
    <row r="5" spans="2:21" ht="15" customHeight="1">
      <c r="B5" s="47"/>
      <c r="C5" s="47"/>
      <c r="D5" s="47"/>
      <c r="E5" s="47"/>
      <c r="F5" s="46"/>
      <c r="G5" s="47"/>
      <c r="H5" s="46"/>
      <c r="I5" s="6"/>
      <c r="J5" s="46"/>
      <c r="P5" s="45"/>
      <c r="Q5" s="45"/>
    </row>
    <row r="6" spans="2:21" ht="21.95" customHeight="1">
      <c r="B6" s="44" t="s">
        <v>29</v>
      </c>
      <c r="C6" s="42"/>
      <c r="D6" s="43" t="s">
        <v>28</v>
      </c>
      <c r="E6" s="42"/>
      <c r="F6" s="558" t="s">
        <v>27</v>
      </c>
      <c r="G6" s="558"/>
      <c r="H6" s="558"/>
      <c r="I6" s="41"/>
      <c r="J6" s="40" t="s">
        <v>26</v>
      </c>
    </row>
    <row r="7" spans="2:21" ht="21.95" customHeight="1">
      <c r="B7" s="6"/>
      <c r="C7" s="6"/>
      <c r="D7" s="39"/>
      <c r="E7" s="6"/>
      <c r="F7" s="36"/>
      <c r="G7" s="38"/>
      <c r="H7" s="36" t="s">
        <v>25</v>
      </c>
      <c r="I7" s="37"/>
      <c r="J7" s="36" t="s">
        <v>25</v>
      </c>
    </row>
    <row r="8" spans="2:21" ht="20.100000000000001" customHeight="1">
      <c r="B8" s="23" t="s">
        <v>24</v>
      </c>
      <c r="C8" s="6"/>
      <c r="D8" s="7"/>
      <c r="E8" s="6"/>
      <c r="F8" s="12"/>
      <c r="G8" s="31"/>
      <c r="H8" s="12"/>
      <c r="I8" s="3"/>
      <c r="J8" s="12"/>
    </row>
    <row r="9" spans="2:21" ht="20.100000000000001" customHeight="1">
      <c r="B9" s="8" t="s">
        <v>23</v>
      </c>
      <c r="C9" s="6"/>
      <c r="D9" s="7">
        <v>38</v>
      </c>
      <c r="E9" s="6"/>
      <c r="G9" s="31"/>
      <c r="H9" s="30">
        <f>+[1]گزارش!N1003</f>
        <v>1224897</v>
      </c>
      <c r="I9" s="3"/>
      <c r="J9" s="30">
        <v>860363</v>
      </c>
    </row>
    <row r="10" spans="2:21" ht="20.100000000000001" customHeight="1">
      <c r="B10" s="17"/>
      <c r="C10" s="6"/>
      <c r="D10" s="7"/>
      <c r="E10" s="6"/>
      <c r="G10" s="31"/>
      <c r="H10" s="30"/>
      <c r="I10" s="3"/>
      <c r="J10" s="30"/>
    </row>
    <row r="11" spans="2:21" ht="20.100000000000001" customHeight="1">
      <c r="B11" s="23" t="s">
        <v>22</v>
      </c>
      <c r="C11" s="6"/>
      <c r="D11" s="7"/>
      <c r="E11" s="6"/>
      <c r="G11" s="31"/>
      <c r="H11" s="30"/>
      <c r="I11" s="3"/>
      <c r="J11" s="30"/>
    </row>
    <row r="12" spans="2:21" ht="20.100000000000001" customHeight="1">
      <c r="B12" s="35" t="s">
        <v>21</v>
      </c>
      <c r="C12" s="6"/>
      <c r="D12" s="7"/>
      <c r="E12" s="6"/>
      <c r="F12" s="29" t="e">
        <f>+N12+265200</f>
        <v>#VALUE!</v>
      </c>
      <c r="G12" s="33"/>
      <c r="I12" s="32"/>
      <c r="J12" s="29">
        <v>-33843</v>
      </c>
      <c r="N12" s="1" t="e">
        <f>+is!F57+BS!O12-BS!Q12</f>
        <v>#VALUE!</v>
      </c>
      <c r="S12" s="11" t="s">
        <v>20</v>
      </c>
      <c r="T12" s="34">
        <f>[1]گزارش!N806</f>
        <v>135817</v>
      </c>
      <c r="U12" s="34">
        <v>271503.47269299999</v>
      </c>
    </row>
    <row r="13" spans="2:21" ht="20.100000000000001" customHeight="1">
      <c r="B13" s="11" t="s">
        <v>19</v>
      </c>
      <c r="C13" s="6"/>
      <c r="D13" s="7"/>
      <c r="E13" s="6"/>
      <c r="F13" s="28">
        <f>+T13</f>
        <v>1260967</v>
      </c>
      <c r="G13" s="33"/>
      <c r="I13" s="32"/>
      <c r="J13" s="28">
        <v>840170</v>
      </c>
      <c r="S13" s="11" t="s">
        <v>19</v>
      </c>
      <c r="T13" s="34">
        <f>[1]گزارش!N805</f>
        <v>1260967</v>
      </c>
      <c r="U13" s="34">
        <v>431963.99335800001</v>
      </c>
    </row>
    <row r="14" spans="2:21" ht="20.100000000000001" customHeight="1">
      <c r="B14" s="11" t="s">
        <v>18</v>
      </c>
      <c r="C14" s="6"/>
      <c r="D14" s="7"/>
      <c r="E14" s="6"/>
      <c r="F14" s="28">
        <f>+T14</f>
        <v>239752</v>
      </c>
      <c r="G14" s="33"/>
      <c r="I14" s="32"/>
      <c r="J14" s="28">
        <v>85728</v>
      </c>
      <c r="S14" s="11" t="s">
        <v>18</v>
      </c>
      <c r="T14" s="34">
        <f>[1]گزارش!N807</f>
        <v>239752</v>
      </c>
      <c r="U14" s="34">
        <v>54322.455902000002</v>
      </c>
    </row>
    <row r="15" spans="2:21" ht="20.100000000000001" customHeight="1">
      <c r="B15" s="17" t="s">
        <v>17</v>
      </c>
      <c r="C15" s="6"/>
      <c r="D15" s="7"/>
      <c r="E15" s="6"/>
      <c r="F15" s="27">
        <f>T12</f>
        <v>135817</v>
      </c>
      <c r="G15" s="33"/>
      <c r="H15" s="22"/>
      <c r="I15" s="32"/>
      <c r="J15" s="27">
        <v>189021</v>
      </c>
    </row>
    <row r="16" spans="2:21" ht="20.100000000000001" customHeight="1">
      <c r="B16" s="1" t="s">
        <v>16</v>
      </c>
      <c r="C16" s="6"/>
      <c r="D16" s="7"/>
      <c r="E16" s="6"/>
      <c r="G16" s="31"/>
      <c r="H16" s="26" t="e">
        <f>SUM(F12:F15)</f>
        <v>#VALUE!</v>
      </c>
      <c r="I16" s="3"/>
      <c r="J16" s="25">
        <f>SUM(J12:J15)</f>
        <v>1081076</v>
      </c>
    </row>
    <row r="17" spans="2:14" ht="24.95" customHeight="1">
      <c r="B17" s="23" t="s">
        <v>15</v>
      </c>
      <c r="C17" s="6"/>
      <c r="D17" s="7"/>
      <c r="E17" s="17"/>
      <c r="G17" s="19"/>
      <c r="H17" s="30"/>
      <c r="I17" s="3"/>
      <c r="J17" s="30"/>
    </row>
    <row r="18" spans="2:14" ht="24.95" customHeight="1">
      <c r="B18" s="8" t="s">
        <v>14</v>
      </c>
      <c r="C18" s="6"/>
      <c r="D18" s="7"/>
      <c r="E18" s="17"/>
      <c r="F18" s="29" t="e">
        <f>BS!I17-BS!G17-M18-15</f>
        <v>#VALUE!</v>
      </c>
      <c r="G18" s="19"/>
      <c r="I18" s="3"/>
      <c r="J18" s="29">
        <v>191062</v>
      </c>
      <c r="M18" s="1">
        <v>45041</v>
      </c>
      <c r="N18" s="1" t="s">
        <v>13</v>
      </c>
    </row>
    <row r="19" spans="2:14" ht="24.95" customHeight="1">
      <c r="B19" s="8" t="s">
        <v>12</v>
      </c>
      <c r="C19" s="6"/>
      <c r="D19" s="7"/>
      <c r="E19" s="17"/>
      <c r="F19" s="28" t="e">
        <f>+BS!I16-BS!G16</f>
        <v>#VALUE!</v>
      </c>
      <c r="G19" s="19"/>
      <c r="I19" s="3"/>
      <c r="J19" s="28">
        <v>-82</v>
      </c>
    </row>
    <row r="20" spans="2:14" ht="24.95" customHeight="1">
      <c r="B20" s="8" t="s">
        <v>11</v>
      </c>
      <c r="C20" s="6"/>
      <c r="D20" s="7"/>
      <c r="E20" s="17"/>
      <c r="F20" s="28" t="e">
        <f>+BS!I9-BS!G9-5319</f>
        <v>#VALUE!</v>
      </c>
      <c r="G20" s="19"/>
      <c r="I20" s="3"/>
      <c r="J20" s="28">
        <v>-1546290</v>
      </c>
    </row>
    <row r="21" spans="2:14" ht="24.95" customHeight="1">
      <c r="B21" s="8" t="s">
        <v>10</v>
      </c>
      <c r="C21" s="6"/>
      <c r="D21" s="7"/>
      <c r="E21" s="17"/>
      <c r="F21" s="28" t="e">
        <f>+BS!I15-BS!G15</f>
        <v>#VALUE!</v>
      </c>
      <c r="G21" s="19"/>
      <c r="I21" s="3"/>
      <c r="J21" s="28">
        <v>-11051</v>
      </c>
    </row>
    <row r="22" spans="2:14" ht="24.95" customHeight="1">
      <c r="B22" s="8" t="s">
        <v>9</v>
      </c>
      <c r="C22" s="6"/>
      <c r="D22" s="7"/>
      <c r="E22" s="17"/>
      <c r="F22" s="27">
        <v>0</v>
      </c>
      <c r="G22" s="19"/>
      <c r="H22" s="22"/>
      <c r="I22" s="3"/>
      <c r="J22" s="27">
        <v>0</v>
      </c>
    </row>
    <row r="23" spans="2:14" ht="20.100000000000001" customHeight="1">
      <c r="B23" s="8" t="s">
        <v>8</v>
      </c>
      <c r="C23" s="6"/>
      <c r="D23" s="7"/>
      <c r="E23" s="17"/>
      <c r="G23" s="19"/>
      <c r="H23" s="26" t="e">
        <f>SUM(F18:F22)</f>
        <v>#VALUE!</v>
      </c>
      <c r="I23" s="3"/>
      <c r="J23" s="25">
        <f>SUM(J18:J22)</f>
        <v>-1366361</v>
      </c>
    </row>
    <row r="24" spans="2:14" ht="24.95" customHeight="1">
      <c r="C24" s="6"/>
      <c r="D24" s="7"/>
      <c r="E24" s="17"/>
      <c r="G24" s="19"/>
      <c r="H24" s="24"/>
      <c r="I24" s="3"/>
      <c r="J24" s="24"/>
    </row>
    <row r="25" spans="2:14" ht="24.95" customHeight="1">
      <c r="B25" s="23" t="s">
        <v>7</v>
      </c>
      <c r="C25" s="6"/>
      <c r="D25" s="7"/>
      <c r="E25" s="17"/>
      <c r="G25" s="19"/>
      <c r="H25" s="2"/>
      <c r="I25" s="3"/>
      <c r="J25" s="2"/>
    </row>
    <row r="26" spans="2:14" ht="24.95" customHeight="1">
      <c r="B26" s="8" t="s">
        <v>6</v>
      </c>
      <c r="C26" s="6"/>
      <c r="D26" s="7"/>
      <c r="E26" s="17"/>
      <c r="F26" s="21">
        <v>0</v>
      </c>
      <c r="G26" s="19"/>
      <c r="H26" s="22"/>
      <c r="I26" s="3"/>
      <c r="J26" s="16">
        <v>0</v>
      </c>
    </row>
    <row r="27" spans="2:14" ht="24.95" customHeight="1">
      <c r="B27" s="8"/>
      <c r="C27" s="6"/>
      <c r="D27" s="7"/>
      <c r="E27" s="17"/>
      <c r="G27" s="19"/>
      <c r="H27" s="21">
        <v>0</v>
      </c>
      <c r="I27" s="3"/>
      <c r="J27" s="20">
        <v>0</v>
      </c>
    </row>
    <row r="28" spans="2:14" ht="24.95" customHeight="1">
      <c r="B28" s="8" t="s">
        <v>5</v>
      </c>
      <c r="C28" s="6"/>
      <c r="D28" s="7"/>
      <c r="E28" s="17"/>
      <c r="G28" s="19"/>
      <c r="H28" s="18" t="e">
        <f>ROUND((+H27+H23+H16+H9),0)-1</f>
        <v>#VALUE!</v>
      </c>
      <c r="I28" s="3"/>
      <c r="J28" s="18">
        <f>ROUND((+J27+J23+J16+J9),0)</f>
        <v>575078</v>
      </c>
    </row>
    <row r="29" spans="2:14" ht="24.95" customHeight="1">
      <c r="B29" s="8" t="s">
        <v>4</v>
      </c>
      <c r="C29" s="6"/>
      <c r="D29" s="7"/>
      <c r="E29" s="17"/>
      <c r="G29" s="9"/>
      <c r="H29" s="16">
        <f>J31</f>
        <v>1049954</v>
      </c>
      <c r="I29" s="3"/>
      <c r="J29" s="16">
        <v>455313</v>
      </c>
    </row>
    <row r="30" spans="2:14" ht="24.95" customHeight="1">
      <c r="B30" s="8" t="s">
        <v>3</v>
      </c>
      <c r="C30" s="6"/>
      <c r="D30" s="7"/>
      <c r="E30" s="17"/>
      <c r="G30" s="9"/>
      <c r="H30" s="16">
        <v>19563</v>
      </c>
      <c r="I30" s="3"/>
      <c r="J30" s="16">
        <v>19563</v>
      </c>
    </row>
    <row r="31" spans="2:14" ht="24.95" customHeight="1" thickBot="1">
      <c r="B31" s="8" t="s">
        <v>2</v>
      </c>
      <c r="D31" s="13"/>
      <c r="H31" s="15" t="e">
        <f>SUM(H28:H30)</f>
        <v>#VALUE!</v>
      </c>
      <c r="I31" s="3"/>
      <c r="J31" s="15">
        <f>SUM(J28:J30)</f>
        <v>1049954</v>
      </c>
      <c r="M31" s="1" t="e">
        <f>+BS!G8</f>
        <v>#VALUE!</v>
      </c>
      <c r="N31" s="1" t="e">
        <f>+M31-H31</f>
        <v>#VALUE!</v>
      </c>
    </row>
    <row r="32" spans="2:14" ht="20.100000000000001" customHeight="1" thickTop="1">
      <c r="B32" s="8" t="s">
        <v>1</v>
      </c>
      <c r="D32" s="7"/>
      <c r="E32" s="7"/>
      <c r="F32" s="7"/>
      <c r="G32" s="7"/>
      <c r="H32" s="7">
        <v>265200</v>
      </c>
      <c r="I32" s="7"/>
      <c r="J32" s="7">
        <v>265200</v>
      </c>
      <c r="K32" s="7"/>
      <c r="L32" s="7"/>
      <c r="M32" s="7"/>
    </row>
    <row r="33" spans="2:10" ht="20.100000000000001" customHeight="1">
      <c r="B33" s="8"/>
      <c r="D33" s="13"/>
      <c r="G33" s="12"/>
      <c r="H33" s="12"/>
      <c r="I33" s="12"/>
      <c r="J33" s="12"/>
    </row>
    <row r="34" spans="2:10" ht="15" customHeight="1">
      <c r="B34" s="11"/>
      <c r="D34" s="13"/>
      <c r="F34" s="12"/>
      <c r="G34" s="12"/>
      <c r="H34" s="12"/>
      <c r="I34" s="12"/>
      <c r="J34" s="12"/>
    </row>
    <row r="35" spans="2:10" ht="20.100000000000001" customHeight="1">
      <c r="B35" s="8"/>
      <c r="D35" s="7"/>
      <c r="F35" s="12"/>
      <c r="G35" s="12"/>
      <c r="H35" s="12"/>
      <c r="I35" s="12"/>
      <c r="J35" s="12"/>
    </row>
    <row r="36" spans="2:10" ht="20.100000000000001" customHeight="1">
      <c r="B36" s="8"/>
      <c r="D36" s="7"/>
      <c r="F36" s="12"/>
      <c r="G36" s="12"/>
      <c r="H36" s="12"/>
      <c r="I36" s="12"/>
      <c r="J36" s="12"/>
    </row>
    <row r="37" spans="2:10" ht="20.100000000000001" customHeight="1">
      <c r="B37" s="8"/>
      <c r="D37" s="7"/>
      <c r="F37" s="12"/>
      <c r="H37" s="12"/>
      <c r="J37" s="12"/>
    </row>
    <row r="38" spans="2:10" ht="20.100000000000001" customHeight="1">
      <c r="B38" s="8"/>
      <c r="D38" s="7"/>
      <c r="F38" s="12"/>
      <c r="H38" s="12"/>
      <c r="J38" s="12"/>
    </row>
    <row r="39" spans="2:10" ht="20.100000000000001" customHeight="1">
      <c r="B39" s="8"/>
      <c r="D39" s="7"/>
      <c r="F39" s="12"/>
      <c r="H39" s="12"/>
      <c r="J39" s="12"/>
    </row>
    <row r="40" spans="2:10" ht="20.100000000000001" customHeight="1">
      <c r="B40" s="8"/>
      <c r="D40" s="7"/>
      <c r="F40" s="12"/>
      <c r="H40" s="12"/>
      <c r="J40" s="12"/>
    </row>
    <row r="41" spans="2:10" ht="20.100000000000001" customHeight="1">
      <c r="B41" s="8"/>
      <c r="D41" s="7"/>
      <c r="F41" s="12"/>
      <c r="H41" s="12"/>
      <c r="J41" s="12"/>
    </row>
    <row r="42" spans="2:10" ht="20.100000000000001" customHeight="1">
      <c r="B42" s="8"/>
      <c r="D42" s="7"/>
      <c r="F42" s="12"/>
      <c r="H42" s="12"/>
      <c r="J42" s="12"/>
    </row>
    <row r="43" spans="2:10" ht="20.100000000000001" customHeight="1">
      <c r="B43" s="8"/>
      <c r="D43" s="7"/>
      <c r="F43" s="12"/>
      <c r="H43" s="12"/>
      <c r="J43" s="12"/>
    </row>
    <row r="44" spans="2:10" ht="20.100000000000001" customHeight="1">
      <c r="B44" s="8"/>
      <c r="D44" s="13"/>
      <c r="F44" s="12"/>
      <c r="H44" s="12"/>
      <c r="J44" s="12"/>
    </row>
    <row r="45" spans="2:10" ht="20.100000000000001" customHeight="1">
      <c r="B45" s="8"/>
      <c r="D45" s="13"/>
      <c r="F45" s="12"/>
      <c r="H45" s="12"/>
      <c r="J45" s="12"/>
    </row>
    <row r="46" spans="2:10" ht="20.100000000000001" customHeight="1">
      <c r="B46" s="555" t="s">
        <v>0</v>
      </c>
      <c r="C46" s="556"/>
      <c r="D46" s="556"/>
      <c r="E46" s="556"/>
      <c r="F46" s="556"/>
      <c r="G46" s="556"/>
      <c r="H46" s="556"/>
      <c r="I46" s="556"/>
      <c r="J46" s="556"/>
    </row>
    <row r="47" spans="2:10" ht="11.25" customHeight="1">
      <c r="B47" s="14"/>
      <c r="D47" s="13"/>
      <c r="F47" s="12"/>
      <c r="H47" s="12"/>
      <c r="J47" s="12"/>
    </row>
    <row r="48" spans="2:10" ht="25.5" customHeight="1">
      <c r="B48" s="557">
        <v>-6</v>
      </c>
      <c r="C48" s="557"/>
      <c r="D48" s="557"/>
      <c r="E48" s="557"/>
      <c r="F48" s="557"/>
      <c r="G48" s="557"/>
      <c r="H48" s="557"/>
      <c r="I48" s="557"/>
      <c r="J48" s="557"/>
    </row>
    <row r="49" spans="2:10" ht="20.100000000000001" customHeight="1">
      <c r="B49" s="8"/>
      <c r="C49" s="6"/>
      <c r="D49" s="7"/>
      <c r="E49" s="6"/>
      <c r="F49" s="10"/>
      <c r="G49" s="9"/>
      <c r="H49" s="2"/>
      <c r="I49" s="3"/>
      <c r="J49" s="2"/>
    </row>
    <row r="50" spans="2:10" ht="20.100000000000001" customHeight="1">
      <c r="B50" s="8"/>
      <c r="C50" s="6"/>
      <c r="D50" s="7"/>
      <c r="E50" s="6"/>
      <c r="F50" s="10"/>
      <c r="G50" s="9"/>
      <c r="H50" s="2"/>
      <c r="I50" s="3"/>
      <c r="J50" s="2"/>
    </row>
    <row r="51" spans="2:10" ht="20.100000000000001" customHeight="1">
      <c r="B51" s="8"/>
      <c r="C51" s="6"/>
      <c r="D51" s="7"/>
      <c r="E51" s="6"/>
      <c r="F51" s="10"/>
      <c r="G51" s="9"/>
      <c r="H51" s="2"/>
      <c r="I51" s="3"/>
      <c r="J51" s="2"/>
    </row>
    <row r="52" spans="2:10" ht="20.100000000000001" customHeight="1">
      <c r="B52" s="8"/>
      <c r="C52" s="6"/>
      <c r="D52" s="7"/>
      <c r="E52" s="6"/>
      <c r="F52" s="10"/>
      <c r="G52" s="9"/>
      <c r="H52" s="2"/>
      <c r="I52" s="3"/>
      <c r="J52" s="2"/>
    </row>
    <row r="53" spans="2:10" ht="15" customHeight="1">
      <c r="B53" s="11"/>
      <c r="C53" s="6"/>
      <c r="D53" s="7"/>
      <c r="E53" s="6"/>
      <c r="F53" s="10"/>
      <c r="G53" s="9"/>
      <c r="H53" s="2"/>
      <c r="I53" s="3"/>
      <c r="J53" s="2"/>
    </row>
    <row r="54" spans="2:10" ht="20.100000000000001" customHeight="1">
      <c r="B54" s="8"/>
      <c r="C54" s="6"/>
      <c r="D54" s="7"/>
      <c r="E54" s="6"/>
      <c r="F54" s="10"/>
      <c r="G54" s="9"/>
      <c r="H54" s="2"/>
      <c r="I54" s="3"/>
      <c r="J54" s="2"/>
    </row>
    <row r="55" spans="2:10" ht="20.100000000000001" customHeight="1">
      <c r="B55" s="8"/>
      <c r="C55" s="6"/>
      <c r="D55" s="7"/>
      <c r="E55" s="6"/>
      <c r="F55" s="10"/>
      <c r="G55" s="9"/>
      <c r="H55" s="2"/>
      <c r="I55" s="3"/>
      <c r="J55" s="2"/>
    </row>
    <row r="56" spans="2:10" ht="20.100000000000001" customHeight="1">
      <c r="B56" s="8"/>
      <c r="C56" s="6"/>
      <c r="D56" s="7"/>
      <c r="E56" s="6"/>
      <c r="F56" s="10"/>
      <c r="G56" s="9"/>
      <c r="H56" s="2"/>
      <c r="I56" s="3"/>
      <c r="J56" s="2"/>
    </row>
    <row r="57" spans="2:10" ht="20.100000000000001" customHeight="1">
      <c r="B57" s="8"/>
      <c r="C57" s="6"/>
      <c r="D57" s="7"/>
      <c r="E57" s="6"/>
      <c r="F57" s="10"/>
      <c r="G57" s="9"/>
      <c r="H57" s="2"/>
      <c r="I57" s="3"/>
      <c r="J57" s="2"/>
    </row>
    <row r="58" spans="2:10" ht="20.100000000000001" customHeight="1">
      <c r="B58" s="8"/>
      <c r="C58" s="6"/>
      <c r="D58" s="7"/>
      <c r="E58" s="6"/>
      <c r="F58" s="10"/>
      <c r="G58" s="9"/>
      <c r="H58" s="2"/>
      <c r="I58" s="3"/>
      <c r="J58" s="2"/>
    </row>
    <row r="59" spans="2:10" ht="20.100000000000001" customHeight="1">
      <c r="B59" s="8"/>
      <c r="C59" s="6"/>
      <c r="D59" s="7"/>
      <c r="E59" s="6"/>
      <c r="F59" s="10"/>
      <c r="G59" s="9"/>
      <c r="H59" s="2"/>
      <c r="I59" s="3"/>
      <c r="J59" s="2"/>
    </row>
    <row r="60" spans="2:10" ht="20.100000000000001" customHeight="1">
      <c r="B60" s="8"/>
      <c r="C60" s="6"/>
      <c r="D60" s="7"/>
      <c r="E60" s="6"/>
      <c r="F60" s="10"/>
      <c r="G60" s="9"/>
      <c r="H60" s="2"/>
      <c r="I60" s="3"/>
      <c r="J60" s="2"/>
    </row>
    <row r="61" spans="2:10" ht="20.100000000000001" customHeight="1">
      <c r="B61" s="8"/>
      <c r="C61" s="6"/>
      <c r="D61" s="7"/>
      <c r="E61" s="6"/>
      <c r="F61" s="5"/>
      <c r="G61" s="4"/>
      <c r="H61" s="2"/>
      <c r="I61" s="3"/>
      <c r="J61" s="2"/>
    </row>
    <row r="62" spans="2:10" ht="24">
      <c r="B62" s="551"/>
      <c r="C62" s="551"/>
      <c r="D62" s="551"/>
      <c r="E62" s="551"/>
      <c r="F62" s="551"/>
      <c r="G62" s="551"/>
      <c r="H62" s="551"/>
      <c r="I62" s="551"/>
      <c r="J62" s="551"/>
    </row>
  </sheetData>
  <mergeCells count="7">
    <mergeCell ref="B62:J62"/>
    <mergeCell ref="B2:J2"/>
    <mergeCell ref="B3:J3"/>
    <mergeCell ref="B4:J4"/>
    <mergeCell ref="B46:J46"/>
    <mergeCell ref="B48:J48"/>
    <mergeCell ref="F6:H6"/>
  </mergeCells>
  <printOptions horizontalCentered="1"/>
  <pageMargins left="0.39370078740157499" right="0.39370078740157499" top="0.59055118110236204" bottom="0" header="0" footer="0"/>
  <pageSetup paperSize="9" scale="81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"/>
  <sheetViews>
    <sheetView rightToLeft="1" workbookViewId="0">
      <selection activeCell="L20" sqref="L20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C19:J32"/>
  <sheetViews>
    <sheetView rightToLeft="1" view="pageBreakPreview" zoomScale="60" zoomScaleNormal="100" workbookViewId="0">
      <selection activeCell="C19" sqref="C19:I19"/>
    </sheetView>
  </sheetViews>
  <sheetFormatPr defaultRowHeight="19.5"/>
  <cols>
    <col min="1" max="16384" width="9.140625" style="333"/>
  </cols>
  <sheetData>
    <row r="19" spans="3:10" ht="24">
      <c r="C19" s="614" t="s">
        <v>419</v>
      </c>
      <c r="D19" s="614"/>
      <c r="E19" s="614"/>
      <c r="F19" s="614"/>
      <c r="G19" s="614"/>
      <c r="H19" s="614"/>
      <c r="I19" s="614"/>
    </row>
    <row r="20" spans="3:10" ht="24">
      <c r="C20" s="614" t="s">
        <v>421</v>
      </c>
      <c r="D20" s="614"/>
      <c r="E20" s="614"/>
      <c r="F20" s="614"/>
      <c r="G20" s="614"/>
      <c r="H20" s="614"/>
      <c r="I20" s="614"/>
    </row>
    <row r="32" spans="3:10" ht="21">
      <c r="H32" s="615" t="s">
        <v>420</v>
      </c>
      <c r="I32" s="615"/>
      <c r="J32" s="615"/>
    </row>
  </sheetData>
  <mergeCells count="3">
    <mergeCell ref="C19:I19"/>
    <mergeCell ref="H32:J32"/>
    <mergeCell ref="C20:I20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B2:N65"/>
  <sheetViews>
    <sheetView rightToLeft="1" zoomScaleNormal="100" workbookViewId="0">
      <pane ySplit="8" topLeftCell="A12" activePane="bottomLeft" state="frozenSplit"/>
      <selection activeCell="O20" sqref="O20"/>
      <selection pane="bottomLeft" activeCell="V19" sqref="V19"/>
    </sheetView>
  </sheetViews>
  <sheetFormatPr defaultColWidth="9" defaultRowHeight="19.5"/>
  <cols>
    <col min="1" max="1" width="2" style="336" customWidth="1"/>
    <col min="2" max="2" width="42.42578125" style="336" customWidth="1"/>
    <col min="3" max="3" width="1.7109375" style="336" customWidth="1"/>
    <col min="4" max="4" width="13.5703125" style="335" bestFit="1" customWidth="1"/>
    <col min="5" max="5" width="0.85546875" style="335" customWidth="1"/>
    <col min="6" max="6" width="13.5703125" style="335" bestFit="1" customWidth="1"/>
    <col min="7" max="7" width="0.85546875" style="335" customWidth="1"/>
    <col min="8" max="8" width="13.5703125" style="335" bestFit="1" customWidth="1"/>
    <col min="9" max="9" width="0.85546875" style="335" customWidth="1"/>
    <col min="10" max="10" width="15.28515625" style="335" bestFit="1" customWidth="1"/>
    <col min="11" max="11" width="0.85546875" style="335" customWidth="1"/>
    <col min="12" max="12" width="15.28515625" style="335" bestFit="1" customWidth="1"/>
    <col min="13" max="13" width="0.85546875" style="335" customWidth="1"/>
    <col min="14" max="16384" width="9" style="336"/>
  </cols>
  <sheetData>
    <row r="2" spans="2:14" ht="21">
      <c r="B2" s="697" t="s">
        <v>422</v>
      </c>
      <c r="C2" s="697"/>
      <c r="D2" s="697"/>
      <c r="E2" s="697"/>
      <c r="F2" s="697"/>
      <c r="G2" s="697"/>
      <c r="H2" s="697"/>
      <c r="I2" s="697"/>
      <c r="J2" s="697"/>
      <c r="K2" s="697"/>
      <c r="L2" s="697"/>
    </row>
    <row r="3" spans="2:14" ht="21">
      <c r="B3" s="697" t="s">
        <v>352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</row>
    <row r="4" spans="2:14" ht="21" customHeight="1">
      <c r="B4" s="337"/>
      <c r="C4" s="337"/>
      <c r="L4" s="335" t="s">
        <v>137</v>
      </c>
    </row>
    <row r="5" spans="2:14" ht="21">
      <c r="B5" s="698" t="s">
        <v>140</v>
      </c>
      <c r="C5" s="337"/>
      <c r="D5" s="345">
        <f>D26</f>
        <v>300000</v>
      </c>
      <c r="E5" s="540"/>
      <c r="F5" s="345">
        <f>F26</f>
        <v>300000</v>
      </c>
      <c r="G5" s="540"/>
      <c r="H5" s="345">
        <f>H26</f>
        <v>300000</v>
      </c>
      <c r="I5" s="540"/>
      <c r="J5" s="345">
        <f>J26</f>
        <v>600000</v>
      </c>
      <c r="K5" s="540"/>
      <c r="L5" s="345">
        <f>L26+L27</f>
        <v>1500000</v>
      </c>
      <c r="M5" s="338"/>
    </row>
    <row r="6" spans="2:14" ht="21">
      <c r="B6" s="698" t="s">
        <v>35</v>
      </c>
      <c r="C6" s="337"/>
      <c r="D6" s="345">
        <f>D31</f>
        <v>477780</v>
      </c>
      <c r="E6" s="541"/>
      <c r="F6" s="345">
        <f>F31</f>
        <v>549558</v>
      </c>
      <c r="G6" s="541"/>
      <c r="H6" s="345">
        <f>H31</f>
        <v>715117</v>
      </c>
      <c r="I6" s="541"/>
      <c r="J6" s="345">
        <f>J31</f>
        <v>2240989</v>
      </c>
      <c r="K6" s="541"/>
      <c r="L6" s="345">
        <f>L31</f>
        <v>2812562</v>
      </c>
      <c r="M6" s="339"/>
    </row>
    <row r="7" spans="2:14" ht="21">
      <c r="B7" s="698" t="s">
        <v>361</v>
      </c>
      <c r="C7" s="337"/>
      <c r="D7" s="542">
        <v>300</v>
      </c>
      <c r="E7" s="543"/>
      <c r="F7" s="542">
        <v>300</v>
      </c>
      <c r="G7" s="543"/>
      <c r="H7" s="542">
        <v>300</v>
      </c>
      <c r="I7" s="543"/>
      <c r="J7" s="542">
        <v>600</v>
      </c>
      <c r="K7" s="543"/>
      <c r="L7" s="542">
        <v>1500</v>
      </c>
      <c r="M7" s="339"/>
    </row>
    <row r="8" spans="2:14" ht="21">
      <c r="B8" s="340" t="s">
        <v>29</v>
      </c>
      <c r="D8" s="341">
        <v>1396</v>
      </c>
      <c r="E8" s="342"/>
      <c r="F8" s="341">
        <v>1397</v>
      </c>
      <c r="G8" s="343"/>
      <c r="H8" s="341">
        <v>1398</v>
      </c>
      <c r="I8" s="343"/>
      <c r="J8" s="341">
        <v>1399</v>
      </c>
      <c r="K8" s="343"/>
      <c r="L8" s="341">
        <v>1400</v>
      </c>
      <c r="M8" s="336"/>
    </row>
    <row r="9" spans="2:14" ht="21">
      <c r="B9" s="344" t="s">
        <v>342</v>
      </c>
      <c r="D9" s="345"/>
      <c r="E9" s="345"/>
      <c r="F9" s="345"/>
    </row>
    <row r="10" spans="2:14" ht="21">
      <c r="B10" s="346" t="s">
        <v>278</v>
      </c>
      <c r="D10" s="544">
        <v>907</v>
      </c>
      <c r="E10" s="345"/>
      <c r="F10" s="544">
        <v>1614</v>
      </c>
      <c r="G10" s="345"/>
      <c r="H10" s="544">
        <v>7954</v>
      </c>
      <c r="I10" s="345"/>
      <c r="J10" s="544">
        <v>481</v>
      </c>
      <c r="K10" s="345"/>
      <c r="L10" s="544">
        <v>13666</v>
      </c>
      <c r="M10" s="345"/>
      <c r="N10" s="545"/>
    </row>
    <row r="11" spans="2:14" ht="21">
      <c r="B11" s="346" t="s">
        <v>279</v>
      </c>
      <c r="D11" s="544">
        <v>210058</v>
      </c>
      <c r="E11" s="345"/>
      <c r="F11" s="544">
        <v>286762</v>
      </c>
      <c r="G11" s="345"/>
      <c r="H11" s="544">
        <v>380170</v>
      </c>
      <c r="I11" s="345"/>
      <c r="J11" s="544">
        <v>1764907</v>
      </c>
      <c r="K11" s="345"/>
      <c r="L11" s="544">
        <v>2217102</v>
      </c>
      <c r="M11" s="345"/>
      <c r="N11" s="545"/>
    </row>
    <row r="12" spans="2:14" ht="21">
      <c r="B12" s="346" t="s">
        <v>344</v>
      </c>
      <c r="D12" s="544">
        <v>34783</v>
      </c>
      <c r="E12" s="345"/>
      <c r="F12" s="544">
        <v>34384</v>
      </c>
      <c r="G12" s="345"/>
      <c r="H12" s="544">
        <v>18745</v>
      </c>
      <c r="I12" s="345"/>
      <c r="J12" s="544">
        <v>181804</v>
      </c>
      <c r="K12" s="345"/>
      <c r="L12" s="544">
        <v>21041</v>
      </c>
      <c r="M12" s="345"/>
      <c r="N12" s="545"/>
    </row>
    <row r="13" spans="2:14" ht="21">
      <c r="B13" s="346" t="s">
        <v>355</v>
      </c>
      <c r="D13" s="544">
        <v>60</v>
      </c>
      <c r="E13" s="345"/>
      <c r="F13" s="544">
        <v>190</v>
      </c>
      <c r="G13" s="345"/>
      <c r="H13" s="544">
        <v>606</v>
      </c>
      <c r="I13" s="345"/>
      <c r="J13" s="544">
        <v>225</v>
      </c>
      <c r="K13" s="345"/>
      <c r="L13" s="544">
        <v>576</v>
      </c>
      <c r="M13" s="345"/>
      <c r="N13" s="545"/>
    </row>
    <row r="14" spans="2:14" ht="21">
      <c r="B14" s="346" t="s">
        <v>356</v>
      </c>
      <c r="D14" s="544">
        <v>313828</v>
      </c>
      <c r="E14" s="345"/>
      <c r="F14" s="544">
        <v>327281</v>
      </c>
      <c r="G14" s="345"/>
      <c r="H14" s="544">
        <v>397293</v>
      </c>
      <c r="I14" s="345"/>
      <c r="J14" s="544">
        <v>407635</v>
      </c>
      <c r="K14" s="345"/>
      <c r="L14" s="544">
        <v>493606</v>
      </c>
      <c r="M14" s="345"/>
      <c r="N14" s="545"/>
    </row>
    <row r="15" spans="2:14" ht="21">
      <c r="B15" s="346" t="s">
        <v>345</v>
      </c>
      <c r="D15" s="544">
        <v>16</v>
      </c>
      <c r="E15" s="345"/>
      <c r="F15" s="544">
        <v>16</v>
      </c>
      <c r="G15" s="345"/>
      <c r="H15" s="544">
        <v>16</v>
      </c>
      <c r="I15" s="345"/>
      <c r="J15" s="544">
        <v>272</v>
      </c>
      <c r="K15" s="345"/>
      <c r="L15" s="544">
        <v>268</v>
      </c>
      <c r="M15" s="345"/>
      <c r="N15" s="545"/>
    </row>
    <row r="16" spans="2:14" ht="21">
      <c r="B16" s="346" t="s">
        <v>283</v>
      </c>
      <c r="D16" s="544">
        <v>123</v>
      </c>
      <c r="E16" s="345"/>
      <c r="F16" s="544">
        <v>61</v>
      </c>
      <c r="G16" s="345"/>
      <c r="H16" s="544">
        <v>168</v>
      </c>
      <c r="I16" s="345"/>
      <c r="J16" s="544">
        <v>582</v>
      </c>
      <c r="K16" s="345"/>
      <c r="L16" s="544">
        <v>242497</v>
      </c>
      <c r="M16" s="345"/>
      <c r="N16" s="545"/>
    </row>
    <row r="17" spans="2:14" ht="21">
      <c r="B17" s="347" t="s">
        <v>346</v>
      </c>
      <c r="D17" s="546">
        <v>18453</v>
      </c>
      <c r="E17" s="345"/>
      <c r="F17" s="546">
        <v>18474</v>
      </c>
      <c r="G17" s="345"/>
      <c r="H17" s="546">
        <v>18577</v>
      </c>
      <c r="I17" s="345"/>
      <c r="J17" s="546">
        <v>19082</v>
      </c>
      <c r="K17" s="345"/>
      <c r="L17" s="546">
        <v>19082</v>
      </c>
      <c r="M17" s="345"/>
      <c r="N17" s="545"/>
    </row>
    <row r="18" spans="2:14" ht="24.75" thickBot="1">
      <c r="B18" s="348" t="s">
        <v>341</v>
      </c>
      <c r="D18" s="547">
        <f>SUM(D10:D17)</f>
        <v>578228</v>
      </c>
      <c r="E18" s="548">
        <f>SUM(E10:E17)</f>
        <v>0</v>
      </c>
      <c r="F18" s="547">
        <f>SUM(F10:F17)</f>
        <v>668782</v>
      </c>
      <c r="G18" s="548">
        <f>SUM(G10:G17)</f>
        <v>0</v>
      </c>
      <c r="H18" s="547">
        <f>SUM(H10:H17)</f>
        <v>823529</v>
      </c>
      <c r="I18" s="548">
        <f>SUM(I10:I17)</f>
        <v>0</v>
      </c>
      <c r="J18" s="547">
        <f>SUM(J10:J17)</f>
        <v>2374988</v>
      </c>
      <c r="K18" s="548">
        <f>SUM(K10:K17)</f>
        <v>0</v>
      </c>
      <c r="L18" s="547">
        <f>SUM(L10:L17)</f>
        <v>3007838</v>
      </c>
      <c r="M18" s="549"/>
      <c r="N18" s="545"/>
    </row>
    <row r="19" spans="2:14" ht="21.75" thickTop="1">
      <c r="B19" s="349" t="s">
        <v>343</v>
      </c>
      <c r="D19" s="345"/>
      <c r="E19" s="345"/>
      <c r="F19" s="345"/>
      <c r="G19" s="345"/>
      <c r="H19" s="345"/>
      <c r="I19" s="345"/>
      <c r="J19" s="345"/>
      <c r="K19" s="345"/>
      <c r="L19" s="345"/>
      <c r="M19" s="345"/>
      <c r="N19" s="545"/>
    </row>
    <row r="20" spans="2:14" ht="21">
      <c r="B20" s="346" t="s">
        <v>347</v>
      </c>
      <c r="D20" s="544">
        <v>50945</v>
      </c>
      <c r="E20" s="345"/>
      <c r="F20" s="544">
        <v>65810</v>
      </c>
      <c r="G20" s="345"/>
      <c r="H20" s="544">
        <v>29399</v>
      </c>
      <c r="I20" s="345"/>
      <c r="J20" s="544">
        <v>111586</v>
      </c>
      <c r="K20" s="345"/>
      <c r="L20" s="544">
        <v>138076</v>
      </c>
      <c r="M20" s="345"/>
      <c r="N20" s="545"/>
    </row>
    <row r="21" spans="2:14" ht="21">
      <c r="B21" s="346" t="s">
        <v>57</v>
      </c>
      <c r="D21" s="544">
        <v>191</v>
      </c>
      <c r="E21" s="345"/>
      <c r="F21" s="544">
        <v>0</v>
      </c>
      <c r="G21" s="345"/>
      <c r="H21" s="544">
        <v>0</v>
      </c>
      <c r="I21" s="345"/>
      <c r="J21" s="544">
        <v>0</v>
      </c>
      <c r="K21" s="345"/>
      <c r="L21" s="544">
        <v>0</v>
      </c>
      <c r="M21" s="345"/>
      <c r="N21" s="545"/>
    </row>
    <row r="22" spans="2:14" ht="21">
      <c r="B22" s="346" t="s">
        <v>285</v>
      </c>
      <c r="D22" s="544">
        <v>20300</v>
      </c>
      <c r="E22" s="345"/>
      <c r="F22" s="544">
        <v>22174</v>
      </c>
      <c r="G22" s="345"/>
      <c r="H22" s="544">
        <v>24620</v>
      </c>
      <c r="I22" s="345"/>
      <c r="J22" s="544">
        <v>22413</v>
      </c>
      <c r="K22" s="345"/>
      <c r="L22" s="544">
        <v>57200</v>
      </c>
      <c r="M22" s="345"/>
      <c r="N22" s="545"/>
    </row>
    <row r="23" spans="2:14" ht="21">
      <c r="B23" s="346" t="s">
        <v>286</v>
      </c>
      <c r="D23" s="544">
        <v>29012</v>
      </c>
      <c r="E23" s="345"/>
      <c r="F23" s="544">
        <v>31240</v>
      </c>
      <c r="G23" s="345"/>
      <c r="H23" s="544">
        <v>54393</v>
      </c>
      <c r="I23" s="345"/>
      <c r="J23" s="544">
        <v>0</v>
      </c>
      <c r="K23" s="345"/>
      <c r="L23" s="544">
        <v>0</v>
      </c>
      <c r="M23" s="345"/>
      <c r="N23" s="545"/>
    </row>
    <row r="24" spans="2:14" ht="24">
      <c r="B24" s="350" t="s">
        <v>42</v>
      </c>
      <c r="D24" s="550">
        <f>SUM(D20:D23)</f>
        <v>100448</v>
      </c>
      <c r="E24" s="548">
        <f>SUM(E20:E23)</f>
        <v>0</v>
      </c>
      <c r="F24" s="550">
        <f>SUM(F20:F23)</f>
        <v>119224</v>
      </c>
      <c r="G24" s="548">
        <f>SUM(G20:G23)</f>
        <v>0</v>
      </c>
      <c r="H24" s="550">
        <f>SUM(H20:H23)</f>
        <v>108412</v>
      </c>
      <c r="I24" s="548">
        <f>SUM(I20:I23)</f>
        <v>0</v>
      </c>
      <c r="J24" s="550">
        <f>SUM(J20:J23)</f>
        <v>133999</v>
      </c>
      <c r="K24" s="548">
        <f>SUM(K20:K23)</f>
        <v>0</v>
      </c>
      <c r="L24" s="550">
        <f>SUM(L20:L23)</f>
        <v>195276</v>
      </c>
      <c r="M24" s="549"/>
      <c r="N24" s="545"/>
    </row>
    <row r="25" spans="2:14" ht="24">
      <c r="B25" s="351" t="s">
        <v>41</v>
      </c>
      <c r="D25" s="345"/>
      <c r="E25" s="345"/>
      <c r="F25" s="345"/>
      <c r="G25" s="345"/>
      <c r="H25" s="345"/>
      <c r="I25" s="345"/>
      <c r="J25" s="345"/>
      <c r="K25" s="345"/>
      <c r="L25" s="345"/>
      <c r="M25" s="345"/>
      <c r="N25" s="545"/>
    </row>
    <row r="26" spans="2:14" ht="21">
      <c r="B26" s="346" t="s">
        <v>140</v>
      </c>
      <c r="D26" s="544">
        <v>300000</v>
      </c>
      <c r="E26" s="345"/>
      <c r="F26" s="544">
        <v>300000</v>
      </c>
      <c r="G26" s="345"/>
      <c r="H26" s="544">
        <v>300000</v>
      </c>
      <c r="I26" s="345"/>
      <c r="J26" s="544">
        <v>600000</v>
      </c>
      <c r="K26" s="345"/>
      <c r="L26" s="544">
        <v>600000</v>
      </c>
      <c r="M26" s="345"/>
      <c r="N26" s="545"/>
    </row>
    <row r="27" spans="2:14" ht="21">
      <c r="B27" s="346" t="s">
        <v>287</v>
      </c>
      <c r="D27" s="544">
        <v>0</v>
      </c>
      <c r="E27" s="345"/>
      <c r="F27" s="544">
        <v>0</v>
      </c>
      <c r="G27" s="345"/>
      <c r="H27" s="544">
        <v>0</v>
      </c>
      <c r="I27" s="345"/>
      <c r="J27" s="544">
        <v>0</v>
      </c>
      <c r="K27" s="345"/>
      <c r="L27" s="544">
        <v>900000</v>
      </c>
      <c r="M27" s="345"/>
      <c r="N27" s="545"/>
    </row>
    <row r="28" spans="2:14" ht="21">
      <c r="B28" s="346" t="s">
        <v>288</v>
      </c>
      <c r="D28" s="544">
        <v>23134</v>
      </c>
      <c r="E28" s="345"/>
      <c r="F28" s="544">
        <v>27923</v>
      </c>
      <c r="G28" s="345"/>
      <c r="H28" s="544">
        <v>30000</v>
      </c>
      <c r="I28" s="345"/>
      <c r="J28" s="544">
        <v>60000</v>
      </c>
      <c r="K28" s="345"/>
      <c r="L28" s="544">
        <v>60000</v>
      </c>
      <c r="M28" s="345"/>
      <c r="N28" s="545"/>
    </row>
    <row r="29" spans="2:14" ht="21">
      <c r="B29" s="346" t="s">
        <v>289</v>
      </c>
      <c r="D29" s="544">
        <v>154646</v>
      </c>
      <c r="E29" s="345"/>
      <c r="F29" s="544">
        <v>221635</v>
      </c>
      <c r="G29" s="345"/>
      <c r="H29" s="544">
        <v>385117</v>
      </c>
      <c r="I29" s="345"/>
      <c r="J29" s="544">
        <v>1580989</v>
      </c>
      <c r="K29" s="345"/>
      <c r="L29" s="544">
        <v>1252562</v>
      </c>
      <c r="M29" s="345"/>
      <c r="N29" s="545"/>
    </row>
    <row r="30" spans="2:14" ht="21">
      <c r="B30" s="346" t="s">
        <v>348</v>
      </c>
      <c r="D30" s="544"/>
      <c r="E30" s="345"/>
      <c r="F30" s="544"/>
      <c r="G30" s="345"/>
      <c r="H30" s="544"/>
      <c r="I30" s="345"/>
      <c r="J30" s="544"/>
      <c r="K30" s="345"/>
      <c r="L30" s="544"/>
      <c r="M30" s="345"/>
      <c r="N30" s="545"/>
    </row>
    <row r="31" spans="2:14" ht="24">
      <c r="B31" s="350" t="s">
        <v>35</v>
      </c>
      <c r="D31" s="550">
        <f>SUM(D26:D30)</f>
        <v>477780</v>
      </c>
      <c r="E31" s="548"/>
      <c r="F31" s="550">
        <f>SUM(F26:F30)</f>
        <v>549558</v>
      </c>
      <c r="G31" s="548"/>
      <c r="H31" s="550">
        <f>SUM(H26:H30)</f>
        <v>715117</v>
      </c>
      <c r="I31" s="548"/>
      <c r="J31" s="550">
        <f>SUM(J26:J30)</f>
        <v>2240989</v>
      </c>
      <c r="K31" s="548"/>
      <c r="L31" s="550">
        <f>SUM(L26:L30)</f>
        <v>2812562</v>
      </c>
      <c r="M31" s="549"/>
      <c r="N31" s="545"/>
    </row>
    <row r="32" spans="2:14" ht="24.75" thickBot="1">
      <c r="B32" s="348" t="s">
        <v>33</v>
      </c>
      <c r="D32" s="547">
        <f>+D31+D24</f>
        <v>578228</v>
      </c>
      <c r="E32" s="548">
        <f>+E31+E24</f>
        <v>0</v>
      </c>
      <c r="F32" s="547">
        <f>+F31+F24</f>
        <v>668782</v>
      </c>
      <c r="G32" s="548">
        <f>+G31+G24</f>
        <v>0</v>
      </c>
      <c r="H32" s="547">
        <f>+H31+H24</f>
        <v>823529</v>
      </c>
      <c r="I32" s="548">
        <f>+I31+I24</f>
        <v>0</v>
      </c>
      <c r="J32" s="547">
        <f>+J31+J24</f>
        <v>2374988</v>
      </c>
      <c r="K32" s="548">
        <f>+K31+K24</f>
        <v>0</v>
      </c>
      <c r="L32" s="547">
        <f>+L31+L24</f>
        <v>3007838</v>
      </c>
      <c r="M32" s="549"/>
      <c r="N32" s="545"/>
    </row>
    <row r="33" spans="2:14" ht="3.4" customHeight="1" thickTop="1">
      <c r="B33" s="337"/>
      <c r="D33" s="345"/>
      <c r="E33" s="345"/>
      <c r="F33" s="345"/>
      <c r="G33" s="540"/>
      <c r="H33" s="345"/>
      <c r="I33" s="540"/>
      <c r="J33" s="345"/>
      <c r="K33" s="540"/>
      <c r="L33" s="345"/>
      <c r="M33" s="540"/>
      <c r="N33" s="545"/>
    </row>
    <row r="34" spans="2:14" ht="24.75">
      <c r="B34" s="352"/>
      <c r="D34" s="345">
        <f>+D32-D18</f>
        <v>0</v>
      </c>
      <c r="E34" s="345">
        <f>+E32-E18</f>
        <v>0</v>
      </c>
      <c r="F34" s="345">
        <f>+F32-F18</f>
        <v>0</v>
      </c>
      <c r="G34" s="345">
        <f>+G32-G18</f>
        <v>0</v>
      </c>
      <c r="H34" s="345">
        <f>+H32-H18</f>
        <v>0</v>
      </c>
      <c r="I34" s="345">
        <f>+I32-I18</f>
        <v>0</v>
      </c>
      <c r="J34" s="345">
        <f>+J32-J18</f>
        <v>0</v>
      </c>
      <c r="K34" s="345">
        <f>+K32-K18</f>
        <v>0</v>
      </c>
      <c r="L34" s="345">
        <f>+L32-L18</f>
        <v>0</v>
      </c>
      <c r="M34" s="345"/>
      <c r="N34" s="545"/>
    </row>
    <row r="35" spans="2:14" ht="21">
      <c r="B35" s="353" t="s">
        <v>226</v>
      </c>
      <c r="D35" s="345">
        <v>2</v>
      </c>
      <c r="E35" s="345"/>
      <c r="F35" s="354">
        <v>2</v>
      </c>
      <c r="G35" s="540"/>
      <c r="H35" s="345">
        <v>2</v>
      </c>
      <c r="I35" s="540"/>
      <c r="J35" s="345">
        <v>3</v>
      </c>
      <c r="K35" s="540"/>
      <c r="L35" s="345">
        <v>8</v>
      </c>
      <c r="M35" s="540"/>
      <c r="N35" s="545"/>
    </row>
    <row r="36" spans="2:14" ht="16.149999999999999" customHeight="1">
      <c r="D36" s="345"/>
      <c r="E36" s="345"/>
      <c r="F36" s="355">
        <v>1</v>
      </c>
      <c r="G36" s="540"/>
      <c r="H36" s="345"/>
      <c r="I36" s="540"/>
      <c r="J36" s="345"/>
      <c r="K36" s="540"/>
      <c r="L36" s="345"/>
      <c r="M36" s="540"/>
      <c r="N36" s="545"/>
    </row>
    <row r="37" spans="2:14" ht="21">
      <c r="D37" s="345"/>
      <c r="E37" s="345"/>
      <c r="F37" s="345"/>
      <c r="G37" s="540"/>
      <c r="H37" s="345"/>
      <c r="I37" s="540"/>
      <c r="J37" s="345"/>
      <c r="K37" s="540"/>
      <c r="L37" s="345"/>
      <c r="M37" s="540"/>
      <c r="N37" s="545"/>
    </row>
    <row r="38" spans="2:14" ht="21">
      <c r="D38" s="345"/>
      <c r="E38" s="345"/>
      <c r="F38" s="345"/>
      <c r="G38" s="540"/>
      <c r="H38" s="345"/>
      <c r="I38" s="540"/>
      <c r="J38" s="345"/>
      <c r="K38" s="540"/>
      <c r="L38" s="345"/>
      <c r="M38" s="540"/>
      <c r="N38" s="545"/>
    </row>
    <row r="39" spans="2:14" ht="21">
      <c r="D39" s="345"/>
      <c r="E39" s="345"/>
      <c r="F39" s="345"/>
      <c r="G39" s="540"/>
      <c r="H39" s="345"/>
      <c r="I39" s="540"/>
      <c r="J39" s="345"/>
      <c r="K39" s="540"/>
      <c r="L39" s="345"/>
      <c r="M39" s="540"/>
      <c r="N39" s="545"/>
    </row>
    <row r="40" spans="2:14" ht="21">
      <c r="D40" s="345"/>
      <c r="E40" s="345"/>
      <c r="F40" s="345"/>
      <c r="G40" s="540"/>
      <c r="H40" s="345"/>
      <c r="I40" s="540"/>
      <c r="J40" s="345"/>
      <c r="K40" s="540"/>
      <c r="L40" s="345"/>
      <c r="M40" s="540"/>
      <c r="N40" s="545"/>
    </row>
    <row r="41" spans="2:14" ht="21">
      <c r="D41" s="345"/>
      <c r="E41" s="345"/>
      <c r="F41" s="345"/>
      <c r="G41" s="540"/>
      <c r="H41" s="345"/>
      <c r="I41" s="540"/>
      <c r="J41" s="345"/>
      <c r="K41" s="540"/>
      <c r="L41" s="345"/>
      <c r="M41" s="540"/>
      <c r="N41" s="545"/>
    </row>
    <row r="42" spans="2:14" ht="21">
      <c r="D42" s="540"/>
      <c r="E42" s="540"/>
      <c r="F42" s="540"/>
      <c r="G42" s="540"/>
      <c r="H42" s="540"/>
      <c r="I42" s="540"/>
      <c r="J42" s="540"/>
      <c r="K42" s="540"/>
      <c r="L42" s="540"/>
      <c r="M42" s="540"/>
      <c r="N42" s="545"/>
    </row>
    <row r="43" spans="2:14" ht="21"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545"/>
    </row>
    <row r="44" spans="2:14" ht="21"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5"/>
    </row>
    <row r="45" spans="2:14" ht="21"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5"/>
    </row>
    <row r="46" spans="2:14" ht="21"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5"/>
    </row>
    <row r="47" spans="2:14" ht="21"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5"/>
    </row>
    <row r="48" spans="2:14" ht="21">
      <c r="D48" s="540"/>
      <c r="E48" s="540"/>
      <c r="F48" s="540"/>
      <c r="G48" s="540"/>
      <c r="H48" s="540"/>
      <c r="I48" s="540"/>
      <c r="J48" s="540"/>
      <c r="K48" s="540"/>
      <c r="L48" s="540"/>
      <c r="M48" s="540"/>
      <c r="N48" s="545"/>
    </row>
    <row r="49" spans="4:14" ht="21">
      <c r="D49" s="540"/>
      <c r="E49" s="540"/>
      <c r="F49" s="540"/>
      <c r="G49" s="540"/>
      <c r="H49" s="540"/>
      <c r="I49" s="540"/>
      <c r="J49" s="540"/>
      <c r="K49" s="540"/>
      <c r="L49" s="540"/>
      <c r="M49" s="540"/>
      <c r="N49" s="545"/>
    </row>
    <row r="50" spans="4:14" ht="21">
      <c r="D50" s="540"/>
      <c r="E50" s="540"/>
      <c r="F50" s="540"/>
      <c r="G50" s="540"/>
      <c r="H50" s="540"/>
      <c r="I50" s="540"/>
      <c r="J50" s="540"/>
      <c r="K50" s="540"/>
      <c r="L50" s="540"/>
      <c r="M50" s="540"/>
      <c r="N50" s="545"/>
    </row>
    <row r="55" spans="4:14" s="335" customFormat="1"/>
    <row r="56" spans="4:14" s="335" customFormat="1"/>
    <row r="57" spans="4:14" s="335" customFormat="1"/>
    <row r="58" spans="4:14" s="335" customFormat="1"/>
    <row r="59" spans="4:14" s="335" customFormat="1"/>
    <row r="60" spans="4:14" s="335" customFormat="1"/>
    <row r="61" spans="4:14" s="335" customFormat="1"/>
    <row r="62" spans="4:14" s="335" customFormat="1"/>
    <row r="63" spans="4:14" s="335" customFormat="1"/>
    <row r="64" spans="4:14" s="335" customFormat="1"/>
    <row r="65" s="335" customFormat="1"/>
  </sheetData>
  <mergeCells count="2">
    <mergeCell ref="B3:L3"/>
    <mergeCell ref="B2:L2"/>
  </mergeCells>
  <conditionalFormatting sqref="D34:E34">
    <cfRule type="cellIs" dxfId="17" priority="47" operator="equal">
      <formula>0</formula>
    </cfRule>
    <cfRule type="cellIs" dxfId="16" priority="48" operator="greaterThan">
      <formula>0</formula>
    </cfRule>
  </conditionalFormatting>
  <conditionalFormatting sqref="H34">
    <cfRule type="cellIs" dxfId="15" priority="43" operator="equal">
      <formula>0</formula>
    </cfRule>
    <cfRule type="cellIs" dxfId="14" priority="44" operator="greaterThan">
      <formula>0</formula>
    </cfRule>
  </conditionalFormatting>
  <conditionalFormatting sqref="G34">
    <cfRule type="cellIs" dxfId="13" priority="39" operator="equal">
      <formula>0</formula>
    </cfRule>
    <cfRule type="cellIs" dxfId="12" priority="40" operator="greaterThan">
      <formula>0</formula>
    </cfRule>
  </conditionalFormatting>
  <conditionalFormatting sqref="J34">
    <cfRule type="cellIs" dxfId="11" priority="25" operator="equal">
      <formula>0</formula>
    </cfRule>
    <cfRule type="cellIs" dxfId="10" priority="26" operator="greaterThan">
      <formula>0</formula>
    </cfRule>
  </conditionalFormatting>
  <conditionalFormatting sqref="K34">
    <cfRule type="cellIs" dxfId="9" priority="23" operator="equal">
      <formula>0</formula>
    </cfRule>
    <cfRule type="cellIs" dxfId="8" priority="24" operator="greaterThan">
      <formula>0</formula>
    </cfRule>
  </conditionalFormatting>
  <conditionalFormatting sqref="M34">
    <cfRule type="cellIs" dxfId="7" priority="19" operator="equal">
      <formula>0</formula>
    </cfRule>
    <cfRule type="cellIs" dxfId="6" priority="20" operator="greaterThan">
      <formula>0</formula>
    </cfRule>
  </conditionalFormatting>
  <conditionalFormatting sqref="F34">
    <cfRule type="cellIs" dxfId="5" priority="17" operator="equal">
      <formula>0</formula>
    </cfRule>
    <cfRule type="cellIs" dxfId="4" priority="18" operator="greaterThan">
      <formula>0</formula>
    </cfRule>
  </conditionalFormatting>
  <conditionalFormatting sqref="I34">
    <cfRule type="cellIs" dxfId="3" priority="27" operator="equal">
      <formula>0</formula>
    </cfRule>
    <cfRule type="cellIs" dxfId="2" priority="28" operator="greaterThan">
      <formula>0</formula>
    </cfRule>
  </conditionalFormatting>
  <conditionalFormatting sqref="L34">
    <cfRule type="cellIs" dxfId="1" priority="21" operator="equal">
      <formula>0</formula>
    </cfRule>
    <cfRule type="cellIs" dxfId="0" priority="22" operator="greaterThan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Q28"/>
  <sheetViews>
    <sheetView rightToLeft="1" topLeftCell="A2" zoomScaleNormal="100" workbookViewId="0">
      <selection activeCell="D19" sqref="D19"/>
    </sheetView>
  </sheetViews>
  <sheetFormatPr defaultColWidth="9.140625" defaultRowHeight="21"/>
  <cols>
    <col min="1" max="1" width="4.28515625" style="539" customWidth="1"/>
    <col min="2" max="2" width="20.28515625" style="500" customWidth="1"/>
    <col min="3" max="3" width="7" style="499" bestFit="1" customWidth="1"/>
    <col min="4" max="4" width="7.28515625" style="499" bestFit="1" customWidth="1"/>
    <col min="5" max="5" width="5.85546875" style="539" hidden="1" customWidth="1"/>
    <col min="6" max="6" width="9.5703125" style="499" customWidth="1"/>
    <col min="7" max="7" width="7.42578125" style="499" customWidth="1"/>
    <col min="8" max="8" width="10.7109375" style="539" customWidth="1"/>
    <col min="9" max="9" width="9.28515625" style="499" customWidth="1"/>
    <col min="10" max="10" width="8.140625" style="499" customWidth="1"/>
    <col min="11" max="11" width="11.28515625" style="539" customWidth="1"/>
    <col min="12" max="12" width="7" style="499" bestFit="1" customWidth="1"/>
    <col min="13" max="13" width="7.28515625" style="499" bestFit="1" customWidth="1"/>
    <col min="14" max="14" width="11.42578125" style="539" customWidth="1"/>
    <col min="15" max="15" width="7" style="499" bestFit="1" customWidth="1"/>
    <col min="16" max="16" width="9.140625" style="499" bestFit="1" customWidth="1"/>
    <col min="17" max="17" width="11.42578125" style="539" customWidth="1"/>
    <col min="18" max="16384" width="9.140625" style="499"/>
  </cols>
  <sheetData>
    <row r="1" spans="1:17" ht="4.5" hidden="1" customHeight="1" thickBot="1">
      <c r="A1" s="494"/>
      <c r="B1" s="495"/>
      <c r="C1" s="496"/>
      <c r="D1" s="496"/>
      <c r="E1" s="497"/>
      <c r="F1" s="496"/>
      <c r="G1" s="496"/>
      <c r="H1" s="497"/>
      <c r="I1" s="496"/>
      <c r="J1" s="496"/>
      <c r="K1" s="497"/>
      <c r="L1" s="496"/>
      <c r="M1" s="496"/>
      <c r="N1" s="497"/>
      <c r="O1" s="496"/>
      <c r="P1" s="498"/>
      <c r="Q1" s="497"/>
    </row>
    <row r="2" spans="1:17" s="500" customFormat="1" ht="19.5">
      <c r="A2" s="616" t="str">
        <f>'صورت وضعیت مالی'!B3</f>
        <v>اطلاعات صورت وضعیت مالی طی 5 سال 1396 الی 1400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331" t="s">
        <v>271</v>
      </c>
      <c r="O2" s="639" t="s">
        <v>423</v>
      </c>
      <c r="P2" s="639"/>
      <c r="Q2" s="640"/>
    </row>
    <row r="3" spans="1:17" s="500" customFormat="1" ht="20.25" thickBot="1">
      <c r="A3" s="618" t="str">
        <f>'صورت وضعیت مالی'!B2</f>
        <v>شركت سرمایه گذاری ساختمان نوین (سهامی عام)</v>
      </c>
      <c r="B3" s="619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332" t="s">
        <v>272</v>
      </c>
      <c r="O3" s="641" t="s">
        <v>424</v>
      </c>
      <c r="P3" s="641"/>
      <c r="Q3" s="642"/>
    </row>
    <row r="4" spans="1:17" s="501" customFormat="1" ht="21" customHeight="1" thickBot="1">
      <c r="A4" s="632" t="s">
        <v>273</v>
      </c>
      <c r="B4" s="634" t="s">
        <v>29</v>
      </c>
      <c r="C4" s="636">
        <f>'صورت وضعیت مالی'!D8</f>
        <v>1396</v>
      </c>
      <c r="D4" s="622"/>
      <c r="E4" s="637"/>
      <c r="F4" s="621">
        <f>'صورت وضعیت مالی'!F8</f>
        <v>1397</v>
      </c>
      <c r="G4" s="622"/>
      <c r="H4" s="638"/>
      <c r="I4" s="621">
        <f>'صورت وضعیت مالی'!H8</f>
        <v>1398</v>
      </c>
      <c r="J4" s="622"/>
      <c r="K4" s="627"/>
      <c r="L4" s="621">
        <f>'صورت وضعیت مالی'!J8</f>
        <v>1399</v>
      </c>
      <c r="M4" s="622"/>
      <c r="N4" s="627"/>
      <c r="O4" s="621">
        <f>'صورت وضعیت مالی'!L8</f>
        <v>1400</v>
      </c>
      <c r="P4" s="622"/>
      <c r="Q4" s="623"/>
    </row>
    <row r="5" spans="1:17" s="508" customFormat="1" ht="39.75" customHeight="1" thickBot="1">
      <c r="A5" s="633"/>
      <c r="B5" s="635"/>
      <c r="C5" s="502" t="s">
        <v>274</v>
      </c>
      <c r="D5" s="503" t="s">
        <v>275</v>
      </c>
      <c r="E5" s="504" t="s">
        <v>276</v>
      </c>
      <c r="F5" s="505" t="s">
        <v>274</v>
      </c>
      <c r="G5" s="503" t="s">
        <v>275</v>
      </c>
      <c r="H5" s="506" t="s">
        <v>276</v>
      </c>
      <c r="I5" s="505" t="s">
        <v>274</v>
      </c>
      <c r="J5" s="503" t="s">
        <v>275</v>
      </c>
      <c r="K5" s="507" t="s">
        <v>276</v>
      </c>
      <c r="L5" s="505" t="s">
        <v>274</v>
      </c>
      <c r="M5" s="503" t="s">
        <v>275</v>
      </c>
      <c r="N5" s="507" t="s">
        <v>276</v>
      </c>
      <c r="O5" s="505" t="s">
        <v>274</v>
      </c>
      <c r="P5" s="503" t="s">
        <v>275</v>
      </c>
      <c r="Q5" s="507" t="s">
        <v>276</v>
      </c>
    </row>
    <row r="6" spans="1:17" s="514" customFormat="1" ht="15.75">
      <c r="A6" s="509">
        <v>1</v>
      </c>
      <c r="B6" s="510" t="s">
        <v>278</v>
      </c>
      <c r="C6" s="511">
        <f>'صورت وضعیت مالی'!D10</f>
        <v>907</v>
      </c>
      <c r="D6" s="512">
        <f>C6/$C$23</f>
        <v>1.5685854022980555E-3</v>
      </c>
      <c r="E6" s="513"/>
      <c r="F6" s="511">
        <f>'صورت وضعیت مالی'!F10</f>
        <v>1614</v>
      </c>
      <c r="G6" s="512">
        <f>F6/$F$23</f>
        <v>2.413342464360584E-3</v>
      </c>
      <c r="H6" s="513">
        <f t="shared" ref="H6:H22" si="0">IFERROR(((F6/C6)-1)*100,"-")</f>
        <v>77.949283351708914</v>
      </c>
      <c r="I6" s="511">
        <f>'صورت وضعیت مالی'!H10</f>
        <v>7954</v>
      </c>
      <c r="J6" s="512">
        <f>I6/$I$23</f>
        <v>9.6584334006452714E-3</v>
      </c>
      <c r="K6" s="513">
        <f t="shared" ref="K6:K22" si="1">IFERROR(((I6/F6)-1)*100,"-")</f>
        <v>392.81288723667905</v>
      </c>
      <c r="L6" s="511">
        <f>'صورت وضعیت مالی'!J10</f>
        <v>481</v>
      </c>
      <c r="M6" s="512">
        <f>L6/$L$23</f>
        <v>2.0252733908550274E-4</v>
      </c>
      <c r="N6" s="513">
        <f t="shared" ref="N6:N22" si="2">IFERROR(((L6/I6)-1)*100,"-")</f>
        <v>-93.952728187075678</v>
      </c>
      <c r="O6" s="511">
        <f>'صورت وضعیت مالی'!L10</f>
        <v>13666</v>
      </c>
      <c r="P6" s="512">
        <f>O6/$O$23</f>
        <v>4.5434627795778891E-3</v>
      </c>
      <c r="Q6" s="513">
        <f t="shared" ref="Q6:Q22" si="3">IFERROR(((O6/L6)-1)*100,"-")</f>
        <v>2741.164241164241</v>
      </c>
    </row>
    <row r="7" spans="1:17" s="514" customFormat="1" ht="15.75">
      <c r="A7" s="515">
        <v>2</v>
      </c>
      <c r="B7" s="510" t="s">
        <v>279</v>
      </c>
      <c r="C7" s="511">
        <f>'صورت وضعیت مالی'!D11</f>
        <v>210058</v>
      </c>
      <c r="D7" s="512">
        <f>C7/$C$23</f>
        <v>0.36327884502307051</v>
      </c>
      <c r="E7" s="513"/>
      <c r="F7" s="511">
        <f>'صورت وضعیت مالی'!F11</f>
        <v>286762</v>
      </c>
      <c r="G7" s="512">
        <f>F7/$F$23</f>
        <v>0.42878247321249674</v>
      </c>
      <c r="H7" s="513">
        <f t="shared" si="0"/>
        <v>36.515629016747766</v>
      </c>
      <c r="I7" s="511">
        <f>'صورت وضعیت مالی'!H11</f>
        <v>380170</v>
      </c>
      <c r="J7" s="512">
        <f>I7/$I$23</f>
        <v>0.46163523081761543</v>
      </c>
      <c r="K7" s="513">
        <f t="shared" si="1"/>
        <v>32.573353512669037</v>
      </c>
      <c r="L7" s="511">
        <f>'صورت وضعیت مالی'!J11</f>
        <v>1764907</v>
      </c>
      <c r="M7" s="512">
        <f>L7/$L$23</f>
        <v>0.74312249156627319</v>
      </c>
      <c r="N7" s="513">
        <f t="shared" si="2"/>
        <v>364.24152352894754</v>
      </c>
      <c r="O7" s="511">
        <f>'صورت وضعیت مالی'!L11</f>
        <v>2217102</v>
      </c>
      <c r="P7" s="512">
        <f>O7/$O$23</f>
        <v>0.73710818202310102</v>
      </c>
      <c r="Q7" s="513">
        <f t="shared" si="3"/>
        <v>25.621463340561277</v>
      </c>
    </row>
    <row r="8" spans="1:17" s="514" customFormat="1" ht="15.75">
      <c r="A8" s="515">
        <v>3</v>
      </c>
      <c r="B8" s="510" t="s">
        <v>344</v>
      </c>
      <c r="C8" s="511">
        <f>'صورت وضعیت مالی'!D12</f>
        <v>34783</v>
      </c>
      <c r="D8" s="512">
        <f>C8/$C$23</f>
        <v>6.0154471938404917E-2</v>
      </c>
      <c r="E8" s="513"/>
      <c r="F8" s="511">
        <f>'صورت وضعیت مالی'!F12</f>
        <v>34384</v>
      </c>
      <c r="G8" s="512">
        <f>F8/$F$23</f>
        <v>5.141286697309437E-2</v>
      </c>
      <c r="H8" s="513">
        <f t="shared" si="0"/>
        <v>-1.1471120949889335</v>
      </c>
      <c r="I8" s="511">
        <f>'صورت وضعیت مالی'!H12</f>
        <v>18745</v>
      </c>
      <c r="J8" s="512">
        <f>I8/$I$23</f>
        <v>2.2761797095184264E-2</v>
      </c>
      <c r="K8" s="513">
        <f t="shared" si="1"/>
        <v>-45.48336435551419</v>
      </c>
      <c r="L8" s="511">
        <f>'صورت وضعیت مالی'!J12</f>
        <v>181804</v>
      </c>
      <c r="M8" s="512">
        <f>L8/$L$23</f>
        <v>7.6549439407693848E-2</v>
      </c>
      <c r="N8" s="513">
        <f t="shared" si="2"/>
        <v>869.87996799146447</v>
      </c>
      <c r="O8" s="511">
        <f>'صورت وضعیت مالی'!L12</f>
        <v>21041</v>
      </c>
      <c r="P8" s="512">
        <f>O8/$O$23</f>
        <v>6.9953900442776508E-3</v>
      </c>
      <c r="Q8" s="513">
        <f t="shared" si="3"/>
        <v>-88.426547270687124</v>
      </c>
    </row>
    <row r="9" spans="1:17" s="514" customFormat="1" ht="15.75">
      <c r="A9" s="515">
        <v>4</v>
      </c>
      <c r="B9" s="510" t="s">
        <v>280</v>
      </c>
      <c r="C9" s="511">
        <f>'صورت وضعیت مالی'!D13</f>
        <v>60</v>
      </c>
      <c r="D9" s="512">
        <f>C9/$C$23</f>
        <v>1.0376529673416023E-4</v>
      </c>
      <c r="E9" s="513"/>
      <c r="F9" s="511">
        <f>'صورت وضعیت مالی'!F13</f>
        <v>190</v>
      </c>
      <c r="G9" s="512">
        <f>F9/$F$23</f>
        <v>2.8409855528408362E-4</v>
      </c>
      <c r="H9" s="513">
        <f t="shared" si="0"/>
        <v>216.66666666666666</v>
      </c>
      <c r="I9" s="511">
        <f>'صورت وضعیت مالی'!H13</f>
        <v>606</v>
      </c>
      <c r="J9" s="512">
        <f>I9/$I$23</f>
        <v>7.358575107858983E-4</v>
      </c>
      <c r="K9" s="513">
        <f t="shared" si="1"/>
        <v>218.94736842105266</v>
      </c>
      <c r="L9" s="511">
        <f>'صورت وضعیت مالی'!J13</f>
        <v>225</v>
      </c>
      <c r="M9" s="512">
        <f>L9/$L$23</f>
        <v>9.4737320778041822E-5</v>
      </c>
      <c r="N9" s="513">
        <f t="shared" si="2"/>
        <v>-62.871287128712872</v>
      </c>
      <c r="O9" s="511">
        <f>'صورت وضعیت مالی'!L13</f>
        <v>576</v>
      </c>
      <c r="P9" s="512">
        <f>O9/$O$23</f>
        <v>1.9149967518197457E-4</v>
      </c>
      <c r="Q9" s="513">
        <f t="shared" si="3"/>
        <v>156</v>
      </c>
    </row>
    <row r="10" spans="1:17" s="514" customFormat="1" ht="15.75">
      <c r="A10" s="515">
        <v>5</v>
      </c>
      <c r="B10" s="510" t="s">
        <v>281</v>
      </c>
      <c r="C10" s="511">
        <f>'صورت وضعیت مالی'!D14</f>
        <v>313828</v>
      </c>
      <c r="D10" s="512">
        <f>C10/$C$23</f>
        <v>0.54274092572480059</v>
      </c>
      <c r="E10" s="513"/>
      <c r="F10" s="511">
        <f>'صورت وضعیت مالی'!F14</f>
        <v>327281</v>
      </c>
      <c r="G10" s="512">
        <f>F10/$F$23</f>
        <v>0.48936873301015876</v>
      </c>
      <c r="H10" s="513">
        <f t="shared" si="0"/>
        <v>4.2867430567062215</v>
      </c>
      <c r="I10" s="511">
        <f>'صورت وضعیت مالی'!H14</f>
        <v>397293</v>
      </c>
      <c r="J10" s="512">
        <f>I10/$I$23</f>
        <v>0.48242745549944205</v>
      </c>
      <c r="K10" s="513">
        <f t="shared" si="1"/>
        <v>21.392014812958891</v>
      </c>
      <c r="L10" s="511">
        <f>'صورت وضعیت مالی'!J14</f>
        <v>407635</v>
      </c>
      <c r="M10" s="512">
        <f>L10/$L$23</f>
        <v>0.1716366566904759</v>
      </c>
      <c r="N10" s="513">
        <f t="shared" si="2"/>
        <v>2.6031165915332055</v>
      </c>
      <c r="O10" s="511">
        <f>'صورت وضعیت مالی'!L14</f>
        <v>493606</v>
      </c>
      <c r="P10" s="512">
        <f>O10/$O$23</f>
        <v>0.16410657754839189</v>
      </c>
      <c r="Q10" s="513">
        <f t="shared" si="3"/>
        <v>21.090190979675437</v>
      </c>
    </row>
    <row r="11" spans="1:17" s="514" customFormat="1" ht="15.75">
      <c r="A11" s="515">
        <v>6</v>
      </c>
      <c r="B11" s="510" t="s">
        <v>282</v>
      </c>
      <c r="C11" s="511">
        <f>'صورت وضعیت مالی'!D15</f>
        <v>16</v>
      </c>
      <c r="D11" s="512">
        <f>C11/$C$23</f>
        <v>2.7670745795776062E-5</v>
      </c>
      <c r="E11" s="513"/>
      <c r="F11" s="511">
        <f>'صورت وضعیت مالی'!F15</f>
        <v>16</v>
      </c>
      <c r="G11" s="512">
        <f>F11/$F$23</f>
        <v>2.3924088866028092E-5</v>
      </c>
      <c r="H11" s="513">
        <f t="shared" si="0"/>
        <v>0</v>
      </c>
      <c r="I11" s="511">
        <f>'صورت وضعیت مالی'!H15</f>
        <v>16</v>
      </c>
      <c r="J11" s="512">
        <f>I11/$I$23</f>
        <v>1.9428581142862E-5</v>
      </c>
      <c r="K11" s="513">
        <f t="shared" si="1"/>
        <v>0</v>
      </c>
      <c r="L11" s="511">
        <f>'صورت وضعیت مالی'!J15</f>
        <v>272</v>
      </c>
      <c r="M11" s="512">
        <f>L11/$L$23</f>
        <v>1.1452689445167723E-4</v>
      </c>
      <c r="N11" s="513">
        <f t="shared" si="2"/>
        <v>1600</v>
      </c>
      <c r="O11" s="511">
        <f>'صورت وضعیت مالی'!L15</f>
        <v>268</v>
      </c>
      <c r="P11" s="512">
        <f>O11/$O$23</f>
        <v>8.9100543313835379E-5</v>
      </c>
      <c r="Q11" s="513">
        <f t="shared" si="3"/>
        <v>-1.4705882352941124</v>
      </c>
    </row>
    <row r="12" spans="1:17" s="514" customFormat="1" ht="15.75">
      <c r="A12" s="515">
        <v>7</v>
      </c>
      <c r="B12" s="510" t="s">
        <v>283</v>
      </c>
      <c r="C12" s="511">
        <f>'صورت وضعیت مالی'!D16</f>
        <v>123</v>
      </c>
      <c r="D12" s="512">
        <f>C12/$C$23</f>
        <v>2.1271885830502846E-4</v>
      </c>
      <c r="E12" s="513"/>
      <c r="F12" s="511">
        <f>'صورت وضعیت مالی'!F16</f>
        <v>61</v>
      </c>
      <c r="G12" s="512">
        <f>F12/$F$23</f>
        <v>9.1210588801732105E-5</v>
      </c>
      <c r="H12" s="513">
        <f t="shared" si="0"/>
        <v>-50.406504065040657</v>
      </c>
      <c r="I12" s="511">
        <f>'صورت وضعیت مالی'!H16</f>
        <v>168</v>
      </c>
      <c r="J12" s="512">
        <f>I12/$I$23</f>
        <v>2.0400010200005101E-4</v>
      </c>
      <c r="K12" s="513">
        <f>IFERROR(((I12/F12)-1)*100,"-")</f>
        <v>175.40983606557376</v>
      </c>
      <c r="L12" s="511">
        <f>'صورت وضعیت مالی'!J16</f>
        <v>582</v>
      </c>
      <c r="M12" s="512">
        <f>L12/$L$23</f>
        <v>2.4505386974586817E-4</v>
      </c>
      <c r="N12" s="513">
        <f t="shared" si="2"/>
        <v>246.42857142857144</v>
      </c>
      <c r="O12" s="511">
        <f>'صورت وضعیت مالی'!L16</f>
        <v>242497</v>
      </c>
      <c r="P12" s="512">
        <f>O12/$O$23</f>
        <v>8.0621695716325145E-2</v>
      </c>
      <c r="Q12" s="513">
        <f t="shared" si="3"/>
        <v>41566.151202749141</v>
      </c>
    </row>
    <row r="13" spans="1:17" s="514" customFormat="1" ht="15.75">
      <c r="A13" s="515">
        <v>8</v>
      </c>
      <c r="B13" s="516" t="s">
        <v>284</v>
      </c>
      <c r="C13" s="511">
        <f>'صورت وضعیت مالی'!D17</f>
        <v>18453</v>
      </c>
      <c r="D13" s="512">
        <f>C13/$C$23</f>
        <v>3.1913017010590981E-2</v>
      </c>
      <c r="E13" s="513"/>
      <c r="F13" s="511">
        <f>'صورت وضعیت مالی'!F17</f>
        <v>18474</v>
      </c>
      <c r="G13" s="512">
        <f>F13/$F$23</f>
        <v>2.7623351106937685E-2</v>
      </c>
      <c r="H13" s="513">
        <f t="shared" si="0"/>
        <v>0.1138026337180964</v>
      </c>
      <c r="I13" s="511">
        <f>'صورت وضعیت مالی'!H17</f>
        <v>18577</v>
      </c>
      <c r="J13" s="512">
        <f>I13/$I$23</f>
        <v>2.255779699318421E-2</v>
      </c>
      <c r="K13" s="513">
        <f t="shared" si="1"/>
        <v>0.55754032694597111</v>
      </c>
      <c r="L13" s="511">
        <f>'صورت وضعیت مالی'!J17</f>
        <v>19082</v>
      </c>
      <c r="M13" s="512">
        <f>L13/$L$23</f>
        <v>8.0345669114959741E-3</v>
      </c>
      <c r="N13" s="513">
        <f t="shared" si="2"/>
        <v>2.7184152446573684</v>
      </c>
      <c r="O13" s="511">
        <f>'صورت وضعیت مالی'!L17</f>
        <v>19082</v>
      </c>
      <c r="P13" s="512">
        <f>O13/$O$23</f>
        <v>6.3440916698306229E-3</v>
      </c>
      <c r="Q13" s="513">
        <f t="shared" si="3"/>
        <v>0</v>
      </c>
    </row>
    <row r="14" spans="1:17" s="514" customFormat="1" ht="15.75">
      <c r="A14" s="515">
        <v>9</v>
      </c>
      <c r="B14" s="510" t="s">
        <v>347</v>
      </c>
      <c r="C14" s="517">
        <f>'صورت وضعیت مالی'!D20</f>
        <v>50945</v>
      </c>
      <c r="D14" s="512">
        <f>C14/$C$24</f>
        <v>0.5071778432621854</v>
      </c>
      <c r="E14" s="513"/>
      <c r="F14" s="517">
        <f>'صورت وضعیت مالی'!F20</f>
        <v>65810</v>
      </c>
      <c r="G14" s="512">
        <f>F14/$F$24</f>
        <v>0.55198617727974231</v>
      </c>
      <c r="H14" s="513">
        <f t="shared" si="0"/>
        <v>29.178525861222894</v>
      </c>
      <c r="I14" s="517">
        <f>'صورت وضعیت مالی'!H20</f>
        <v>29399</v>
      </c>
      <c r="J14" s="512">
        <f>I14/$I$24</f>
        <v>0.27117846732834006</v>
      </c>
      <c r="K14" s="513">
        <f t="shared" si="1"/>
        <v>-55.32745783315606</v>
      </c>
      <c r="L14" s="517">
        <f>'صورت وضعیت مالی'!J20</f>
        <v>111586</v>
      </c>
      <c r="M14" s="512">
        <f>L14/$L$24</f>
        <v>0.8327375577429682</v>
      </c>
      <c r="N14" s="513">
        <f t="shared" si="2"/>
        <v>279.55712779346237</v>
      </c>
      <c r="O14" s="517">
        <f>'صورت وضعیت مالی'!L20</f>
        <v>138076</v>
      </c>
      <c r="P14" s="512">
        <f>O14/$O$24</f>
        <v>0.7070812593457465</v>
      </c>
      <c r="Q14" s="513">
        <f t="shared" si="3"/>
        <v>23.739537217930561</v>
      </c>
    </row>
    <row r="15" spans="1:17" s="514" customFormat="1" ht="15.75">
      <c r="A15" s="515">
        <v>10</v>
      </c>
      <c r="B15" s="510" t="s">
        <v>57</v>
      </c>
      <c r="C15" s="517">
        <f>'صورت وضعیت مالی'!D21</f>
        <v>191</v>
      </c>
      <c r="D15" s="512">
        <f>C15/$C$24</f>
        <v>1.9014813634915578E-3</v>
      </c>
      <c r="E15" s="513"/>
      <c r="F15" s="517">
        <f>'صورت وضعیت مالی'!F21</f>
        <v>0</v>
      </c>
      <c r="G15" s="512">
        <f>F15/$F$24</f>
        <v>0</v>
      </c>
      <c r="H15" s="513">
        <f t="shared" si="0"/>
        <v>-100</v>
      </c>
      <c r="I15" s="517">
        <f>'صورت وضعیت مالی'!H21</f>
        <v>0</v>
      </c>
      <c r="J15" s="512">
        <f>I15/$I$24</f>
        <v>0</v>
      </c>
      <c r="K15" s="513" t="str">
        <f t="shared" si="1"/>
        <v>-</v>
      </c>
      <c r="L15" s="517">
        <f>'صورت وضعیت مالی'!J21</f>
        <v>0</v>
      </c>
      <c r="M15" s="512">
        <f>L15/$L$24</f>
        <v>0</v>
      </c>
      <c r="N15" s="513" t="str">
        <f t="shared" si="2"/>
        <v>-</v>
      </c>
      <c r="O15" s="517">
        <f>'صورت وضعیت مالی'!L21</f>
        <v>0</v>
      </c>
      <c r="P15" s="512">
        <f>O15/$O$24</f>
        <v>0</v>
      </c>
      <c r="Q15" s="513" t="str">
        <f t="shared" si="3"/>
        <v>-</v>
      </c>
    </row>
    <row r="16" spans="1:17" s="514" customFormat="1" ht="15.75">
      <c r="A16" s="515">
        <v>11</v>
      </c>
      <c r="B16" s="510" t="s">
        <v>285</v>
      </c>
      <c r="C16" s="517">
        <f>'صورت وضعیت مالی'!D22</f>
        <v>20300</v>
      </c>
      <c r="D16" s="512">
        <f>C16/$C$24</f>
        <v>0.20209461611978338</v>
      </c>
      <c r="E16" s="513"/>
      <c r="F16" s="517">
        <f>'صورت وضعیت مالی'!F22</f>
        <v>22174</v>
      </c>
      <c r="G16" s="512">
        <f>F16/$F$24</f>
        <v>0.18598604307857478</v>
      </c>
      <c r="H16" s="513">
        <f t="shared" si="0"/>
        <v>9.2315270935960481</v>
      </c>
      <c r="I16" s="517">
        <f>'صورت وضعیت مالی'!H22</f>
        <v>24620</v>
      </c>
      <c r="J16" s="512">
        <f>I16/$I$24</f>
        <v>0.22709663136922112</v>
      </c>
      <c r="K16" s="513">
        <f t="shared" si="1"/>
        <v>11.030937133579876</v>
      </c>
      <c r="L16" s="517">
        <f>'صورت وضعیت مالی'!J22</f>
        <v>22413</v>
      </c>
      <c r="M16" s="512">
        <f>L16/$L$24</f>
        <v>0.16726244225703177</v>
      </c>
      <c r="N16" s="513">
        <f t="shared" si="2"/>
        <v>-8.9642567018684005</v>
      </c>
      <c r="O16" s="517">
        <f>'صورت وضعیت مالی'!L22</f>
        <v>57200</v>
      </c>
      <c r="P16" s="512">
        <f>O16/$O$24</f>
        <v>0.29291874065425344</v>
      </c>
      <c r="Q16" s="513">
        <f t="shared" si="3"/>
        <v>155.20903047338598</v>
      </c>
    </row>
    <row r="17" spans="1:17" s="514" customFormat="1" ht="15.75">
      <c r="A17" s="515">
        <v>12</v>
      </c>
      <c r="B17" s="510" t="s">
        <v>286</v>
      </c>
      <c r="C17" s="517">
        <f>'صورت وضعیت مالی'!D23</f>
        <v>29012</v>
      </c>
      <c r="D17" s="512">
        <f>C17/$C$24</f>
        <v>0.28882605925453964</v>
      </c>
      <c r="E17" s="513"/>
      <c r="F17" s="517">
        <f>'صورت وضعیت مالی'!F23</f>
        <v>31240</v>
      </c>
      <c r="G17" s="512">
        <f>F17/$F$24</f>
        <v>0.26202777964168289</v>
      </c>
      <c r="H17" s="513">
        <f t="shared" si="0"/>
        <v>7.6795808630911289</v>
      </c>
      <c r="I17" s="517">
        <f>'صورت وضعیت مالی'!H23</f>
        <v>54393</v>
      </c>
      <c r="J17" s="512">
        <f>I17/$I$24</f>
        <v>0.50172490130243885</v>
      </c>
      <c r="K17" s="513">
        <f t="shared" si="1"/>
        <v>74.113316261203593</v>
      </c>
      <c r="L17" s="517">
        <f>'صورت وضعیت مالی'!J23</f>
        <v>0</v>
      </c>
      <c r="M17" s="512">
        <f>L17/$L$24</f>
        <v>0</v>
      </c>
      <c r="N17" s="513">
        <f t="shared" si="2"/>
        <v>-100</v>
      </c>
      <c r="O17" s="517">
        <f>'صورت وضعیت مالی'!L23</f>
        <v>0</v>
      </c>
      <c r="P17" s="512">
        <f>O17/$O$24</f>
        <v>0</v>
      </c>
      <c r="Q17" s="513" t="str">
        <f t="shared" si="3"/>
        <v>-</v>
      </c>
    </row>
    <row r="18" spans="1:17" s="514" customFormat="1" ht="15.75">
      <c r="A18" s="515">
        <v>13</v>
      </c>
      <c r="B18" s="510" t="s">
        <v>140</v>
      </c>
      <c r="C18" s="517">
        <f>'صورت وضعیت مالی'!D26</f>
        <v>300000</v>
      </c>
      <c r="D18" s="512">
        <f>C18/$C$25</f>
        <v>0.6279040562602034</v>
      </c>
      <c r="E18" s="513"/>
      <c r="F18" s="517">
        <f>'صورت وضعیت مالی'!F26</f>
        <v>300000</v>
      </c>
      <c r="G18" s="512">
        <f>F18/$F$25</f>
        <v>0.54589324511698489</v>
      </c>
      <c r="H18" s="513">
        <f t="shared" si="0"/>
        <v>0</v>
      </c>
      <c r="I18" s="517">
        <f>'صورت وضعیت مالی'!H26</f>
        <v>300000</v>
      </c>
      <c r="J18" s="512">
        <f>I18/$I$25</f>
        <v>0.41951177219951419</v>
      </c>
      <c r="K18" s="513">
        <f t="shared" si="1"/>
        <v>0</v>
      </c>
      <c r="L18" s="517">
        <f>'صورت وضعیت مالی'!J26</f>
        <v>600000</v>
      </c>
      <c r="M18" s="512">
        <f>L18/$L$25</f>
        <v>0.26773893133790483</v>
      </c>
      <c r="N18" s="513">
        <f t="shared" si="2"/>
        <v>100</v>
      </c>
      <c r="O18" s="517">
        <f>'صورت وضعیت مالی'!L26</f>
        <v>600000</v>
      </c>
      <c r="P18" s="512">
        <f>O18/$O$25</f>
        <v>0.21332863062218718</v>
      </c>
      <c r="Q18" s="513">
        <f t="shared" si="3"/>
        <v>0</v>
      </c>
    </row>
    <row r="19" spans="1:17" s="514" customFormat="1" ht="15.75">
      <c r="A19" s="515">
        <v>14</v>
      </c>
      <c r="B19" s="510" t="s">
        <v>287</v>
      </c>
      <c r="C19" s="517">
        <f>'صورت وضعیت مالی'!D27</f>
        <v>0</v>
      </c>
      <c r="D19" s="512">
        <f>C19/$C$25</f>
        <v>0</v>
      </c>
      <c r="E19" s="513"/>
      <c r="F19" s="517">
        <f>'صورت وضعیت مالی'!F27</f>
        <v>0</v>
      </c>
      <c r="G19" s="512">
        <f>F19/$F$25</f>
        <v>0</v>
      </c>
      <c r="H19" s="513" t="str">
        <f t="shared" si="0"/>
        <v>-</v>
      </c>
      <c r="I19" s="517">
        <f>'صورت وضعیت مالی'!H27</f>
        <v>0</v>
      </c>
      <c r="J19" s="512">
        <f>I19/$I$25</f>
        <v>0</v>
      </c>
      <c r="K19" s="513" t="str">
        <f t="shared" si="1"/>
        <v>-</v>
      </c>
      <c r="L19" s="517">
        <f>'صورت وضعیت مالی'!J27</f>
        <v>0</v>
      </c>
      <c r="M19" s="512">
        <f>L19/$L$25</f>
        <v>0</v>
      </c>
      <c r="N19" s="513" t="str">
        <f t="shared" si="2"/>
        <v>-</v>
      </c>
      <c r="O19" s="517">
        <f>'صورت وضعیت مالی'!L27</f>
        <v>900000</v>
      </c>
      <c r="P19" s="512">
        <f>O19/$O$25</f>
        <v>0.31999294593328076</v>
      </c>
      <c r="Q19" s="513" t="str">
        <f t="shared" si="3"/>
        <v>-</v>
      </c>
    </row>
    <row r="20" spans="1:17" s="514" customFormat="1" ht="15.75">
      <c r="A20" s="515">
        <v>15</v>
      </c>
      <c r="B20" s="510" t="s">
        <v>288</v>
      </c>
      <c r="C20" s="517">
        <f>'صورت وضعیت مالی'!D28</f>
        <v>23134</v>
      </c>
      <c r="D20" s="512">
        <f>C20/$C$25</f>
        <v>4.8419774791745154E-2</v>
      </c>
      <c r="E20" s="513"/>
      <c r="F20" s="517">
        <f>'صورت وضعیت مالی'!F28</f>
        <v>27923</v>
      </c>
      <c r="G20" s="512">
        <f>F20/$F$25</f>
        <v>5.080992361133857E-2</v>
      </c>
      <c r="H20" s="513">
        <f t="shared" si="0"/>
        <v>20.701132532203694</v>
      </c>
      <c r="I20" s="517">
        <f>'صورت وضعیت مالی'!H28</f>
        <v>30000</v>
      </c>
      <c r="J20" s="512">
        <f>I20/$I$25</f>
        <v>4.1951177219951417E-2</v>
      </c>
      <c r="K20" s="513">
        <f t="shared" si="1"/>
        <v>7.4383125022382979</v>
      </c>
      <c r="L20" s="517">
        <f>'صورت وضعیت مالی'!J28</f>
        <v>60000</v>
      </c>
      <c r="M20" s="512">
        <f>L20/$L$25</f>
        <v>2.6773893133790482E-2</v>
      </c>
      <c r="N20" s="513">
        <f t="shared" si="2"/>
        <v>100</v>
      </c>
      <c r="O20" s="517">
        <f>'صورت وضعیت مالی'!L28</f>
        <v>60000</v>
      </c>
      <c r="P20" s="512">
        <f>O20/$O$25</f>
        <v>2.1332863062218717E-2</v>
      </c>
      <c r="Q20" s="513">
        <f t="shared" si="3"/>
        <v>0</v>
      </c>
    </row>
    <row r="21" spans="1:17" s="514" customFormat="1" ht="15.75">
      <c r="A21" s="515">
        <v>16</v>
      </c>
      <c r="B21" s="510" t="s">
        <v>289</v>
      </c>
      <c r="C21" s="517">
        <f>'صورت وضعیت مالی'!D29</f>
        <v>154646</v>
      </c>
      <c r="D21" s="512">
        <f>C21/$C$25</f>
        <v>0.3236761689480514</v>
      </c>
      <c r="E21" s="513"/>
      <c r="F21" s="517">
        <f>'صورت وضعیت مالی'!F29</f>
        <v>221635</v>
      </c>
      <c r="G21" s="512">
        <f>F21/$F$25</f>
        <v>0.40329683127167654</v>
      </c>
      <c r="H21" s="513">
        <f t="shared" si="0"/>
        <v>43.317641581418201</v>
      </c>
      <c r="I21" s="517">
        <f>'صورت وضعیت مالی'!H29</f>
        <v>385117</v>
      </c>
      <c r="J21" s="512">
        <f>I21/$I$25</f>
        <v>0.53853705058053436</v>
      </c>
      <c r="K21" s="513">
        <f t="shared" si="1"/>
        <v>73.761815597716975</v>
      </c>
      <c r="L21" s="517">
        <f>'صورت وضعیت مالی'!J29</f>
        <v>1580989</v>
      </c>
      <c r="M21" s="512">
        <f>L21/$L$25</f>
        <v>0.70548717552830464</v>
      </c>
      <c r="N21" s="513">
        <f t="shared" si="2"/>
        <v>310.52173754988746</v>
      </c>
      <c r="O21" s="517">
        <f>'صورت وضعیت مالی'!L29</f>
        <v>1252562</v>
      </c>
      <c r="P21" s="512">
        <f>O21/$O$25</f>
        <v>0.44534556038231338</v>
      </c>
      <c r="Q21" s="513">
        <f t="shared" si="3"/>
        <v>-20.773515818263121</v>
      </c>
    </row>
    <row r="22" spans="1:17" s="514" customFormat="1" ht="16.5" thickBot="1">
      <c r="A22" s="515">
        <v>17</v>
      </c>
      <c r="B22" s="510" t="s">
        <v>290</v>
      </c>
      <c r="C22" s="517">
        <f>'صورت وضعیت مالی'!D30</f>
        <v>0</v>
      </c>
      <c r="D22" s="512">
        <f>C22/$C$25</f>
        <v>0</v>
      </c>
      <c r="E22" s="513"/>
      <c r="F22" s="517">
        <f>'صورت وضعیت مالی'!F30</f>
        <v>0</v>
      </c>
      <c r="G22" s="512">
        <f>F22/$F$25</f>
        <v>0</v>
      </c>
      <c r="H22" s="513" t="str">
        <f t="shared" si="0"/>
        <v>-</v>
      </c>
      <c r="I22" s="517">
        <f>'صورت وضعیت مالی'!H30</f>
        <v>0</v>
      </c>
      <c r="J22" s="512">
        <f>I22/$I$25</f>
        <v>0</v>
      </c>
      <c r="K22" s="513" t="str">
        <f t="shared" si="1"/>
        <v>-</v>
      </c>
      <c r="L22" s="517">
        <f>'صورت وضعیت مالی'!J30</f>
        <v>0</v>
      </c>
      <c r="M22" s="512">
        <f>L22/$L$25</f>
        <v>0</v>
      </c>
      <c r="N22" s="513" t="str">
        <f t="shared" si="2"/>
        <v>-</v>
      </c>
      <c r="O22" s="517">
        <f>'صورت وضعیت مالی'!L30</f>
        <v>0</v>
      </c>
      <c r="P22" s="512">
        <f>O22/$O$25</f>
        <v>0</v>
      </c>
      <c r="Q22" s="513" t="str">
        <f t="shared" si="3"/>
        <v>-</v>
      </c>
    </row>
    <row r="23" spans="1:17" s="514" customFormat="1" ht="15.75">
      <c r="A23" s="628" t="s">
        <v>315</v>
      </c>
      <c r="B23" s="629"/>
      <c r="C23" s="518">
        <f>SUM(C6:C13)</f>
        <v>578228</v>
      </c>
      <c r="D23" s="519"/>
      <c r="E23" s="520"/>
      <c r="F23" s="518">
        <f>SUM(F6:F13)</f>
        <v>668782</v>
      </c>
      <c r="G23" s="519"/>
      <c r="H23" s="521"/>
      <c r="I23" s="518">
        <f>SUM(I6:I13)</f>
        <v>823529</v>
      </c>
      <c r="J23" s="519"/>
      <c r="K23" s="522"/>
      <c r="L23" s="518">
        <f>SUM(L6:L13)</f>
        <v>2374988</v>
      </c>
      <c r="M23" s="519"/>
      <c r="N23" s="522"/>
      <c r="O23" s="518">
        <f>SUM(O6:O13)</f>
        <v>3007838</v>
      </c>
      <c r="P23" s="519"/>
      <c r="Q23" s="522"/>
    </row>
    <row r="24" spans="1:17" s="514" customFormat="1" ht="15.75">
      <c r="A24" s="630" t="s">
        <v>316</v>
      </c>
      <c r="B24" s="631"/>
      <c r="C24" s="523">
        <f>SUM(C14:C17)</f>
        <v>100448</v>
      </c>
      <c r="D24" s="524"/>
      <c r="E24" s="525"/>
      <c r="F24" s="523">
        <f>SUM(F14:F17)</f>
        <v>119224</v>
      </c>
      <c r="G24" s="524"/>
      <c r="H24" s="526"/>
      <c r="I24" s="523">
        <f>SUM(I14:I17)</f>
        <v>108412</v>
      </c>
      <c r="J24" s="524"/>
      <c r="K24" s="527"/>
      <c r="L24" s="523">
        <f>SUM(L14:L17)</f>
        <v>133999</v>
      </c>
      <c r="M24" s="524"/>
      <c r="N24" s="527"/>
      <c r="O24" s="523">
        <f>SUM(O14:O17)</f>
        <v>195276</v>
      </c>
      <c r="P24" s="524"/>
      <c r="Q24" s="527"/>
    </row>
    <row r="25" spans="1:17" s="514" customFormat="1" ht="16.5" thickBot="1">
      <c r="A25" s="625" t="s">
        <v>35</v>
      </c>
      <c r="B25" s="626"/>
      <c r="C25" s="528">
        <f>SUM(C18:C22)</f>
        <v>477780</v>
      </c>
      <c r="D25" s="529"/>
      <c r="E25" s="530"/>
      <c r="F25" s="528">
        <f>SUM(F18:F22)</f>
        <v>549558</v>
      </c>
      <c r="G25" s="529"/>
      <c r="H25" s="531"/>
      <c r="I25" s="528">
        <f>SUM(I18:I22)</f>
        <v>715117</v>
      </c>
      <c r="J25" s="529"/>
      <c r="K25" s="532"/>
      <c r="L25" s="528">
        <f>SUM(L18:L22)</f>
        <v>2240989</v>
      </c>
      <c r="M25" s="529"/>
      <c r="N25" s="532"/>
      <c r="O25" s="528">
        <f>SUM(O18:O22)</f>
        <v>2812562</v>
      </c>
      <c r="P25" s="529"/>
      <c r="Q25" s="532"/>
    </row>
    <row r="26" spans="1:17" s="514" customFormat="1" ht="16.5">
      <c r="A26" s="533" t="s">
        <v>195</v>
      </c>
      <c r="B26" s="534" t="s">
        <v>277</v>
      </c>
      <c r="C26" s="535"/>
      <c r="D26" s="535"/>
      <c r="E26" s="536"/>
      <c r="F26" s="535"/>
      <c r="G26" s="535"/>
      <c r="H26" s="536"/>
      <c r="I26" s="535"/>
      <c r="J26" s="535"/>
      <c r="K26" s="536"/>
      <c r="L26" s="535"/>
      <c r="M26" s="535"/>
      <c r="N26" s="536"/>
      <c r="O26" s="535"/>
      <c r="Q26" s="536"/>
    </row>
    <row r="27" spans="1:17" s="500" customFormat="1" ht="19.5">
      <c r="A27" s="537"/>
      <c r="C27" s="538">
        <f>C25+C24-C23</f>
        <v>0</v>
      </c>
      <c r="E27" s="537"/>
      <c r="F27" s="538">
        <f>F25+F24-F23</f>
        <v>0</v>
      </c>
      <c r="H27" s="537"/>
      <c r="I27" s="538">
        <f>I25+I24-I23</f>
        <v>0</v>
      </c>
      <c r="K27" s="537"/>
      <c r="L27" s="538">
        <f>L25+L24-L23</f>
        <v>0</v>
      </c>
      <c r="N27" s="537"/>
      <c r="O27" s="538">
        <f>O25+O24-O23</f>
        <v>0</v>
      </c>
      <c r="Q27" s="537"/>
    </row>
    <row r="28" spans="1:17">
      <c r="A28" s="624">
        <v>2</v>
      </c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  <c r="N28" s="624"/>
      <c r="O28" s="624"/>
      <c r="P28" s="624"/>
      <c r="Q28" s="624"/>
    </row>
  </sheetData>
  <sheetProtection formatCells="0" formatColumns="0" formatRows="0" insertColumns="0" insertRows="0" insertHyperlinks="0" deleteColumns="0" deleteRows="0" sort="0" autoFilter="0" pivotTables="0"/>
  <mergeCells count="15">
    <mergeCell ref="A2:M2"/>
    <mergeCell ref="A3:M3"/>
    <mergeCell ref="O4:Q4"/>
    <mergeCell ref="A28:Q28"/>
    <mergeCell ref="A25:B25"/>
    <mergeCell ref="L4:N4"/>
    <mergeCell ref="A23:B23"/>
    <mergeCell ref="A24:B24"/>
    <mergeCell ref="A4:A5"/>
    <mergeCell ref="B4:B5"/>
    <mergeCell ref="C4:E4"/>
    <mergeCell ref="F4:H4"/>
    <mergeCell ref="I4:K4"/>
    <mergeCell ref="O2:Q2"/>
    <mergeCell ref="O3:Q3"/>
  </mergeCells>
  <conditionalFormatting sqref="D6:D22">
    <cfRule type="dataBar" priority="20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{018524F8-8A49-44F6-AF40-94ECE76AD758}</x14:id>
        </ext>
      </extLst>
    </cfRule>
  </conditionalFormatting>
  <conditionalFormatting sqref="G6:G22">
    <cfRule type="dataBar" priority="20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{4788A9D2-C30E-4B8E-8E3D-4D4D25C05A51}</x14:id>
        </ext>
      </extLst>
    </cfRule>
  </conditionalFormatting>
  <conditionalFormatting sqref="J6:J22">
    <cfRule type="dataBar" priority="20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{BD911409-5AEA-4898-AF5E-82899E0AE8CF}</x14:id>
        </ext>
      </extLst>
    </cfRule>
  </conditionalFormatting>
  <conditionalFormatting sqref="M6:M22">
    <cfRule type="dataBar" priority="2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{802E141B-FC8E-41CC-9EF3-F4DBB268FE41}</x14:id>
        </ext>
      </extLst>
    </cfRule>
  </conditionalFormatting>
  <conditionalFormatting sqref="P6:P22">
    <cfRule type="dataBar" priority="21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{498D000E-27DE-40AD-90C7-6AF735CB6206}</x14:id>
        </ext>
      </extLst>
    </cfRule>
  </conditionalFormatting>
  <printOptions horizontalCentered="1"/>
  <pageMargins left="0.19685039370078741" right="0.19685039370078741" top="0.39370078740157483" bottom="0.19685039370078741" header="0" footer="0"/>
  <pageSetup paperSize="9" scale="95" orientation="landscape" r:id="rId1"/>
  <ignoredErrors>
    <ignoredError sqref="J10:J13 P10:P13 R18:S22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" id="{4C60D31B-10AD-48C3-9D77-9F3296D2721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K6</xm:sqref>
        </x14:conditionalFormatting>
        <x14:conditionalFormatting xmlns:xm="http://schemas.microsoft.com/office/excel/2006/main">
          <x14:cfRule type="iconSet" priority="7" id="{9BF4F66F-2843-4C55-9BF9-52D85870DA1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N6</xm:sqref>
        </x14:conditionalFormatting>
        <x14:conditionalFormatting xmlns:xm="http://schemas.microsoft.com/office/excel/2006/main">
          <x14:cfRule type="iconSet" priority="1" id="{5BC3251F-88F6-41C0-9806-CDFF9F15F2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Q6</xm:sqref>
        </x14:conditionalFormatting>
        <x14:conditionalFormatting xmlns:xm="http://schemas.microsoft.com/office/excel/2006/main">
          <x14:cfRule type="dataBar" id="{018524F8-8A49-44F6-AF40-94ECE76AD75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D6:D22</xm:sqref>
        </x14:conditionalFormatting>
        <x14:conditionalFormatting xmlns:xm="http://schemas.microsoft.com/office/excel/2006/main">
          <x14:cfRule type="dataBar" id="{4788A9D2-C30E-4B8E-8E3D-4D4D25C05A5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G6:G22</xm:sqref>
        </x14:conditionalFormatting>
        <x14:conditionalFormatting xmlns:xm="http://schemas.microsoft.com/office/excel/2006/main">
          <x14:cfRule type="dataBar" id="{BD911409-5AEA-4898-AF5E-82899E0AE8C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J6:J22</xm:sqref>
        </x14:conditionalFormatting>
        <x14:conditionalFormatting xmlns:xm="http://schemas.microsoft.com/office/excel/2006/main">
          <x14:cfRule type="dataBar" id="{802E141B-FC8E-41CC-9EF3-F4DBB268FE4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M6:M22</xm:sqref>
        </x14:conditionalFormatting>
        <x14:conditionalFormatting xmlns:xm="http://schemas.microsoft.com/office/excel/2006/main">
          <x14:cfRule type="dataBar" id="{498D000E-27DE-40AD-90C7-6AF735CB620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P6:P22</xm:sqref>
        </x14:conditionalFormatting>
        <x14:conditionalFormatting xmlns:xm="http://schemas.microsoft.com/office/excel/2006/main">
          <x14:cfRule type="iconSet" priority="214" id="{74B426DF-E640-4C7D-9A74-B5271533CFA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E6:E22</xm:sqref>
        </x14:conditionalFormatting>
        <x14:conditionalFormatting xmlns:xm="http://schemas.microsoft.com/office/excel/2006/main">
          <x14:cfRule type="iconSet" priority="216" id="{F1AC4DA8-8458-471D-B9E9-DF9138D6109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H6:H22</xm:sqref>
        </x14:conditionalFormatting>
        <x14:conditionalFormatting xmlns:xm="http://schemas.microsoft.com/office/excel/2006/main">
          <x14:cfRule type="iconSet" priority="218" id="{E7A7BA88-F374-4B61-AE78-C4029ECB2BF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K7:K22</xm:sqref>
        </x14:conditionalFormatting>
        <x14:conditionalFormatting xmlns:xm="http://schemas.microsoft.com/office/excel/2006/main">
          <x14:cfRule type="iconSet" priority="220" id="{3F96778B-EB8C-4F30-AD1F-3F69B2C34DC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N7:N22</xm:sqref>
        </x14:conditionalFormatting>
        <x14:conditionalFormatting xmlns:xm="http://schemas.microsoft.com/office/excel/2006/main">
          <x14:cfRule type="iconSet" priority="222" id="{923E6FD7-71B0-4F9C-9F22-95307D3C41E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Q7:Q22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2:P35"/>
  <sheetViews>
    <sheetView rightToLeft="1" view="pageBreakPreview" topLeftCell="A13" zoomScale="60" zoomScaleNormal="100" workbookViewId="0">
      <selection activeCell="C26" sqref="C26"/>
    </sheetView>
  </sheetViews>
  <sheetFormatPr defaultColWidth="9" defaultRowHeight="19.5"/>
  <cols>
    <col min="1" max="1" width="1.85546875" style="336" customWidth="1"/>
    <col min="2" max="2" width="50.5703125" style="336" customWidth="1"/>
    <col min="3" max="3" width="11.140625" style="336" customWidth="1"/>
    <col min="4" max="4" width="0.85546875" style="336" customWidth="1"/>
    <col min="5" max="5" width="11.5703125" style="422" customWidth="1"/>
    <col min="6" max="6" width="0.85546875" style="422" customWidth="1"/>
    <col min="7" max="7" width="11.5703125" style="422" bestFit="1" customWidth="1"/>
    <col min="8" max="8" width="0.85546875" style="422" customWidth="1"/>
    <col min="9" max="9" width="11.85546875" style="422" customWidth="1"/>
    <col min="10" max="10" width="0.85546875" style="422" customWidth="1"/>
    <col min="11" max="11" width="13.5703125" style="422" customWidth="1"/>
    <col min="12" max="12" width="0.85546875" style="422" customWidth="1"/>
    <col min="13" max="13" width="12" style="422" customWidth="1"/>
    <col min="14" max="14" width="0.85546875" style="422" customWidth="1"/>
    <col min="15" max="16384" width="9" style="336"/>
  </cols>
  <sheetData>
    <row r="2" spans="1:16" ht="21">
      <c r="B2" s="644" t="str">
        <f>'صورت وضعیت مالی'!B2</f>
        <v>شركت سرمایه گذاری ساختمان نوین (سهامی عام)</v>
      </c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</row>
    <row r="3" spans="1:16" ht="21">
      <c r="B3" s="644" t="s">
        <v>353</v>
      </c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44"/>
    </row>
    <row r="4" spans="1:16" ht="21">
      <c r="B4" s="423"/>
      <c r="C4" s="424" t="s">
        <v>383</v>
      </c>
      <c r="D4" s="334"/>
      <c r="E4" s="425"/>
      <c r="G4" s="425"/>
      <c r="I4" s="425"/>
      <c r="K4" s="425"/>
      <c r="M4" s="425" t="s">
        <v>137</v>
      </c>
    </row>
    <row r="5" spans="1:16" ht="21">
      <c r="B5" s="426" t="s">
        <v>29</v>
      </c>
      <c r="C5" s="427">
        <v>1395</v>
      </c>
      <c r="D5" s="428"/>
      <c r="E5" s="429">
        <v>1396</v>
      </c>
      <c r="F5" s="342"/>
      <c r="G5" s="429">
        <v>1397</v>
      </c>
      <c r="H5" s="343"/>
      <c r="I5" s="429">
        <v>1398</v>
      </c>
      <c r="J5" s="343"/>
      <c r="K5" s="429">
        <v>1399</v>
      </c>
      <c r="L5" s="343"/>
      <c r="M5" s="429">
        <v>1400</v>
      </c>
      <c r="N5" s="336"/>
    </row>
    <row r="6" spans="1:16" ht="21">
      <c r="A6" s="430"/>
      <c r="B6" s="431" t="s">
        <v>291</v>
      </c>
      <c r="C6" s="432"/>
      <c r="D6" s="433"/>
      <c r="E6" s="434"/>
      <c r="F6" s="435"/>
      <c r="G6" s="434"/>
      <c r="H6" s="436"/>
      <c r="I6" s="434"/>
      <c r="J6" s="436"/>
      <c r="K6" s="434"/>
      <c r="L6" s="436"/>
      <c r="M6" s="434"/>
      <c r="N6" s="437"/>
      <c r="O6" s="430"/>
      <c r="P6" s="430"/>
    </row>
    <row r="7" spans="1:16" ht="21">
      <c r="A7" s="430"/>
      <c r="B7" s="431" t="s">
        <v>349</v>
      </c>
      <c r="C7" s="479"/>
      <c r="D7" s="480"/>
      <c r="E7" s="481"/>
      <c r="F7" s="435"/>
      <c r="G7" s="481"/>
      <c r="H7" s="436"/>
      <c r="I7" s="481"/>
      <c r="J7" s="436"/>
      <c r="K7" s="481"/>
      <c r="L7" s="436"/>
      <c r="M7" s="481"/>
      <c r="N7" s="437"/>
      <c r="O7" s="430"/>
      <c r="P7" s="430"/>
    </row>
    <row r="8" spans="1:16" ht="21">
      <c r="A8" s="430"/>
      <c r="B8" s="431" t="s">
        <v>351</v>
      </c>
      <c r="C8" s="482">
        <v>43337</v>
      </c>
      <c r="D8" s="480">
        <v>34326</v>
      </c>
      <c r="E8" s="483">
        <v>65037</v>
      </c>
      <c r="F8" s="435"/>
      <c r="G8" s="483">
        <v>104009</v>
      </c>
      <c r="H8" s="436"/>
      <c r="I8" s="483">
        <v>212695</v>
      </c>
      <c r="J8" s="436"/>
      <c r="K8" s="483">
        <v>1566615</v>
      </c>
      <c r="L8" s="436"/>
      <c r="M8" s="483">
        <v>745024</v>
      </c>
      <c r="N8" s="437"/>
      <c r="O8" s="430"/>
      <c r="P8" s="430"/>
    </row>
    <row r="9" spans="1:16" ht="21">
      <c r="A9" s="430"/>
      <c r="B9" s="438" t="s">
        <v>350</v>
      </c>
      <c r="C9" s="484">
        <f>SUM(C6:C8)</f>
        <v>43337</v>
      </c>
      <c r="D9" s="485">
        <f t="shared" ref="D9" si="0">SUM(D6:D8)</f>
        <v>34326</v>
      </c>
      <c r="E9" s="486">
        <f>SUM(E6:E8)</f>
        <v>65037</v>
      </c>
      <c r="F9" s="435"/>
      <c r="G9" s="486">
        <f>SUM(G6:G8)</f>
        <v>104009</v>
      </c>
      <c r="H9" s="435"/>
      <c r="I9" s="486">
        <f>SUM(I6:I8)</f>
        <v>212695</v>
      </c>
      <c r="J9" s="435"/>
      <c r="K9" s="486">
        <f>SUM(K6:K8)</f>
        <v>1566615</v>
      </c>
      <c r="L9" s="435"/>
      <c r="M9" s="486">
        <f>SUM(M6:M8)</f>
        <v>745024</v>
      </c>
      <c r="N9" s="437"/>
      <c r="O9" s="430"/>
      <c r="P9" s="430"/>
    </row>
    <row r="10" spans="1:16" ht="21">
      <c r="A10" s="430"/>
      <c r="B10" s="431" t="s">
        <v>294</v>
      </c>
      <c r="C10" s="479"/>
      <c r="D10" s="480"/>
      <c r="E10" s="481">
        <v>0</v>
      </c>
      <c r="F10" s="435"/>
      <c r="G10" s="481">
        <v>0</v>
      </c>
      <c r="H10" s="436"/>
      <c r="I10" s="481">
        <v>0</v>
      </c>
      <c r="J10" s="436"/>
      <c r="K10" s="481">
        <v>0</v>
      </c>
      <c r="L10" s="436"/>
      <c r="M10" s="481">
        <v>0</v>
      </c>
      <c r="N10" s="437"/>
      <c r="O10" s="430"/>
      <c r="P10" s="430"/>
    </row>
    <row r="11" spans="1:16" ht="21">
      <c r="A11" s="430"/>
      <c r="B11" s="439" t="s">
        <v>358</v>
      </c>
      <c r="C11" s="487">
        <f>SUM(C9:C10)</f>
        <v>43337</v>
      </c>
      <c r="D11" s="480">
        <f>SUM(D9:D10)</f>
        <v>34326</v>
      </c>
      <c r="E11" s="488">
        <f>SUM(E9:E10)</f>
        <v>65037</v>
      </c>
      <c r="F11" s="435"/>
      <c r="G11" s="488">
        <f>SUM(G9:G10)</f>
        <v>104009</v>
      </c>
      <c r="H11" s="436"/>
      <c r="I11" s="488">
        <f>SUM(I9:I10)</f>
        <v>212695</v>
      </c>
      <c r="J11" s="436"/>
      <c r="K11" s="488">
        <f>SUM(K9:K10)</f>
        <v>1566615</v>
      </c>
      <c r="L11" s="436"/>
      <c r="M11" s="488">
        <f>SUM(M9:M10)</f>
        <v>745024</v>
      </c>
      <c r="N11" s="437"/>
      <c r="O11" s="430"/>
      <c r="P11" s="430"/>
    </row>
    <row r="12" spans="1:16" ht="21">
      <c r="A12" s="430"/>
      <c r="B12" s="431" t="s">
        <v>357</v>
      </c>
      <c r="C12" s="489">
        <v>-5118</v>
      </c>
      <c r="D12" s="490"/>
      <c r="E12" s="491">
        <v>-5450</v>
      </c>
      <c r="F12" s="477"/>
      <c r="G12" s="491">
        <v>-7094</v>
      </c>
      <c r="H12" s="478"/>
      <c r="I12" s="491">
        <v>-8821</v>
      </c>
      <c r="J12" s="478"/>
      <c r="K12" s="491">
        <v>-17285</v>
      </c>
      <c r="L12" s="478"/>
      <c r="M12" s="491">
        <v>-15350</v>
      </c>
      <c r="N12" s="437"/>
      <c r="O12" s="430"/>
      <c r="P12" s="430"/>
    </row>
    <row r="13" spans="1:16" ht="21">
      <c r="A13" s="430"/>
      <c r="B13" s="431" t="s">
        <v>297</v>
      </c>
      <c r="C13" s="479"/>
      <c r="D13" s="480"/>
      <c r="E13" s="481"/>
      <c r="F13" s="435"/>
      <c r="G13" s="481"/>
      <c r="H13" s="436"/>
      <c r="I13" s="481"/>
      <c r="J13" s="436"/>
      <c r="K13" s="481"/>
      <c r="L13" s="436"/>
      <c r="M13" s="481"/>
      <c r="N13" s="437"/>
      <c r="O13" s="430"/>
      <c r="P13" s="430"/>
    </row>
    <row r="14" spans="1:16" ht="21">
      <c r="A14" s="430"/>
      <c r="B14" s="439" t="s">
        <v>359</v>
      </c>
      <c r="C14" s="487">
        <f>SUM(C11:C13)</f>
        <v>38219</v>
      </c>
      <c r="D14" s="480">
        <f>SUM(D11:D13)</f>
        <v>34326</v>
      </c>
      <c r="E14" s="488">
        <f>SUM(E11:E13)</f>
        <v>59587</v>
      </c>
      <c r="F14" s="435"/>
      <c r="G14" s="488">
        <f>SUM(G11:G13)</f>
        <v>96915</v>
      </c>
      <c r="H14" s="436"/>
      <c r="I14" s="488">
        <f>SUM(I11:I13)</f>
        <v>203874</v>
      </c>
      <c r="J14" s="436"/>
      <c r="K14" s="488">
        <f>SUM(K11:K13)</f>
        <v>1549330</v>
      </c>
      <c r="L14" s="436"/>
      <c r="M14" s="488">
        <f>SUM(M11:M13)</f>
        <v>729674</v>
      </c>
      <c r="N14" s="437"/>
      <c r="O14" s="430"/>
      <c r="P14" s="430"/>
    </row>
    <row r="15" spans="1:16" ht="21">
      <c r="A15" s="430"/>
      <c r="B15" s="431" t="s">
        <v>299</v>
      </c>
      <c r="C15" s="479">
        <v>0</v>
      </c>
      <c r="D15" s="480"/>
      <c r="E15" s="481">
        <v>0</v>
      </c>
      <c r="F15" s="435"/>
      <c r="G15" s="481">
        <v>0</v>
      </c>
      <c r="H15" s="436"/>
      <c r="I15" s="481">
        <v>0</v>
      </c>
      <c r="J15" s="436"/>
      <c r="K15" s="481">
        <v>0</v>
      </c>
      <c r="L15" s="436"/>
      <c r="M15" s="481">
        <v>0</v>
      </c>
      <c r="N15" s="437"/>
      <c r="O15" s="430"/>
      <c r="P15" s="430"/>
    </row>
    <row r="16" spans="1:16" ht="21">
      <c r="A16" s="430"/>
      <c r="B16" s="431" t="s">
        <v>300</v>
      </c>
      <c r="C16" s="489">
        <v>-12501</v>
      </c>
      <c r="D16" s="490">
        <v>-170789</v>
      </c>
      <c r="E16" s="491">
        <v>-9343</v>
      </c>
      <c r="F16" s="477"/>
      <c r="G16" s="491">
        <v>-2362</v>
      </c>
      <c r="H16" s="478"/>
      <c r="I16" s="491">
        <v>-9810</v>
      </c>
      <c r="J16" s="478"/>
      <c r="K16" s="491">
        <v>-1402</v>
      </c>
      <c r="L16" s="478"/>
      <c r="M16" s="491">
        <v>-3037</v>
      </c>
      <c r="N16" s="437"/>
      <c r="O16" s="430"/>
      <c r="P16" s="430"/>
    </row>
    <row r="17" spans="1:16" ht="21">
      <c r="A17" s="430"/>
      <c r="B17" s="431" t="s">
        <v>301</v>
      </c>
      <c r="C17" s="482">
        <v>3836</v>
      </c>
      <c r="D17" s="480"/>
      <c r="E17" s="483">
        <v>219</v>
      </c>
      <c r="F17" s="435"/>
      <c r="G17" s="483">
        <v>1225</v>
      </c>
      <c r="H17" s="436"/>
      <c r="I17" s="483">
        <v>1495</v>
      </c>
      <c r="J17" s="436"/>
      <c r="K17" s="483">
        <v>1944</v>
      </c>
      <c r="L17" s="436"/>
      <c r="M17" s="483">
        <v>936</v>
      </c>
      <c r="N17" s="437"/>
      <c r="O17" s="430"/>
      <c r="P17" s="430"/>
    </row>
    <row r="18" spans="1:16" ht="21">
      <c r="A18" s="430"/>
      <c r="B18" s="439" t="s">
        <v>360</v>
      </c>
      <c r="C18" s="487">
        <f t="shared" ref="C18" si="1">SUM(C14:C17)</f>
        <v>29554</v>
      </c>
      <c r="D18" s="480">
        <f t="shared" ref="D18" si="2">SUM(D14:D17)</f>
        <v>-136463</v>
      </c>
      <c r="E18" s="488">
        <f t="shared" ref="E18:M18" si="3">SUM(E14:E17)</f>
        <v>50463</v>
      </c>
      <c r="F18" s="435"/>
      <c r="G18" s="488">
        <f t="shared" si="3"/>
        <v>95778</v>
      </c>
      <c r="H18" s="436"/>
      <c r="I18" s="488">
        <f t="shared" si="3"/>
        <v>195559</v>
      </c>
      <c r="J18" s="436"/>
      <c r="K18" s="488">
        <f t="shared" si="3"/>
        <v>1549872</v>
      </c>
      <c r="L18" s="436"/>
      <c r="M18" s="488">
        <f t="shared" si="3"/>
        <v>727573</v>
      </c>
      <c r="N18" s="437"/>
      <c r="O18" s="430"/>
      <c r="P18" s="430"/>
    </row>
    <row r="19" spans="1:16" ht="21">
      <c r="A19" s="430"/>
      <c r="B19" s="431" t="s">
        <v>290</v>
      </c>
      <c r="C19" s="479">
        <v>0</v>
      </c>
      <c r="D19" s="480">
        <v>-37346</v>
      </c>
      <c r="E19" s="481">
        <v>0</v>
      </c>
      <c r="F19" s="435"/>
      <c r="G19" s="481">
        <v>0</v>
      </c>
      <c r="H19" s="436"/>
      <c r="I19" s="481">
        <v>0</v>
      </c>
      <c r="J19" s="436"/>
      <c r="K19" s="481">
        <v>0</v>
      </c>
      <c r="L19" s="436"/>
      <c r="M19" s="481">
        <v>0</v>
      </c>
      <c r="N19" s="437"/>
      <c r="O19" s="430"/>
      <c r="P19" s="430"/>
    </row>
    <row r="20" spans="1:16" ht="21">
      <c r="A20" s="430"/>
      <c r="B20" s="431" t="s">
        <v>303</v>
      </c>
      <c r="C20" s="479">
        <v>0</v>
      </c>
      <c r="D20" s="480"/>
      <c r="E20" s="481">
        <v>0</v>
      </c>
      <c r="F20" s="435"/>
      <c r="G20" s="481">
        <v>0</v>
      </c>
      <c r="H20" s="436"/>
      <c r="I20" s="481">
        <v>0</v>
      </c>
      <c r="J20" s="436"/>
      <c r="K20" s="481">
        <v>0</v>
      </c>
      <c r="L20" s="436"/>
      <c r="M20" s="481">
        <v>0</v>
      </c>
      <c r="N20" s="437"/>
      <c r="O20" s="430"/>
      <c r="P20" s="430"/>
    </row>
    <row r="21" spans="1:16" ht="21">
      <c r="A21" s="430"/>
      <c r="B21" s="431" t="s">
        <v>304</v>
      </c>
      <c r="C21" s="489">
        <v>-23</v>
      </c>
      <c r="D21" s="480"/>
      <c r="E21" s="481"/>
      <c r="F21" s="435"/>
      <c r="G21" s="481"/>
      <c r="H21" s="436"/>
      <c r="I21" s="481"/>
      <c r="J21" s="436"/>
      <c r="K21" s="481"/>
      <c r="L21" s="436"/>
      <c r="M21" s="481"/>
      <c r="N21" s="437"/>
      <c r="O21" s="430"/>
      <c r="P21" s="430"/>
    </row>
    <row r="22" spans="1:16" ht="21.75" thickBot="1">
      <c r="A22" s="430"/>
      <c r="B22" s="439" t="s">
        <v>305</v>
      </c>
      <c r="C22" s="492">
        <f t="shared" ref="C22" si="4">SUM(C18:C21)</f>
        <v>29531</v>
      </c>
      <c r="D22" s="480">
        <f>SUM(D18:D21)</f>
        <v>-173809</v>
      </c>
      <c r="E22" s="493">
        <f t="shared" ref="E22:M22" si="5">SUM(E18:E21)</f>
        <v>50463</v>
      </c>
      <c r="F22" s="443"/>
      <c r="G22" s="493">
        <f t="shared" si="5"/>
        <v>95778</v>
      </c>
      <c r="H22" s="444"/>
      <c r="I22" s="493">
        <f t="shared" si="5"/>
        <v>195559</v>
      </c>
      <c r="J22" s="444"/>
      <c r="K22" s="493">
        <f t="shared" si="5"/>
        <v>1549872</v>
      </c>
      <c r="L22" s="444"/>
      <c r="M22" s="493">
        <f t="shared" si="5"/>
        <v>727573</v>
      </c>
      <c r="N22" s="437"/>
      <c r="O22" s="430"/>
      <c r="P22" s="430"/>
    </row>
    <row r="23" spans="1:16" ht="21.75" thickTop="1">
      <c r="A23" s="430"/>
      <c r="B23" s="440"/>
      <c r="C23" s="440"/>
      <c r="D23" s="433"/>
      <c r="E23" s="425"/>
      <c r="F23" s="435"/>
      <c r="G23" s="425"/>
      <c r="H23" s="436"/>
      <c r="I23" s="425"/>
      <c r="J23" s="436"/>
      <c r="K23" s="425"/>
      <c r="L23" s="436"/>
      <c r="M23" s="425"/>
      <c r="N23" s="437"/>
      <c r="O23" s="430"/>
      <c r="P23" s="430"/>
    </row>
    <row r="24" spans="1:16" ht="21">
      <c r="A24" s="430"/>
      <c r="B24" s="440"/>
      <c r="C24" s="440"/>
      <c r="D24" s="433"/>
      <c r="E24" s="425"/>
      <c r="F24" s="435"/>
      <c r="G24" s="425"/>
      <c r="H24" s="436"/>
      <c r="I24" s="425"/>
      <c r="J24" s="436"/>
      <c r="K24" s="425"/>
      <c r="L24" s="436"/>
      <c r="M24" s="425"/>
      <c r="N24" s="437"/>
      <c r="O24" s="430"/>
      <c r="P24" s="430"/>
    </row>
    <row r="25" spans="1:16" ht="21">
      <c r="A25" s="430"/>
      <c r="B25" s="440"/>
      <c r="C25" s="440"/>
      <c r="D25" s="433"/>
      <c r="E25" s="425"/>
      <c r="F25" s="435"/>
      <c r="G25" s="425"/>
      <c r="H25" s="436"/>
      <c r="I25" s="425"/>
      <c r="J25" s="436"/>
      <c r="K25" s="425"/>
      <c r="L25" s="436"/>
      <c r="M25" s="425"/>
      <c r="N25" s="437"/>
      <c r="O25" s="430"/>
      <c r="P25" s="430"/>
    </row>
    <row r="26" spans="1:16" ht="21">
      <c r="A26" s="430"/>
      <c r="B26" s="440"/>
      <c r="C26" s="440"/>
      <c r="D26" s="433"/>
      <c r="E26" s="425"/>
      <c r="F26" s="435"/>
      <c r="G26" s="425"/>
      <c r="H26" s="436"/>
      <c r="I26" s="425"/>
      <c r="J26" s="436"/>
      <c r="K26" s="425"/>
      <c r="L26" s="436"/>
      <c r="M26" s="425"/>
      <c r="N26" s="437"/>
      <c r="O26" s="430"/>
      <c r="P26" s="430"/>
    </row>
    <row r="27" spans="1:16" ht="21">
      <c r="A27" s="430"/>
      <c r="B27" s="440"/>
      <c r="C27" s="440"/>
      <c r="D27" s="433"/>
      <c r="E27" s="425"/>
      <c r="F27" s="435"/>
      <c r="G27" s="425"/>
      <c r="H27" s="436"/>
      <c r="I27" s="425"/>
      <c r="J27" s="436"/>
      <c r="K27" s="425"/>
      <c r="L27" s="436"/>
      <c r="M27" s="425"/>
      <c r="N27" s="437"/>
      <c r="O27" s="430"/>
      <c r="P27" s="430"/>
    </row>
    <row r="28" spans="1:16" ht="21">
      <c r="A28" s="430"/>
      <c r="B28" s="440"/>
      <c r="C28" s="440"/>
      <c r="D28" s="433"/>
      <c r="E28" s="425"/>
      <c r="F28" s="435"/>
      <c r="G28" s="425"/>
      <c r="H28" s="436"/>
      <c r="I28" s="425"/>
      <c r="J28" s="436"/>
      <c r="K28" s="425"/>
      <c r="L28" s="436"/>
      <c r="M28" s="425"/>
      <c r="N28" s="437"/>
      <c r="O28" s="430"/>
      <c r="P28" s="430"/>
    </row>
    <row r="29" spans="1:16" ht="21">
      <c r="A29" s="430"/>
      <c r="B29" s="440"/>
      <c r="C29" s="440"/>
      <c r="D29" s="433"/>
      <c r="E29" s="425"/>
      <c r="F29" s="435"/>
      <c r="G29" s="425"/>
      <c r="H29" s="436"/>
      <c r="I29" s="425"/>
      <c r="J29" s="436"/>
      <c r="K29" s="425"/>
      <c r="L29" s="436"/>
      <c r="M29" s="425"/>
      <c r="N29" s="437"/>
      <c r="O29" s="430"/>
      <c r="P29" s="430"/>
    </row>
    <row r="30" spans="1:16" ht="24.75">
      <c r="A30" s="430"/>
      <c r="B30" s="441"/>
      <c r="C30" s="441"/>
      <c r="D30" s="441"/>
      <c r="E30" s="436"/>
      <c r="F30" s="436"/>
      <c r="G30" s="436"/>
      <c r="H30" s="436"/>
      <c r="I30" s="436"/>
      <c r="J30" s="436"/>
      <c r="K30" s="436"/>
      <c r="L30" s="436"/>
      <c r="M30" s="436"/>
      <c r="N30" s="437"/>
      <c r="O30" s="430"/>
      <c r="P30" s="430"/>
    </row>
    <row r="31" spans="1:16">
      <c r="A31" s="430"/>
      <c r="B31" s="442"/>
      <c r="C31" s="442"/>
      <c r="D31" s="442"/>
      <c r="E31" s="436"/>
      <c r="F31" s="436"/>
      <c r="G31" s="436"/>
      <c r="H31" s="436"/>
      <c r="I31" s="436"/>
      <c r="J31" s="436"/>
      <c r="K31" s="436"/>
      <c r="L31" s="436"/>
      <c r="M31" s="436"/>
      <c r="N31" s="437"/>
      <c r="O31" s="430"/>
      <c r="P31" s="430"/>
    </row>
    <row r="32" spans="1:16">
      <c r="A32" s="430"/>
      <c r="B32" s="442"/>
      <c r="C32" s="442"/>
      <c r="D32" s="442"/>
      <c r="E32" s="436"/>
      <c r="F32" s="436"/>
      <c r="G32" s="436"/>
      <c r="H32" s="436"/>
      <c r="I32" s="436"/>
      <c r="J32" s="436"/>
      <c r="K32" s="436"/>
      <c r="L32" s="436"/>
      <c r="M32" s="436"/>
      <c r="N32" s="437"/>
      <c r="O32" s="430"/>
      <c r="P32" s="430"/>
    </row>
    <row r="33" spans="1:16">
      <c r="A33" s="430"/>
      <c r="B33" s="430"/>
      <c r="C33" s="430"/>
      <c r="D33" s="430"/>
      <c r="E33" s="437"/>
      <c r="F33" s="437"/>
      <c r="G33" s="437"/>
      <c r="H33" s="437"/>
      <c r="I33" s="437"/>
      <c r="J33" s="437"/>
      <c r="K33" s="437"/>
      <c r="L33" s="437"/>
      <c r="M33" s="437"/>
      <c r="N33" s="437"/>
      <c r="O33" s="430"/>
      <c r="P33" s="430"/>
    </row>
    <row r="34" spans="1:16">
      <c r="A34" s="430"/>
      <c r="B34" s="430"/>
      <c r="C34" s="430"/>
      <c r="D34" s="430"/>
      <c r="E34" s="437"/>
      <c r="F34" s="437"/>
      <c r="G34" s="437"/>
      <c r="H34" s="437"/>
      <c r="I34" s="437"/>
      <c r="J34" s="437"/>
      <c r="K34" s="437"/>
      <c r="L34" s="437"/>
      <c r="M34" s="437"/>
      <c r="N34" s="437"/>
      <c r="O34" s="430"/>
      <c r="P34" s="430"/>
    </row>
    <row r="35" spans="1:16">
      <c r="A35" s="643">
        <v>3</v>
      </c>
      <c r="B35" s="643"/>
      <c r="C35" s="643"/>
      <c r="D35" s="643"/>
      <c r="E35" s="643"/>
      <c r="F35" s="643"/>
      <c r="G35" s="643"/>
      <c r="H35" s="643"/>
      <c r="I35" s="643"/>
      <c r="J35" s="643"/>
      <c r="K35" s="643"/>
      <c r="L35" s="643"/>
      <c r="M35" s="643"/>
    </row>
  </sheetData>
  <mergeCells count="3">
    <mergeCell ref="A35:M35"/>
    <mergeCell ref="B3:M3"/>
    <mergeCell ref="B2:M2"/>
  </mergeCells>
  <printOptions horizontalCentered="1"/>
  <pageMargins left="0.19685039370078741" right="0.19685039370078741" top="0.39370078740157483" bottom="0.19685039370078741" header="0" footer="0"/>
  <pageSetup paperSize="9" scale="80" orientation="landscape" r:id="rId1"/>
  <ignoredErrors>
    <ignoredError sqref="F9:M9 C9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2:T21"/>
  <sheetViews>
    <sheetView rightToLeft="1" view="pageBreakPreview" zoomScale="60" zoomScaleNormal="100" workbookViewId="0">
      <pane xSplit="2" ySplit="5" topLeftCell="C6" activePane="bottomRight" state="frozen"/>
      <selection activeCell="O20" sqref="O20"/>
      <selection pane="topRight" activeCell="O20" sqref="O20"/>
      <selection pane="bottomLeft" activeCell="O20" sqref="O20"/>
      <selection pane="bottomRight" activeCell="J11" sqref="J11"/>
    </sheetView>
  </sheetViews>
  <sheetFormatPr defaultColWidth="9" defaultRowHeight="19.5"/>
  <cols>
    <col min="1" max="1" width="1.7109375" style="336" customWidth="1"/>
    <col min="2" max="2" width="35.7109375" style="336" customWidth="1"/>
    <col min="3" max="4" width="9.28515625" style="422" customWidth="1"/>
    <col min="5" max="5" width="1" style="437" customWidth="1"/>
    <col min="6" max="6" width="8.85546875" style="422" customWidth="1"/>
    <col min="7" max="8" width="9.28515625" style="422" customWidth="1"/>
    <col min="9" max="9" width="1" style="437" customWidth="1"/>
    <col min="10" max="10" width="8.85546875" style="422" customWidth="1"/>
    <col min="11" max="12" width="9.28515625" style="422" customWidth="1"/>
    <col min="13" max="13" width="1" style="437" customWidth="1"/>
    <col min="14" max="14" width="10.28515625" style="422" customWidth="1"/>
    <col min="15" max="15" width="9.28515625" style="422" customWidth="1"/>
    <col min="16" max="16" width="11" style="422" customWidth="1"/>
    <col min="17" max="17" width="1" style="437" customWidth="1"/>
    <col min="18" max="18" width="8.85546875" style="422" customWidth="1"/>
    <col min="19" max="20" width="9.28515625" style="422" customWidth="1"/>
    <col min="21" max="21" width="2.140625" style="336" customWidth="1"/>
    <col min="22" max="16384" width="9" style="336"/>
  </cols>
  <sheetData>
    <row r="2" spans="2:20" ht="21">
      <c r="B2" s="644" t="str">
        <f>'صورت وضعیت مالی'!B2</f>
        <v>شركت سرمایه گذاری ساختمان نوین (سهامی عام)</v>
      </c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</row>
    <row r="3" spans="2:20" ht="21">
      <c r="B3" s="644" t="str">
        <f>'سود و زیان'!B3</f>
        <v>اطلاعات سود و زیان طی 5 سال 1396 الی 1400</v>
      </c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  <c r="Q3" s="644"/>
      <c r="R3" s="644"/>
      <c r="S3" s="644"/>
      <c r="T3" s="644"/>
    </row>
    <row r="4" spans="2:20" ht="3.75" customHeight="1" thickBot="1">
      <c r="B4" s="423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  <c r="T4" s="425"/>
    </row>
    <row r="5" spans="2:20" ht="57.75" customHeight="1" thickBot="1">
      <c r="B5" s="699" t="s">
        <v>29</v>
      </c>
      <c r="C5" s="700">
        <f>'درصد صورت وضعیت مالی'!C4:E4</f>
        <v>1396</v>
      </c>
      <c r="D5" s="701" t="s">
        <v>275</v>
      </c>
      <c r="E5" s="702"/>
      <c r="F5" s="700">
        <f>'درصد صورت وضعیت مالی'!F4:H4</f>
        <v>1397</v>
      </c>
      <c r="G5" s="703" t="s">
        <v>275</v>
      </c>
      <c r="H5" s="701" t="s">
        <v>276</v>
      </c>
      <c r="I5" s="704"/>
      <c r="J5" s="700">
        <f>'درصد صورت وضعیت مالی'!I4</f>
        <v>1398</v>
      </c>
      <c r="K5" s="703" t="s">
        <v>275</v>
      </c>
      <c r="L5" s="701" t="s">
        <v>276</v>
      </c>
      <c r="M5" s="704"/>
      <c r="N5" s="700">
        <f>'درصد صورت وضعیت مالی'!L4</f>
        <v>1399</v>
      </c>
      <c r="O5" s="703" t="s">
        <v>275</v>
      </c>
      <c r="P5" s="701" t="s">
        <v>276</v>
      </c>
      <c r="Q5" s="705"/>
      <c r="R5" s="700">
        <f>'درصد صورت وضعیت مالی'!O4</f>
        <v>1400</v>
      </c>
      <c r="S5" s="703" t="s">
        <v>275</v>
      </c>
      <c r="T5" s="701" t="s">
        <v>276</v>
      </c>
    </row>
    <row r="6" spans="2:20" ht="18.75" customHeight="1">
      <c r="B6" s="706"/>
      <c r="C6" s="707">
        <f>'سود و زیان'!E6</f>
        <v>0</v>
      </c>
      <c r="D6" s="708"/>
      <c r="E6" s="709"/>
      <c r="F6" s="707">
        <f>'سود و زیان'!G6</f>
        <v>0</v>
      </c>
      <c r="G6" s="710"/>
      <c r="H6" s="711" t="str">
        <f t="shared" ref="H6:H18" si="0">IFERROR(((F6/C6)-1)*100,"-")</f>
        <v>-</v>
      </c>
      <c r="I6" s="712"/>
      <c r="J6" s="707">
        <f>'سود و زیان'!I6</f>
        <v>0</v>
      </c>
      <c r="K6" s="710"/>
      <c r="L6" s="711" t="str">
        <f t="shared" ref="L6:L17" si="1">IFERROR(((J6/F6)-1)*100,"-")</f>
        <v>-</v>
      </c>
      <c r="M6" s="712"/>
      <c r="N6" s="707">
        <f>'سود و زیان'!K6</f>
        <v>0</v>
      </c>
      <c r="O6" s="710"/>
      <c r="P6" s="713" t="str">
        <f t="shared" ref="P6:P18" si="2">IFERROR(((N6/J6)-1)*100,"-")</f>
        <v>-</v>
      </c>
      <c r="Q6" s="714"/>
      <c r="R6" s="707">
        <f>'سود و زیان'!M6</f>
        <v>0</v>
      </c>
      <c r="S6" s="710"/>
      <c r="T6" s="713" t="str">
        <f t="shared" ref="T6:T18" si="3">IFERROR(((R6/N6)-1)*100,"-")</f>
        <v>-</v>
      </c>
    </row>
    <row r="7" spans="2:20" ht="21">
      <c r="B7" s="715" t="s">
        <v>292</v>
      </c>
      <c r="C7" s="716">
        <f>'سود و زیان'!E8</f>
        <v>65037</v>
      </c>
      <c r="D7" s="717">
        <f>C7/$C$7</f>
        <v>1</v>
      </c>
      <c r="E7" s="718"/>
      <c r="F7" s="716">
        <f>'سود و زیان'!G8</f>
        <v>104009</v>
      </c>
      <c r="G7" s="719">
        <f>F7/$F$7</f>
        <v>1</v>
      </c>
      <c r="H7" s="711">
        <f t="shared" si="0"/>
        <v>59.922813167889053</v>
      </c>
      <c r="I7" s="718"/>
      <c r="J7" s="716">
        <f>'سود و زیان'!I8</f>
        <v>212695</v>
      </c>
      <c r="K7" s="719">
        <f>J7/$J$7</f>
        <v>1</v>
      </c>
      <c r="L7" s="711">
        <f t="shared" si="1"/>
        <v>104.49672624484418</v>
      </c>
      <c r="M7" s="718"/>
      <c r="N7" s="716">
        <f>'سود و زیان'!K8</f>
        <v>1566615</v>
      </c>
      <c r="O7" s="719">
        <f>N7/$N$7</f>
        <v>1</v>
      </c>
      <c r="P7" s="711">
        <f t="shared" si="2"/>
        <v>636.55469098944502</v>
      </c>
      <c r="Q7" s="718"/>
      <c r="R7" s="716">
        <f>'سود و زیان'!M8</f>
        <v>745024</v>
      </c>
      <c r="S7" s="719">
        <f>R7/$R$7</f>
        <v>1</v>
      </c>
      <c r="T7" s="711">
        <f>IFERROR(((R7/N7)-1)*100,"-")</f>
        <v>-52.443708249952927</v>
      </c>
    </row>
    <row r="8" spans="2:20" ht="21">
      <c r="B8" s="720" t="s">
        <v>293</v>
      </c>
      <c r="C8" s="716">
        <f>'سود و زیان'!E9</f>
        <v>65037</v>
      </c>
      <c r="D8" s="721"/>
      <c r="E8" s="718"/>
      <c r="F8" s="716">
        <f>'سود و زیان'!G9</f>
        <v>104009</v>
      </c>
      <c r="G8" s="722"/>
      <c r="H8" s="711">
        <f t="shared" si="0"/>
        <v>59.922813167889053</v>
      </c>
      <c r="I8" s="718"/>
      <c r="J8" s="716">
        <f>'سود و زیان'!I9</f>
        <v>212695</v>
      </c>
      <c r="K8" s="722"/>
      <c r="L8" s="711">
        <f t="shared" si="1"/>
        <v>104.49672624484418</v>
      </c>
      <c r="M8" s="718"/>
      <c r="N8" s="716">
        <f>'سود و زیان'!K9</f>
        <v>1566615</v>
      </c>
      <c r="O8" s="722"/>
      <c r="P8" s="711">
        <f t="shared" si="2"/>
        <v>636.55469098944502</v>
      </c>
      <c r="Q8" s="718"/>
      <c r="R8" s="716">
        <f>'سود و زیان'!M9</f>
        <v>745024</v>
      </c>
      <c r="S8" s="722"/>
      <c r="T8" s="711">
        <f t="shared" si="3"/>
        <v>-52.443708249952927</v>
      </c>
    </row>
    <row r="9" spans="2:20" ht="21">
      <c r="B9" s="715" t="s">
        <v>294</v>
      </c>
      <c r="C9" s="716">
        <f>'سود و زیان'!E10</f>
        <v>0</v>
      </c>
      <c r="D9" s="717">
        <f>-C9/$C$7</f>
        <v>0</v>
      </c>
      <c r="E9" s="718"/>
      <c r="F9" s="716">
        <f>'سود و زیان'!G10</f>
        <v>0</v>
      </c>
      <c r="G9" s="719">
        <f>-F9/$F$7</f>
        <v>0</v>
      </c>
      <c r="H9" s="711" t="str">
        <f t="shared" si="0"/>
        <v>-</v>
      </c>
      <c r="I9" s="718"/>
      <c r="J9" s="716">
        <f>'سود و زیان'!I10</f>
        <v>0</v>
      </c>
      <c r="K9" s="719">
        <f>-J9/$J$7</f>
        <v>0</v>
      </c>
      <c r="L9" s="711" t="str">
        <f t="shared" si="1"/>
        <v>-</v>
      </c>
      <c r="M9" s="718"/>
      <c r="N9" s="716">
        <f>'سود و زیان'!K10</f>
        <v>0</v>
      </c>
      <c r="O9" s="719">
        <f>-N9/$N$7</f>
        <v>0</v>
      </c>
      <c r="P9" s="711" t="str">
        <f t="shared" si="2"/>
        <v>-</v>
      </c>
      <c r="Q9" s="718"/>
      <c r="R9" s="716">
        <f>'سود و زیان'!M10</f>
        <v>0</v>
      </c>
      <c r="S9" s="719">
        <f>-R9/$R$7</f>
        <v>0</v>
      </c>
      <c r="T9" s="711" t="str">
        <f t="shared" si="3"/>
        <v>-</v>
      </c>
    </row>
    <row r="10" spans="2:20" ht="21">
      <c r="B10" s="720" t="s">
        <v>295</v>
      </c>
      <c r="C10" s="716">
        <f>'سود و زیان'!E11</f>
        <v>65037</v>
      </c>
      <c r="D10" s="717">
        <f>C10/$C$8</f>
        <v>1</v>
      </c>
      <c r="E10" s="718"/>
      <c r="F10" s="716">
        <f>'سود و زیان'!G11</f>
        <v>104009</v>
      </c>
      <c r="G10" s="719">
        <f>F10/$F$7</f>
        <v>1</v>
      </c>
      <c r="H10" s="711">
        <f t="shared" si="0"/>
        <v>59.922813167889053</v>
      </c>
      <c r="I10" s="718"/>
      <c r="J10" s="716">
        <f>'سود و زیان'!I11</f>
        <v>212695</v>
      </c>
      <c r="K10" s="719">
        <f>J10/$J$8</f>
        <v>1</v>
      </c>
      <c r="L10" s="711">
        <f t="shared" si="1"/>
        <v>104.49672624484418</v>
      </c>
      <c r="M10" s="718"/>
      <c r="N10" s="716">
        <f>'سود و زیان'!K11</f>
        <v>1566615</v>
      </c>
      <c r="O10" s="719">
        <f>N10/$N$7</f>
        <v>1</v>
      </c>
      <c r="P10" s="711">
        <f t="shared" si="2"/>
        <v>636.55469098944502</v>
      </c>
      <c r="Q10" s="718"/>
      <c r="R10" s="716">
        <f>'سود و زیان'!M11</f>
        <v>745024</v>
      </c>
      <c r="S10" s="719">
        <f>R10/$R$7</f>
        <v>1</v>
      </c>
      <c r="T10" s="711">
        <f t="shared" si="3"/>
        <v>-52.443708249952927</v>
      </c>
    </row>
    <row r="11" spans="2:20" ht="21">
      <c r="B11" s="715" t="s">
        <v>296</v>
      </c>
      <c r="C11" s="716">
        <f>'سود و زیان'!E12</f>
        <v>-5450</v>
      </c>
      <c r="D11" s="717">
        <f>-C11/$C$8</f>
        <v>8.3798453188185185E-2</v>
      </c>
      <c r="E11" s="718"/>
      <c r="F11" s="716">
        <f>'سود و زیان'!G12</f>
        <v>-7094</v>
      </c>
      <c r="G11" s="719">
        <f>-F11/$F$8</f>
        <v>6.8205636050726381E-2</v>
      </c>
      <c r="H11" s="711">
        <f t="shared" si="0"/>
        <v>30.165137614678894</v>
      </c>
      <c r="I11" s="718"/>
      <c r="J11" s="716">
        <f>'سود و زیان'!I12</f>
        <v>-8821</v>
      </c>
      <c r="K11" s="719">
        <f>-J11/$J$8</f>
        <v>4.147253108911822E-2</v>
      </c>
      <c r="L11" s="711">
        <f t="shared" si="1"/>
        <v>24.344516492810818</v>
      </c>
      <c r="M11" s="718"/>
      <c r="N11" s="716">
        <f>'سود و زیان'!K12</f>
        <v>-17285</v>
      </c>
      <c r="O11" s="719">
        <f>-N11/$N$7</f>
        <v>1.1033342588957721E-2</v>
      </c>
      <c r="P11" s="711">
        <f t="shared" si="2"/>
        <v>95.952839814080022</v>
      </c>
      <c r="Q11" s="718"/>
      <c r="R11" s="716">
        <f>'سود و زیان'!M12</f>
        <v>-15350</v>
      </c>
      <c r="S11" s="719">
        <f>-R11/$R$7</f>
        <v>2.0603363113134609E-2</v>
      </c>
      <c r="T11" s="711">
        <f t="shared" si="3"/>
        <v>-11.194677466010994</v>
      </c>
    </row>
    <row r="12" spans="2:20" ht="21">
      <c r="B12" s="720" t="s">
        <v>298</v>
      </c>
      <c r="C12" s="716">
        <f>'سود و زیان'!E14</f>
        <v>59587</v>
      </c>
      <c r="D12" s="717">
        <f>C12/$C$7</f>
        <v>0.91620154681181476</v>
      </c>
      <c r="E12" s="718"/>
      <c r="F12" s="716">
        <f>'سود و زیان'!G14</f>
        <v>96915</v>
      </c>
      <c r="G12" s="719">
        <f>F12/$F$7</f>
        <v>0.93179436394927362</v>
      </c>
      <c r="H12" s="711">
        <f t="shared" si="0"/>
        <v>62.64453655998792</v>
      </c>
      <c r="I12" s="718"/>
      <c r="J12" s="716">
        <f>'سود و زیان'!I14</f>
        <v>203874</v>
      </c>
      <c r="K12" s="719">
        <f>J12/$J$8</f>
        <v>0.95852746891088181</v>
      </c>
      <c r="L12" s="711">
        <f t="shared" si="1"/>
        <v>110.36372078625601</v>
      </c>
      <c r="M12" s="718"/>
      <c r="N12" s="716">
        <f>'سود و زیان'!K14</f>
        <v>1549330</v>
      </c>
      <c r="O12" s="719">
        <f>N12/$N$7</f>
        <v>0.98896665741104228</v>
      </c>
      <c r="P12" s="711">
        <f t="shared" si="2"/>
        <v>659.94486790861015</v>
      </c>
      <c r="Q12" s="718"/>
      <c r="R12" s="716">
        <f>'سود و زیان'!M14</f>
        <v>729674</v>
      </c>
      <c r="S12" s="719">
        <f>R12/$R$7</f>
        <v>0.9793966368868654</v>
      </c>
      <c r="T12" s="711">
        <f t="shared" si="3"/>
        <v>-52.903900395654887</v>
      </c>
    </row>
    <row r="13" spans="2:20" s="422" customFormat="1" ht="21">
      <c r="B13" s="715" t="s">
        <v>300</v>
      </c>
      <c r="C13" s="716">
        <f>'سود و زیان'!E16</f>
        <v>-9343</v>
      </c>
      <c r="D13" s="717">
        <f>-C13/$C$7</f>
        <v>0.14365668773159893</v>
      </c>
      <c r="E13" s="718"/>
      <c r="F13" s="716">
        <f>'سود و زیان'!G16</f>
        <v>-2362</v>
      </c>
      <c r="G13" s="719">
        <f>-F13/$F$8</f>
        <v>2.2709573210010672E-2</v>
      </c>
      <c r="H13" s="711">
        <f t="shared" si="0"/>
        <v>-74.719040993256996</v>
      </c>
      <c r="I13" s="718"/>
      <c r="J13" s="716">
        <f>'سود و زیان'!I16</f>
        <v>-9810</v>
      </c>
      <c r="K13" s="719">
        <f>-J13/$J$8</f>
        <v>4.6122381814335082E-2</v>
      </c>
      <c r="L13" s="711">
        <f t="shared" si="1"/>
        <v>315.32599491955972</v>
      </c>
      <c r="M13" s="718"/>
      <c r="N13" s="716">
        <f>'سود و زیان'!K16</f>
        <v>-1402</v>
      </c>
      <c r="O13" s="719">
        <f>-N13/$N$7</f>
        <v>8.9492313044366352E-4</v>
      </c>
      <c r="P13" s="711">
        <f t="shared" si="2"/>
        <v>-85.708460754332322</v>
      </c>
      <c r="Q13" s="718"/>
      <c r="R13" s="716">
        <f>'سود و زیان'!M16</f>
        <v>-3037</v>
      </c>
      <c r="S13" s="719">
        <f>-R13/$R$7</f>
        <v>4.076378747530281E-3</v>
      </c>
      <c r="T13" s="711">
        <f t="shared" si="3"/>
        <v>116.61911554921542</v>
      </c>
    </row>
    <row r="14" spans="2:20" s="422" customFormat="1" ht="21">
      <c r="B14" s="715" t="s">
        <v>301</v>
      </c>
      <c r="C14" s="716">
        <f>'سود و زیان'!E17</f>
        <v>219</v>
      </c>
      <c r="D14" s="717">
        <f>C14/$C$7</f>
        <v>3.3673139904977166E-3</v>
      </c>
      <c r="E14" s="718"/>
      <c r="F14" s="716">
        <f>'سود و زیان'!G17</f>
        <v>1225</v>
      </c>
      <c r="G14" s="719">
        <f>F14/$F$8</f>
        <v>1.1777826918824333E-2</v>
      </c>
      <c r="H14" s="711">
        <f t="shared" si="0"/>
        <v>459.36073059360734</v>
      </c>
      <c r="I14" s="718"/>
      <c r="J14" s="716">
        <f>'سود و زیان'!I17</f>
        <v>1495</v>
      </c>
      <c r="K14" s="719">
        <f>J14/$J$8</f>
        <v>7.0288441195138582E-3</v>
      </c>
      <c r="L14" s="711">
        <f t="shared" si="1"/>
        <v>22.04081632653061</v>
      </c>
      <c r="M14" s="718"/>
      <c r="N14" s="716">
        <f>'سود و زیان'!K17</f>
        <v>1944</v>
      </c>
      <c r="O14" s="719">
        <f>N14/$N$7</f>
        <v>1.2408919868633966E-3</v>
      </c>
      <c r="P14" s="711">
        <f t="shared" si="2"/>
        <v>30.033444816053525</v>
      </c>
      <c r="Q14" s="718"/>
      <c r="R14" s="716">
        <f>'سود و زیان'!M17</f>
        <v>936</v>
      </c>
      <c r="S14" s="719">
        <f>R14/$R$7</f>
        <v>1.2563353663774589E-3</v>
      </c>
      <c r="T14" s="711">
        <f t="shared" si="3"/>
        <v>-51.851851851851862</v>
      </c>
    </row>
    <row r="15" spans="2:20" s="422" customFormat="1" ht="21">
      <c r="B15" s="720" t="s">
        <v>302</v>
      </c>
      <c r="C15" s="716">
        <f>'سود و زیان'!E18</f>
        <v>50463</v>
      </c>
      <c r="D15" s="717">
        <f>C15/$C$7</f>
        <v>0.77591217307071358</v>
      </c>
      <c r="E15" s="718"/>
      <c r="F15" s="716">
        <f>'سود و زیان'!G18</f>
        <v>95778</v>
      </c>
      <c r="G15" s="719">
        <f>F15/$F$8</f>
        <v>0.9208626176580873</v>
      </c>
      <c r="H15" s="711">
        <f t="shared" si="0"/>
        <v>89.798466202960597</v>
      </c>
      <c r="I15" s="718"/>
      <c r="J15" s="716">
        <f>'سود و زیان'!I18</f>
        <v>195559</v>
      </c>
      <c r="K15" s="719">
        <f>J15/$J$8</f>
        <v>0.91943393121606054</v>
      </c>
      <c r="L15" s="711">
        <f t="shared" si="1"/>
        <v>104.17945666019337</v>
      </c>
      <c r="M15" s="718"/>
      <c r="N15" s="716">
        <f>'سود و زیان'!K18</f>
        <v>1549872</v>
      </c>
      <c r="O15" s="719">
        <f>N15/$N$7</f>
        <v>0.98931262626746197</v>
      </c>
      <c r="P15" s="711">
        <f t="shared" si="2"/>
        <v>692.53422240858265</v>
      </c>
      <c r="Q15" s="718"/>
      <c r="R15" s="716">
        <f>'سود و زیان'!M18</f>
        <v>727573</v>
      </c>
      <c r="S15" s="719">
        <f>R15/$R$7</f>
        <v>0.97657659350571258</v>
      </c>
      <c r="T15" s="711">
        <f t="shared" si="3"/>
        <v>-53.055929780007638</v>
      </c>
    </row>
    <row r="16" spans="2:20" s="422" customFormat="1" ht="21">
      <c r="B16" s="715" t="s">
        <v>303</v>
      </c>
      <c r="C16" s="716">
        <f>'سود و زیان'!E20</f>
        <v>0</v>
      </c>
      <c r="D16" s="717">
        <f>-C16/$C$7</f>
        <v>0</v>
      </c>
      <c r="E16" s="718"/>
      <c r="F16" s="716">
        <f>'سود و زیان'!G20</f>
        <v>0</v>
      </c>
      <c r="G16" s="719">
        <f>-F16/$F$7</f>
        <v>0</v>
      </c>
      <c r="H16" s="711" t="str">
        <f t="shared" si="0"/>
        <v>-</v>
      </c>
      <c r="I16" s="718"/>
      <c r="J16" s="716">
        <f>'سود و زیان'!I20</f>
        <v>0</v>
      </c>
      <c r="K16" s="719">
        <f>-J16/$J$7</f>
        <v>0</v>
      </c>
      <c r="L16" s="711" t="str">
        <f t="shared" si="1"/>
        <v>-</v>
      </c>
      <c r="M16" s="718"/>
      <c r="N16" s="716">
        <f>'سود و زیان'!K20</f>
        <v>0</v>
      </c>
      <c r="O16" s="719">
        <f>-N16/$N$7</f>
        <v>0</v>
      </c>
      <c r="P16" s="711" t="str">
        <f t="shared" si="2"/>
        <v>-</v>
      </c>
      <c r="Q16" s="718"/>
      <c r="R16" s="716">
        <f>'سود و زیان'!M20</f>
        <v>0</v>
      </c>
      <c r="S16" s="719">
        <f>-R16/$R$7</f>
        <v>0</v>
      </c>
      <c r="T16" s="711" t="str">
        <f t="shared" si="3"/>
        <v>-</v>
      </c>
    </row>
    <row r="17" spans="2:20" s="422" customFormat="1" ht="21">
      <c r="B17" s="715" t="s">
        <v>304</v>
      </c>
      <c r="C17" s="716">
        <f>'سود و زیان'!E21</f>
        <v>0</v>
      </c>
      <c r="D17" s="717">
        <f>-C17/$C$7</f>
        <v>0</v>
      </c>
      <c r="E17" s="718"/>
      <c r="F17" s="716">
        <f>'سود و زیان'!G21</f>
        <v>0</v>
      </c>
      <c r="G17" s="719">
        <f>-F17/$F$7</f>
        <v>0</v>
      </c>
      <c r="H17" s="711" t="str">
        <f t="shared" si="0"/>
        <v>-</v>
      </c>
      <c r="I17" s="718"/>
      <c r="J17" s="716">
        <f>'سود و زیان'!I21</f>
        <v>0</v>
      </c>
      <c r="K17" s="719">
        <f>-J17/$J$7</f>
        <v>0</v>
      </c>
      <c r="L17" s="711" t="str">
        <f t="shared" si="1"/>
        <v>-</v>
      </c>
      <c r="M17" s="718"/>
      <c r="N17" s="716">
        <f>'سود و زیان'!K21</f>
        <v>0</v>
      </c>
      <c r="O17" s="719">
        <f>-N17/$N$7</f>
        <v>0</v>
      </c>
      <c r="P17" s="711" t="str">
        <f t="shared" si="2"/>
        <v>-</v>
      </c>
      <c r="Q17" s="718"/>
      <c r="R17" s="716">
        <f>'سود و زیان'!M21</f>
        <v>0</v>
      </c>
      <c r="S17" s="719">
        <f>-R17/$R$7</f>
        <v>0</v>
      </c>
      <c r="T17" s="711" t="str">
        <f t="shared" si="3"/>
        <v>-</v>
      </c>
    </row>
    <row r="18" spans="2:20" s="422" customFormat="1" ht="21.75" thickBot="1">
      <c r="B18" s="723" t="s">
        <v>305</v>
      </c>
      <c r="C18" s="724">
        <f>'سود و زیان'!E22</f>
        <v>50463</v>
      </c>
      <c r="D18" s="725">
        <f>C18/$C$7</f>
        <v>0.77591217307071358</v>
      </c>
      <c r="E18" s="718"/>
      <c r="F18" s="724">
        <f>'سود و زیان'!G22</f>
        <v>95778</v>
      </c>
      <c r="G18" s="726">
        <f>F18/$F$7</f>
        <v>0.9208626176580873</v>
      </c>
      <c r="H18" s="727">
        <f t="shared" si="0"/>
        <v>89.798466202960597</v>
      </c>
      <c r="I18" s="718"/>
      <c r="J18" s="724">
        <f>'سود و زیان'!I22</f>
        <v>195559</v>
      </c>
      <c r="K18" s="726">
        <f>J18/$J$7</f>
        <v>0.91943393121606054</v>
      </c>
      <c r="L18" s="727">
        <f>IFERROR(((J18/F18)-1)*100*-1,"-")</f>
        <v>-104.17945666019337</v>
      </c>
      <c r="M18" s="718"/>
      <c r="N18" s="724">
        <f>'سود و زیان'!K22</f>
        <v>1549872</v>
      </c>
      <c r="O18" s="726">
        <f>N18/$N$7</f>
        <v>0.98931262626746197</v>
      </c>
      <c r="P18" s="727">
        <f t="shared" si="2"/>
        <v>692.53422240858265</v>
      </c>
      <c r="Q18" s="718"/>
      <c r="R18" s="724">
        <f>'سود و زیان'!M22</f>
        <v>727573</v>
      </c>
      <c r="S18" s="726">
        <f>R18/$R$7</f>
        <v>0.97657659350571258</v>
      </c>
      <c r="T18" s="727">
        <f t="shared" si="3"/>
        <v>-53.055929780007638</v>
      </c>
    </row>
    <row r="19" spans="2:20" s="422" customFormat="1" ht="21">
      <c r="B19" s="728"/>
      <c r="C19" s="729"/>
      <c r="D19" s="730"/>
      <c r="E19" s="731"/>
      <c r="F19" s="729"/>
      <c r="G19" s="730"/>
      <c r="H19" s="732"/>
      <c r="I19" s="731"/>
      <c r="J19" s="729"/>
      <c r="K19" s="730"/>
      <c r="L19" s="732"/>
      <c r="M19" s="731"/>
      <c r="N19" s="729"/>
      <c r="O19" s="730"/>
      <c r="P19" s="732"/>
      <c r="Q19" s="731"/>
      <c r="R19" s="729"/>
      <c r="S19" s="730"/>
      <c r="T19" s="732"/>
    </row>
    <row r="20" spans="2:20" s="422" customFormat="1" ht="21">
      <c r="B20" s="624">
        <v>4</v>
      </c>
      <c r="C20" s="624"/>
      <c r="D20" s="624"/>
      <c r="E20" s="624"/>
      <c r="F20" s="624"/>
      <c r="G20" s="624"/>
      <c r="H20" s="624"/>
      <c r="I20" s="624"/>
      <c r="J20" s="624"/>
      <c r="K20" s="624"/>
      <c r="L20" s="624"/>
      <c r="M20" s="624"/>
      <c r="N20" s="624"/>
      <c r="O20" s="624"/>
      <c r="P20" s="624"/>
      <c r="Q20" s="624"/>
      <c r="R20" s="624"/>
      <c r="S20" s="624"/>
      <c r="T20" s="624"/>
    </row>
    <row r="21" spans="2:20" ht="18.75" customHeight="1"/>
  </sheetData>
  <autoFilter ref="B5:S18"/>
  <mergeCells count="3">
    <mergeCell ref="B20:T20"/>
    <mergeCell ref="B2:T2"/>
    <mergeCell ref="B3:T3"/>
  </mergeCells>
  <conditionalFormatting sqref="D6:E19">
    <cfRule type="dataBar" priority="29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{F1255CC9-2B89-4F48-864E-81A1A90340D1}</x14:id>
        </ext>
      </extLst>
    </cfRule>
  </conditionalFormatting>
  <conditionalFormatting sqref="G6:G19">
    <cfRule type="dataBar" priority="29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{1C2063BB-84EA-4D12-8293-D30C896A72CC}</x14:id>
        </ext>
      </extLst>
    </cfRule>
  </conditionalFormatting>
  <conditionalFormatting sqref="K6:K19">
    <cfRule type="dataBar" priority="29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{F17936C4-3B6D-4BC1-9DA4-711547A0DB72}</x14:id>
        </ext>
      </extLst>
    </cfRule>
  </conditionalFormatting>
  <conditionalFormatting sqref="O6:O19">
    <cfRule type="dataBar" priority="29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{471CD90B-8C92-4925-8762-983BF84FF68D}</x14:id>
        </ext>
      </extLst>
    </cfRule>
  </conditionalFormatting>
  <conditionalFormatting sqref="I6:I19">
    <cfRule type="dataBar" priority="30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{915925D4-BA67-4D85-BE93-62726A924362}</x14:id>
        </ext>
      </extLst>
    </cfRule>
  </conditionalFormatting>
  <conditionalFormatting sqref="M6:M19">
    <cfRule type="dataBar" priority="30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{AA8505F2-F878-46F6-A61A-3DA41B4DBA17}</x14:id>
        </ext>
      </extLst>
    </cfRule>
  </conditionalFormatting>
  <conditionalFormatting sqref="Q6:Q19">
    <cfRule type="dataBar" priority="30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{FE7424F1-36A9-4179-B18F-A2C4F721A504}</x14:id>
        </ext>
      </extLst>
    </cfRule>
  </conditionalFormatting>
  <conditionalFormatting sqref="S6:S19">
    <cfRule type="dataBar" priority="30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{78AC07B7-4403-4E91-A95B-43D4B274A204}</x14:id>
        </ext>
      </extLst>
    </cfRule>
  </conditionalFormatting>
  <printOptions horizontalCentered="1"/>
  <pageMargins left="0.19685039370078741" right="0.19685039370078741" top="0.39370078740157483" bottom="0.19685039370078741" header="0" footer="0"/>
  <pageSetup paperSize="9" scale="75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26C166-4799-44B1-8310-83FF01B207F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T6</xm:sqref>
        </x14:conditionalFormatting>
        <x14:conditionalFormatting xmlns:xm="http://schemas.microsoft.com/office/excel/2006/main">
          <x14:cfRule type="dataBar" id="{F1255CC9-2B89-4F48-864E-81A1A90340D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D6:E19</xm:sqref>
        </x14:conditionalFormatting>
        <x14:conditionalFormatting xmlns:xm="http://schemas.microsoft.com/office/excel/2006/main">
          <x14:cfRule type="dataBar" id="{1C2063BB-84EA-4D12-8293-D30C896A72C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G6:G19</xm:sqref>
        </x14:conditionalFormatting>
        <x14:conditionalFormatting xmlns:xm="http://schemas.microsoft.com/office/excel/2006/main">
          <x14:cfRule type="dataBar" id="{F17936C4-3B6D-4BC1-9DA4-711547A0DB72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K6:K19</xm:sqref>
        </x14:conditionalFormatting>
        <x14:conditionalFormatting xmlns:xm="http://schemas.microsoft.com/office/excel/2006/main">
          <x14:cfRule type="dataBar" id="{471CD90B-8C92-4925-8762-983BF84FF68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O6:O19</xm:sqref>
        </x14:conditionalFormatting>
        <x14:conditionalFormatting xmlns:xm="http://schemas.microsoft.com/office/excel/2006/main">
          <x14:cfRule type="dataBar" id="{915925D4-BA67-4D85-BE93-62726A924362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I6:I19</xm:sqref>
        </x14:conditionalFormatting>
        <x14:conditionalFormatting xmlns:xm="http://schemas.microsoft.com/office/excel/2006/main">
          <x14:cfRule type="dataBar" id="{AA8505F2-F878-46F6-A61A-3DA41B4DBA1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M6:M19</xm:sqref>
        </x14:conditionalFormatting>
        <x14:conditionalFormatting xmlns:xm="http://schemas.microsoft.com/office/excel/2006/main">
          <x14:cfRule type="dataBar" id="{FE7424F1-36A9-4179-B18F-A2C4F721A50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Q6:Q19</xm:sqref>
        </x14:conditionalFormatting>
        <x14:conditionalFormatting xmlns:xm="http://schemas.microsoft.com/office/excel/2006/main">
          <x14:cfRule type="dataBar" id="{78AC07B7-4403-4E91-A95B-43D4B274A20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S6:S19</xm:sqref>
        </x14:conditionalFormatting>
        <x14:conditionalFormatting xmlns:xm="http://schemas.microsoft.com/office/excel/2006/main">
          <x14:cfRule type="iconSet" priority="308" id="{EDD03E2E-249A-4C58-9077-C8EA4705437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H6:H19</xm:sqref>
        </x14:conditionalFormatting>
        <x14:conditionalFormatting xmlns:xm="http://schemas.microsoft.com/office/excel/2006/main">
          <x14:cfRule type="iconSet" priority="310" id="{268793F2-EA0E-4077-B9BF-B647833633E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L6:L19</xm:sqref>
        </x14:conditionalFormatting>
        <x14:conditionalFormatting xmlns:xm="http://schemas.microsoft.com/office/excel/2006/main">
          <x14:cfRule type="iconSet" priority="312" id="{D9282811-1164-4C08-B52B-76251152B84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P6:P19</xm:sqref>
        </x14:conditionalFormatting>
        <x14:conditionalFormatting xmlns:xm="http://schemas.microsoft.com/office/excel/2006/main">
          <x14:cfRule type="iconSet" priority="314" id="{6A425AD3-CE0A-4D1F-99C9-4128504BA7F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Arrows" iconId="0"/>
              <x14:cfIcon iconSet="3Arrows" iconId="1"/>
              <x14:cfIcon iconSet="3Arrows" iconId="2"/>
            </x14:iconSet>
          </x14:cfRule>
          <xm:sqref>T7:T19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L36"/>
  <sheetViews>
    <sheetView rightToLeft="1" view="pageBreakPreview" zoomScale="60" zoomScaleNormal="100" workbookViewId="0">
      <pane ySplit="3" topLeftCell="A10" activePane="bottomLeft" state="frozenSplit"/>
      <selection activeCell="O20" sqref="O20"/>
      <selection pane="bottomLeft" activeCell="B29" sqref="B29"/>
    </sheetView>
  </sheetViews>
  <sheetFormatPr defaultColWidth="9" defaultRowHeight="19.5"/>
  <cols>
    <col min="1" max="1" width="3" style="469" customWidth="1"/>
    <col min="2" max="2" width="48.85546875" style="469" bestFit="1" customWidth="1"/>
    <col min="3" max="3" width="10.85546875" style="469" bestFit="1" customWidth="1"/>
    <col min="4" max="5" width="10.42578125" style="469" bestFit="1" customWidth="1"/>
    <col min="6" max="7" width="11.85546875" style="469" bestFit="1" customWidth="1"/>
    <col min="8" max="16384" width="9" style="469"/>
  </cols>
  <sheetData>
    <row r="1" spans="2:7">
      <c r="B1" s="647" t="str">
        <f>'صورت وضعیت مالی'!B2</f>
        <v>شركت سرمایه گذاری ساختمان نوین (سهامی عام)</v>
      </c>
      <c r="C1" s="647"/>
      <c r="D1" s="647"/>
      <c r="E1" s="647"/>
      <c r="F1" s="647"/>
      <c r="G1" s="647"/>
    </row>
    <row r="2" spans="2:7" ht="20.25" thickBot="1">
      <c r="B2" s="646" t="s">
        <v>354</v>
      </c>
      <c r="C2" s="646"/>
      <c r="D2" s="646"/>
      <c r="E2" s="646"/>
      <c r="F2" s="646"/>
      <c r="G2" s="646"/>
    </row>
    <row r="3" spans="2:7" ht="21">
      <c r="B3" s="458" t="s">
        <v>29</v>
      </c>
      <c r="C3" s="459">
        <v>1396</v>
      </c>
      <c r="D3" s="459">
        <v>1397</v>
      </c>
      <c r="E3" s="459">
        <v>1398</v>
      </c>
      <c r="F3" s="459">
        <v>1399</v>
      </c>
      <c r="G3" s="460">
        <v>1400</v>
      </c>
    </row>
    <row r="4" spans="2:7" ht="21">
      <c r="B4" s="463" t="s">
        <v>314</v>
      </c>
      <c r="C4" s="461"/>
      <c r="D4" s="461"/>
      <c r="E4" s="461"/>
      <c r="F4" s="461"/>
      <c r="G4" s="462"/>
    </row>
    <row r="5" spans="2:7">
      <c r="B5" s="470" t="s">
        <v>308</v>
      </c>
      <c r="C5" s="471">
        <f>'سود و زیان'!E9/'صورت وضعیت مالی'!D31</f>
        <v>0.13612332035664951</v>
      </c>
      <c r="D5" s="471">
        <f>'سود و زیان'!G9/'صورت وضعیت مالی'!F31</f>
        <v>0.18925936843790828</v>
      </c>
      <c r="E5" s="471">
        <f>'سود و زیان'!I9/'صورت وضعیت مالی'!H31</f>
        <v>0.29742685462658558</v>
      </c>
      <c r="F5" s="471">
        <f>'سود و زیان'!K9/'صورت وضعیت مالی'!J31</f>
        <v>0.69907304319655295</v>
      </c>
      <c r="G5" s="472">
        <f>'سود و زیان'!M9/'صورت وضعیت مالی'!L31</f>
        <v>0.26489158283444064</v>
      </c>
    </row>
    <row r="6" spans="2:7">
      <c r="B6" s="470" t="s">
        <v>307</v>
      </c>
      <c r="C6" s="471">
        <f>('سود و زیان'!E9/'سود و زیان'!C9)-1</f>
        <v>0.50072686157325141</v>
      </c>
      <c r="D6" s="471">
        <f>'سود و زیان'!G9/'سود و زیان'!E9-1</f>
        <v>0.59922813167889055</v>
      </c>
      <c r="E6" s="471">
        <f>'سود و زیان'!I9/'سود و زیان'!G9-1</f>
        <v>1.0449672624484418</v>
      </c>
      <c r="F6" s="471">
        <f>'سود و زیان'!K9/'سود و زیان'!I9-1</f>
        <v>6.3655469098944497</v>
      </c>
      <c r="G6" s="472">
        <f>'سود و زیان'!M9/'سود و زیان'!K9-1</f>
        <v>-0.52443708249952925</v>
      </c>
    </row>
    <row r="7" spans="2:7">
      <c r="B7" s="470" t="s">
        <v>306</v>
      </c>
      <c r="C7" s="471">
        <f>'سود و زیان'!E11/'سود و زیان'!E17</f>
        <v>296.97260273972603</v>
      </c>
      <c r="D7" s="471">
        <f>'سود و زیان'!G11/'سود و زیان'!G17</f>
        <v>84.905306122448977</v>
      </c>
      <c r="E7" s="471">
        <f>'سود و زیان'!I11/'سود و زیان'!I17</f>
        <v>142.27090301003344</v>
      </c>
      <c r="F7" s="471">
        <f>'سود و زیان'!K11/'سود و زیان'!K17</f>
        <v>805.87191358024688</v>
      </c>
      <c r="G7" s="472">
        <f>'سود و زیان'!M11/'سود و زیان'!M17</f>
        <v>795.96581196581201</v>
      </c>
    </row>
    <row r="8" spans="2:7">
      <c r="B8" s="470" t="s">
        <v>309</v>
      </c>
      <c r="C8" s="471">
        <f>'صورت وضعیت مالی'!D24/'صورت وضعیت مالی'!D31</f>
        <v>0.21023902214408305</v>
      </c>
      <c r="D8" s="471">
        <f>'صورت وضعیت مالی'!F24/'صورت وضعیت مالی'!F31</f>
        <v>0.21694525418609137</v>
      </c>
      <c r="E8" s="471">
        <f>'صورت وضعیت مالی'!H24/'صورت وضعیت مالی'!H31</f>
        <v>0.15160036749231245</v>
      </c>
      <c r="F8" s="471">
        <f>'صورت وضعیت مالی'!J24/'صورت وضعیت مالی'!J31</f>
        <v>5.9794581767246516E-2</v>
      </c>
      <c r="G8" s="472">
        <f>'صورت وضعیت مالی'!L24/'صورت وضعیت مالی'!L31</f>
        <v>6.9429936122297031E-2</v>
      </c>
    </row>
    <row r="9" spans="2:7">
      <c r="B9" s="470" t="s">
        <v>416</v>
      </c>
      <c r="C9" s="471">
        <f>('صورت وضعیت مالی'!D24+'صورت وضعیت مالی'!D31)/'سود و زیان'!E9</f>
        <v>8.8907544935959528</v>
      </c>
      <c r="D9" s="471">
        <f>('صورت وضعیت مالی'!F24+'صورت وضعیت مالی'!F31)/'سود و زیان'!G9</f>
        <v>6.4300397081021838</v>
      </c>
      <c r="E9" s="471">
        <f>('صورت وضعیت مالی'!H24+'صورت وضعیت مالی'!H31)/'سود و زیان'!I9</f>
        <v>3.8718775711699851</v>
      </c>
      <c r="F9" s="471">
        <f>('صورت وضعیت مالی'!J24+'صورت وضعیت مالی'!J31)/'سود و زیان'!K9</f>
        <v>1.5159997829715661</v>
      </c>
      <c r="G9" s="472">
        <f>('صورت وضعیت مالی'!L24+'صورت وضعیت مالی'!L31)/'سود و زیان'!M9</f>
        <v>4.0372363843312433</v>
      </c>
    </row>
    <row r="10" spans="2:7">
      <c r="B10" s="470" t="s">
        <v>268</v>
      </c>
      <c r="C10" s="471">
        <f>'صورت وضعیت مالی'!D31/'صورت وضعیت مالی'!D18</f>
        <v>0.82628305789411793</v>
      </c>
      <c r="D10" s="471">
        <f>'صورت وضعیت مالی'!F31/'صورت وضعیت مالی'!F18</f>
        <v>0.82172965181479163</v>
      </c>
      <c r="E10" s="471">
        <f>'صورت وضعیت مالی'!H31/'صورت وضعیت مالی'!H18</f>
        <v>0.86835679132125276</v>
      </c>
      <c r="F10" s="471">
        <f>'صورت وضعیت مالی'!J31/'صورت وضعیت مالی'!J18</f>
        <v>0.9435790833469474</v>
      </c>
      <c r="G10" s="472">
        <f>'صورت وضعیت مالی'!L31/'صورت وضعیت مالی'!L18</f>
        <v>0.93507762053674437</v>
      </c>
    </row>
    <row r="11" spans="2:7">
      <c r="B11" s="470" t="s">
        <v>415</v>
      </c>
      <c r="C11" s="471">
        <f>('سود و زیان'!E12/'سود و زیان'!E9)*-1</f>
        <v>8.3798453188185185E-2</v>
      </c>
      <c r="D11" s="471">
        <f>('سود و زیان'!G12/'سود و زیان'!G9)*-1</f>
        <v>6.8205636050726381E-2</v>
      </c>
      <c r="E11" s="471">
        <f>('سود و زیان'!I12/'سود و زیان'!I9)*-1</f>
        <v>4.147253108911822E-2</v>
      </c>
      <c r="F11" s="471">
        <f>('سود و زیان'!K12/'سود و زیان'!K9)*-1</f>
        <v>1.1033342588957721E-2</v>
      </c>
      <c r="G11" s="472">
        <f>('سود و زیان'!M12/'سود و زیان'!M9)*-1</f>
        <v>2.0603363113134609E-2</v>
      </c>
    </row>
    <row r="12" spans="2:7">
      <c r="B12" s="470" t="s">
        <v>310</v>
      </c>
      <c r="C12" s="471">
        <f>'سود و زیان'!E11/'سود و زیان'!E9</f>
        <v>1</v>
      </c>
      <c r="D12" s="471">
        <f>'سود و زیان'!G11/'سود و زیان'!G9</f>
        <v>1</v>
      </c>
      <c r="E12" s="471">
        <f>'سود و زیان'!I11/'سود و زیان'!I9</f>
        <v>1</v>
      </c>
      <c r="F12" s="471">
        <f>'سود و زیان'!K11/'سود و زیان'!K9</f>
        <v>1</v>
      </c>
      <c r="G12" s="472">
        <f>'سود و زیان'!M11/'سود و زیان'!M9</f>
        <v>1</v>
      </c>
    </row>
    <row r="13" spans="2:7">
      <c r="B13" s="470" t="s">
        <v>417</v>
      </c>
      <c r="C13" s="471">
        <f>'سود و زیان'!E22/'سود و زیان'!E9</f>
        <v>0.77591217307071358</v>
      </c>
      <c r="D13" s="471">
        <f>'سود و زیان'!G22/'سود و زیان'!G9</f>
        <v>0.9208626176580873</v>
      </c>
      <c r="E13" s="471">
        <f>'سود و زیان'!I22/'سود و زیان'!I9</f>
        <v>0.91943393121606054</v>
      </c>
      <c r="F13" s="471">
        <f>'سود و زیان'!K22/'سود و زیان'!K9</f>
        <v>0.98931262626746197</v>
      </c>
      <c r="G13" s="472">
        <f>'سود و زیان'!M22/'سود و زیان'!M9</f>
        <v>0.97657659350571258</v>
      </c>
    </row>
    <row r="14" spans="2:7">
      <c r="B14" s="470" t="s">
        <v>269</v>
      </c>
      <c r="C14" s="471">
        <f>'سود و زیان'!E22/'صورت وضعیت مالی'!D31</f>
        <v>0.10561974130352882</v>
      </c>
      <c r="D14" s="471">
        <f>'سود و زیان'!G22/'صورت وضعیت مالی'!F31</f>
        <v>0.17428187743604862</v>
      </c>
      <c r="E14" s="471">
        <f>'سود و زیان'!I22/'صورت وضعیت مالی'!H31</f>
        <v>0.27346434219854932</v>
      </c>
      <c r="F14" s="471">
        <f>'سود و زیان'!K22/'صورت وضعیت مالی'!J31</f>
        <v>0.69160178831756869</v>
      </c>
      <c r="G14" s="472">
        <f>'سود و زیان'!M22/'صورت وضعیت مالی'!L31</f>
        <v>0.25868691961279433</v>
      </c>
    </row>
    <row r="15" spans="2:7">
      <c r="B15" s="470" t="s">
        <v>418</v>
      </c>
      <c r="C15" s="471">
        <f>('سود و زیان'!E16/'سود و زیان'!E9)*-1</f>
        <v>0.14365668773159893</v>
      </c>
      <c r="D15" s="471">
        <f>('سود و زیان'!G16/'سود و زیان'!G9)*-1</f>
        <v>2.2709573210010672E-2</v>
      </c>
      <c r="E15" s="471">
        <f>('سود و زیان'!I16/'سود و زیان'!I9)*-1</f>
        <v>4.6122381814335082E-2</v>
      </c>
      <c r="F15" s="471">
        <f>('سود و زیان'!K16/'سود و زیان'!K9)*-1</f>
        <v>8.9492313044366352E-4</v>
      </c>
      <c r="G15" s="472">
        <f>('سود و زیان'!M16/'سود و زیان'!M9)*-1</f>
        <v>4.076378747530281E-3</v>
      </c>
    </row>
    <row r="16" spans="2:7">
      <c r="B16" s="470" t="s">
        <v>311</v>
      </c>
      <c r="C16" s="471">
        <f>('سود و زیان'!E12/'سود و زیان'!C12)-1</f>
        <v>6.4869089488081233E-2</v>
      </c>
      <c r="D16" s="471">
        <f>('سود و زیان'!G12/'سود و زیان'!E12)-1</f>
        <v>0.30165137614678894</v>
      </c>
      <c r="E16" s="471">
        <f>('سود و زیان'!I12/'سود و زیان'!G12)-1</f>
        <v>0.24344516492810819</v>
      </c>
      <c r="F16" s="471">
        <f>('سود و زیان'!K12/'سود و زیان'!I12)-1</f>
        <v>0.95952839814080026</v>
      </c>
      <c r="G16" s="472">
        <f>('سود و زیان'!M12/'سود و زیان'!K12)-1</f>
        <v>-0.11194677466010994</v>
      </c>
    </row>
    <row r="17" spans="2:7">
      <c r="B17" s="470" t="s">
        <v>312</v>
      </c>
      <c r="C17" s="471">
        <f>(SUM('صورت وضعیت مالی'!D10:D13))/'صورت وضعیت مالی'!D24</f>
        <v>2.447116916215355</v>
      </c>
      <c r="D17" s="471">
        <f>(SUM('صورت وضعیت مالی'!F10:F13))/'صورت وضعیت مالی'!F24</f>
        <v>2.7087666912702142</v>
      </c>
      <c r="E17" s="471">
        <f>(SUM('صورت وضعیت مالی'!H10:H13))/'صورت وضعیت مالی'!H24</f>
        <v>3.7585783861565139</v>
      </c>
      <c r="F17" s="471">
        <f>(SUM('صورت وضعیت مالی'!J10:J13))/'صورت وضعیت مالی'!J24</f>
        <v>14.533071142321958</v>
      </c>
      <c r="G17" s="472">
        <f>(SUM('صورت وضعیت مالی'!L10:L13))/'صورت وضعیت مالی'!L24</f>
        <v>11.534366742456831</v>
      </c>
    </row>
    <row r="18" spans="2:7">
      <c r="B18" s="470" t="s">
        <v>313</v>
      </c>
      <c r="C18" s="471">
        <f>'صورت وضعیت مالی'!D12/'صورت وضعیت مالی'!D18</f>
        <v>6.0154471938404917E-2</v>
      </c>
      <c r="D18" s="471">
        <f>'صورت وضعیت مالی'!F12/'صورت وضعیت مالی'!F18</f>
        <v>5.141286697309437E-2</v>
      </c>
      <c r="E18" s="471">
        <f>'صورت وضعیت مالی'!H12/'صورت وضعیت مالی'!H18</f>
        <v>2.2761797095184264E-2</v>
      </c>
      <c r="F18" s="471">
        <f>'صورت وضعیت مالی'!J12/'صورت وضعیت مالی'!J18</f>
        <v>7.6549439407693848E-2</v>
      </c>
      <c r="G18" s="472">
        <f>'صورت وضعیت مالی'!L12/'صورت وضعیت مالی'!L18</f>
        <v>6.9953900442776508E-3</v>
      </c>
    </row>
    <row r="19" spans="2:7">
      <c r="B19" s="470" t="s">
        <v>338</v>
      </c>
      <c r="C19" s="464">
        <f>'سود و زیان'!E22/'صورت وضعیت مالی'!D26*1000</f>
        <v>168.21</v>
      </c>
      <c r="D19" s="464">
        <f>'سود و زیان'!G22/'صورت وضعیت مالی'!F26*1000</f>
        <v>319.26</v>
      </c>
      <c r="E19" s="464">
        <f>'سود و زیان'!I22/'صورت وضعیت مالی'!H26*1000</f>
        <v>651.86333333333334</v>
      </c>
      <c r="F19" s="464">
        <f>'سود و زیان'!K22/'صورت وضعیت مالی'!J26*1000</f>
        <v>2583.12</v>
      </c>
      <c r="G19" s="465">
        <f>'سود و زیان'!M22/'صورت وضعیت مالی'!L26*1000</f>
        <v>1212.6216666666667</v>
      </c>
    </row>
    <row r="20" spans="2:7">
      <c r="B20" s="470" t="s">
        <v>540</v>
      </c>
      <c r="C20" s="466">
        <f>SUM('صورت وضعیت مالی'!D10:D13)-SUM('صورت وضعیت مالی'!D20:D23)</f>
        <v>145360</v>
      </c>
      <c r="D20" s="466">
        <f>SUM('صورت وضعیت مالی'!F10:F13)-SUM('صورت وضعیت مالی'!F20:F23)</f>
        <v>203726</v>
      </c>
      <c r="E20" s="466">
        <f>SUM('صورت وضعیت مالی'!H10:H13)-SUM('صورت وضعیت مالی'!H20:H23)</f>
        <v>299063</v>
      </c>
      <c r="F20" s="466">
        <f>SUM('صورت وضعیت مالی'!J10:J13)-SUM('صورت وضعیت مالی'!J20:J23)</f>
        <v>1813418</v>
      </c>
      <c r="G20" s="467">
        <f>SUM('صورت وضعیت مالی'!L10:L13)-SUM('صورت وضعیت مالی'!L20:L23)</f>
        <v>2057109</v>
      </c>
    </row>
    <row r="21" spans="2:7">
      <c r="B21" s="470" t="s">
        <v>541</v>
      </c>
      <c r="C21" s="464">
        <f>'سود و زیان'!E22/'صورت وضعیت مالی'!D35</f>
        <v>25231.5</v>
      </c>
      <c r="D21" s="464">
        <f>'سود و زیان'!G22/'صورت وضعیت مالی'!F35</f>
        <v>47889</v>
      </c>
      <c r="E21" s="464">
        <f>'سود و زیان'!I22/'صورت وضعیت مالی'!H35</f>
        <v>97779.5</v>
      </c>
      <c r="F21" s="464">
        <f>'سود و زیان'!K22/'صورت وضعیت مالی'!J35</f>
        <v>516624</v>
      </c>
      <c r="G21" s="465">
        <f>'سود و زیان'!M22/'صورت وضعیت مالی'!L35</f>
        <v>90946.625</v>
      </c>
    </row>
    <row r="22" spans="2:7">
      <c r="B22" s="470" t="s">
        <v>542</v>
      </c>
      <c r="C22" s="464">
        <f>'سود و زیان'!E9/'صورت وضعیت مالی'!D35</f>
        <v>32518.5</v>
      </c>
      <c r="D22" s="464">
        <f>'سود و زیان'!G9/'صورت وضعیت مالی'!F35</f>
        <v>52004.5</v>
      </c>
      <c r="E22" s="464">
        <f>'سود و زیان'!I9/'صورت وضعیت مالی'!H35</f>
        <v>106347.5</v>
      </c>
      <c r="F22" s="464">
        <f>'سود و زیان'!K9/'صورت وضعیت مالی'!J35</f>
        <v>522205</v>
      </c>
      <c r="G22" s="465">
        <f>'سود و زیان'!M9/'صورت وضعیت مالی'!L35</f>
        <v>93128</v>
      </c>
    </row>
    <row r="23" spans="2:7" ht="20.25" thickBot="1">
      <c r="B23" s="473" t="s">
        <v>543</v>
      </c>
      <c r="C23" s="474">
        <f>('سود و زیان'!E12/'صورت وضعیت مالی'!D35)*-1</f>
        <v>2725</v>
      </c>
      <c r="D23" s="474">
        <f>('سود و زیان'!G12/'صورت وضعیت مالی'!F35)*-1</f>
        <v>3547</v>
      </c>
      <c r="E23" s="474">
        <f>('سود و زیان'!I12/'صورت وضعیت مالی'!H35)*-1</f>
        <v>4410.5</v>
      </c>
      <c r="F23" s="474">
        <f>('سود و زیان'!K12/'صورت وضعیت مالی'!J35)*-1</f>
        <v>5761.666666666667</v>
      </c>
      <c r="G23" s="475">
        <f>('سود و زیان'!M12/'صورت وضعیت مالی'!L35)*-1</f>
        <v>1918.75</v>
      </c>
    </row>
    <row r="24" spans="2:7">
      <c r="C24" s="476"/>
      <c r="D24" s="476"/>
      <c r="E24" s="476"/>
      <c r="F24" s="476"/>
      <c r="G24" s="476"/>
    </row>
    <row r="25" spans="2:7">
      <c r="C25" s="476"/>
      <c r="D25" s="476"/>
      <c r="E25" s="476"/>
      <c r="F25" s="476"/>
      <c r="G25" s="476"/>
    </row>
    <row r="26" spans="2:7">
      <c r="C26" s="476"/>
      <c r="D26" s="476"/>
      <c r="E26" s="476"/>
      <c r="F26" s="476"/>
      <c r="G26" s="476"/>
    </row>
    <row r="27" spans="2:7">
      <c r="C27" s="476"/>
      <c r="D27" s="476"/>
      <c r="E27" s="476"/>
      <c r="F27" s="476"/>
      <c r="G27" s="476"/>
    </row>
    <row r="28" spans="2:7">
      <c r="C28" s="476"/>
      <c r="D28" s="476"/>
      <c r="E28" s="476"/>
      <c r="F28" s="476"/>
      <c r="G28" s="476"/>
    </row>
    <row r="36" spans="1:12">
      <c r="A36" s="645">
        <v>5</v>
      </c>
      <c r="B36" s="645"/>
      <c r="C36" s="645"/>
      <c r="D36" s="645"/>
      <c r="E36" s="645"/>
      <c r="F36" s="645"/>
      <c r="G36" s="645"/>
      <c r="H36" s="468"/>
      <c r="I36" s="468"/>
      <c r="J36" s="468"/>
      <c r="K36" s="468"/>
      <c r="L36" s="468"/>
    </row>
  </sheetData>
  <mergeCells count="3">
    <mergeCell ref="A36:G36"/>
    <mergeCell ref="B2:G2"/>
    <mergeCell ref="B1:G1"/>
  </mergeCells>
  <pageMargins left="0.23622047244094491" right="0.23622047244094491" top="0.74803149606299213" bottom="0.74803149606299213" header="0.31496062992125984" footer="0.31496062992125984"/>
  <pageSetup scale="97" orientation="portrait" r:id="rId1"/>
  <ignoredErrors>
    <ignoredError sqref="C24 G24 F24 E24 D24" formulaRange="1"/>
    <ignoredError sqref="C17:G19 C20:E20 G20" evalError="1" formulaRange="1"/>
    <ignoredError sqref="C5:G5 C21:G21 D16:E16 D23:G23 C13:G15 D12:G12 C7:G11 D6:G6" evalErro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P94"/>
  <sheetViews>
    <sheetView rightToLeft="1" tabSelected="1" view="pageBreakPreview" topLeftCell="A43" zoomScale="60" zoomScaleNormal="100" workbookViewId="0">
      <selection activeCell="V66" sqref="V66"/>
    </sheetView>
  </sheetViews>
  <sheetFormatPr defaultRowHeight="19.5"/>
  <cols>
    <col min="1" max="1" width="1.28515625" style="333" customWidth="1"/>
    <col min="2" max="8" width="9.140625" style="333"/>
    <col min="9" max="9" width="11.7109375" style="333" customWidth="1"/>
    <col min="10" max="15" width="9.140625" style="333"/>
    <col min="16" max="16" width="2.7109375" style="333" customWidth="1"/>
    <col min="17" max="17" width="3" style="333" customWidth="1"/>
    <col min="18" max="16384" width="9.140625" style="333"/>
  </cols>
  <sheetData>
    <row r="1" spans="2:16" ht="33.75" customHeight="1">
      <c r="B1" s="734" t="str">
        <f>'درصد سودوزیان'!B2</f>
        <v>شركت سرمایه گذاری ساختمان نوین (سهامی عام)</v>
      </c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</row>
    <row r="28" spans="1:16" ht="24.75" customHeight="1"/>
    <row r="29" spans="1:16">
      <c r="A29" s="648">
        <v>6</v>
      </c>
      <c r="B29" s="648"/>
      <c r="C29" s="648"/>
      <c r="D29" s="648"/>
      <c r="E29" s="648"/>
      <c r="F29" s="648"/>
      <c r="G29" s="648"/>
      <c r="H29" s="648"/>
      <c r="I29" s="648"/>
      <c r="J29" s="648"/>
      <c r="K29" s="648"/>
      <c r="L29" s="648"/>
      <c r="M29" s="648"/>
      <c r="N29" s="648"/>
      <c r="O29" s="648"/>
      <c r="P29" s="648"/>
    </row>
    <row r="63" spans="1:16">
      <c r="A63" s="648">
        <v>7</v>
      </c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48"/>
      <c r="N63" s="648"/>
      <c r="O63" s="648"/>
      <c r="P63" s="648"/>
    </row>
    <row r="89" spans="1:16" ht="27" customHeight="1"/>
    <row r="94" spans="1:16">
      <c r="A94" s="648">
        <v>8</v>
      </c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48"/>
      <c r="N94" s="648"/>
      <c r="O94" s="648"/>
      <c r="P94" s="648"/>
    </row>
  </sheetData>
  <mergeCells count="4">
    <mergeCell ref="A29:P29"/>
    <mergeCell ref="A63:P63"/>
    <mergeCell ref="A94:P94"/>
    <mergeCell ref="B1:P1"/>
  </mergeCells>
  <pageMargins left="0.23622047244094491" right="0.23622047244094491" top="0.74803149606299213" bottom="0.74803149606299213" header="0.31496062992125984" footer="0.31496062992125984"/>
  <pageSetup scale="72" orientation="portrait" r:id="rId1"/>
  <rowBreaks count="2" manualBreakCount="2">
    <brk id="29" max="16383" man="1"/>
    <brk id="63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H36"/>
  <sheetViews>
    <sheetView rightToLeft="1" view="pageBreakPreview" zoomScale="60" zoomScaleNormal="100" workbookViewId="0">
      <selection activeCell="D21" sqref="D21"/>
    </sheetView>
  </sheetViews>
  <sheetFormatPr defaultColWidth="9" defaultRowHeight="17.25"/>
  <cols>
    <col min="1" max="1" width="1.28515625" style="405" customWidth="1"/>
    <col min="2" max="2" width="34" style="405" bestFit="1" customWidth="1"/>
    <col min="3" max="3" width="8" style="405" customWidth="1"/>
    <col min="4" max="8" width="10.140625" style="405" customWidth="1"/>
    <col min="9" max="9" width="0.85546875" style="405" customWidth="1"/>
    <col min="10" max="16384" width="9" style="405"/>
  </cols>
  <sheetData>
    <row r="1" spans="2:8" ht="16.5" customHeight="1">
      <c r="B1" s="651" t="str">
        <f>'درصد سودوزیان'!B2</f>
        <v>شركت سرمایه گذاری ساختمان نوین (سهامی عام)</v>
      </c>
      <c r="C1" s="651"/>
      <c r="D1" s="651"/>
      <c r="E1" s="651"/>
      <c r="F1" s="651"/>
      <c r="G1" s="651"/>
      <c r="H1" s="651"/>
    </row>
    <row r="2" spans="2:8" ht="18">
      <c r="B2" s="651" t="s">
        <v>337</v>
      </c>
      <c r="C2" s="651"/>
      <c r="D2" s="651"/>
      <c r="E2" s="651"/>
      <c r="F2" s="651"/>
      <c r="G2" s="651"/>
      <c r="H2" s="651"/>
    </row>
    <row r="3" spans="2:8" ht="18" thickBot="1">
      <c r="H3" s="406" t="s">
        <v>340</v>
      </c>
    </row>
    <row r="4" spans="2:8" ht="20.25" thickBot="1">
      <c r="B4" s="649" t="s">
        <v>29</v>
      </c>
      <c r="C4" s="649" t="str">
        <f>'صورت وضعیت مالی'!B2</f>
        <v>شركت سرمایه گذاری ساختمان نوین (سهامی عام)</v>
      </c>
      <c r="D4" s="652"/>
      <c r="E4" s="652"/>
      <c r="F4" s="652"/>
      <c r="G4" s="652"/>
      <c r="H4" s="653"/>
    </row>
    <row r="5" spans="2:8" ht="19.5">
      <c r="B5" s="650"/>
      <c r="C5" s="407">
        <v>1395</v>
      </c>
      <c r="D5" s="408">
        <f>'درصد سودوزیان'!C5</f>
        <v>1396</v>
      </c>
      <c r="E5" s="409">
        <f>'درصد سودوزیان'!F5</f>
        <v>1397</v>
      </c>
      <c r="F5" s="409">
        <f>'درصد سودوزیان'!J5</f>
        <v>1398</v>
      </c>
      <c r="G5" s="409">
        <f>'درصد سودوزیان'!N5</f>
        <v>1399</v>
      </c>
      <c r="H5" s="407">
        <f>'درصد سودوزیان'!R5</f>
        <v>1400</v>
      </c>
    </row>
    <row r="6" spans="2:8" ht="25.35" customHeight="1">
      <c r="B6" s="410" t="s">
        <v>344</v>
      </c>
      <c r="C6" s="410"/>
      <c r="D6" s="411">
        <f>'صورت وضعیت مالی'!D12</f>
        <v>34783</v>
      </c>
      <c r="E6" s="412">
        <f>'صورت وضعیت مالی'!F12</f>
        <v>34384</v>
      </c>
      <c r="F6" s="412">
        <f>'صورت وضعیت مالی'!H12</f>
        <v>18745</v>
      </c>
      <c r="G6" s="412">
        <f>'صورت وضعیت مالی'!J12</f>
        <v>181804</v>
      </c>
      <c r="H6" s="413">
        <f>'صورت وضعیت مالی'!L12</f>
        <v>21041</v>
      </c>
    </row>
    <row r="7" spans="2:8" ht="25.35" customHeight="1">
      <c r="B7" s="410" t="s">
        <v>347</v>
      </c>
      <c r="C7" s="410"/>
      <c r="D7" s="411">
        <f>'صورت وضعیت مالی'!D20</f>
        <v>50945</v>
      </c>
      <c r="E7" s="412">
        <f>'صورت وضعیت مالی'!F20</f>
        <v>65810</v>
      </c>
      <c r="F7" s="412">
        <f>'صورت وضعیت مالی'!H20</f>
        <v>29399</v>
      </c>
      <c r="G7" s="412">
        <f>'صورت وضعیت مالی'!J20</f>
        <v>111586</v>
      </c>
      <c r="H7" s="413">
        <f>'صورت وضعیت مالی'!L20</f>
        <v>138076</v>
      </c>
    </row>
    <row r="8" spans="2:8" ht="25.35" customHeight="1">
      <c r="B8" s="410" t="s">
        <v>379</v>
      </c>
      <c r="C8" s="410"/>
      <c r="D8" s="411">
        <f>'سود و زیان'!E9</f>
        <v>65037</v>
      </c>
      <c r="E8" s="412">
        <f>'سود و زیان'!G9</f>
        <v>104009</v>
      </c>
      <c r="F8" s="412">
        <f>'سود و زیان'!I9</f>
        <v>212695</v>
      </c>
      <c r="G8" s="412">
        <f>'سود و زیان'!K9</f>
        <v>1566615</v>
      </c>
      <c r="H8" s="413">
        <f>'سود و زیان'!M9</f>
        <v>745024</v>
      </c>
    </row>
    <row r="9" spans="2:8" ht="25.35" customHeight="1">
      <c r="B9" s="410" t="s">
        <v>380</v>
      </c>
      <c r="C9" s="410"/>
      <c r="D9" s="411">
        <f>-'سود و زیان'!E10</f>
        <v>0</v>
      </c>
      <c r="E9" s="412">
        <f>-'سود و زیان'!G10</f>
        <v>0</v>
      </c>
      <c r="F9" s="412">
        <f>-'سود و زیان'!I10</f>
        <v>0</v>
      </c>
      <c r="G9" s="412">
        <f>-'سود و زیان'!K10</f>
        <v>0</v>
      </c>
      <c r="H9" s="413">
        <f>-'سود و زیان'!M10</f>
        <v>0</v>
      </c>
    </row>
    <row r="10" spans="2:8" ht="25.35" customHeight="1">
      <c r="B10" s="410" t="s">
        <v>381</v>
      </c>
      <c r="C10" s="410"/>
      <c r="D10" s="414">
        <f>(D6+C6)/2</f>
        <v>17391.5</v>
      </c>
      <c r="E10" s="412">
        <f>(E6+D6)/2</f>
        <v>34583.5</v>
      </c>
      <c r="F10" s="412">
        <f>(F6+E6)/2</f>
        <v>26564.5</v>
      </c>
      <c r="G10" s="412">
        <f>(G6+F6)/2</f>
        <v>100274.5</v>
      </c>
      <c r="H10" s="413">
        <f>(H6+G6)/2</f>
        <v>101422.5</v>
      </c>
    </row>
    <row r="11" spans="2:8" ht="25.35" customHeight="1">
      <c r="B11" s="415" t="s">
        <v>382</v>
      </c>
      <c r="C11" s="415"/>
      <c r="D11" s="416">
        <f>(D7+C7)/2</f>
        <v>25472.5</v>
      </c>
      <c r="E11" s="417">
        <f>(E7+D7)/2</f>
        <v>58377.5</v>
      </c>
      <c r="F11" s="417">
        <f>(F7+E7)/2</f>
        <v>47604.5</v>
      </c>
      <c r="G11" s="417">
        <f>(G7+F7)/2</f>
        <v>70492.5</v>
      </c>
      <c r="H11" s="418">
        <f>(H7+G7)/2</f>
        <v>124831</v>
      </c>
    </row>
    <row r="12" spans="2:8" ht="25.35" customHeight="1" thickBot="1">
      <c r="B12" s="419" t="s">
        <v>330</v>
      </c>
      <c r="C12" s="419"/>
      <c r="D12" s="733">
        <f>365/(D8/D10)</f>
        <v>97.604402109568397</v>
      </c>
      <c r="E12" s="420">
        <f>365/(E8/E10)</f>
        <v>121.36428097568481</v>
      </c>
      <c r="F12" s="420">
        <f>365/(F8/F10)</f>
        <v>45.586602882061165</v>
      </c>
      <c r="G12" s="420">
        <f>365/(G8/G10)</f>
        <v>23.362595468573964</v>
      </c>
      <c r="H12" s="421">
        <f>183/(H8/H10)</f>
        <v>24.912375306030409</v>
      </c>
    </row>
    <row r="36" spans="2:8" ht="19.5">
      <c r="B36" s="643">
        <v>9</v>
      </c>
      <c r="C36" s="643"/>
      <c r="D36" s="643"/>
      <c r="E36" s="643"/>
      <c r="F36" s="643"/>
      <c r="G36" s="643"/>
      <c r="H36" s="643"/>
    </row>
  </sheetData>
  <mergeCells count="5">
    <mergeCell ref="B4:B5"/>
    <mergeCell ref="B2:H2"/>
    <mergeCell ref="B36:H36"/>
    <mergeCell ref="C4:H4"/>
    <mergeCell ref="B1:H1"/>
  </mergeCells>
  <pageMargins left="0.7" right="0.7" top="0.75" bottom="0.75" header="0.3" footer="0.3"/>
  <pageSetup paperSize="9" scale="90" orientation="portrait" r:id="rId1"/>
  <ignoredErrors>
    <ignoredError sqref="E12:F12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H32"/>
  <sheetViews>
    <sheetView rightToLeft="1" topLeftCell="A13" zoomScaleNormal="100" workbookViewId="0">
      <selection activeCell="K27" sqref="K27"/>
    </sheetView>
  </sheetViews>
  <sheetFormatPr defaultRowHeight="19.5"/>
  <cols>
    <col min="1" max="1" width="9" style="333" customWidth="1"/>
    <col min="2" max="2" width="23.28515625" style="333" customWidth="1"/>
    <col min="3" max="5" width="11.140625" style="333" bestFit="1" customWidth="1"/>
    <col min="6" max="6" width="12.5703125" style="333" bestFit="1" customWidth="1"/>
    <col min="7" max="7" width="12.28515625" style="333" bestFit="1" customWidth="1"/>
    <col min="8" max="16384" width="9.140625" style="333"/>
  </cols>
  <sheetData>
    <row r="1" spans="1:8" ht="19.5" customHeight="1">
      <c r="A1" s="734" t="str">
        <f>'درصد سودوزیان'!B2</f>
        <v>شركت سرمایه گذاری ساختمان نوین (سهامی عام)</v>
      </c>
      <c r="B1" s="734"/>
      <c r="C1" s="734"/>
      <c r="D1" s="734"/>
      <c r="E1" s="734"/>
      <c r="F1" s="734"/>
      <c r="G1" s="734"/>
    </row>
    <row r="2" spans="1:8" ht="21" thickBot="1">
      <c r="A2" s="660" t="s">
        <v>336</v>
      </c>
      <c r="B2" s="660"/>
      <c r="C2" s="660"/>
      <c r="D2" s="660"/>
      <c r="E2" s="660"/>
      <c r="F2" s="660"/>
      <c r="G2" s="394" t="s">
        <v>340</v>
      </c>
      <c r="H2" s="357"/>
    </row>
    <row r="3" spans="1:8" ht="19.899999999999999" customHeight="1" thickBot="1">
      <c r="A3" s="654"/>
      <c r="B3" s="654" t="s">
        <v>29</v>
      </c>
      <c r="C3" s="656" t="str">
        <f>'درصد سودوزیان'!B2</f>
        <v>شركت سرمایه گذاری ساختمان نوین (سهامی عام)</v>
      </c>
      <c r="D3" s="657"/>
      <c r="E3" s="657"/>
      <c r="F3" s="657"/>
      <c r="G3" s="658"/>
    </row>
    <row r="4" spans="1:8" ht="21" customHeight="1" thickBot="1">
      <c r="A4" s="659"/>
      <c r="B4" s="655"/>
      <c r="C4" s="395">
        <f>'OC-CC'!D5</f>
        <v>1396</v>
      </c>
      <c r="D4" s="396">
        <f>'OC-CC'!E5</f>
        <v>1397</v>
      </c>
      <c r="E4" s="396">
        <f>'OC-CC'!F5</f>
        <v>1398</v>
      </c>
      <c r="F4" s="396">
        <f>'OC-CC'!G5</f>
        <v>1399</v>
      </c>
      <c r="G4" s="397">
        <f>'OC-CC'!H5</f>
        <v>1400</v>
      </c>
    </row>
    <row r="5" spans="1:8">
      <c r="C5" s="398">
        <f>C12</f>
        <v>59587</v>
      </c>
      <c r="D5" s="398">
        <f>D12</f>
        <v>96915</v>
      </c>
      <c r="E5" s="398">
        <f>E12</f>
        <v>203874</v>
      </c>
      <c r="F5" s="398">
        <f>F12</f>
        <v>1549330</v>
      </c>
      <c r="G5" s="398">
        <f>G12</f>
        <v>729674</v>
      </c>
    </row>
    <row r="6" spans="1:8" ht="19.5" customHeight="1">
      <c r="C6" s="398">
        <f>C16</f>
        <v>0</v>
      </c>
      <c r="D6" s="398">
        <f>D16</f>
        <v>73278</v>
      </c>
      <c r="E6" s="398">
        <f>E16</f>
        <v>182269</v>
      </c>
      <c r="F6" s="398">
        <f>F16</f>
        <v>1478191</v>
      </c>
      <c r="G6" s="398">
        <f>G16</f>
        <v>558392</v>
      </c>
    </row>
    <row r="7" spans="1:8" ht="21" customHeight="1" thickBot="1">
      <c r="C7" s="399">
        <f t="shared" ref="C7:G7" si="0">C5-C6</f>
        <v>59587</v>
      </c>
      <c r="D7" s="399">
        <f t="shared" si="0"/>
        <v>23637</v>
      </c>
      <c r="E7" s="399">
        <f t="shared" si="0"/>
        <v>21605</v>
      </c>
      <c r="F7" s="399">
        <f t="shared" si="0"/>
        <v>71139</v>
      </c>
      <c r="G7" s="399">
        <f t="shared" si="0"/>
        <v>171282</v>
      </c>
    </row>
    <row r="8" spans="1:8" ht="20.65" customHeight="1" thickBot="1">
      <c r="A8" s="661" t="s">
        <v>333</v>
      </c>
      <c r="B8" s="662"/>
      <c r="C8" s="662"/>
      <c r="D8" s="662"/>
      <c r="E8" s="662"/>
      <c r="F8" s="662"/>
      <c r="G8" s="663"/>
    </row>
    <row r="9" spans="1:8" ht="18.75" customHeight="1">
      <c r="C9" s="398">
        <f>'سود و زیان'!E14</f>
        <v>59587</v>
      </c>
      <c r="D9" s="398">
        <f>'سود و زیان'!G14</f>
        <v>96915</v>
      </c>
      <c r="E9" s="398">
        <f>'سود و زیان'!I14</f>
        <v>203874</v>
      </c>
      <c r="F9" s="398">
        <f>'سود و زیان'!K14</f>
        <v>1549330</v>
      </c>
      <c r="G9" s="398">
        <f>'سود و زیان'!M14</f>
        <v>729674</v>
      </c>
    </row>
    <row r="10" spans="1:8">
      <c r="C10" s="333">
        <v>0</v>
      </c>
      <c r="D10" s="333">
        <v>0</v>
      </c>
      <c r="E10" s="333">
        <v>0</v>
      </c>
      <c r="F10" s="333">
        <v>0</v>
      </c>
      <c r="G10" s="333">
        <v>0</v>
      </c>
    </row>
    <row r="11" spans="1:8" ht="22.35" customHeight="1">
      <c r="C11" s="398">
        <f>(C9*C10)*-1</f>
        <v>0</v>
      </c>
      <c r="D11" s="398">
        <f t="shared" ref="D11:G11" si="1">(D9*D10)*-1</f>
        <v>0</v>
      </c>
      <c r="E11" s="398">
        <f t="shared" si="1"/>
        <v>0</v>
      </c>
      <c r="F11" s="398">
        <f t="shared" si="1"/>
        <v>0</v>
      </c>
      <c r="G11" s="398">
        <f t="shared" si="1"/>
        <v>0</v>
      </c>
    </row>
    <row r="12" spans="1:8" ht="21" customHeight="1" thickBot="1">
      <c r="C12" s="400">
        <f>IF(C9&gt;0,C9-(C9*C10),0)</f>
        <v>59587</v>
      </c>
      <c r="D12" s="400">
        <f t="shared" ref="D12:G12" si="2">IF(D9&gt;0,D9-(D9*D10),0)</f>
        <v>96915</v>
      </c>
      <c r="E12" s="400">
        <f t="shared" si="2"/>
        <v>203874</v>
      </c>
      <c r="F12" s="400">
        <f t="shared" si="2"/>
        <v>1549330</v>
      </c>
      <c r="G12" s="400">
        <f t="shared" si="2"/>
        <v>729674</v>
      </c>
    </row>
    <row r="13" spans="1:8" ht="18" customHeight="1" thickBot="1">
      <c r="A13" s="661" t="s">
        <v>334</v>
      </c>
      <c r="B13" s="662"/>
      <c r="C13" s="662"/>
      <c r="D13" s="662"/>
      <c r="E13" s="662"/>
      <c r="F13" s="662"/>
      <c r="G13" s="663"/>
    </row>
    <row r="14" spans="1:8" ht="20.25" customHeight="1">
      <c r="C14" s="398">
        <f>C25</f>
        <v>0</v>
      </c>
      <c r="D14" s="398">
        <f>D25</f>
        <v>59887</v>
      </c>
      <c r="E14" s="398">
        <f>E25</f>
        <v>112150</v>
      </c>
      <c r="F14" s="398">
        <f>F25</f>
        <v>1467435</v>
      </c>
      <c r="G14" s="398">
        <f>G25</f>
        <v>230506</v>
      </c>
    </row>
    <row r="15" spans="1:8">
      <c r="C15" s="398">
        <f>C29</f>
        <v>0</v>
      </c>
      <c r="D15" s="398">
        <f>D29</f>
        <v>13391</v>
      </c>
      <c r="E15" s="398">
        <f>E29</f>
        <v>70119</v>
      </c>
      <c r="F15" s="398">
        <f>F29</f>
        <v>10756</v>
      </c>
      <c r="G15" s="398">
        <f>G29</f>
        <v>327886</v>
      </c>
    </row>
    <row r="16" spans="1:8" ht="21.75" customHeight="1" thickBot="1">
      <c r="C16" s="400">
        <f t="shared" ref="C16:G16" si="3">SUM(C14:C15)</f>
        <v>0</v>
      </c>
      <c r="D16" s="400">
        <f t="shared" si="3"/>
        <v>73278</v>
      </c>
      <c r="E16" s="400">
        <f t="shared" si="3"/>
        <v>182269</v>
      </c>
      <c r="F16" s="400">
        <f t="shared" si="3"/>
        <v>1478191</v>
      </c>
      <c r="G16" s="400">
        <f t="shared" si="3"/>
        <v>558392</v>
      </c>
    </row>
    <row r="17" spans="1:7" ht="19.149999999999999" customHeight="1" thickBot="1">
      <c r="A17" s="661" t="s">
        <v>335</v>
      </c>
      <c r="B17" s="662"/>
      <c r="C17" s="662"/>
      <c r="D17" s="662"/>
      <c r="E17" s="662"/>
      <c r="F17" s="662"/>
      <c r="G17" s="663"/>
    </row>
    <row r="18" spans="1:7" ht="19.899999999999999" customHeight="1">
      <c r="C18" s="401">
        <f>SUM('صورت وضعیت مالی'!D10:D13)</f>
        <v>245808</v>
      </c>
      <c r="D18" s="401">
        <f>SUM('صورت وضعیت مالی'!F10:F13)</f>
        <v>322950</v>
      </c>
      <c r="E18" s="401">
        <f>SUM('صورت وضعیت مالی'!H10:H13)</f>
        <v>407475</v>
      </c>
      <c r="F18" s="401">
        <f>SUM('صورت وضعیت مالی'!J10:J13)</f>
        <v>1947417</v>
      </c>
      <c r="G18" s="401">
        <f>SUM('صورت وضعیت مالی'!L10:L13)</f>
        <v>2252385</v>
      </c>
    </row>
    <row r="19" spans="1:7">
      <c r="C19" s="398">
        <f>-'صورت وضعیت مالی'!D10</f>
        <v>-907</v>
      </c>
      <c r="D19" s="398">
        <f>-'صورت وضعیت مالی'!F10</f>
        <v>-1614</v>
      </c>
      <c r="E19" s="398">
        <f>-'صورت وضعیت مالی'!H10</f>
        <v>-7954</v>
      </c>
      <c r="F19" s="398">
        <f>-'صورت وضعیت مالی'!J10</f>
        <v>-481</v>
      </c>
      <c r="G19" s="398">
        <f>-'صورت وضعیت مالی'!L10</f>
        <v>-13666</v>
      </c>
    </row>
    <row r="20" spans="1:7" ht="21" customHeight="1">
      <c r="C20" s="402">
        <f>SUM(C18:C19)</f>
        <v>244901</v>
      </c>
      <c r="D20" s="402">
        <f>SUM(D18:D19)</f>
        <v>321336</v>
      </c>
      <c r="E20" s="402">
        <f>SUM(E18:E19)</f>
        <v>399521</v>
      </c>
      <c r="F20" s="402">
        <f>SUM(F18:F19)</f>
        <v>1946936</v>
      </c>
      <c r="G20" s="402">
        <f>SUM(G18:G19)</f>
        <v>2238719</v>
      </c>
    </row>
    <row r="21" spans="1:7">
      <c r="B21" s="403"/>
      <c r="C21" s="401">
        <f>SUM('صورت وضعیت مالی'!D20:D23)</f>
        <v>100448</v>
      </c>
      <c r="D21" s="401">
        <f>SUM('صورت وضعیت مالی'!F20:F23)</f>
        <v>119224</v>
      </c>
      <c r="E21" s="401">
        <f>SUM('صورت وضعیت مالی'!H20:H23)</f>
        <v>108412</v>
      </c>
      <c r="F21" s="401">
        <f>SUM('صورت وضعیت مالی'!J20:J23)</f>
        <v>133999</v>
      </c>
      <c r="G21" s="401">
        <f>SUM('صورت وضعیت مالی'!L20:L23)</f>
        <v>195276</v>
      </c>
    </row>
    <row r="22" spans="1:7" ht="23.65" customHeight="1">
      <c r="C22" s="398">
        <f>-'صورت وضعیت مالی'!D23</f>
        <v>-29012</v>
      </c>
      <c r="D22" s="398">
        <f>-'صورت وضعیت مالی'!F23</f>
        <v>-31240</v>
      </c>
      <c r="E22" s="398">
        <f>-'صورت وضعیت مالی'!H23</f>
        <v>-54393</v>
      </c>
      <c r="F22" s="398">
        <f>-'صورت وضعیت مالی'!J23</f>
        <v>0</v>
      </c>
      <c r="G22" s="398">
        <f>-'صورت وضعیت مالی'!L23</f>
        <v>0</v>
      </c>
    </row>
    <row r="23" spans="1:7" ht="21.75" customHeight="1">
      <c r="C23" s="402">
        <f t="shared" ref="C23" si="4">SUM(C21:C22)</f>
        <v>71436</v>
      </c>
      <c r="D23" s="402">
        <f t="shared" ref="D23" si="5">SUM(D21:D22)</f>
        <v>87984</v>
      </c>
      <c r="E23" s="402">
        <f t="shared" ref="E23" si="6">SUM(E21:E22)</f>
        <v>54019</v>
      </c>
      <c r="F23" s="402">
        <f t="shared" ref="F23" si="7">SUM(F21:F22)</f>
        <v>133999</v>
      </c>
      <c r="G23" s="402">
        <f t="shared" ref="G23" si="8">SUM(G21:G22)</f>
        <v>195276</v>
      </c>
    </row>
    <row r="24" spans="1:7" ht="19.5" customHeight="1">
      <c r="C24" s="401">
        <f>C20-C23</f>
        <v>173465</v>
      </c>
      <c r="D24" s="401">
        <f>D20-D23</f>
        <v>233352</v>
      </c>
      <c r="E24" s="401">
        <f>E20-E23</f>
        <v>345502</v>
      </c>
      <c r="F24" s="401">
        <f>F20-F23</f>
        <v>1812937</v>
      </c>
      <c r="G24" s="401">
        <f>G20-G23</f>
        <v>2043443</v>
      </c>
    </row>
    <row r="25" spans="1:7" ht="17.25" customHeight="1" thickBot="1">
      <c r="C25" s="400">
        <v>0</v>
      </c>
      <c r="D25" s="400">
        <f>D24-C24</f>
        <v>59887</v>
      </c>
      <c r="E25" s="400">
        <f>E24-D24</f>
        <v>112150</v>
      </c>
      <c r="F25" s="400">
        <f t="shared" ref="E25:G25" si="9">F24-E24</f>
        <v>1467435</v>
      </c>
      <c r="G25" s="400">
        <f>G24-F24</f>
        <v>230506</v>
      </c>
    </row>
    <row r="26" spans="1:7" ht="19.5" customHeight="1" thickBot="1">
      <c r="A26" s="661" t="s">
        <v>339</v>
      </c>
      <c r="B26" s="662"/>
      <c r="C26" s="662"/>
      <c r="D26" s="662"/>
      <c r="E26" s="662"/>
      <c r="F26" s="662"/>
      <c r="G26" s="663"/>
    </row>
    <row r="27" spans="1:7" ht="18.75" customHeight="1">
      <c r="C27" s="398">
        <v>0</v>
      </c>
      <c r="D27" s="398">
        <f>'صورت وضعیت مالی'!F16-'صورت وضعیت مالی'!D16</f>
        <v>-62</v>
      </c>
      <c r="E27" s="398">
        <f>'صورت وضعیت مالی'!H16-'صورت وضعیت مالی'!F16</f>
        <v>107</v>
      </c>
      <c r="F27" s="398">
        <f>'صورت وضعیت مالی'!J16-'صورت وضعیت مالی'!H16</f>
        <v>414</v>
      </c>
      <c r="G27" s="398">
        <f>'صورت وضعیت مالی'!L16-'صورت وضعیت مالی'!J16</f>
        <v>241915</v>
      </c>
    </row>
    <row r="28" spans="1:7" ht="20.45" customHeight="1">
      <c r="C28" s="398">
        <v>0</v>
      </c>
      <c r="D28" s="398">
        <f>'صورت وضعیت مالی'!F14-'صورت وضعیت مالی'!D14</f>
        <v>13453</v>
      </c>
      <c r="E28" s="398">
        <f>'صورت وضعیت مالی'!H14-'صورت وضعیت مالی'!F14</f>
        <v>70012</v>
      </c>
      <c r="F28" s="398">
        <f>'صورت وضعیت مالی'!J14-'صورت وضعیت مالی'!H14</f>
        <v>10342</v>
      </c>
      <c r="G28" s="398">
        <f>'صورت وضعیت مالی'!L14-'صورت وضعیت مالی'!J14</f>
        <v>85971</v>
      </c>
    </row>
    <row r="29" spans="1:7" ht="22.5" customHeight="1">
      <c r="C29" s="404">
        <f t="shared" ref="C29:G29" si="10">SUM(C27:C28)</f>
        <v>0</v>
      </c>
      <c r="D29" s="404">
        <f t="shared" si="10"/>
        <v>13391</v>
      </c>
      <c r="E29" s="404">
        <f t="shared" si="10"/>
        <v>70119</v>
      </c>
      <c r="F29" s="404">
        <f t="shared" si="10"/>
        <v>10756</v>
      </c>
      <c r="G29" s="404">
        <f>SUM(G27:G28)</f>
        <v>327886</v>
      </c>
    </row>
    <row r="30" spans="1:7" ht="20.65" customHeight="1"/>
    <row r="31" spans="1:7" ht="20.25" customHeight="1">
      <c r="A31" s="643">
        <v>10</v>
      </c>
      <c r="B31" s="643"/>
      <c r="C31" s="643"/>
      <c r="D31" s="643"/>
      <c r="E31" s="643"/>
      <c r="F31" s="643"/>
      <c r="G31" s="643"/>
    </row>
    <row r="32" spans="1:7" ht="23.65" customHeight="1"/>
  </sheetData>
  <mergeCells count="10">
    <mergeCell ref="A1:G1"/>
    <mergeCell ref="B3:B4"/>
    <mergeCell ref="C3:G3"/>
    <mergeCell ref="A3:A4"/>
    <mergeCell ref="A2:F2"/>
    <mergeCell ref="A31:G31"/>
    <mergeCell ref="A8:G8"/>
    <mergeCell ref="A13:G13"/>
    <mergeCell ref="A17:G17"/>
    <mergeCell ref="A26:G26"/>
  </mergeCells>
  <pageMargins left="0.7" right="0.7" top="0.75" bottom="0.75" header="0.3" footer="0.3"/>
  <pageSetup paperSize="9" orientation="portrait" r:id="rId1"/>
  <ignoredErrors>
    <ignoredError sqref="G2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W287"/>
  <sheetViews>
    <sheetView rightToLeft="1" zoomScaleNormal="100" workbookViewId="0">
      <selection activeCell="F21" sqref="F21"/>
    </sheetView>
  </sheetViews>
  <sheetFormatPr defaultColWidth="9.140625" defaultRowHeight="15"/>
  <cols>
    <col min="1" max="1" width="6" style="48" customWidth="1"/>
    <col min="2" max="2" width="23.42578125" style="48" customWidth="1"/>
    <col min="3" max="3" width="1.28515625" style="48" customWidth="1"/>
    <col min="4" max="4" width="6.28515625" style="48" customWidth="1"/>
    <col min="5" max="6" width="1.28515625" style="48" customWidth="1"/>
    <col min="7" max="7" width="16.28515625" style="48" customWidth="1"/>
    <col min="8" max="8" width="1.28515625" style="48" customWidth="1"/>
    <col min="9" max="9" width="16.28515625" style="48" customWidth="1"/>
    <col min="10" max="10" width="1.28515625" style="48" customWidth="1"/>
    <col min="11" max="11" width="23.42578125" style="48" customWidth="1"/>
    <col min="12" max="12" width="1.7109375" style="48" customWidth="1"/>
    <col min="13" max="13" width="6.28515625" style="48" customWidth="1"/>
    <col min="14" max="14" width="1.28515625" style="48" customWidth="1"/>
    <col min="15" max="15" width="16.28515625" style="48" customWidth="1"/>
    <col min="16" max="16" width="1.28515625" style="48" customWidth="1"/>
    <col min="17" max="17" width="16.28515625" style="48" customWidth="1"/>
    <col min="18" max="18" width="12.140625" style="48" customWidth="1"/>
    <col min="19" max="19" width="5.5703125" style="48" customWidth="1"/>
    <col min="20" max="20" width="7.140625" style="48" customWidth="1"/>
    <col min="21" max="22" width="11.7109375" style="48" customWidth="1"/>
    <col min="23" max="23" width="17.5703125" style="48" bestFit="1" customWidth="1"/>
    <col min="24" max="24" width="9.140625" style="48" customWidth="1"/>
    <col min="25" max="25" width="15.5703125" style="48" customWidth="1"/>
    <col min="26" max="16384" width="9.140625" style="48"/>
  </cols>
  <sheetData>
    <row r="1" spans="1:23">
      <c r="O1" s="48">
        <f>+O13+O14+O15-G13</f>
        <v>12571242</v>
      </c>
      <c r="Q1" s="48">
        <f>+O13+O14+O15-G13-Q13-Q14-Q15+I13</f>
        <v>3136165</v>
      </c>
    </row>
    <row r="2" spans="1:23" ht="21.95" customHeight="1">
      <c r="A2" s="54"/>
      <c r="B2" s="559" t="s">
        <v>71</v>
      </c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92"/>
    </row>
    <row r="3" spans="1:23" ht="21.95" customHeight="1">
      <c r="A3" s="54"/>
      <c r="B3" s="560" t="s">
        <v>70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91"/>
    </row>
    <row r="4" spans="1:23" ht="21.95" customHeight="1" thickBot="1">
      <c r="A4" s="54"/>
      <c r="B4" s="563" t="s">
        <v>69</v>
      </c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</row>
    <row r="5" spans="1:23" ht="16.5" customHeight="1">
      <c r="A5" s="54"/>
      <c r="B5" s="90"/>
      <c r="C5" s="84"/>
      <c r="D5" s="90"/>
      <c r="E5" s="84"/>
      <c r="F5" s="87"/>
      <c r="G5" s="87"/>
      <c r="H5" s="87"/>
      <c r="I5" s="46"/>
      <c r="J5" s="84"/>
      <c r="K5" s="90"/>
      <c r="L5" s="84"/>
      <c r="M5" s="90"/>
      <c r="N5" s="89"/>
      <c r="O5" s="89"/>
      <c r="P5" s="87"/>
      <c r="Q5" s="46"/>
      <c r="R5" s="89"/>
    </row>
    <row r="6" spans="1:23" ht="21.95" customHeight="1" thickBot="1">
      <c r="A6" s="54"/>
      <c r="B6" s="88" t="s">
        <v>68</v>
      </c>
      <c r="C6" s="55"/>
      <c r="D6" s="88" t="s">
        <v>28</v>
      </c>
      <c r="E6" s="55"/>
      <c r="F6" s="87"/>
      <c r="G6" s="86" t="s">
        <v>66</v>
      </c>
      <c r="H6" s="87"/>
      <c r="I6" s="86" t="s">
        <v>65</v>
      </c>
      <c r="J6" s="84"/>
      <c r="K6" s="88" t="s">
        <v>67</v>
      </c>
      <c r="L6" s="55"/>
      <c r="M6" s="88" t="s">
        <v>28</v>
      </c>
      <c r="N6" s="67"/>
      <c r="O6" s="86" t="s">
        <v>66</v>
      </c>
      <c r="P6" s="87"/>
      <c r="Q6" s="86" t="s">
        <v>65</v>
      </c>
      <c r="R6" s="67"/>
      <c r="S6" s="85"/>
    </row>
    <row r="7" spans="1:23" ht="21.95" customHeight="1">
      <c r="A7" s="54"/>
      <c r="B7" s="55"/>
      <c r="C7" s="55"/>
      <c r="D7" s="83"/>
      <c r="E7" s="55"/>
      <c r="F7" s="81"/>
      <c r="G7" s="80" t="s">
        <v>25</v>
      </c>
      <c r="H7" s="81"/>
      <c r="I7" s="80" t="s">
        <v>25</v>
      </c>
      <c r="J7" s="84"/>
      <c r="K7" s="81"/>
      <c r="L7" s="55"/>
      <c r="M7" s="83"/>
      <c r="N7" s="82"/>
      <c r="O7" s="80" t="s">
        <v>25</v>
      </c>
      <c r="P7" s="81"/>
      <c r="Q7" s="80" t="s">
        <v>25</v>
      </c>
      <c r="R7" s="67"/>
      <c r="S7" s="79"/>
      <c r="W7" s="50"/>
    </row>
    <row r="8" spans="1:23" ht="21.95" customHeight="1">
      <c r="A8" s="54"/>
      <c r="B8" s="71" t="s">
        <v>64</v>
      </c>
      <c r="C8" s="55"/>
      <c r="D8" s="65">
        <v>3</v>
      </c>
      <c r="E8" s="55"/>
      <c r="F8" s="52"/>
      <c r="G8" s="52" t="e">
        <f>SUMIF([1]trz!$J$11:$J$66,D8,[1]trz!$I$11:$I$66)</f>
        <v>#VALUE!</v>
      </c>
      <c r="H8" s="52"/>
      <c r="I8" s="51">
        <v>1049953</v>
      </c>
      <c r="J8" s="55"/>
      <c r="K8" s="70" t="s">
        <v>63</v>
      </c>
      <c r="L8" s="55"/>
      <c r="M8" s="65">
        <v>13</v>
      </c>
      <c r="N8" s="52"/>
      <c r="O8" s="52" t="e">
        <f>-SUMIF([1]trz!$J$11:$J$66,M8,[1]trz!$I$11:$I$66)</f>
        <v>#VALUE!</v>
      </c>
      <c r="P8" s="52"/>
      <c r="Q8" s="51">
        <v>128974</v>
      </c>
      <c r="R8" s="67"/>
      <c r="S8" s="61"/>
      <c r="W8" s="50"/>
    </row>
    <row r="9" spans="1:23" ht="21.95" customHeight="1">
      <c r="A9" s="54"/>
      <c r="B9" s="71" t="s">
        <v>62</v>
      </c>
      <c r="C9" s="55"/>
      <c r="D9" s="65">
        <v>4</v>
      </c>
      <c r="E9" s="55"/>
      <c r="F9" s="52"/>
      <c r="G9" s="52" t="e">
        <f>SUMIF([1]trz!$J$11:$J$66,D9,[1]trz!$I$11:$I$66)</f>
        <v>#VALUE!</v>
      </c>
      <c r="H9" s="52"/>
      <c r="I9" s="51">
        <v>3829548</v>
      </c>
      <c r="J9" s="55"/>
      <c r="K9" s="70" t="s">
        <v>61</v>
      </c>
      <c r="L9" s="55"/>
      <c r="M9" s="65">
        <v>14</v>
      </c>
      <c r="N9" s="52"/>
      <c r="O9" s="52" t="e">
        <f>-SUMIF([1]trz!$J$11:$J$66,M9,[1]trz!$I$11:$I$66)</f>
        <v>#VALUE!</v>
      </c>
      <c r="P9" s="52"/>
      <c r="Q9" s="51">
        <v>584945</v>
      </c>
      <c r="R9" s="67"/>
      <c r="S9" s="61"/>
    </row>
    <row r="10" spans="1:23" ht="21.95" customHeight="1">
      <c r="A10" s="54"/>
      <c r="B10" s="71" t="s">
        <v>60</v>
      </c>
      <c r="C10" s="55"/>
      <c r="D10" s="65">
        <v>5</v>
      </c>
      <c r="E10" s="55"/>
      <c r="F10" s="52"/>
      <c r="G10" s="52" t="e">
        <f>SUMIF([1]trz!$J$11:$J$66,D10,[1]trz!$I$11:$I$66)</f>
        <v>#VALUE!</v>
      </c>
      <c r="H10" s="52"/>
      <c r="I10" s="51">
        <v>1403604</v>
      </c>
      <c r="J10" s="55"/>
      <c r="K10" s="70" t="s">
        <v>59</v>
      </c>
      <c r="L10" s="55"/>
      <c r="M10" s="65">
        <v>15</v>
      </c>
      <c r="N10" s="52"/>
      <c r="O10" s="52" t="e">
        <f>-SUMIF([1]trz!$J$11:$J$66,M10,[1]trz!$I$11:$I$66)</f>
        <v>#VALUE!</v>
      </c>
      <c r="P10" s="52"/>
      <c r="Q10" s="51">
        <v>118254</v>
      </c>
      <c r="R10" s="67"/>
      <c r="S10" s="61"/>
    </row>
    <row r="11" spans="1:23" ht="21.95" customHeight="1">
      <c r="A11" s="54"/>
      <c r="B11" s="71" t="s">
        <v>58</v>
      </c>
      <c r="C11" s="55"/>
      <c r="D11" s="65">
        <v>6</v>
      </c>
      <c r="E11" s="55"/>
      <c r="F11" s="52"/>
      <c r="G11" s="52" t="e">
        <f>SUMIF([1]trz!$J$11:$J$66,D11,[1]trz!$I$11:$I$66)</f>
        <v>#VALUE!</v>
      </c>
      <c r="H11" s="52"/>
      <c r="I11" s="52">
        <v>482202</v>
      </c>
      <c r="J11" s="55"/>
      <c r="K11" s="70" t="s">
        <v>57</v>
      </c>
      <c r="L11" s="55"/>
      <c r="M11" s="65">
        <v>16</v>
      </c>
      <c r="N11" s="52"/>
      <c r="O11" s="52" t="e">
        <f>-SUMIF([1]trz!$J$11:$J$66,M11,[1]trz!$I$11:$I$66)</f>
        <v>#VALUE!</v>
      </c>
      <c r="P11" s="52"/>
      <c r="Q11" s="51">
        <v>3141</v>
      </c>
      <c r="R11" s="67"/>
      <c r="S11" s="61"/>
    </row>
    <row r="12" spans="1:23" ht="21.95" customHeight="1">
      <c r="A12" s="54"/>
      <c r="B12" s="71" t="s">
        <v>56</v>
      </c>
      <c r="C12" s="55"/>
      <c r="D12" s="65">
        <v>7</v>
      </c>
      <c r="E12" s="55"/>
      <c r="F12" s="52"/>
      <c r="G12" s="52" t="e">
        <f>SUMIF([1]trz!$J$11:$J$66,D12,[1]trz!$I$11:$I$66)</f>
        <v>#VALUE!</v>
      </c>
      <c r="H12" s="52"/>
      <c r="I12" s="51">
        <v>401121</v>
      </c>
      <c r="J12" s="55"/>
      <c r="K12" s="70" t="s">
        <v>55</v>
      </c>
      <c r="M12" s="65">
        <v>17</v>
      </c>
      <c r="N12" s="52"/>
      <c r="O12" s="52" t="e">
        <f>-SUMIF([1]trz!$J$11:$J$66,M12,[1]trz!$I$11:$I$66)</f>
        <v>#VALUE!</v>
      </c>
      <c r="P12" s="52"/>
      <c r="Q12" s="51">
        <v>7922</v>
      </c>
      <c r="R12" s="67"/>
      <c r="S12" s="61"/>
    </row>
    <row r="13" spans="1:23" ht="21.95" customHeight="1">
      <c r="A13" s="54"/>
      <c r="B13" s="71" t="s">
        <v>54</v>
      </c>
      <c r="C13" s="55" t="s">
        <v>53</v>
      </c>
      <c r="D13" s="65">
        <v>8</v>
      </c>
      <c r="E13" s="55"/>
      <c r="F13" s="52"/>
      <c r="G13" s="52">
        <f>+[1]ذف!I18+[1]ذف!I94+[1]ذف!I155</f>
        <v>8094833</v>
      </c>
      <c r="H13" s="52"/>
      <c r="I13" s="51">
        <v>6142495</v>
      </c>
      <c r="J13" s="55"/>
      <c r="K13" s="70" t="s">
        <v>52</v>
      </c>
      <c r="L13" s="58"/>
      <c r="M13" s="65">
        <v>18</v>
      </c>
      <c r="N13" s="52"/>
      <c r="O13" s="52">
        <f>+[1]ذف!J18</f>
        <v>18597982</v>
      </c>
      <c r="P13" s="78"/>
      <c r="Q13" s="51">
        <v>14064759</v>
      </c>
      <c r="R13" s="67"/>
      <c r="S13" s="61"/>
    </row>
    <row r="14" spans="1:23" ht="21.95" customHeight="1">
      <c r="A14" s="54"/>
      <c r="B14" s="71" t="s">
        <v>51</v>
      </c>
      <c r="D14" s="65">
        <v>9</v>
      </c>
      <c r="G14" s="52" t="e">
        <f>SUMIF([1]trz!$J$11:$J$66,D14,[1]trz!$I$11:$I$66)</f>
        <v>#VALUE!</v>
      </c>
      <c r="I14" s="51">
        <v>1290007</v>
      </c>
      <c r="J14" s="55"/>
      <c r="K14" s="76" t="s">
        <v>50</v>
      </c>
      <c r="L14" s="58"/>
      <c r="M14" s="65">
        <v>19</v>
      </c>
      <c r="N14" s="52"/>
      <c r="O14" s="52">
        <f>+[1]ذف!J94</f>
        <v>1342075</v>
      </c>
      <c r="P14" s="78"/>
      <c r="Q14" s="51">
        <v>958232</v>
      </c>
      <c r="R14" s="67"/>
      <c r="S14" s="61"/>
    </row>
    <row r="15" spans="1:23" ht="24.95" customHeight="1">
      <c r="A15" s="54"/>
      <c r="B15" s="71" t="s">
        <v>49</v>
      </c>
      <c r="C15" s="55"/>
      <c r="D15" s="65">
        <v>10</v>
      </c>
      <c r="E15" s="55"/>
      <c r="F15" s="52"/>
      <c r="G15" s="52" t="e">
        <f>SUMIF([1]trz!$J$11:$J$66,D15,[1]trz!$I$11:$I$66)</f>
        <v>#VALUE!</v>
      </c>
      <c r="H15" s="52"/>
      <c r="I15" s="51">
        <v>2788810</v>
      </c>
      <c r="J15" s="66"/>
      <c r="K15" s="66" t="s">
        <v>48</v>
      </c>
      <c r="L15" s="66"/>
      <c r="M15" s="65">
        <v>20</v>
      </c>
      <c r="N15" s="52"/>
      <c r="O15" s="52">
        <f>+[1]ذف!J155</f>
        <v>726018</v>
      </c>
      <c r="P15" s="66"/>
      <c r="Q15" s="51">
        <v>554581</v>
      </c>
      <c r="R15" s="67"/>
      <c r="S15" s="61"/>
      <c r="W15" s="50"/>
    </row>
    <row r="16" spans="1:23" ht="24.95" customHeight="1">
      <c r="A16" s="54"/>
      <c r="B16" s="71" t="s">
        <v>47</v>
      </c>
      <c r="C16" s="55"/>
      <c r="D16" s="65">
        <v>11</v>
      </c>
      <c r="E16" s="55"/>
      <c r="F16" s="52"/>
      <c r="G16" s="52" t="e">
        <f>SUMIF([1]trz!$J$11:$J$66,D16,[1]trz!$I$11:$I$66)</f>
        <v>#VALUE!</v>
      </c>
      <c r="H16" s="52"/>
      <c r="I16" s="51">
        <v>1426</v>
      </c>
      <c r="J16" s="55"/>
      <c r="K16" s="66" t="s">
        <v>46</v>
      </c>
      <c r="L16" s="55"/>
      <c r="M16" s="65">
        <v>21</v>
      </c>
      <c r="N16" s="52"/>
      <c r="O16" s="52" t="e">
        <f>-SUMIF([1]trz!$J$11:$J$66,M16,[1]trz!$I$11:$I$66)</f>
        <v>#VALUE!</v>
      </c>
      <c r="P16" s="52"/>
      <c r="Q16" s="51">
        <v>153074</v>
      </c>
      <c r="R16" s="67"/>
      <c r="S16" s="61"/>
      <c r="W16" s="50"/>
    </row>
    <row r="17" spans="1:23" ht="21.95" customHeight="1">
      <c r="A17" s="54"/>
      <c r="B17" s="71" t="s">
        <v>45</v>
      </c>
      <c r="C17" s="66"/>
      <c r="D17" s="65">
        <v>12</v>
      </c>
      <c r="E17" s="66"/>
      <c r="F17" s="66"/>
      <c r="G17" s="52" t="e">
        <f>SUMIF([1]trz!$J$11:$J$66,D17,[1]trz!$I$11:$I$66)</f>
        <v>#VALUE!</v>
      </c>
      <c r="H17" s="66"/>
      <c r="I17" s="51">
        <v>1595675</v>
      </c>
      <c r="J17" s="55"/>
      <c r="K17" s="70" t="s">
        <v>44</v>
      </c>
      <c r="L17" s="55"/>
      <c r="M17" s="65">
        <v>22</v>
      </c>
      <c r="N17" s="52"/>
      <c r="O17" s="52" t="e">
        <f>-SUMIF([1]trz!$J$11:$J$66,M17,[1]trz!$I$11:$I$66)</f>
        <v>#VALUE!</v>
      </c>
      <c r="P17" s="52"/>
      <c r="Q17" s="51">
        <v>70208</v>
      </c>
      <c r="R17" s="67"/>
      <c r="S17" s="61"/>
      <c r="W17" s="77"/>
    </row>
    <row r="18" spans="1:23" ht="21.95" customHeight="1">
      <c r="A18" s="54"/>
      <c r="J18" s="55"/>
      <c r="K18" s="76" t="s">
        <v>43</v>
      </c>
      <c r="M18" s="65">
        <v>23</v>
      </c>
      <c r="N18" s="52"/>
      <c r="O18" s="75" t="e">
        <f>-SUMIF([1]trz!$J$11:$J$66,M18,[1]trz!$I$11:$I$66)-3</f>
        <v>#VALUE!</v>
      </c>
      <c r="Q18" s="51">
        <v>168258</v>
      </c>
      <c r="R18" s="67"/>
      <c r="S18" s="61"/>
      <c r="W18" s="50"/>
    </row>
    <row r="19" spans="1:23" ht="24.95" customHeight="1">
      <c r="A19" s="54"/>
      <c r="B19" s="71"/>
      <c r="C19" s="71"/>
      <c r="D19" s="71"/>
      <c r="E19" s="71"/>
      <c r="F19" s="71"/>
      <c r="G19" s="72"/>
      <c r="H19" s="71"/>
      <c r="I19" s="51"/>
      <c r="J19" s="55"/>
      <c r="K19" s="66" t="s">
        <v>42</v>
      </c>
      <c r="L19" s="55"/>
      <c r="M19" s="1"/>
      <c r="N19" s="64"/>
      <c r="O19" s="74" t="e">
        <f>SUM(O8:O18)</f>
        <v>#VALUE!</v>
      </c>
      <c r="P19" s="52"/>
      <c r="Q19" s="73">
        <f>SUM(Q8:Q18)</f>
        <v>16812348</v>
      </c>
      <c r="R19" s="67"/>
      <c r="S19" s="61"/>
      <c r="W19" s="50"/>
    </row>
    <row r="20" spans="1:23" ht="24.95" customHeight="1">
      <c r="A20" s="54"/>
      <c r="B20" s="71"/>
      <c r="C20" s="71"/>
      <c r="D20" s="71"/>
      <c r="E20" s="71"/>
      <c r="F20" s="71"/>
      <c r="G20" s="72"/>
      <c r="H20" s="71"/>
      <c r="I20" s="51"/>
      <c r="J20" s="55"/>
      <c r="K20" s="66" t="s">
        <v>41</v>
      </c>
      <c r="L20" s="55"/>
      <c r="M20" s="1"/>
      <c r="N20" s="52"/>
      <c r="O20" s="52"/>
      <c r="P20" s="64"/>
      <c r="Q20" s="51"/>
      <c r="R20" s="67"/>
      <c r="S20" s="61"/>
      <c r="W20" s="50"/>
    </row>
    <row r="21" spans="1:23" ht="21.95" customHeight="1">
      <c r="A21" s="54"/>
      <c r="B21" s="71"/>
      <c r="C21" s="71"/>
      <c r="D21" s="71"/>
      <c r="E21" s="71"/>
      <c r="F21" s="71"/>
      <c r="G21" s="72"/>
      <c r="H21" s="71"/>
      <c r="I21" s="51"/>
      <c r="J21" s="55"/>
      <c r="K21" s="70" t="s">
        <v>40</v>
      </c>
      <c r="L21" s="55"/>
      <c r="M21" s="65">
        <v>24</v>
      </c>
      <c r="N21" s="52"/>
      <c r="O21" s="52" t="e">
        <f>-SUMIF([1]trz!$J$11:$J$66,M21,[1]trz!$I$11:$I$66)</f>
        <v>#VALUE!</v>
      </c>
      <c r="P21" s="52"/>
      <c r="Q21" s="51">
        <v>1200000</v>
      </c>
      <c r="R21" s="67"/>
      <c r="S21" s="61"/>
      <c r="W21" s="50"/>
    </row>
    <row r="22" spans="1:23" ht="21.95" customHeight="1">
      <c r="A22" s="54"/>
      <c r="B22" s="71"/>
      <c r="C22" s="71"/>
      <c r="D22" s="71"/>
      <c r="E22" s="71"/>
      <c r="F22" s="71"/>
      <c r="G22" s="52"/>
      <c r="H22" s="71"/>
      <c r="I22" s="51"/>
      <c r="J22" s="55"/>
      <c r="K22" s="70" t="s">
        <v>39</v>
      </c>
      <c r="O22" s="52">
        <v>0</v>
      </c>
      <c r="Q22" s="52">
        <v>300000</v>
      </c>
      <c r="R22" s="67"/>
      <c r="S22" s="61"/>
      <c r="W22" s="50"/>
    </row>
    <row r="23" spans="1:23" ht="21.95" customHeight="1">
      <c r="A23" s="54"/>
      <c r="B23" s="71"/>
      <c r="C23" s="55"/>
      <c r="D23" s="65"/>
      <c r="E23" s="55"/>
      <c r="F23" s="52"/>
      <c r="G23" s="52"/>
      <c r="H23" s="52"/>
      <c r="I23" s="51"/>
      <c r="J23" s="55"/>
      <c r="K23" s="70" t="s">
        <v>38</v>
      </c>
      <c r="L23" s="55"/>
      <c r="M23" s="65">
        <v>25.1</v>
      </c>
      <c r="N23" s="52"/>
      <c r="O23" s="52" t="e">
        <f>-SUMIF([1]trz!$J$11:$J$66,M23,[1]trz!$I$11:$I$66)-is!F54</f>
        <v>#VALUE!</v>
      </c>
      <c r="P23" s="52"/>
      <c r="Q23" s="51">
        <v>102914</v>
      </c>
      <c r="R23" s="67"/>
      <c r="S23" s="61"/>
      <c r="W23" s="50"/>
    </row>
    <row r="24" spans="1:23" ht="21.95" customHeight="1">
      <c r="A24" s="54"/>
      <c r="B24" s="55"/>
      <c r="C24" s="55"/>
      <c r="D24" s="65"/>
      <c r="E24" s="55"/>
      <c r="F24" s="52"/>
      <c r="G24" s="52"/>
      <c r="H24" s="52"/>
      <c r="I24" s="51"/>
      <c r="J24" s="55"/>
      <c r="K24" s="70" t="s">
        <v>37</v>
      </c>
      <c r="L24" s="55"/>
      <c r="M24" s="65">
        <v>26.1</v>
      </c>
      <c r="N24" s="52"/>
      <c r="O24" s="52" t="e">
        <f>-SUMIF([1]trz!$J$11:$J$66,M24,[1]trz!$I$11:$I$66)-is!F55</f>
        <v>#VALUE!</v>
      </c>
      <c r="P24" s="52"/>
      <c r="Q24" s="51">
        <v>134770</v>
      </c>
      <c r="R24" s="67"/>
      <c r="S24" s="61"/>
      <c r="W24" s="50"/>
    </row>
    <row r="25" spans="1:23" ht="24.95" customHeight="1">
      <c r="A25" s="54"/>
      <c r="J25" s="55"/>
      <c r="K25" s="70" t="s">
        <v>36</v>
      </c>
      <c r="L25" s="55"/>
      <c r="M25" s="65"/>
      <c r="N25" s="52"/>
      <c r="O25" s="52" t="e">
        <f>INT(is!H59)</f>
        <v>#VALUE!</v>
      </c>
      <c r="P25" s="52"/>
      <c r="Q25" s="51">
        <v>434809</v>
      </c>
      <c r="R25" s="67"/>
      <c r="S25" s="61"/>
      <c r="W25" s="50"/>
    </row>
    <row r="26" spans="1:23" ht="24.95" customHeight="1" thickBot="1">
      <c r="J26" s="55"/>
      <c r="K26" s="66" t="s">
        <v>35</v>
      </c>
      <c r="L26" s="55"/>
      <c r="M26" s="65"/>
      <c r="N26" s="64"/>
      <c r="O26" s="69" t="e">
        <f>SUM(O21:O25)</f>
        <v>#VALUE!</v>
      </c>
      <c r="P26" s="52"/>
      <c r="Q26" s="68">
        <f>SUM(Q21:Q25)</f>
        <v>2172493</v>
      </c>
      <c r="R26" s="67"/>
      <c r="S26" s="61"/>
      <c r="W26" s="50"/>
    </row>
    <row r="27" spans="1:23" ht="24.95" customHeight="1" thickBot="1">
      <c r="A27" s="54"/>
      <c r="B27" s="66" t="s">
        <v>34</v>
      </c>
      <c r="C27" s="55"/>
      <c r="D27" s="65"/>
      <c r="E27" s="55"/>
      <c r="F27" s="52"/>
      <c r="G27" s="63" t="e">
        <f>SUM(G8:G25)</f>
        <v>#VALUE!</v>
      </c>
      <c r="H27" s="52"/>
      <c r="I27" s="63">
        <f>SUM(I8:I25)</f>
        <v>18984841</v>
      </c>
      <c r="J27" s="55"/>
      <c r="K27" s="66" t="s">
        <v>33</v>
      </c>
      <c r="L27" s="55"/>
      <c r="M27" s="65"/>
      <c r="N27" s="64"/>
      <c r="O27" s="63" t="e">
        <f>+O26+O19</f>
        <v>#VALUE!</v>
      </c>
      <c r="P27" s="52"/>
      <c r="Q27" s="62">
        <f>+Q26+Q19</f>
        <v>18984841</v>
      </c>
      <c r="R27" s="55"/>
      <c r="S27" s="61"/>
      <c r="W27" s="50"/>
    </row>
    <row r="28" spans="1:23" ht="13.5" customHeight="1" thickTop="1">
      <c r="A28" s="54"/>
      <c r="B28" s="55"/>
      <c r="C28" s="55"/>
      <c r="D28" s="55"/>
      <c r="E28" s="55"/>
      <c r="F28" s="55"/>
      <c r="G28" s="55"/>
      <c r="H28" s="55"/>
      <c r="I28" s="55"/>
      <c r="J28" s="59"/>
      <c r="K28" s="60"/>
      <c r="L28" s="59"/>
      <c r="M28" s="59"/>
      <c r="N28" s="58"/>
      <c r="O28" s="58"/>
      <c r="P28" s="59"/>
      <c r="Q28" s="58"/>
      <c r="R28" s="58"/>
      <c r="S28" s="57"/>
      <c r="T28" s="1"/>
    </row>
    <row r="29" spans="1:23" ht="23.25" customHeight="1">
      <c r="A29" s="54"/>
      <c r="B29" s="561" t="s">
        <v>0</v>
      </c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R29" s="56"/>
    </row>
    <row r="30" spans="1:23" ht="9" customHeight="1">
      <c r="A30" s="54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</row>
    <row r="31" spans="1:23" ht="20.100000000000001" customHeight="1">
      <c r="A31" s="54"/>
      <c r="B31" s="562">
        <v>-4</v>
      </c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  <c r="Q31" s="562"/>
      <c r="R31" s="53"/>
    </row>
    <row r="32" spans="1:23" ht="24.75">
      <c r="I32" s="49"/>
      <c r="N32" s="52"/>
      <c r="O32" s="52" t="e">
        <f>+O27-G27</f>
        <v>#VALUE!</v>
      </c>
      <c r="P32" s="52"/>
      <c r="Q32" s="51">
        <f>+Q27-I27</f>
        <v>0</v>
      </c>
      <c r="R32" s="51"/>
    </row>
    <row r="33" spans="4:21">
      <c r="D33" s="49"/>
      <c r="I33" s="49"/>
    </row>
    <row r="34" spans="4:21">
      <c r="D34" s="49"/>
      <c r="I34" s="49"/>
    </row>
    <row r="36" spans="4:21">
      <c r="I36" s="49"/>
      <c r="U36" s="50"/>
    </row>
    <row r="37" spans="4:21">
      <c r="I37" s="49"/>
    </row>
    <row r="38" spans="4:21">
      <c r="I38" s="49"/>
    </row>
    <row r="39" spans="4:21">
      <c r="I39" s="49"/>
    </row>
    <row r="280" spans="6:6">
      <c r="F280" s="48">
        <v>18049</v>
      </c>
    </row>
    <row r="287" spans="6:6">
      <c r="F287" s="48">
        <v>213846</v>
      </c>
    </row>
  </sheetData>
  <mergeCells count="5">
    <mergeCell ref="B2:Q2"/>
    <mergeCell ref="B3:Q3"/>
    <mergeCell ref="B29:Q29"/>
    <mergeCell ref="B31:Q31"/>
    <mergeCell ref="B4:R4"/>
  </mergeCells>
  <printOptions horizontalCentered="1"/>
  <pageMargins left="0" right="0" top="0.25" bottom="0" header="0" footer="0"/>
  <pageSetup paperSize="9" scale="8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G92"/>
  <sheetViews>
    <sheetView rightToLeft="1" topLeftCell="A82" zoomScaleNormal="100" workbookViewId="0">
      <selection activeCell="D96" sqref="D96"/>
    </sheetView>
  </sheetViews>
  <sheetFormatPr defaultColWidth="9" defaultRowHeight="19.5"/>
  <cols>
    <col min="1" max="1" width="4.85546875" style="356" bestFit="1" customWidth="1"/>
    <col min="2" max="2" width="30.85546875" style="356" customWidth="1"/>
    <col min="3" max="3" width="6.42578125" style="356" customWidth="1"/>
    <col min="4" max="4" width="22.5703125" style="378" bestFit="1" customWidth="1"/>
    <col min="5" max="5" width="16.140625" style="378" customWidth="1"/>
    <col min="6" max="6" width="22.140625" style="378" bestFit="1" customWidth="1"/>
    <col min="7" max="7" width="17.85546875" style="378" bestFit="1" customWidth="1"/>
    <col min="8" max="16384" width="9" style="356"/>
  </cols>
  <sheetData>
    <row r="1" spans="1:7" ht="20.25">
      <c r="B1" s="734" t="str">
        <f>'درصد سودوزیان'!B2</f>
        <v>شركت سرمایه گذاری ساختمان نوین (سهامی عام)</v>
      </c>
      <c r="C1" s="734"/>
      <c r="D1" s="734"/>
      <c r="E1" s="734"/>
      <c r="F1" s="734"/>
      <c r="G1" s="734"/>
    </row>
    <row r="2" spans="1:7" ht="24.75" thickBot="1">
      <c r="B2" s="357"/>
      <c r="D2" s="668" t="s">
        <v>413</v>
      </c>
      <c r="E2" s="668"/>
      <c r="F2" s="358" t="s">
        <v>271</v>
      </c>
      <c r="G2" s="359" t="s">
        <v>423</v>
      </c>
    </row>
    <row r="3" spans="1:7" ht="22.15" customHeight="1" thickBot="1">
      <c r="A3" s="669" t="s">
        <v>426</v>
      </c>
      <c r="B3" s="670"/>
      <c r="C3" s="670"/>
      <c r="D3" s="670"/>
      <c r="E3" s="670"/>
      <c r="F3" s="670"/>
      <c r="G3" s="671"/>
    </row>
    <row r="4" spans="1:7" ht="39.75" thickBot="1">
      <c r="A4" s="360" t="s">
        <v>273</v>
      </c>
      <c r="B4" s="361" t="s">
        <v>362</v>
      </c>
      <c r="C4" s="361" t="s">
        <v>364</v>
      </c>
      <c r="D4" s="362" t="s">
        <v>361</v>
      </c>
      <c r="E4" s="362" t="s">
        <v>427</v>
      </c>
      <c r="F4" s="363" t="s">
        <v>428</v>
      </c>
      <c r="G4" s="364" t="s">
        <v>363</v>
      </c>
    </row>
    <row r="5" spans="1:7">
      <c r="A5" s="365">
        <v>1</v>
      </c>
      <c r="B5" s="366" t="s">
        <v>431</v>
      </c>
      <c r="C5" s="366" t="s">
        <v>432</v>
      </c>
      <c r="D5" s="367">
        <v>265940128</v>
      </c>
      <c r="E5" s="367">
        <v>566.06390789208012</v>
      </c>
      <c r="F5" s="367">
        <v>12910</v>
      </c>
      <c r="G5" s="368">
        <f>SUM(F5-E5)*D5</f>
        <v>3282747944359</v>
      </c>
    </row>
    <row r="6" spans="1:7">
      <c r="A6" s="369">
        <v>2</v>
      </c>
      <c r="B6" s="370" t="s">
        <v>433</v>
      </c>
      <c r="C6" s="370" t="s">
        <v>434</v>
      </c>
      <c r="D6" s="371">
        <v>37800000</v>
      </c>
      <c r="E6" s="371">
        <v>4960.4350668518509</v>
      </c>
      <c r="F6" s="371">
        <v>43630</v>
      </c>
      <c r="G6" s="372">
        <f>SUM(F6-E6)*D6</f>
        <v>1461709554473</v>
      </c>
    </row>
    <row r="7" spans="1:7">
      <c r="A7" s="369">
        <v>3</v>
      </c>
      <c r="B7" s="373" t="s">
        <v>435</v>
      </c>
      <c r="C7" s="373" t="s">
        <v>436</v>
      </c>
      <c r="D7" s="371">
        <v>180683041</v>
      </c>
      <c r="E7" s="371">
        <v>872.6088219071363</v>
      </c>
      <c r="F7" s="371">
        <v>7250</v>
      </c>
      <c r="G7" s="372">
        <f t="shared" ref="G7:G58" si="0">SUM(F7-E7)*D7</f>
        <v>1152286431704.3911</v>
      </c>
    </row>
    <row r="8" spans="1:7">
      <c r="A8" s="369">
        <v>4</v>
      </c>
      <c r="B8" s="373" t="s">
        <v>437</v>
      </c>
      <c r="C8" s="373" t="s">
        <v>438</v>
      </c>
      <c r="D8" s="371">
        <v>1080932777</v>
      </c>
      <c r="E8" s="371">
        <v>97.054809396347864</v>
      </c>
      <c r="F8" s="371">
        <v>1059</v>
      </c>
      <c r="G8" s="372">
        <f t="shared" si="0"/>
        <v>1039798086201</v>
      </c>
    </row>
    <row r="9" spans="1:7">
      <c r="A9" s="369">
        <v>5</v>
      </c>
      <c r="B9" s="373" t="s">
        <v>435</v>
      </c>
      <c r="C9" s="373" t="s">
        <v>436</v>
      </c>
      <c r="D9" s="371">
        <v>120455359</v>
      </c>
      <c r="E9" s="371">
        <v>872.6088219071363</v>
      </c>
      <c r="F9" s="371">
        <v>7250</v>
      </c>
      <c r="G9" s="372">
        <f t="shared" si="0"/>
        <v>768190943840.60889</v>
      </c>
    </row>
    <row r="10" spans="1:7">
      <c r="A10" s="369">
        <v>6</v>
      </c>
      <c r="B10" s="373" t="s">
        <v>439</v>
      </c>
      <c r="C10" s="373" t="s">
        <v>440</v>
      </c>
      <c r="D10" s="371">
        <v>47088564</v>
      </c>
      <c r="E10" s="371">
        <v>87.370641139109694</v>
      </c>
      <c r="F10" s="371">
        <v>11089</v>
      </c>
      <c r="G10" s="372">
        <f t="shared" si="0"/>
        <v>518050928168.99994</v>
      </c>
    </row>
    <row r="11" spans="1:7">
      <c r="A11" s="369">
        <v>7</v>
      </c>
      <c r="B11" s="373" t="s">
        <v>441</v>
      </c>
      <c r="C11" s="373" t="s">
        <v>442</v>
      </c>
      <c r="D11" s="371">
        <v>45500180</v>
      </c>
      <c r="E11" s="371">
        <v>817.16610672748971</v>
      </c>
      <c r="F11" s="371">
        <v>4183</v>
      </c>
      <c r="G11" s="372">
        <f t="shared" si="0"/>
        <v>153146047994</v>
      </c>
    </row>
    <row r="12" spans="1:7">
      <c r="A12" s="369">
        <v>8</v>
      </c>
      <c r="B12" s="373" t="s">
        <v>443</v>
      </c>
      <c r="C12" s="373" t="s">
        <v>444</v>
      </c>
      <c r="D12" s="371">
        <v>3556701</v>
      </c>
      <c r="E12" s="371">
        <v>50954.213672445338</v>
      </c>
      <c r="F12" s="371">
        <v>65765</v>
      </c>
      <c r="G12" s="372">
        <f t="shared" si="0"/>
        <v>52677538541.999992</v>
      </c>
    </row>
    <row r="13" spans="1:7">
      <c r="A13" s="369">
        <v>9</v>
      </c>
      <c r="B13" s="373" t="s">
        <v>445</v>
      </c>
      <c r="C13" s="373" t="s">
        <v>446</v>
      </c>
      <c r="D13" s="371">
        <v>1527775</v>
      </c>
      <c r="E13" s="371">
        <v>1143.1284168153031</v>
      </c>
      <c r="F13" s="371">
        <v>31360</v>
      </c>
      <c r="G13" s="372">
        <f t="shared" si="0"/>
        <v>46164580983</v>
      </c>
    </row>
    <row r="14" spans="1:7">
      <c r="A14" s="369">
        <v>10</v>
      </c>
      <c r="B14" s="373" t="s">
        <v>447</v>
      </c>
      <c r="C14" s="373" t="s">
        <v>448</v>
      </c>
      <c r="D14" s="371">
        <v>9000000</v>
      </c>
      <c r="E14" s="371">
        <v>15326.355412444444</v>
      </c>
      <c r="F14" s="371">
        <v>18200</v>
      </c>
      <c r="G14" s="372">
        <f t="shared" si="0"/>
        <v>25862801288.000008</v>
      </c>
    </row>
    <row r="15" spans="1:7">
      <c r="A15" s="369">
        <v>11</v>
      </c>
      <c r="B15" s="373" t="s">
        <v>449</v>
      </c>
      <c r="C15" s="373" t="s">
        <v>450</v>
      </c>
      <c r="D15" s="371">
        <v>12000000</v>
      </c>
      <c r="E15" s="371">
        <v>11940.1988645</v>
      </c>
      <c r="F15" s="371">
        <v>13351</v>
      </c>
      <c r="G15" s="372">
        <f t="shared" si="0"/>
        <v>16929613625.999998</v>
      </c>
    </row>
    <row r="16" spans="1:7">
      <c r="A16" s="369">
        <v>12</v>
      </c>
      <c r="B16" s="373" t="s">
        <v>451</v>
      </c>
      <c r="C16" s="373" t="s">
        <v>452</v>
      </c>
      <c r="D16" s="371">
        <v>1450000</v>
      </c>
      <c r="E16" s="371">
        <v>6124.7774772413786</v>
      </c>
      <c r="F16" s="371">
        <v>9650</v>
      </c>
      <c r="G16" s="372">
        <f t="shared" si="0"/>
        <v>5111572658.000001</v>
      </c>
    </row>
    <row r="17" spans="1:7">
      <c r="A17" s="369">
        <v>13</v>
      </c>
      <c r="B17" s="373" t="s">
        <v>453</v>
      </c>
      <c r="C17" s="373" t="s">
        <v>454</v>
      </c>
      <c r="D17" s="371">
        <v>50500</v>
      </c>
      <c r="E17" s="371">
        <v>3050.5798019801978</v>
      </c>
      <c r="F17" s="371">
        <v>70595</v>
      </c>
      <c r="G17" s="372">
        <f t="shared" si="0"/>
        <v>3410993220</v>
      </c>
    </row>
    <row r="18" spans="1:7">
      <c r="A18" s="369">
        <v>14</v>
      </c>
      <c r="B18" s="373" t="s">
        <v>455</v>
      </c>
      <c r="C18" s="373" t="s">
        <v>456</v>
      </c>
      <c r="D18" s="371">
        <v>38571</v>
      </c>
      <c r="E18" s="371">
        <v>7780.4387752456505</v>
      </c>
      <c r="F18" s="371">
        <v>46490</v>
      </c>
      <c r="G18" s="372">
        <f t="shared" si="0"/>
        <v>1493066486</v>
      </c>
    </row>
    <row r="19" spans="1:7">
      <c r="A19" s="369">
        <v>15</v>
      </c>
      <c r="B19" s="373" t="s">
        <v>457</v>
      </c>
      <c r="C19" s="373" t="s">
        <v>458</v>
      </c>
      <c r="D19" s="371">
        <v>3500</v>
      </c>
      <c r="E19" s="371">
        <v>4759.4857142857145</v>
      </c>
      <c r="F19" s="371">
        <v>146907</v>
      </c>
      <c r="G19" s="372">
        <f t="shared" si="0"/>
        <v>497516300</v>
      </c>
    </row>
    <row r="20" spans="1:7">
      <c r="A20" s="369">
        <v>16</v>
      </c>
      <c r="B20" s="373" t="s">
        <v>459</v>
      </c>
      <c r="C20" s="373" t="s">
        <v>460</v>
      </c>
      <c r="D20" s="371">
        <v>5000</v>
      </c>
      <c r="E20" s="371">
        <v>390</v>
      </c>
      <c r="F20" s="371">
        <v>9140</v>
      </c>
      <c r="G20" s="372">
        <f t="shared" si="0"/>
        <v>43750000</v>
      </c>
    </row>
    <row r="21" spans="1:7">
      <c r="A21" s="369">
        <v>17</v>
      </c>
      <c r="B21" s="373" t="s">
        <v>461</v>
      </c>
      <c r="C21" s="373" t="s">
        <v>462</v>
      </c>
      <c r="D21" s="371">
        <v>1000</v>
      </c>
      <c r="E21" s="371">
        <v>1954.1379999999999</v>
      </c>
      <c r="F21" s="371">
        <v>38914</v>
      </c>
      <c r="G21" s="372">
        <f t="shared" si="0"/>
        <v>36959862</v>
      </c>
    </row>
    <row r="22" spans="1:7">
      <c r="A22" s="369">
        <v>18</v>
      </c>
      <c r="B22" s="373" t="s">
        <v>463</v>
      </c>
      <c r="C22" s="373" t="s">
        <v>464</v>
      </c>
      <c r="D22" s="371">
        <v>1622</v>
      </c>
      <c r="E22" s="371">
        <v>4684.8255240443896</v>
      </c>
      <c r="F22" s="371">
        <v>7544</v>
      </c>
      <c r="G22" s="372">
        <f t="shared" si="0"/>
        <v>4637581</v>
      </c>
    </row>
    <row r="23" spans="1:7">
      <c r="A23" s="369">
        <v>19</v>
      </c>
      <c r="B23" s="373" t="s">
        <v>465</v>
      </c>
      <c r="C23" s="373" t="s">
        <v>466</v>
      </c>
      <c r="D23" s="371">
        <v>68</v>
      </c>
      <c r="E23" s="371">
        <v>911958.07352941181</v>
      </c>
      <c r="F23" s="371">
        <v>958000</v>
      </c>
      <c r="G23" s="372">
        <f t="shared" si="0"/>
        <v>3130850.9999999972</v>
      </c>
    </row>
    <row r="24" spans="1:7">
      <c r="A24" s="369">
        <v>20</v>
      </c>
      <c r="B24" s="373" t="s">
        <v>467</v>
      </c>
      <c r="C24" s="373" t="s">
        <v>468</v>
      </c>
      <c r="D24" s="371">
        <v>3750000</v>
      </c>
      <c r="E24" s="371">
        <v>1005.2266666666667</v>
      </c>
      <c r="F24" s="371">
        <v>1005.2266666666667</v>
      </c>
      <c r="G24" s="372">
        <f t="shared" si="0"/>
        <v>0</v>
      </c>
    </row>
    <row r="25" spans="1:7">
      <c r="A25" s="369">
        <v>21</v>
      </c>
      <c r="B25" s="373" t="s">
        <v>473</v>
      </c>
      <c r="C25" s="373" t="s">
        <v>474</v>
      </c>
      <c r="D25" s="371">
        <v>10000</v>
      </c>
      <c r="E25" s="371">
        <v>10000</v>
      </c>
      <c r="F25" s="371">
        <v>9130</v>
      </c>
      <c r="G25" s="372">
        <f t="shared" si="0"/>
        <v>-8700000</v>
      </c>
    </row>
    <row r="26" spans="1:7">
      <c r="A26" s="369">
        <v>22</v>
      </c>
      <c r="B26" s="373" t="s">
        <v>475</v>
      </c>
      <c r="C26" s="373" t="s">
        <v>476</v>
      </c>
      <c r="D26" s="371">
        <v>280000</v>
      </c>
      <c r="E26" s="371">
        <v>84340.843535714303</v>
      </c>
      <c r="F26" s="371">
        <v>84270</v>
      </c>
      <c r="G26" s="372">
        <f t="shared" si="0"/>
        <v>-19836190.000004716</v>
      </c>
    </row>
    <row r="27" spans="1:7">
      <c r="A27" s="369">
        <v>23</v>
      </c>
      <c r="B27" s="373" t="s">
        <v>477</v>
      </c>
      <c r="C27" s="373" t="s">
        <v>478</v>
      </c>
      <c r="D27" s="371">
        <v>8</v>
      </c>
      <c r="E27" s="371">
        <v>6315011.25</v>
      </c>
      <c r="F27" s="371">
        <v>997454</v>
      </c>
      <c r="G27" s="372">
        <f t="shared" si="0"/>
        <v>-42540458</v>
      </c>
    </row>
    <row r="28" spans="1:7">
      <c r="A28" s="369">
        <v>24</v>
      </c>
      <c r="B28" s="373" t="s">
        <v>479</v>
      </c>
      <c r="C28" s="373" t="s">
        <v>480</v>
      </c>
      <c r="D28" s="371">
        <v>224043</v>
      </c>
      <c r="E28" s="371">
        <v>10282.593677486002</v>
      </c>
      <c r="F28" s="371">
        <v>7940</v>
      </c>
      <c r="G28" s="372">
        <f t="shared" si="0"/>
        <v>-524841715.28499633</v>
      </c>
    </row>
    <row r="29" spans="1:7">
      <c r="A29" s="369">
        <v>25</v>
      </c>
      <c r="B29" s="373" t="s">
        <v>483</v>
      </c>
      <c r="C29" s="373" t="s">
        <v>484</v>
      </c>
      <c r="D29" s="371">
        <v>200000</v>
      </c>
      <c r="E29" s="371">
        <v>32037.969284999999</v>
      </c>
      <c r="F29" s="371">
        <v>25370</v>
      </c>
      <c r="G29" s="372">
        <f t="shared" si="0"/>
        <v>-1333593856.9999998</v>
      </c>
    </row>
    <row r="30" spans="1:7">
      <c r="A30" s="369">
        <v>26</v>
      </c>
      <c r="B30" s="373" t="s">
        <v>485</v>
      </c>
      <c r="C30" s="373" t="s">
        <v>486</v>
      </c>
      <c r="D30" s="371">
        <v>55000</v>
      </c>
      <c r="E30" s="371">
        <v>72630.09294545454</v>
      </c>
      <c r="F30" s="371">
        <v>46567</v>
      </c>
      <c r="G30" s="372">
        <f t="shared" si="0"/>
        <v>-1433470111.9999998</v>
      </c>
    </row>
    <row r="31" spans="1:7">
      <c r="A31" s="369">
        <v>27</v>
      </c>
      <c r="B31" s="373" t="s">
        <v>487</v>
      </c>
      <c r="C31" s="373" t="s">
        <v>488</v>
      </c>
      <c r="D31" s="371">
        <v>300000</v>
      </c>
      <c r="E31" s="371">
        <v>16268.874553333335</v>
      </c>
      <c r="F31" s="371">
        <v>10286</v>
      </c>
      <c r="G31" s="372">
        <f t="shared" si="0"/>
        <v>-1794862366.0000005</v>
      </c>
    </row>
    <row r="32" spans="1:7">
      <c r="A32" s="369">
        <v>28</v>
      </c>
      <c r="B32" s="373" t="s">
        <v>489</v>
      </c>
      <c r="C32" s="373" t="s">
        <v>490</v>
      </c>
      <c r="D32" s="371">
        <v>260000</v>
      </c>
      <c r="E32" s="371">
        <v>28490.528123076925</v>
      </c>
      <c r="F32" s="371">
        <v>21158</v>
      </c>
      <c r="G32" s="372">
        <f t="shared" si="0"/>
        <v>-1906457312.0000005</v>
      </c>
    </row>
    <row r="33" spans="1:7">
      <c r="A33" s="369">
        <v>29</v>
      </c>
      <c r="B33" s="373" t="s">
        <v>491</v>
      </c>
      <c r="C33" s="373" t="s">
        <v>492</v>
      </c>
      <c r="D33" s="371">
        <v>850000</v>
      </c>
      <c r="E33" s="371">
        <v>15535.219587058824</v>
      </c>
      <c r="F33" s="371">
        <v>13042</v>
      </c>
      <c r="G33" s="372">
        <f t="shared" si="0"/>
        <v>-2119236649.0000002</v>
      </c>
    </row>
    <row r="34" spans="1:7">
      <c r="A34" s="369">
        <v>30</v>
      </c>
      <c r="B34" s="373" t="s">
        <v>493</v>
      </c>
      <c r="C34" s="373" t="s">
        <v>494</v>
      </c>
      <c r="D34" s="371">
        <v>2500000</v>
      </c>
      <c r="E34" s="371">
        <v>16262.852848799999</v>
      </c>
      <c r="F34" s="371">
        <v>15352</v>
      </c>
      <c r="G34" s="372">
        <f t="shared" si="0"/>
        <v>-2277132121.9999981</v>
      </c>
    </row>
    <row r="35" spans="1:7">
      <c r="A35" s="369">
        <v>31</v>
      </c>
      <c r="B35" s="373" t="s">
        <v>495</v>
      </c>
      <c r="C35" s="373" t="s">
        <v>496</v>
      </c>
      <c r="D35" s="371">
        <v>4400000</v>
      </c>
      <c r="E35" s="371">
        <v>2541.2162593181815</v>
      </c>
      <c r="F35" s="371">
        <v>1851</v>
      </c>
      <c r="G35" s="372">
        <f t="shared" si="0"/>
        <v>-3036951540.9999986</v>
      </c>
    </row>
    <row r="36" spans="1:7">
      <c r="A36" s="369">
        <v>32</v>
      </c>
      <c r="B36" s="373" t="s">
        <v>497</v>
      </c>
      <c r="C36" s="373" t="s">
        <v>498</v>
      </c>
      <c r="D36" s="371">
        <v>500000</v>
      </c>
      <c r="E36" s="371">
        <v>20829.031026000001</v>
      </c>
      <c r="F36" s="371">
        <v>14430</v>
      </c>
      <c r="G36" s="372">
        <f t="shared" si="0"/>
        <v>-3199515513.0000005</v>
      </c>
    </row>
    <row r="37" spans="1:7">
      <c r="A37" s="369">
        <v>33</v>
      </c>
      <c r="B37" s="373" t="s">
        <v>499</v>
      </c>
      <c r="C37" s="373" t="s">
        <v>500</v>
      </c>
      <c r="D37" s="371">
        <v>660000</v>
      </c>
      <c r="E37" s="371">
        <v>9217.4500372447783</v>
      </c>
      <c r="F37" s="371">
        <v>4331</v>
      </c>
      <c r="G37" s="372">
        <f t="shared" si="0"/>
        <v>-3225057024.5815535</v>
      </c>
    </row>
    <row r="38" spans="1:7">
      <c r="A38" s="369">
        <v>34</v>
      </c>
      <c r="B38" s="373" t="s">
        <v>501</v>
      </c>
      <c r="C38" s="373" t="s">
        <v>502</v>
      </c>
      <c r="D38" s="371">
        <v>2000000</v>
      </c>
      <c r="E38" s="371">
        <v>3820.1278465</v>
      </c>
      <c r="F38" s="371">
        <v>2169</v>
      </c>
      <c r="G38" s="372">
        <f t="shared" si="0"/>
        <v>-3302255693</v>
      </c>
    </row>
    <row r="39" spans="1:7">
      <c r="A39" s="369">
        <v>35</v>
      </c>
      <c r="B39" s="373" t="s">
        <v>503</v>
      </c>
      <c r="C39" s="373" t="s">
        <v>504</v>
      </c>
      <c r="D39" s="371">
        <v>1203703</v>
      </c>
      <c r="E39" s="371">
        <v>17443.439430656897</v>
      </c>
      <c r="F39" s="371">
        <v>14530</v>
      </c>
      <c r="G39" s="372">
        <f t="shared" si="0"/>
        <v>-3506915782.9999995</v>
      </c>
    </row>
    <row r="40" spans="1:7">
      <c r="A40" s="369">
        <v>36</v>
      </c>
      <c r="B40" s="373" t="s">
        <v>505</v>
      </c>
      <c r="C40" s="373" t="s">
        <v>506</v>
      </c>
      <c r="D40" s="371">
        <v>1101092</v>
      </c>
      <c r="E40" s="371">
        <v>9282.5936779124731</v>
      </c>
      <c r="F40" s="371">
        <v>6050</v>
      </c>
      <c r="G40" s="372">
        <f t="shared" si="0"/>
        <v>-3559383038.000001</v>
      </c>
    </row>
    <row r="41" spans="1:7">
      <c r="A41" s="369">
        <v>37</v>
      </c>
      <c r="B41" s="373" t="s">
        <v>507</v>
      </c>
      <c r="C41" s="373" t="s">
        <v>508</v>
      </c>
      <c r="D41" s="371">
        <v>600000</v>
      </c>
      <c r="E41" s="371">
        <v>25594.655916666667</v>
      </c>
      <c r="F41" s="371">
        <v>18160</v>
      </c>
      <c r="G41" s="372">
        <f t="shared" si="0"/>
        <v>-4460793550</v>
      </c>
    </row>
    <row r="42" spans="1:7">
      <c r="A42" s="369">
        <v>38</v>
      </c>
      <c r="B42" s="373" t="s">
        <v>509</v>
      </c>
      <c r="C42" s="373" t="s">
        <v>510</v>
      </c>
      <c r="D42" s="371">
        <v>1550000</v>
      </c>
      <c r="E42" s="371">
        <v>13955.688603943661</v>
      </c>
      <c r="F42" s="371">
        <v>11000</v>
      </c>
      <c r="G42" s="372">
        <f t="shared" si="0"/>
        <v>-4581317336.1126747</v>
      </c>
    </row>
    <row r="43" spans="1:7">
      <c r="A43" s="369">
        <v>39</v>
      </c>
      <c r="B43" s="373" t="s">
        <v>511</v>
      </c>
      <c r="C43" s="373" t="s">
        <v>512</v>
      </c>
      <c r="D43" s="371">
        <v>32200000</v>
      </c>
      <c r="E43" s="371">
        <v>5030.1917648447206</v>
      </c>
      <c r="F43" s="371">
        <v>4853</v>
      </c>
      <c r="G43" s="372">
        <f t="shared" si="0"/>
        <v>-5705574828.0000048</v>
      </c>
    </row>
    <row r="44" spans="1:7">
      <c r="A44" s="369">
        <v>40</v>
      </c>
      <c r="B44" s="373" t="s">
        <v>513</v>
      </c>
      <c r="C44" s="373" t="s">
        <v>514</v>
      </c>
      <c r="D44" s="371">
        <v>3800000</v>
      </c>
      <c r="E44" s="371">
        <v>4983.1003486842101</v>
      </c>
      <c r="F44" s="371">
        <v>3467</v>
      </c>
      <c r="G44" s="372">
        <f t="shared" si="0"/>
        <v>-5761181324.9999981</v>
      </c>
    </row>
    <row r="45" spans="1:7">
      <c r="A45" s="369">
        <v>41</v>
      </c>
      <c r="B45" s="373" t="s">
        <v>479</v>
      </c>
      <c r="C45" s="373" t="s">
        <v>480</v>
      </c>
      <c r="D45" s="371">
        <v>2500000</v>
      </c>
      <c r="E45" s="371">
        <v>10282.593677486002</v>
      </c>
      <c r="F45" s="371">
        <v>7940</v>
      </c>
      <c r="G45" s="372">
        <f t="shared" si="0"/>
        <v>-5856484193.7150049</v>
      </c>
    </row>
    <row r="46" spans="1:7">
      <c r="A46" s="369">
        <v>42</v>
      </c>
      <c r="B46" s="373" t="s">
        <v>509</v>
      </c>
      <c r="C46" s="373" t="s">
        <v>510</v>
      </c>
      <c r="D46" s="371">
        <v>2000000</v>
      </c>
      <c r="E46" s="371">
        <v>13955.688603943661</v>
      </c>
      <c r="F46" s="371">
        <v>11000</v>
      </c>
      <c r="G46" s="372">
        <f t="shared" si="0"/>
        <v>-5911377207.8873224</v>
      </c>
    </row>
    <row r="47" spans="1:7">
      <c r="A47" s="369">
        <v>43</v>
      </c>
      <c r="B47" s="373" t="s">
        <v>515</v>
      </c>
      <c r="C47" s="373" t="s">
        <v>516</v>
      </c>
      <c r="D47" s="371">
        <v>950000</v>
      </c>
      <c r="E47" s="371">
        <v>25711.474222105266</v>
      </c>
      <c r="F47" s="371">
        <v>19440</v>
      </c>
      <c r="G47" s="372">
        <f t="shared" si="0"/>
        <v>-5957900511.0000019</v>
      </c>
    </row>
    <row r="48" spans="1:7">
      <c r="A48" s="369">
        <v>44</v>
      </c>
      <c r="B48" s="373" t="s">
        <v>517</v>
      </c>
      <c r="C48" s="373" t="s">
        <v>518</v>
      </c>
      <c r="D48" s="371">
        <v>3056666</v>
      </c>
      <c r="E48" s="371">
        <v>26285.843074120628</v>
      </c>
      <c r="F48" s="371">
        <v>24160</v>
      </c>
      <c r="G48" s="372">
        <f t="shared" si="0"/>
        <v>-6497992246.0000048</v>
      </c>
    </row>
    <row r="49" spans="1:7">
      <c r="A49" s="369">
        <v>45</v>
      </c>
      <c r="B49" s="373" t="s">
        <v>519</v>
      </c>
      <c r="C49" s="373" t="s">
        <v>520</v>
      </c>
      <c r="D49" s="371">
        <v>1000000</v>
      </c>
      <c r="E49" s="371">
        <v>57935.366308999997</v>
      </c>
      <c r="F49" s="371">
        <v>50530</v>
      </c>
      <c r="G49" s="372">
        <f t="shared" si="0"/>
        <v>-7405366308.9999971</v>
      </c>
    </row>
    <row r="50" spans="1:7">
      <c r="A50" s="369">
        <v>46</v>
      </c>
      <c r="B50" s="373" t="s">
        <v>521</v>
      </c>
      <c r="C50" s="373" t="s">
        <v>522</v>
      </c>
      <c r="D50" s="371">
        <v>4500000</v>
      </c>
      <c r="E50" s="371">
        <v>12944.643696444446</v>
      </c>
      <c r="F50" s="371">
        <v>10940</v>
      </c>
      <c r="G50" s="372">
        <f t="shared" si="0"/>
        <v>-9020896634.0000057</v>
      </c>
    </row>
    <row r="51" spans="1:7">
      <c r="A51" s="369">
        <v>47</v>
      </c>
      <c r="B51" s="373" t="s">
        <v>499</v>
      </c>
      <c r="C51" s="373" t="s">
        <v>500</v>
      </c>
      <c r="D51" s="371">
        <v>2067999</v>
      </c>
      <c r="E51" s="371">
        <v>9217.4500372447783</v>
      </c>
      <c r="F51" s="371">
        <v>4331</v>
      </c>
      <c r="G51" s="372">
        <f t="shared" si="0"/>
        <v>-10105173790.572165</v>
      </c>
    </row>
    <row r="52" spans="1:7">
      <c r="A52" s="369">
        <v>48</v>
      </c>
      <c r="B52" s="373" t="s">
        <v>523</v>
      </c>
      <c r="C52" s="373" t="s">
        <v>524</v>
      </c>
      <c r="D52" s="371">
        <v>761699</v>
      </c>
      <c r="E52" s="371">
        <v>39403.921696103054</v>
      </c>
      <c r="F52" s="371">
        <v>23730</v>
      </c>
      <c r="G52" s="372">
        <f t="shared" si="0"/>
        <v>-11938810482</v>
      </c>
    </row>
    <row r="53" spans="1:7">
      <c r="A53" s="369">
        <v>49</v>
      </c>
      <c r="B53" s="373" t="s">
        <v>525</v>
      </c>
      <c r="C53" s="373" t="s">
        <v>526</v>
      </c>
      <c r="D53" s="371">
        <v>5500000</v>
      </c>
      <c r="E53" s="371">
        <v>15223.050464909091</v>
      </c>
      <c r="F53" s="371">
        <v>12910</v>
      </c>
      <c r="G53" s="372">
        <f t="shared" si="0"/>
        <v>-12721777557</v>
      </c>
    </row>
    <row r="54" spans="1:7">
      <c r="A54" s="369">
        <v>50</v>
      </c>
      <c r="B54" s="373" t="s">
        <v>527</v>
      </c>
      <c r="C54" s="373" t="s">
        <v>528</v>
      </c>
      <c r="D54" s="371">
        <v>3500000</v>
      </c>
      <c r="E54" s="371">
        <v>14212.94631257143</v>
      </c>
      <c r="F54" s="371">
        <v>8540</v>
      </c>
      <c r="G54" s="372">
        <f t="shared" si="0"/>
        <v>-19855312094.000004</v>
      </c>
    </row>
    <row r="55" spans="1:7">
      <c r="A55" s="369">
        <v>51</v>
      </c>
      <c r="B55" s="373" t="s">
        <v>529</v>
      </c>
      <c r="C55" s="373" t="s">
        <v>530</v>
      </c>
      <c r="D55" s="371">
        <v>5275758</v>
      </c>
      <c r="E55" s="371">
        <v>16738.154884473475</v>
      </c>
      <c r="F55" s="371">
        <v>12564</v>
      </c>
      <c r="G55" s="372">
        <f t="shared" si="0"/>
        <v>-22021831025.000011</v>
      </c>
    </row>
    <row r="56" spans="1:7">
      <c r="A56" s="369">
        <v>52</v>
      </c>
      <c r="B56" s="373" t="s">
        <v>499</v>
      </c>
      <c r="C56" s="373" t="s">
        <v>500</v>
      </c>
      <c r="D56" s="371">
        <v>5500000</v>
      </c>
      <c r="E56" s="371">
        <v>9217.4500372447783</v>
      </c>
      <c r="F56" s="371">
        <v>4331</v>
      </c>
      <c r="G56" s="372">
        <f t="shared" si="0"/>
        <v>-26875475204.846279</v>
      </c>
    </row>
    <row r="57" spans="1:7">
      <c r="A57" s="369">
        <v>53</v>
      </c>
      <c r="B57" s="373" t="s">
        <v>531</v>
      </c>
      <c r="C57" s="373" t="s">
        <v>532</v>
      </c>
      <c r="D57" s="371">
        <v>3134513</v>
      </c>
      <c r="E57" s="371">
        <v>21327.499707291056</v>
      </c>
      <c r="F57" s="371">
        <v>11356</v>
      </c>
      <c r="G57" s="372">
        <f t="shared" si="0"/>
        <v>-31255795462.000008</v>
      </c>
    </row>
    <row r="58" spans="1:7">
      <c r="A58" s="369">
        <v>54</v>
      </c>
      <c r="B58" s="373" t="s">
        <v>533</v>
      </c>
      <c r="C58" s="373" t="s">
        <v>534</v>
      </c>
      <c r="D58" s="371">
        <v>8000000</v>
      </c>
      <c r="E58" s="371">
        <v>14370.197575374999</v>
      </c>
      <c r="F58" s="371">
        <v>10250</v>
      </c>
      <c r="G58" s="372">
        <f t="shared" si="0"/>
        <v>-32961580602.999996</v>
      </c>
    </row>
    <row r="59" spans="1:7">
      <c r="A59" s="369">
        <v>55</v>
      </c>
      <c r="B59" s="373" t="s">
        <v>535</v>
      </c>
      <c r="C59" s="373" t="s">
        <v>536</v>
      </c>
      <c r="D59" s="371">
        <v>5255944</v>
      </c>
      <c r="E59" s="371">
        <v>19178.817639799814</v>
      </c>
      <c r="F59" s="371">
        <v>12890</v>
      </c>
      <c r="G59" s="372">
        <f>SUM(F59-E59)*D59</f>
        <v>-33053673340.999992</v>
      </c>
    </row>
    <row r="60" spans="1:7" ht="20.25" thickBot="1">
      <c r="A60" s="374">
        <v>56</v>
      </c>
      <c r="B60" s="375" t="s">
        <v>537</v>
      </c>
      <c r="C60" s="375" t="s">
        <v>538</v>
      </c>
      <c r="D60" s="376">
        <v>16000000</v>
      </c>
      <c r="E60" s="376">
        <v>14732.897618249999</v>
      </c>
      <c r="F60" s="376">
        <v>10110</v>
      </c>
      <c r="G60" s="377">
        <f t="shared" ref="G60" si="1">SUM(F60-E60)*D60</f>
        <v>-73966361891.999985</v>
      </c>
    </row>
    <row r="61" spans="1:7" ht="20.25" thickBot="1">
      <c r="G61" s="379">
        <f>SUM(G5:G60)</f>
        <v>8160960673171.999</v>
      </c>
    </row>
    <row r="62" spans="1:7" ht="1.9" customHeight="1"/>
    <row r="63" spans="1:7">
      <c r="B63" s="356" t="s">
        <v>539</v>
      </c>
    </row>
    <row r="64" spans="1:7" ht="20.25" thickBot="1"/>
    <row r="65" spans="1:7" ht="21.75" thickBot="1">
      <c r="A65" s="669" t="s">
        <v>429</v>
      </c>
      <c r="B65" s="672"/>
      <c r="C65" s="672"/>
      <c r="D65" s="672"/>
      <c r="E65" s="672"/>
      <c r="F65" s="672"/>
      <c r="G65" s="673"/>
    </row>
    <row r="66" spans="1:7" ht="39.75" thickBot="1">
      <c r="A66" s="360" t="s">
        <v>273</v>
      </c>
      <c r="B66" s="674" t="s">
        <v>362</v>
      </c>
      <c r="C66" s="675"/>
      <c r="D66" s="362" t="s">
        <v>361</v>
      </c>
      <c r="E66" s="362" t="s">
        <v>427</v>
      </c>
      <c r="F66" s="363" t="s">
        <v>430</v>
      </c>
      <c r="G66" s="364" t="s">
        <v>365</v>
      </c>
    </row>
    <row r="67" spans="1:7">
      <c r="A67" s="369">
        <v>1</v>
      </c>
      <c r="B67" s="373" t="s">
        <v>481</v>
      </c>
      <c r="C67" s="373" t="s">
        <v>482</v>
      </c>
      <c r="D67" s="371">
        <v>235857</v>
      </c>
      <c r="E67" s="371">
        <v>2773.1790915681959</v>
      </c>
      <c r="F67" s="371">
        <v>2773</v>
      </c>
      <c r="G67" s="372">
        <f>SUM(F67-E67)*D67</f>
        <v>-42239.999999973836</v>
      </c>
    </row>
    <row r="68" spans="1:7">
      <c r="A68" s="369">
        <v>21</v>
      </c>
      <c r="B68" s="373" t="s">
        <v>469</v>
      </c>
      <c r="C68" s="373" t="s">
        <v>470</v>
      </c>
      <c r="D68" s="371">
        <v>1</v>
      </c>
      <c r="E68" s="371">
        <v>80000000</v>
      </c>
      <c r="F68" s="371">
        <v>80000000</v>
      </c>
      <c r="G68" s="372">
        <f>SUM(F68-E68)*D68</f>
        <v>0</v>
      </c>
    </row>
    <row r="69" spans="1:7">
      <c r="A69" s="369">
        <v>2</v>
      </c>
      <c r="B69" s="373" t="s">
        <v>471</v>
      </c>
      <c r="C69" s="373" t="s">
        <v>472</v>
      </c>
      <c r="D69" s="371">
        <v>5400000</v>
      </c>
      <c r="E69" s="371">
        <v>1000.8609516666667</v>
      </c>
      <c r="F69" s="371">
        <v>1001</v>
      </c>
      <c r="G69" s="372">
        <f>SUM(F69-E69)*D69</f>
        <v>750861.00000000896</v>
      </c>
    </row>
    <row r="70" spans="1:7" ht="20.25" thickBot="1">
      <c r="G70" s="379">
        <f>SUM(G67:G69)</f>
        <v>708621.00000003516</v>
      </c>
    </row>
    <row r="71" spans="1:7" ht="21" thickBot="1">
      <c r="A71" s="380">
        <v>1</v>
      </c>
      <c r="B71" s="381" t="s">
        <v>368</v>
      </c>
    </row>
    <row r="72" spans="1:7" ht="3.75" customHeight="1" thickBot="1">
      <c r="A72" s="382"/>
    </row>
    <row r="73" spans="1:7" ht="21" thickBot="1">
      <c r="A73" s="380">
        <v>2</v>
      </c>
      <c r="B73" s="381" t="s">
        <v>366</v>
      </c>
    </row>
    <row r="74" spans="1:7" ht="1.9" customHeight="1" thickBot="1">
      <c r="A74" s="382"/>
    </row>
    <row r="75" spans="1:7" ht="21" thickBot="1">
      <c r="A75" s="380">
        <v>3</v>
      </c>
      <c r="B75" s="357" t="s">
        <v>367</v>
      </c>
      <c r="G75" s="383" t="s">
        <v>137</v>
      </c>
    </row>
    <row r="76" spans="1:7" ht="3.4" customHeight="1"/>
    <row r="77" spans="1:7" ht="20.25" thickBot="1"/>
    <row r="78" spans="1:7" ht="22.5" customHeight="1" thickBot="1">
      <c r="C78" s="378"/>
      <c r="D78" s="384" t="s">
        <v>371</v>
      </c>
      <c r="E78" s="385" t="s">
        <v>370</v>
      </c>
      <c r="F78" s="386" t="s">
        <v>369</v>
      </c>
      <c r="G78" s="380">
        <v>1</v>
      </c>
    </row>
    <row r="79" spans="1:7">
      <c r="C79" s="387"/>
      <c r="D79" s="388">
        <f>F79-E79</f>
        <v>2812562</v>
      </c>
      <c r="E79" s="387">
        <f>'صورت وضعیت مالی'!L24</f>
        <v>195276</v>
      </c>
      <c r="F79" s="387">
        <f>'صورت وضعیت مالی'!L18</f>
        <v>3007838</v>
      </c>
      <c r="G79" s="356"/>
    </row>
    <row r="80" spans="1:7" ht="20.25" thickBot="1">
      <c r="C80" s="387"/>
      <c r="D80" s="387"/>
      <c r="E80" s="387"/>
      <c r="F80" s="387"/>
      <c r="G80" s="356"/>
    </row>
    <row r="81" spans="1:7" ht="48" customHeight="1" thickBot="1">
      <c r="B81" s="665" t="s">
        <v>374</v>
      </c>
      <c r="C81" s="666"/>
      <c r="D81" s="445" t="s">
        <v>373</v>
      </c>
      <c r="E81" s="445" t="s">
        <v>372</v>
      </c>
      <c r="F81" s="390" t="str">
        <f>D78</f>
        <v>حقوق صاحبان سهام(دفتری)</v>
      </c>
      <c r="G81" s="380">
        <v>2</v>
      </c>
    </row>
    <row r="82" spans="1:7" ht="16.5" customHeight="1">
      <c r="B82" s="664">
        <f>SUM(D82:F82)</f>
        <v>11682143.673172034</v>
      </c>
      <c r="C82" s="664"/>
      <c r="D82" s="387">
        <f>G70</f>
        <v>708621.00000003516</v>
      </c>
      <c r="E82" s="387">
        <f>G61/1000000</f>
        <v>8160960.6731719989</v>
      </c>
      <c r="F82" s="387">
        <f>D79</f>
        <v>2812562</v>
      </c>
      <c r="G82" s="356"/>
    </row>
    <row r="83" spans="1:7" ht="20.25" thickBot="1">
      <c r="C83" s="387"/>
      <c r="D83" s="387"/>
      <c r="E83" s="387"/>
      <c r="F83" s="387"/>
      <c r="G83" s="356"/>
    </row>
    <row r="84" spans="1:7" ht="21.75" customHeight="1" thickBot="1">
      <c r="C84" s="378"/>
      <c r="D84" s="391" t="s">
        <v>376</v>
      </c>
      <c r="E84" s="389" t="s">
        <v>375</v>
      </c>
      <c r="F84" s="390" t="str">
        <f>B81</f>
        <v xml:space="preserve">ارزش کل شرکت </v>
      </c>
      <c r="G84" s="380">
        <v>3</v>
      </c>
    </row>
    <row r="85" spans="1:7" ht="20.25" thickBot="1">
      <c r="C85" s="378"/>
      <c r="D85" s="388">
        <f>IFERROR(F85/E85,"-")</f>
        <v>7788.0957821146894</v>
      </c>
      <c r="E85" s="387">
        <f>'صورت وضعیت مالی'!L7</f>
        <v>1500</v>
      </c>
      <c r="F85" s="387">
        <f>B82</f>
        <v>11682143.673172034</v>
      </c>
      <c r="G85" s="356"/>
    </row>
    <row r="86" spans="1:7" ht="24.75" thickBot="1">
      <c r="C86" s="378"/>
      <c r="D86" s="392" t="s">
        <v>377</v>
      </c>
      <c r="G86" s="356"/>
    </row>
    <row r="87" spans="1:7">
      <c r="C87" s="378"/>
      <c r="G87" s="356"/>
    </row>
    <row r="92" spans="1:7">
      <c r="A92" s="667">
        <v>12</v>
      </c>
      <c r="B92" s="667"/>
      <c r="C92" s="667"/>
      <c r="D92" s="667"/>
      <c r="E92" s="667"/>
      <c r="F92" s="667"/>
      <c r="G92" s="667"/>
    </row>
  </sheetData>
  <mergeCells count="8">
    <mergeCell ref="B1:G1"/>
    <mergeCell ref="B82:C82"/>
    <mergeCell ref="B81:C81"/>
    <mergeCell ref="A92:G92"/>
    <mergeCell ref="D2:E2"/>
    <mergeCell ref="A3:G3"/>
    <mergeCell ref="A65:G65"/>
    <mergeCell ref="B66:C66"/>
  </mergeCells>
  <pageMargins left="0" right="0" top="0" bottom="0" header="0" footer="0"/>
  <pageSetup scale="8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2:H26"/>
  <sheetViews>
    <sheetView rightToLeft="1" view="pageBreakPreview" topLeftCell="A13" zoomScale="60" zoomScaleNormal="100" workbookViewId="0">
      <selection activeCell="E26" sqref="E26"/>
    </sheetView>
  </sheetViews>
  <sheetFormatPr defaultColWidth="9" defaultRowHeight="19.5"/>
  <cols>
    <col min="1" max="1" width="9" style="333"/>
    <col min="2" max="2" width="17.5703125" style="333" customWidth="1"/>
    <col min="3" max="3" width="16.5703125" style="333" customWidth="1"/>
    <col min="4" max="4" width="1.42578125" style="333" customWidth="1"/>
    <col min="5" max="5" width="26.140625" style="333" bestFit="1" customWidth="1"/>
    <col min="6" max="6" width="6.42578125" style="333" customWidth="1"/>
    <col min="7" max="7" width="10.28515625" style="333" bestFit="1" customWidth="1"/>
    <col min="8" max="8" width="11.7109375" style="333" bestFit="1" customWidth="1"/>
    <col min="9" max="9" width="29.28515625" style="333" customWidth="1"/>
    <col min="10" max="10" width="22.28515625" style="333" customWidth="1"/>
    <col min="11" max="11" width="1" style="333" customWidth="1"/>
    <col min="12" max="12" width="22" style="333" customWidth="1"/>
    <col min="13" max="16384" width="9" style="333"/>
  </cols>
  <sheetData>
    <row r="2" spans="2:8" ht="20.25">
      <c r="B2" s="676" t="str">
        <f>'صورت وضعیت مالی'!B2</f>
        <v>شركت سرمایه گذاری ساختمان نوین (سهامی عام)</v>
      </c>
      <c r="C2" s="676"/>
      <c r="D2" s="676"/>
      <c r="E2" s="676"/>
      <c r="F2" s="676"/>
      <c r="G2" s="676"/>
      <c r="H2" s="676"/>
    </row>
    <row r="3" spans="2:8" ht="24">
      <c r="B3" s="446" t="s">
        <v>378</v>
      </c>
      <c r="C3" s="447">
        <f>'صورت وضعیت مالی'!L8</f>
        <v>1400</v>
      </c>
      <c r="E3" s="448" t="s">
        <v>414</v>
      </c>
    </row>
    <row r="5" spans="2:8">
      <c r="B5" s="449" t="s">
        <v>384</v>
      </c>
      <c r="C5" s="449" t="s">
        <v>385</v>
      </c>
      <c r="E5" s="450" t="s">
        <v>386</v>
      </c>
      <c r="F5" s="450" t="s">
        <v>387</v>
      </c>
      <c r="G5" s="450" t="s">
        <v>388</v>
      </c>
      <c r="H5" s="450" t="s">
        <v>389</v>
      </c>
    </row>
    <row r="6" spans="2:8">
      <c r="B6" s="333" t="s">
        <v>390</v>
      </c>
      <c r="C6" s="451">
        <f>'صورت وضعیت مالی'!L18</f>
        <v>3007838</v>
      </c>
      <c r="E6" s="333" t="s">
        <v>391</v>
      </c>
      <c r="F6" s="452" t="s">
        <v>392</v>
      </c>
      <c r="G6" s="452">
        <v>1.1000000000000001</v>
      </c>
      <c r="H6" s="333">
        <f>(C6/C7)*G6</f>
        <v>1.1763729297345267</v>
      </c>
    </row>
    <row r="7" spans="2:8">
      <c r="B7" s="333" t="s">
        <v>393</v>
      </c>
      <c r="C7" s="451">
        <f>'صورت وضعیت مالی'!L18-'صورت وضعیت مالی'!L24</f>
        <v>2812562</v>
      </c>
      <c r="E7" s="333" t="s">
        <v>394</v>
      </c>
      <c r="F7" s="452" t="s">
        <v>395</v>
      </c>
      <c r="G7" s="452">
        <v>1.4</v>
      </c>
      <c r="H7" s="333">
        <f>(C6/C12)*G7</f>
        <v>3.3618880342849291</v>
      </c>
    </row>
    <row r="8" spans="2:8">
      <c r="B8" s="333" t="s">
        <v>396</v>
      </c>
      <c r="C8" s="453">
        <f>'سود و زیان'!M14</f>
        <v>729674</v>
      </c>
      <c r="E8" s="333" t="s">
        <v>397</v>
      </c>
      <c r="F8" s="452" t="s">
        <v>398</v>
      </c>
      <c r="G8" s="452">
        <v>3.3</v>
      </c>
      <c r="H8" s="333">
        <f>(C6/C8)*G8</f>
        <v>13.603150722103296</v>
      </c>
    </row>
    <row r="9" spans="2:8">
      <c r="B9" s="333" t="s">
        <v>399</v>
      </c>
      <c r="C9" s="451">
        <f>'صورت وضعیت مالی'!L24</f>
        <v>195276</v>
      </c>
      <c r="E9" s="333" t="s">
        <v>400</v>
      </c>
      <c r="F9" s="452" t="s">
        <v>401</v>
      </c>
      <c r="G9" s="452">
        <v>0.6</v>
      </c>
      <c r="H9" s="333">
        <f>(C9/C10)*G9</f>
        <v>1.770006798096533E-2</v>
      </c>
    </row>
    <row r="10" spans="2:8">
      <c r="B10" s="333" t="s">
        <v>402</v>
      </c>
      <c r="C10" s="451">
        <f>B25</f>
        <v>6619500</v>
      </c>
      <c r="E10" s="333" t="s">
        <v>403</v>
      </c>
      <c r="F10" s="452" t="s">
        <v>404</v>
      </c>
      <c r="G10" s="452">
        <v>0.99</v>
      </c>
      <c r="H10" s="333">
        <f>(C6/C11)*G10</f>
        <v>3.9968640204879309</v>
      </c>
    </row>
    <row r="11" spans="2:8">
      <c r="B11" s="333" t="s">
        <v>412</v>
      </c>
      <c r="C11" s="453">
        <f>'سود و زیان'!M9</f>
        <v>745024</v>
      </c>
    </row>
    <row r="12" spans="2:8">
      <c r="B12" s="333" t="s">
        <v>289</v>
      </c>
      <c r="C12" s="451">
        <f>'صورت وضعیت مالی'!L29</f>
        <v>1252562</v>
      </c>
    </row>
    <row r="15" spans="2:8" ht="21.75">
      <c r="E15" s="454">
        <f>SUM(H6:H10)</f>
        <v>22.155975774591646</v>
      </c>
      <c r="F15" s="454" t="s">
        <v>405</v>
      </c>
      <c r="G15" s="455"/>
    </row>
    <row r="18" spans="2:7">
      <c r="E18" s="677" t="s">
        <v>406</v>
      </c>
      <c r="F18" s="677"/>
      <c r="G18" s="456">
        <v>1.81</v>
      </c>
    </row>
    <row r="19" spans="2:7" ht="20.25">
      <c r="E19" s="678" t="s">
        <v>407</v>
      </c>
      <c r="F19" s="678"/>
      <c r="G19" s="456" t="s">
        <v>408</v>
      </c>
    </row>
    <row r="20" spans="2:7" ht="20.25">
      <c r="E20" s="678" t="s">
        <v>409</v>
      </c>
      <c r="F20" s="678"/>
      <c r="G20" s="456" t="s">
        <v>410</v>
      </c>
    </row>
    <row r="21" spans="2:7" ht="20.25" thickBot="1">
      <c r="C21" s="452" t="s">
        <v>425</v>
      </c>
    </row>
    <row r="22" spans="2:7" ht="21.75" thickBot="1">
      <c r="B22" s="362" t="s">
        <v>361</v>
      </c>
      <c r="C22" s="363" t="s">
        <v>428</v>
      </c>
    </row>
    <row r="23" spans="2:7" ht="20.25" thickBot="1">
      <c r="B23" s="457">
        <f>'صورت وضعیت مالی'!L7</f>
        <v>1500</v>
      </c>
      <c r="C23" s="457">
        <v>4413</v>
      </c>
    </row>
    <row r="24" spans="2:7" ht="21.75" thickBot="1">
      <c r="B24" s="679" t="s">
        <v>411</v>
      </c>
      <c r="C24" s="680"/>
    </row>
    <row r="25" spans="2:7">
      <c r="B25" s="681">
        <f>B23*C23</f>
        <v>6619500</v>
      </c>
      <c r="C25" s="682"/>
    </row>
    <row r="26" spans="2:7" ht="20.25">
      <c r="E26" s="393">
        <v>13</v>
      </c>
    </row>
  </sheetData>
  <mergeCells count="6">
    <mergeCell ref="B25:C25"/>
    <mergeCell ref="B2:H2"/>
    <mergeCell ref="E18:F18"/>
    <mergeCell ref="E19:F19"/>
    <mergeCell ref="E20:F20"/>
    <mergeCell ref="B24:C2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"/>
  <sheetViews>
    <sheetView showGridLines="0" rightToLeft="1" workbookViewId="0">
      <pane xSplit="1" ySplit="2" topLeftCell="B3" activePane="bottomRight" state="frozenSplit"/>
      <selection pane="topRight" activeCell="B1" sqref="B1"/>
      <selection pane="bottomLeft" activeCell="A2" sqref="A2"/>
      <selection pane="bottomRight" activeCell="B14" sqref="B14"/>
    </sheetView>
  </sheetViews>
  <sheetFormatPr defaultColWidth="9" defaultRowHeight="17.25"/>
  <cols>
    <col min="1" max="1" width="57.42578125" style="317" bestFit="1" customWidth="1"/>
    <col min="2" max="6" width="10" style="317" customWidth="1"/>
    <col min="7" max="7" width="14.85546875" style="95" bestFit="1" customWidth="1"/>
    <col min="8" max="10" width="9" style="95"/>
    <col min="11" max="11" width="17.85546875" style="95" bestFit="1" customWidth="1"/>
    <col min="12" max="12" width="10.140625" style="95" bestFit="1" customWidth="1"/>
    <col min="13" max="16384" width="9" style="95"/>
  </cols>
  <sheetData>
    <row r="1" spans="1:17" ht="18">
      <c r="A1" s="305" t="str">
        <f>'صورت وضعیت مالی'!B2</f>
        <v>شركت سرمایه گذاری ساختمان نوین (سهامی عام)</v>
      </c>
      <c r="B1" s="683"/>
      <c r="C1" s="684"/>
      <c r="D1" s="684"/>
      <c r="E1" s="685"/>
      <c r="F1" s="686"/>
    </row>
    <row r="2" spans="1:17" ht="18.75" thickBot="1">
      <c r="A2" s="306" t="s">
        <v>29</v>
      </c>
      <c r="B2" s="307">
        <v>1393</v>
      </c>
      <c r="C2" s="308">
        <v>1394</v>
      </c>
      <c r="D2" s="308">
        <v>1395</v>
      </c>
      <c r="E2" s="318">
        <v>1396</v>
      </c>
      <c r="F2" s="309">
        <v>1397</v>
      </c>
    </row>
    <row r="3" spans="1:17" ht="21">
      <c r="A3" s="319" t="s">
        <v>332</v>
      </c>
      <c r="B3" s="320"/>
      <c r="C3" s="320"/>
      <c r="D3" s="320"/>
      <c r="E3" s="320"/>
      <c r="F3" s="321"/>
      <c r="K3" s="310"/>
      <c r="M3" s="687" t="s">
        <v>318</v>
      </c>
      <c r="N3" s="688"/>
      <c r="O3" s="688"/>
      <c r="P3" s="688"/>
      <c r="Q3" s="689"/>
    </row>
    <row r="4" spans="1:17" ht="20.25" customHeight="1">
      <c r="A4" s="322" t="s">
        <v>319</v>
      </c>
      <c r="B4" s="330">
        <v>0.25</v>
      </c>
      <c r="C4" s="323">
        <v>0.25</v>
      </c>
      <c r="D4" s="323">
        <v>0.25</v>
      </c>
      <c r="E4" s="323">
        <v>0.25</v>
      </c>
      <c r="F4" s="324">
        <v>0.25</v>
      </c>
      <c r="K4" s="690" t="s">
        <v>317</v>
      </c>
      <c r="L4" s="690" t="s">
        <v>320</v>
      </c>
      <c r="M4" s="695">
        <v>1393</v>
      </c>
      <c r="N4" s="695">
        <v>1394</v>
      </c>
      <c r="O4" s="695">
        <v>1395</v>
      </c>
      <c r="P4" s="695">
        <v>1396</v>
      </c>
      <c r="Q4" s="695">
        <v>1397</v>
      </c>
    </row>
    <row r="5" spans="1:17" ht="18" customHeight="1">
      <c r="A5" s="322" t="s">
        <v>321</v>
      </c>
      <c r="B5" s="325"/>
      <c r="C5" s="325"/>
      <c r="D5" s="325"/>
      <c r="E5" s="325"/>
      <c r="F5" s="326"/>
      <c r="K5" s="691"/>
      <c r="L5" s="691"/>
      <c r="M5" s="696"/>
      <c r="N5" s="696"/>
      <c r="O5" s="696"/>
      <c r="P5" s="696"/>
      <c r="Q5" s="696"/>
    </row>
    <row r="6" spans="1:17">
      <c r="A6" s="322" t="s">
        <v>322</v>
      </c>
      <c r="B6" s="325">
        <f>'صورت وضعیت مالی'!D24</f>
        <v>100448</v>
      </c>
      <c r="C6" s="325">
        <f>'صورت وضعیت مالی'!F24</f>
        <v>119224</v>
      </c>
      <c r="D6" s="325">
        <f>'صورت وضعیت مالی'!H24</f>
        <v>108412</v>
      </c>
      <c r="E6" s="325">
        <f>'صورت وضعیت مالی'!J24</f>
        <v>133999</v>
      </c>
      <c r="F6" s="326">
        <f>'صورت وضعیت مالی'!L24</f>
        <v>195276</v>
      </c>
      <c r="K6" s="692" t="str">
        <f>A1</f>
        <v>شركت سرمایه گذاری ساختمان نوین (سهامی عام)</v>
      </c>
      <c r="L6" s="311" t="s">
        <v>323</v>
      </c>
      <c r="M6" s="312" t="s">
        <v>331</v>
      </c>
      <c r="N6" s="313" t="s">
        <v>331</v>
      </c>
      <c r="O6" s="313" t="s">
        <v>331</v>
      </c>
      <c r="P6" s="313" t="s">
        <v>331</v>
      </c>
      <c r="Q6" s="313" t="s">
        <v>331</v>
      </c>
    </row>
    <row r="7" spans="1:17">
      <c r="A7" s="322" t="s">
        <v>324</v>
      </c>
      <c r="B7" s="323">
        <v>0.25</v>
      </c>
      <c r="C7" s="323">
        <v>0.25</v>
      </c>
      <c r="D7" s="323">
        <v>0.25</v>
      </c>
      <c r="E7" s="323">
        <v>0.25</v>
      </c>
      <c r="F7" s="324">
        <v>0.25</v>
      </c>
      <c r="K7" s="693"/>
      <c r="L7" s="311" t="s">
        <v>325</v>
      </c>
      <c r="M7" s="314">
        <v>942</v>
      </c>
      <c r="N7" s="314">
        <v>2646</v>
      </c>
      <c r="O7" s="314"/>
      <c r="P7" s="314">
        <v>2786</v>
      </c>
      <c r="Q7" s="314">
        <v>4644</v>
      </c>
    </row>
    <row r="8" spans="1:17">
      <c r="A8" s="322" t="s">
        <v>326</v>
      </c>
      <c r="B8" s="325">
        <f>B6+B5</f>
        <v>100448</v>
      </c>
      <c r="C8" s="325">
        <f t="shared" ref="C8:F8" si="0">C6+C5</f>
        <v>119224</v>
      </c>
      <c r="D8" s="325">
        <f t="shared" si="0"/>
        <v>108412</v>
      </c>
      <c r="E8" s="325">
        <f t="shared" ref="E8" si="1">E6+E5</f>
        <v>133999</v>
      </c>
      <c r="F8" s="326">
        <f t="shared" si="0"/>
        <v>195276</v>
      </c>
      <c r="K8" s="693"/>
      <c r="L8" s="311" t="s">
        <v>327</v>
      </c>
      <c r="M8" s="315">
        <v>0</v>
      </c>
      <c r="N8" s="315">
        <v>0</v>
      </c>
      <c r="O8" s="315"/>
      <c r="P8" s="315">
        <v>0</v>
      </c>
      <c r="Q8" s="315">
        <v>0</v>
      </c>
    </row>
    <row r="9" spans="1:17" ht="18.75" thickBot="1">
      <c r="A9" s="327" t="s">
        <v>328</v>
      </c>
      <c r="B9" s="328">
        <f>IFERROR(((B5/B8)*B3)+((B6/B8))*(B4*(1-B7)),"-")</f>
        <v>0.1875</v>
      </c>
      <c r="C9" s="328">
        <f t="shared" ref="C9:F9" si="2">IFERROR(((C5/C8)*C3)+((C6/C8))*(C4*(1-C7)),"-")</f>
        <v>0.1875</v>
      </c>
      <c r="D9" s="328">
        <f t="shared" si="2"/>
        <v>0.1875</v>
      </c>
      <c r="E9" s="328">
        <f t="shared" ref="E9" si="3">IFERROR(((E5/E8)*E3)+((E6/E8))*(E4*(1-E7)),"-")</f>
        <v>0.1875</v>
      </c>
      <c r="F9" s="329">
        <f t="shared" si="2"/>
        <v>0.1875</v>
      </c>
      <c r="K9" s="694"/>
      <c r="L9" s="311" t="s">
        <v>329</v>
      </c>
      <c r="M9" s="316" t="s">
        <v>270</v>
      </c>
      <c r="N9" s="316">
        <f t="shared" ref="N9" si="4">((N7/M7)-1)*100</f>
        <v>180.89171974522293</v>
      </c>
      <c r="O9" s="316"/>
      <c r="P9" s="316">
        <f>((P7/N7)-1)*100</f>
        <v>5.2910052910053018</v>
      </c>
      <c r="Q9" s="316">
        <f>((Q7/P7)-1)*100</f>
        <v>66.690595836324491</v>
      </c>
    </row>
  </sheetData>
  <mergeCells count="10">
    <mergeCell ref="B1:F1"/>
    <mergeCell ref="M3:Q3"/>
    <mergeCell ref="K4:K5"/>
    <mergeCell ref="L4:L5"/>
    <mergeCell ref="K6:K9"/>
    <mergeCell ref="M4:M5"/>
    <mergeCell ref="N4:N5"/>
    <mergeCell ref="O4:O5"/>
    <mergeCell ref="P4:P5"/>
    <mergeCell ref="Q4:Q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V249"/>
  <sheetViews>
    <sheetView rightToLeft="1" topLeftCell="B1" zoomScale="110" zoomScaleNormal="110" workbookViewId="0">
      <selection activeCell="F21" sqref="F21"/>
    </sheetView>
  </sheetViews>
  <sheetFormatPr defaultColWidth="6.7109375" defaultRowHeight="12.75"/>
  <cols>
    <col min="1" max="1" width="1.28515625" style="1" customWidth="1"/>
    <col min="2" max="2" width="30.7109375" style="1" customWidth="1"/>
    <col min="3" max="3" width="1.7109375" style="1" customWidth="1"/>
    <col min="4" max="4" width="7.7109375" style="1" customWidth="1"/>
    <col min="5" max="5" width="1.7109375" style="1" customWidth="1"/>
    <col min="6" max="6" width="15.7109375" style="1" customWidth="1"/>
    <col min="7" max="7" width="1.7109375" style="1" customWidth="1"/>
    <col min="8" max="8" width="16.140625" style="94" customWidth="1"/>
    <col min="9" max="9" width="1.7109375" style="93" customWidth="1"/>
    <col min="10" max="10" width="16.140625" style="93" customWidth="1"/>
    <col min="11" max="11" width="1.28515625" style="1" customWidth="1"/>
    <col min="12" max="12" width="1.7109375" style="1" customWidth="1"/>
    <col min="13" max="13" width="13.140625" style="1" bestFit="1" customWidth="1"/>
    <col min="14" max="14" width="17.28515625" style="1" customWidth="1"/>
    <col min="15" max="15" width="13.28515625" style="1" customWidth="1"/>
    <col min="16" max="16" width="2.28515625" style="1" customWidth="1"/>
    <col min="17" max="17" width="14.7109375" style="1" customWidth="1"/>
    <col min="18" max="18" width="1.7109375" style="1" customWidth="1"/>
    <col min="19" max="19" width="17.140625" style="1" customWidth="1"/>
    <col min="20" max="20" width="6.7109375" style="1"/>
    <col min="21" max="21" width="12.42578125" style="1" customWidth="1"/>
    <col min="22" max="22" width="19.7109375" style="1" customWidth="1"/>
    <col min="23" max="23" width="1.7109375" style="1" customWidth="1"/>
    <col min="24" max="24" width="13" style="1" customWidth="1"/>
    <col min="25" max="25" width="6.85546875" style="1" bestFit="1" customWidth="1"/>
    <col min="26" max="16384" width="6.7109375" style="1"/>
  </cols>
  <sheetData>
    <row r="1" spans="2:20" ht="18.75">
      <c r="B1" s="11"/>
      <c r="C1" s="6"/>
      <c r="D1" s="6"/>
      <c r="E1" s="6"/>
      <c r="F1" s="6"/>
      <c r="G1" s="6"/>
      <c r="H1" s="155"/>
      <c r="I1" s="153"/>
      <c r="J1" s="153"/>
      <c r="L1" s="22"/>
      <c r="M1" s="45">
        <f>+M8+BS!Q1</f>
        <v>0</v>
      </c>
      <c r="N1" s="146"/>
    </row>
    <row r="2" spans="2:20" ht="21.95" customHeight="1">
      <c r="B2" s="552" t="s">
        <v>32</v>
      </c>
      <c r="C2" s="552"/>
      <c r="D2" s="552"/>
      <c r="E2" s="552"/>
      <c r="F2" s="552"/>
      <c r="G2" s="552"/>
      <c r="H2" s="552"/>
      <c r="I2" s="552"/>
      <c r="J2" s="552"/>
      <c r="K2" s="45"/>
      <c r="L2" s="146"/>
      <c r="M2" s="146"/>
      <c r="N2" s="146"/>
      <c r="O2" s="45"/>
      <c r="P2" s="45"/>
      <c r="Q2" s="45"/>
      <c r="R2" s="45"/>
    </row>
    <row r="3" spans="2:20" ht="17.45" customHeight="1">
      <c r="B3" s="553" t="s">
        <v>134</v>
      </c>
      <c r="C3" s="553"/>
      <c r="D3" s="553"/>
      <c r="E3" s="553"/>
      <c r="F3" s="553"/>
      <c r="G3" s="553"/>
      <c r="H3" s="553"/>
      <c r="I3" s="553"/>
      <c r="J3" s="553"/>
      <c r="L3" s="146"/>
      <c r="M3" s="146"/>
      <c r="N3" s="146"/>
      <c r="O3" s="45"/>
      <c r="P3" s="45"/>
      <c r="Q3" s="45"/>
      <c r="R3" s="45"/>
      <c r="S3" s="45"/>
    </row>
    <row r="4" spans="2:20" ht="17.45" customHeight="1" thickBot="1">
      <c r="B4" s="554" t="s">
        <v>133</v>
      </c>
      <c r="C4" s="554"/>
      <c r="D4" s="554"/>
      <c r="E4" s="554"/>
      <c r="F4" s="554"/>
      <c r="G4" s="554"/>
      <c r="H4" s="554"/>
      <c r="I4" s="554"/>
      <c r="J4" s="554"/>
      <c r="L4" s="146"/>
      <c r="M4" s="146"/>
      <c r="N4" s="146"/>
      <c r="O4" s="45"/>
      <c r="P4" s="45"/>
      <c r="Q4" s="45"/>
      <c r="R4" s="45"/>
      <c r="S4" s="45"/>
    </row>
    <row r="5" spans="2:20" ht="15" customHeight="1">
      <c r="B5" s="47"/>
      <c r="C5" s="47"/>
      <c r="D5" s="47"/>
      <c r="E5" s="47"/>
      <c r="F5" s="47"/>
      <c r="G5" s="47"/>
      <c r="H5" s="154"/>
      <c r="I5" s="153"/>
      <c r="J5" s="46"/>
      <c r="L5" s="146"/>
      <c r="M5" s="146"/>
      <c r="N5" s="146"/>
      <c r="O5" s="45"/>
      <c r="P5" s="45"/>
      <c r="Q5" s="45"/>
      <c r="R5" s="45"/>
      <c r="S5" s="45"/>
    </row>
    <row r="6" spans="2:20" ht="26.25" customHeight="1">
      <c r="B6" s="44" t="s">
        <v>29</v>
      </c>
      <c r="C6" s="42"/>
      <c r="D6" s="43" t="s">
        <v>28</v>
      </c>
      <c r="E6" s="42"/>
      <c r="F6" s="558" t="s">
        <v>27</v>
      </c>
      <c r="G6" s="558"/>
      <c r="H6" s="558"/>
      <c r="I6" s="152"/>
      <c r="J6" s="151" t="s">
        <v>26</v>
      </c>
      <c r="L6" s="146"/>
      <c r="M6" s="146"/>
      <c r="N6" s="146"/>
      <c r="O6" s="45"/>
      <c r="P6" s="45"/>
      <c r="Q6" s="45"/>
      <c r="R6" s="45"/>
      <c r="S6" s="45"/>
    </row>
    <row r="7" spans="2:20" ht="17.100000000000001" customHeight="1">
      <c r="B7" s="6"/>
      <c r="C7" s="6"/>
      <c r="D7" s="39"/>
      <c r="E7" s="6"/>
      <c r="F7" s="36" t="s">
        <v>25</v>
      </c>
      <c r="G7" s="31"/>
      <c r="H7" s="150" t="s">
        <v>25</v>
      </c>
      <c r="I7" s="129"/>
      <c r="J7" s="149" t="s">
        <v>25</v>
      </c>
      <c r="K7" s="22"/>
      <c r="L7" s="146"/>
      <c r="O7" s="45"/>
      <c r="P7" s="45"/>
      <c r="Q7" s="45"/>
      <c r="R7" s="45"/>
      <c r="S7" s="45"/>
    </row>
    <row r="8" spans="2:20" ht="18.95" customHeight="1">
      <c r="B8" s="11" t="s">
        <v>132</v>
      </c>
      <c r="C8" s="6"/>
      <c r="D8" s="7">
        <v>27</v>
      </c>
      <c r="E8" s="6"/>
      <c r="F8" s="34" t="e">
        <f>-SUMIF([1]trz!$J$11:$J$66,D8,[1]trz!$I$11:$I$66)</f>
        <v>#VALUE!</v>
      </c>
      <c r="G8" s="30"/>
      <c r="H8" s="34"/>
      <c r="I8" s="129"/>
      <c r="J8" s="34">
        <v>7218576</v>
      </c>
      <c r="K8" s="22"/>
      <c r="L8" s="146"/>
      <c r="M8" s="45">
        <f>F9-F13-F18-F22-F30</f>
        <v>-3136165</v>
      </c>
      <c r="P8" s="45"/>
      <c r="Q8" s="128" t="e">
        <f>F8</f>
        <v>#VALUE!</v>
      </c>
      <c r="R8" s="45"/>
      <c r="S8" s="45"/>
    </row>
    <row r="9" spans="2:20" ht="18.95" customHeight="1">
      <c r="B9" s="11" t="s">
        <v>131</v>
      </c>
      <c r="C9" s="6"/>
      <c r="D9" s="7">
        <v>18</v>
      </c>
      <c r="E9" s="6"/>
      <c r="F9" s="137">
        <f>-([1]ذف!R18)</f>
        <v>-4533223</v>
      </c>
      <c r="G9" s="30"/>
      <c r="H9" s="137"/>
      <c r="I9" s="129"/>
      <c r="J9" s="137">
        <v>-4147254</v>
      </c>
      <c r="K9" s="22"/>
      <c r="L9" s="146"/>
      <c r="M9" s="45">
        <f>H9-H13-H18-H22-H30</f>
        <v>0</v>
      </c>
      <c r="P9" s="45"/>
      <c r="Q9" s="138">
        <f>F9</f>
        <v>-4533223</v>
      </c>
      <c r="R9" s="45"/>
      <c r="S9" s="45"/>
    </row>
    <row r="10" spans="2:20" ht="18.95" customHeight="1">
      <c r="B10" s="114" t="s">
        <v>130</v>
      </c>
      <c r="C10" s="6"/>
      <c r="D10" s="7"/>
      <c r="E10" s="6"/>
      <c r="G10" s="30"/>
      <c r="H10" s="148" t="e">
        <f>+F8+F9</f>
        <v>#VALUE!</v>
      </c>
      <c r="I10" s="129"/>
      <c r="J10" s="148">
        <f>+J8+J9</f>
        <v>3071322</v>
      </c>
      <c r="K10" s="22"/>
      <c r="L10" s="146"/>
      <c r="M10" s="45"/>
      <c r="P10" s="45"/>
      <c r="Q10" s="147" t="e">
        <f>H10</f>
        <v>#VALUE!</v>
      </c>
      <c r="R10" s="45"/>
      <c r="S10" s="45"/>
    </row>
    <row r="11" spans="2:20" ht="9.9499999999999993" customHeight="1">
      <c r="B11" s="114"/>
      <c r="C11" s="6"/>
      <c r="D11" s="7"/>
      <c r="E11" s="6"/>
      <c r="F11" s="34"/>
      <c r="G11" s="30"/>
      <c r="H11" s="34"/>
      <c r="I11" s="129"/>
      <c r="J11" s="34"/>
      <c r="K11" s="22"/>
      <c r="L11" s="146"/>
      <c r="M11" s="45"/>
      <c r="P11" s="45"/>
      <c r="Q11" s="128"/>
      <c r="R11" s="45"/>
      <c r="S11" s="45"/>
    </row>
    <row r="12" spans="2:20" ht="18.95" customHeight="1">
      <c r="B12" s="11" t="s">
        <v>129</v>
      </c>
      <c r="C12" s="6"/>
      <c r="D12" s="7">
        <v>28</v>
      </c>
      <c r="E12" s="6"/>
      <c r="F12" s="109" t="e">
        <f>SUMIF([1]trz!$J$11:$J$66,D12,[1]trz!$I$11:$I$66)</f>
        <v>#VALUE!</v>
      </c>
      <c r="G12" s="30"/>
      <c r="H12" s="34"/>
      <c r="I12" s="129"/>
      <c r="J12" s="109">
        <v>2223190</v>
      </c>
      <c r="K12" s="22"/>
      <c r="L12" s="112"/>
      <c r="M12" s="45" t="e">
        <f>+F8-F12</f>
        <v>#VALUE!</v>
      </c>
      <c r="P12" s="45"/>
      <c r="Q12" s="126" t="e">
        <f>F12</f>
        <v>#VALUE!</v>
      </c>
      <c r="R12" s="45"/>
      <c r="S12" s="45"/>
      <c r="T12" s="45"/>
    </row>
    <row r="13" spans="2:20" ht="18.95" customHeight="1">
      <c r="B13" s="11" t="s">
        <v>128</v>
      </c>
      <c r="C13" s="6"/>
      <c r="D13" s="7">
        <v>18</v>
      </c>
      <c r="E13" s="6"/>
      <c r="F13" s="145">
        <f>-([1]ذف!Q18)</f>
        <v>-1876635</v>
      </c>
      <c r="G13" s="30"/>
      <c r="H13" s="137"/>
      <c r="I13" s="129"/>
      <c r="J13" s="103">
        <v>-1745136</v>
      </c>
      <c r="K13" s="22"/>
      <c r="L13" s="112"/>
      <c r="M13" s="45"/>
      <c r="P13" s="45"/>
      <c r="Q13" s="125">
        <f>F13</f>
        <v>-1876635</v>
      </c>
      <c r="R13" s="45"/>
      <c r="S13" s="45"/>
      <c r="T13" s="45"/>
    </row>
    <row r="14" spans="2:20" ht="18.95" customHeight="1">
      <c r="B14" s="11" t="s">
        <v>127</v>
      </c>
      <c r="C14" s="6"/>
      <c r="D14" s="140"/>
      <c r="E14" s="6"/>
      <c r="G14" s="30"/>
      <c r="H14" s="137" t="e">
        <f>-F13-F12</f>
        <v>#VALUE!</v>
      </c>
      <c r="I14" s="129"/>
      <c r="J14" s="137">
        <f>-J13-J12</f>
        <v>-478054</v>
      </c>
      <c r="K14" s="22"/>
      <c r="L14" s="112"/>
      <c r="M14" s="45"/>
      <c r="P14" s="45"/>
      <c r="Q14" s="138" t="e">
        <f>H14</f>
        <v>#VALUE!</v>
      </c>
      <c r="R14" s="45"/>
      <c r="S14" s="45"/>
      <c r="T14" s="45"/>
    </row>
    <row r="15" spans="2:20" ht="18.95" customHeight="1">
      <c r="B15" s="8" t="s">
        <v>126</v>
      </c>
      <c r="C15" s="6"/>
      <c r="D15" s="140"/>
      <c r="E15" s="6"/>
      <c r="G15" s="30"/>
      <c r="H15" s="144" t="e">
        <f>+H14+H10</f>
        <v>#VALUE!</v>
      </c>
      <c r="I15" s="129"/>
      <c r="J15" s="144">
        <f>+J14+J10</f>
        <v>2593268</v>
      </c>
      <c r="K15" s="22"/>
      <c r="L15" s="112"/>
      <c r="M15" s="45" t="e">
        <f>F8-F21-F27</f>
        <v>#VALUE!</v>
      </c>
      <c r="P15" s="45"/>
      <c r="Q15" s="143" t="e">
        <f>H15</f>
        <v>#VALUE!</v>
      </c>
      <c r="R15" s="45"/>
      <c r="S15" s="45"/>
      <c r="T15" s="45"/>
    </row>
    <row r="16" spans="2:20" ht="9.9499999999999993" customHeight="1">
      <c r="B16" s="8"/>
      <c r="C16" s="6"/>
      <c r="D16" s="140"/>
      <c r="E16" s="6"/>
      <c r="F16" s="34"/>
      <c r="G16" s="30"/>
      <c r="H16" s="34"/>
      <c r="I16" s="129"/>
      <c r="J16" s="34"/>
      <c r="K16" s="22"/>
      <c r="L16" s="112"/>
      <c r="O16" s="45"/>
      <c r="P16" s="45"/>
      <c r="Q16" s="128"/>
      <c r="R16" s="45"/>
      <c r="S16" s="45"/>
      <c r="T16" s="45"/>
    </row>
    <row r="17" spans="2:22" ht="18.95" customHeight="1">
      <c r="B17" s="11" t="s">
        <v>125</v>
      </c>
      <c r="C17" s="6"/>
      <c r="D17" s="7">
        <v>29</v>
      </c>
      <c r="E17" s="6"/>
      <c r="F17" s="109" t="e">
        <f>SUMIF([1]trz!$J$11:$J$66,D17,[1]trz!$I$11:$I$66)</f>
        <v>#VALUE!</v>
      </c>
      <c r="G17" s="30"/>
      <c r="H17" s="34"/>
      <c r="I17" s="129"/>
      <c r="J17" s="109">
        <v>2410509</v>
      </c>
      <c r="K17" s="22"/>
      <c r="L17" s="112"/>
      <c r="O17" s="45"/>
      <c r="P17" s="45"/>
      <c r="Q17" s="126" t="e">
        <f>F17</f>
        <v>#VALUE!</v>
      </c>
      <c r="R17" s="45"/>
      <c r="S17" s="45"/>
      <c r="T17" s="45"/>
    </row>
    <row r="18" spans="2:22" ht="18.95" customHeight="1">
      <c r="B18" s="11" t="s">
        <v>124</v>
      </c>
      <c r="C18" s="6"/>
      <c r="D18" s="7">
        <v>19</v>
      </c>
      <c r="E18" s="6"/>
      <c r="F18" s="34">
        <f>+[1]ذف!R94</f>
        <v>383843</v>
      </c>
      <c r="G18" s="30"/>
      <c r="H18" s="34"/>
      <c r="I18" s="129"/>
      <c r="J18" s="142">
        <v>232524</v>
      </c>
      <c r="K18" s="22"/>
      <c r="L18" s="112"/>
      <c r="O18" s="45"/>
      <c r="P18" s="45"/>
      <c r="Q18" s="141">
        <f>F18</f>
        <v>383843</v>
      </c>
      <c r="R18" s="45"/>
      <c r="S18" s="45"/>
      <c r="T18" s="45"/>
    </row>
    <row r="19" spans="2:22" ht="18.95" customHeight="1">
      <c r="B19" s="11" t="s">
        <v>123</v>
      </c>
      <c r="C19" s="6"/>
      <c r="D19" s="140"/>
      <c r="E19" s="6"/>
      <c r="G19" s="30"/>
      <c r="H19" s="137" t="e">
        <f>-F18-F17</f>
        <v>#VALUE!</v>
      </c>
      <c r="I19" s="129"/>
      <c r="J19" s="137">
        <f>-J18-J17</f>
        <v>-2643033</v>
      </c>
      <c r="K19" s="22"/>
      <c r="L19" s="112"/>
      <c r="O19" s="45"/>
      <c r="P19" s="45"/>
      <c r="Q19" s="138" t="e">
        <f>H19</f>
        <v>#VALUE!</v>
      </c>
      <c r="R19" s="45"/>
      <c r="S19" s="45"/>
      <c r="T19" s="45"/>
    </row>
    <row r="20" spans="2:22" ht="9.9499999999999993" customHeight="1">
      <c r="B20" s="11"/>
      <c r="C20" s="6"/>
      <c r="D20" s="140"/>
      <c r="E20" s="6"/>
      <c r="F20" s="34"/>
      <c r="G20" s="30"/>
      <c r="H20" s="34"/>
      <c r="I20" s="129"/>
      <c r="J20" s="34"/>
      <c r="K20" s="22"/>
      <c r="L20" s="112"/>
      <c r="O20" s="45"/>
      <c r="P20" s="45"/>
      <c r="Q20" s="128"/>
      <c r="R20" s="45"/>
      <c r="S20" s="45"/>
      <c r="T20" s="45"/>
    </row>
    <row r="21" spans="2:22" ht="18.95" customHeight="1">
      <c r="B21" s="11" t="s">
        <v>122</v>
      </c>
      <c r="C21" s="6"/>
      <c r="D21" s="7">
        <v>30</v>
      </c>
      <c r="E21" s="6"/>
      <c r="F21" s="105" t="e">
        <f>SUMIF([1]trz!$J$11:$J$66,D21,[1]trz!$I$11:$I$66)</f>
        <v>#VALUE!</v>
      </c>
      <c r="G21" s="30"/>
      <c r="H21" s="34"/>
      <c r="I21" s="129"/>
      <c r="J21" s="105">
        <v>-508987</v>
      </c>
      <c r="K21" s="22"/>
      <c r="L21" s="112"/>
      <c r="O21" s="45"/>
      <c r="P21" s="45"/>
      <c r="Q21" s="139" t="e">
        <f>F21</f>
        <v>#VALUE!</v>
      </c>
      <c r="R21" s="45"/>
      <c r="S21" s="45"/>
      <c r="T21" s="45"/>
    </row>
    <row r="22" spans="2:22" ht="18.95" customHeight="1">
      <c r="B22" s="11" t="s">
        <v>121</v>
      </c>
      <c r="C22" s="6"/>
      <c r="D22" s="7">
        <v>19</v>
      </c>
      <c r="E22" s="6"/>
      <c r="F22" s="103">
        <f>-([1]ذف!Q94)</f>
        <v>-75703</v>
      </c>
      <c r="G22" s="30"/>
      <c r="H22" s="34"/>
      <c r="I22" s="129"/>
      <c r="J22" s="103">
        <v>65426</v>
      </c>
      <c r="K22" s="22"/>
      <c r="L22" s="112"/>
      <c r="O22" s="45"/>
      <c r="P22" s="45"/>
      <c r="Q22" s="125">
        <f>F22</f>
        <v>-75703</v>
      </c>
      <c r="R22" s="45"/>
      <c r="S22" s="45"/>
      <c r="T22" s="45"/>
    </row>
    <row r="23" spans="2:22" ht="18.95" customHeight="1">
      <c r="B23" s="11" t="s">
        <v>120</v>
      </c>
      <c r="C23" s="6"/>
      <c r="D23" s="7"/>
      <c r="E23" s="6"/>
      <c r="G23" s="30"/>
      <c r="H23" s="137" t="e">
        <f>-F22-F21</f>
        <v>#VALUE!</v>
      </c>
      <c r="I23" s="129"/>
      <c r="J23" s="137">
        <f>-J22-J21</f>
        <v>443561</v>
      </c>
      <c r="K23" s="22"/>
      <c r="L23" s="112"/>
      <c r="O23" s="45"/>
      <c r="P23" s="45"/>
      <c r="Q23" s="138" t="e">
        <f>H23</f>
        <v>#VALUE!</v>
      </c>
      <c r="R23" s="45"/>
      <c r="S23" s="45"/>
      <c r="T23" s="45"/>
    </row>
    <row r="24" spans="2:22" ht="18.95" customHeight="1">
      <c r="B24" s="8" t="s">
        <v>119</v>
      </c>
      <c r="C24" s="6"/>
      <c r="D24" s="7"/>
      <c r="E24" s="6"/>
      <c r="G24" s="30"/>
      <c r="H24" s="137" t="e">
        <f>+H23+H19</f>
        <v>#VALUE!</v>
      </c>
      <c r="I24" s="129"/>
      <c r="J24" s="26">
        <f>+J23+J19</f>
        <v>-2199472</v>
      </c>
      <c r="K24" s="22"/>
      <c r="L24" s="112"/>
      <c r="O24" s="45"/>
      <c r="P24" s="45"/>
      <c r="Q24" s="136" t="e">
        <f>H24</f>
        <v>#VALUE!</v>
      </c>
      <c r="R24" s="45"/>
      <c r="S24" s="45"/>
      <c r="T24" s="45"/>
    </row>
    <row r="25" spans="2:22" ht="9.9499999999999993" customHeight="1">
      <c r="B25" s="8"/>
      <c r="C25" s="6"/>
      <c r="D25" s="7"/>
      <c r="E25" s="6"/>
      <c r="F25" s="34"/>
      <c r="G25" s="30"/>
      <c r="H25" s="34"/>
      <c r="I25" s="129"/>
      <c r="J25" s="34"/>
      <c r="K25" s="22"/>
      <c r="L25" s="112"/>
      <c r="O25" s="45"/>
      <c r="P25" s="45"/>
      <c r="Q25" s="128"/>
      <c r="R25" s="45"/>
      <c r="S25" s="45"/>
      <c r="T25" s="45"/>
    </row>
    <row r="26" spans="2:22" ht="18.95" customHeight="1">
      <c r="B26" s="11" t="s">
        <v>118</v>
      </c>
      <c r="C26" s="6"/>
      <c r="D26" s="7">
        <v>31</v>
      </c>
      <c r="E26" s="6"/>
      <c r="F26" s="109" t="e">
        <f>SUMIF([1]trz!$J$11:$J$66,D26,[1]trz!$I$11:$I$66)</f>
        <v>#VALUE!</v>
      </c>
      <c r="G26" s="30"/>
      <c r="H26" s="34"/>
      <c r="I26" s="129"/>
      <c r="J26" s="109">
        <v>923290</v>
      </c>
      <c r="K26" s="22"/>
      <c r="L26" s="112"/>
      <c r="O26" s="45"/>
      <c r="P26" s="45"/>
      <c r="Q26" s="126" t="e">
        <f>F26</f>
        <v>#VALUE!</v>
      </c>
      <c r="R26" s="45"/>
      <c r="S26" s="45"/>
    </row>
    <row r="27" spans="2:22" ht="18.95" customHeight="1">
      <c r="B27" s="11" t="s">
        <v>117</v>
      </c>
      <c r="C27" s="6"/>
      <c r="D27" s="7">
        <v>32</v>
      </c>
      <c r="E27" s="6"/>
      <c r="F27" s="103" t="e">
        <f>SUMIF([1]trz!$J$11:$J$66,D27,[1]trz!$I$11:$I$66)</f>
        <v>#VALUE!</v>
      </c>
      <c r="G27" s="30"/>
      <c r="H27" s="34"/>
      <c r="I27" s="129"/>
      <c r="J27" s="103">
        <v>-297512</v>
      </c>
      <c r="K27" s="22"/>
      <c r="L27" s="112"/>
      <c r="O27" s="45"/>
      <c r="P27" s="45"/>
      <c r="Q27" s="125" t="e">
        <f>F27</f>
        <v>#VALUE!</v>
      </c>
      <c r="R27" s="45"/>
      <c r="S27" s="45"/>
    </row>
    <row r="28" spans="2:22" ht="18.95" customHeight="1">
      <c r="B28" s="114" t="s">
        <v>116</v>
      </c>
      <c r="C28" s="6"/>
      <c r="D28" s="7"/>
      <c r="E28" s="6"/>
      <c r="G28" s="30"/>
      <c r="H28" s="75" t="e">
        <f>-F27-F26</f>
        <v>#VALUE!</v>
      </c>
      <c r="I28" s="129"/>
      <c r="J28" s="75">
        <f>-J27-J26</f>
        <v>-625778</v>
      </c>
      <c r="K28" s="22"/>
      <c r="L28" s="112"/>
      <c r="O28" s="45"/>
      <c r="P28" s="45"/>
      <c r="Q28" s="132" t="e">
        <f>H28</f>
        <v>#VALUE!</v>
      </c>
      <c r="R28" s="45"/>
      <c r="S28" s="45"/>
    </row>
    <row r="29" spans="2:22" ht="9.9499999999999993" customHeight="1">
      <c r="B29" s="114"/>
      <c r="C29" s="6"/>
      <c r="D29" s="7"/>
      <c r="E29" s="6"/>
      <c r="F29" s="75"/>
      <c r="G29" s="30"/>
      <c r="H29" s="75"/>
      <c r="I29" s="129"/>
      <c r="J29" s="75"/>
      <c r="K29" s="22"/>
      <c r="L29" s="112"/>
      <c r="O29" s="45"/>
      <c r="P29" s="45"/>
      <c r="Q29" s="132"/>
      <c r="R29" s="45"/>
      <c r="S29" s="45"/>
    </row>
    <row r="30" spans="2:22" ht="18.95" customHeight="1">
      <c r="B30" s="11" t="s">
        <v>115</v>
      </c>
      <c r="C30" s="6"/>
      <c r="D30" s="7">
        <v>20</v>
      </c>
      <c r="E30" s="6"/>
      <c r="F30" s="34">
        <f>+[1]ذف!P155</f>
        <v>171437</v>
      </c>
      <c r="G30" s="30"/>
      <c r="I30" s="129"/>
      <c r="J30" s="109">
        <v>114419</v>
      </c>
      <c r="K30" s="22"/>
      <c r="L30" s="112"/>
      <c r="O30" s="45"/>
      <c r="P30" s="45"/>
      <c r="Q30" s="126">
        <f>F30</f>
        <v>171437</v>
      </c>
      <c r="R30" s="45"/>
      <c r="S30" s="45"/>
      <c r="U30" s="1" t="s">
        <v>114</v>
      </c>
      <c r="V30" s="131">
        <f>+[1]trz!B142</f>
        <v>0</v>
      </c>
    </row>
    <row r="31" spans="2:22" ht="18.95" customHeight="1">
      <c r="B31" s="11" t="s">
        <v>113</v>
      </c>
      <c r="C31" s="6"/>
      <c r="D31" s="7">
        <v>33</v>
      </c>
      <c r="E31" s="6"/>
      <c r="F31" s="34" t="e">
        <f>SUMIF([1]trz!$J$11:$J$66,D31,[1]trz!$I$11:$I$66)</f>
        <v>#VALUE!</v>
      </c>
      <c r="G31" s="30"/>
      <c r="I31" s="129"/>
      <c r="J31" s="135">
        <v>208446</v>
      </c>
      <c r="K31" s="22"/>
      <c r="L31" s="112"/>
      <c r="O31" s="45"/>
      <c r="P31" s="45"/>
      <c r="Q31" s="134" t="e">
        <f>F31</f>
        <v>#VALUE!</v>
      </c>
      <c r="R31" s="45"/>
      <c r="S31" s="45"/>
      <c r="U31" s="1" t="s">
        <v>112</v>
      </c>
      <c r="V31" s="131">
        <f>+[1]trz!B143</f>
        <v>-1260967016099</v>
      </c>
    </row>
    <row r="32" spans="2:22" ht="18.95" customHeight="1">
      <c r="B32" s="11" t="s">
        <v>111</v>
      </c>
      <c r="C32" s="6"/>
      <c r="D32" s="7">
        <v>34</v>
      </c>
      <c r="E32" s="6"/>
      <c r="F32" s="103" t="e">
        <f>SUMIF([1]trz!$J$11:$J$66,D32,[1]trz!$I$11:$I$66)</f>
        <v>#VALUE!</v>
      </c>
      <c r="G32" s="30"/>
      <c r="I32" s="129"/>
      <c r="J32" s="103">
        <v>-3153</v>
      </c>
      <c r="K32" s="22"/>
      <c r="L32" s="112"/>
      <c r="M32" s="112"/>
      <c r="N32" s="112"/>
      <c r="O32" s="45"/>
      <c r="P32" s="45"/>
      <c r="Q32" s="133" t="e">
        <f>F32</f>
        <v>#VALUE!</v>
      </c>
      <c r="R32" s="45"/>
      <c r="S32" s="45"/>
      <c r="U32" s="1" t="s">
        <v>20</v>
      </c>
      <c r="V32" s="131">
        <f>+[1]trz!B144</f>
        <v>-135817137689</v>
      </c>
    </row>
    <row r="33" spans="2:22" ht="18.95" customHeight="1">
      <c r="B33" s="114" t="s">
        <v>110</v>
      </c>
      <c r="C33" s="6"/>
      <c r="D33" s="7"/>
      <c r="E33" s="6"/>
      <c r="G33" s="30"/>
      <c r="H33" s="75" t="e">
        <f>-SUM(F30:F32)</f>
        <v>#VALUE!</v>
      </c>
      <c r="I33" s="129"/>
      <c r="J33" s="75">
        <f>-SUM(J30:J32)</f>
        <v>-319712</v>
      </c>
      <c r="K33" s="22"/>
      <c r="L33" s="112"/>
      <c r="M33" s="112"/>
      <c r="N33" s="112"/>
      <c r="O33" s="45"/>
      <c r="P33" s="45"/>
      <c r="Q33" s="132" t="e">
        <f t="shared" ref="Q33:Q45" si="0">H33</f>
        <v>#VALUE!</v>
      </c>
      <c r="R33" s="45"/>
      <c r="S33" s="45"/>
      <c r="U33" s="1" t="s">
        <v>18</v>
      </c>
      <c r="V33" s="131">
        <f>+[1]trz!B145</f>
        <v>-239751873912</v>
      </c>
    </row>
    <row r="34" spans="2:22" ht="18.95" customHeight="1">
      <c r="B34" s="114" t="s">
        <v>109</v>
      </c>
      <c r="C34" s="6"/>
      <c r="D34" s="7">
        <v>35.1</v>
      </c>
      <c r="E34" s="6"/>
      <c r="G34" s="30"/>
      <c r="H34" s="130" t="e">
        <f>-SUMIF([1]trz!$J$11:$J$66,D34,[1]trz!$I$11:$I$66)</f>
        <v>#VALUE!</v>
      </c>
      <c r="I34" s="129"/>
      <c r="J34" s="34">
        <v>982731</v>
      </c>
      <c r="K34" s="22"/>
      <c r="L34" s="112"/>
      <c r="M34" s="112"/>
      <c r="N34" s="112"/>
      <c r="O34" s="45" t="e">
        <f>F34-H34</f>
        <v>#VALUE!</v>
      </c>
      <c r="P34" s="45"/>
      <c r="Q34" s="128" t="e">
        <f t="shared" si="0"/>
        <v>#VALUE!</v>
      </c>
      <c r="R34" s="45"/>
      <c r="S34" s="45"/>
    </row>
    <row r="35" spans="2:22" ht="18.95" customHeight="1">
      <c r="B35" s="114" t="s">
        <v>108</v>
      </c>
      <c r="C35" s="6"/>
      <c r="D35" s="7"/>
      <c r="E35" s="6"/>
      <c r="G35" s="30"/>
      <c r="H35" s="102" t="e">
        <f>H34+H33+H28+H24+H15</f>
        <v>#VALUE!</v>
      </c>
      <c r="I35" s="127"/>
      <c r="J35" s="123">
        <f>J34+J33+J28+J24+J15</f>
        <v>431037</v>
      </c>
      <c r="K35" s="30"/>
      <c r="L35" s="112"/>
      <c r="M35" s="112"/>
      <c r="N35" s="112"/>
      <c r="O35" s="45"/>
      <c r="P35" s="45"/>
      <c r="Q35" s="122" t="e">
        <f t="shared" si="0"/>
        <v>#VALUE!</v>
      </c>
      <c r="R35" s="45"/>
      <c r="S35" s="45"/>
    </row>
    <row r="36" spans="2:22" ht="18.95" customHeight="1">
      <c r="B36" s="8" t="s">
        <v>107</v>
      </c>
      <c r="C36" s="6"/>
      <c r="D36" s="7">
        <v>35.200000000000003</v>
      </c>
      <c r="E36" s="6"/>
      <c r="G36" s="30"/>
      <c r="H36" s="34" t="e">
        <f>-SUMIF([1]trz!$J$11:$J$66,D36,[1]trz!$I$11:$I$66)</f>
        <v>#VALUE!</v>
      </c>
      <c r="I36" s="127"/>
      <c r="J36" s="109">
        <v>132187</v>
      </c>
      <c r="K36" s="30"/>
      <c r="L36" s="112"/>
      <c r="M36" s="112"/>
      <c r="N36" s="112"/>
      <c r="O36" s="45" t="e">
        <f>F36-H36</f>
        <v>#VALUE!</v>
      </c>
      <c r="P36" s="45"/>
      <c r="Q36" s="126" t="e">
        <f t="shared" si="0"/>
        <v>#VALUE!</v>
      </c>
      <c r="R36" s="45"/>
      <c r="S36" s="45"/>
      <c r="U36" s="16"/>
    </row>
    <row r="37" spans="2:22" ht="18.95" customHeight="1">
      <c r="B37" s="114" t="s">
        <v>106</v>
      </c>
      <c r="D37" s="7">
        <v>36</v>
      </c>
      <c r="E37" s="6"/>
      <c r="G37" s="16"/>
      <c r="H37" s="75" t="e">
        <f>-SUMIF([1]trz!$J$11:$J$66,D37,[1]trz!$I$11:$I$66)</f>
        <v>#VALUE!</v>
      </c>
      <c r="I37" s="117"/>
      <c r="J37" s="103">
        <v>-494854</v>
      </c>
      <c r="K37" s="16"/>
      <c r="L37" s="112"/>
      <c r="M37" s="112"/>
      <c r="N37" s="112"/>
      <c r="O37" s="45"/>
      <c r="P37" s="45"/>
      <c r="Q37" s="125" t="e">
        <f t="shared" si="0"/>
        <v>#VALUE!</v>
      </c>
      <c r="R37" s="45"/>
      <c r="S37" s="45"/>
      <c r="U37" s="16"/>
    </row>
    <row r="38" spans="2:22" ht="18.95" customHeight="1">
      <c r="B38" s="114" t="s">
        <v>105</v>
      </c>
      <c r="D38" s="7"/>
      <c r="E38" s="6"/>
      <c r="G38" s="16"/>
      <c r="H38" s="111" t="e">
        <f>SUM(H35:H37)</f>
        <v>#VALUE!</v>
      </c>
      <c r="I38" s="117"/>
      <c r="J38" s="123">
        <f>SUM(J35:J37)</f>
        <v>68370</v>
      </c>
      <c r="K38" s="16"/>
      <c r="L38" s="112"/>
      <c r="M38" s="112"/>
      <c r="N38" s="112"/>
      <c r="O38" s="45"/>
      <c r="P38" s="45"/>
      <c r="Q38" s="122" t="e">
        <f t="shared" si="0"/>
        <v>#VALUE!</v>
      </c>
      <c r="R38" s="45"/>
      <c r="S38" s="45"/>
      <c r="U38" s="16"/>
    </row>
    <row r="39" spans="2:22" ht="18.95" customHeight="1">
      <c r="B39" s="114" t="s">
        <v>104</v>
      </c>
      <c r="C39" s="6"/>
      <c r="D39" s="7">
        <v>37</v>
      </c>
      <c r="E39" s="6"/>
      <c r="G39" s="16"/>
      <c r="H39" s="121" t="e">
        <f>-SUMIF([1]trz!$J$11:$J$66,D39,[1]trz!$I$11:$I$66)</f>
        <v>#VALUE!</v>
      </c>
      <c r="I39" s="117"/>
      <c r="J39" s="121">
        <v>132736</v>
      </c>
      <c r="K39" s="16"/>
      <c r="L39" s="112"/>
      <c r="M39" s="112"/>
      <c r="N39" s="112"/>
      <c r="O39" s="45"/>
      <c r="P39" s="45"/>
      <c r="Q39" s="124" t="e">
        <f t="shared" si="0"/>
        <v>#VALUE!</v>
      </c>
      <c r="R39" s="45"/>
      <c r="S39" s="45"/>
      <c r="U39" s="16"/>
    </row>
    <row r="40" spans="2:22" ht="18.95" customHeight="1">
      <c r="B40" s="114" t="s">
        <v>103</v>
      </c>
      <c r="D40" s="7"/>
      <c r="E40" s="6"/>
      <c r="G40" s="16"/>
      <c r="H40" s="111" t="e">
        <f>H38+H39</f>
        <v>#VALUE!</v>
      </c>
      <c r="I40" s="117"/>
      <c r="J40" s="123">
        <f>J38+J39</f>
        <v>201106</v>
      </c>
      <c r="K40" s="16"/>
      <c r="L40" s="112"/>
      <c r="M40" s="45"/>
      <c r="N40" s="112"/>
      <c r="O40" s="45"/>
      <c r="P40" s="45"/>
      <c r="Q40" s="122" t="e">
        <f t="shared" si="0"/>
        <v>#VALUE!</v>
      </c>
      <c r="R40" s="45"/>
      <c r="S40" s="45"/>
      <c r="U40" s="16"/>
    </row>
    <row r="41" spans="2:22" ht="18.95" customHeight="1">
      <c r="B41" s="114" t="s">
        <v>102</v>
      </c>
      <c r="C41" s="6"/>
      <c r="D41" s="7">
        <v>16</v>
      </c>
      <c r="E41" s="6"/>
      <c r="G41" s="16"/>
      <c r="H41" s="121">
        <f>-S41</f>
        <v>0</v>
      </c>
      <c r="I41" s="117"/>
      <c r="J41" s="120">
        <v>0</v>
      </c>
      <c r="K41" s="16"/>
      <c r="L41" s="112"/>
      <c r="M41" s="112"/>
      <c r="N41" s="112"/>
      <c r="O41" s="45"/>
      <c r="P41" s="45"/>
      <c r="Q41" s="119">
        <f t="shared" si="0"/>
        <v>0</v>
      </c>
      <c r="R41" s="45"/>
      <c r="S41" s="45"/>
      <c r="U41" s="16"/>
    </row>
    <row r="42" spans="2:22" ht="18.95" customHeight="1" thickBot="1">
      <c r="B42" s="114" t="s">
        <v>101</v>
      </c>
      <c r="D42" s="7"/>
      <c r="E42" s="6"/>
      <c r="G42" s="16"/>
      <c r="H42" s="118" t="e">
        <f>SUM(H40:H41)</f>
        <v>#VALUE!</v>
      </c>
      <c r="I42" s="117"/>
      <c r="J42" s="15">
        <f>SUM(J40:J41)</f>
        <v>201106</v>
      </c>
      <c r="K42" s="16"/>
      <c r="L42" s="112"/>
      <c r="M42" s="112"/>
      <c r="N42" s="112"/>
      <c r="O42" s="45"/>
      <c r="P42" s="45"/>
      <c r="Q42" s="116" t="e">
        <f t="shared" si="0"/>
        <v>#VALUE!</v>
      </c>
      <c r="R42" s="45"/>
      <c r="S42" s="45"/>
    </row>
    <row r="43" spans="2:22" ht="18.95" customHeight="1" thickTop="1">
      <c r="B43" s="114" t="s">
        <v>100</v>
      </c>
      <c r="D43" s="7"/>
      <c r="E43" s="6"/>
      <c r="G43" s="16"/>
      <c r="H43" s="111" t="e">
        <f>H38/1200</f>
        <v>#VALUE!</v>
      </c>
      <c r="I43" s="117"/>
      <c r="J43" s="24">
        <v>56.975000000000001</v>
      </c>
      <c r="K43" s="16"/>
      <c r="L43" s="112"/>
      <c r="M43" s="112"/>
      <c r="N43" s="112"/>
      <c r="O43" s="45"/>
      <c r="P43" s="45"/>
      <c r="Q43" s="115" t="e">
        <f t="shared" si="0"/>
        <v>#VALUE!</v>
      </c>
      <c r="R43" s="45"/>
      <c r="S43" s="45"/>
    </row>
    <row r="44" spans="2:22" ht="18.95" customHeight="1" thickBot="1">
      <c r="B44" s="114" t="s">
        <v>99</v>
      </c>
      <c r="D44" s="7"/>
      <c r="E44" s="6"/>
      <c r="G44" s="16"/>
      <c r="H44" s="101" t="e">
        <f>H45-H43</f>
        <v>#VALUE!</v>
      </c>
      <c r="I44" s="117"/>
      <c r="J44" s="15">
        <v>110.61333333333334</v>
      </c>
      <c r="K44" s="16"/>
      <c r="L44" s="112"/>
      <c r="M44" s="112"/>
      <c r="N44" s="112"/>
      <c r="O44" s="45"/>
      <c r="P44" s="45"/>
      <c r="Q44" s="116" t="e">
        <f t="shared" si="0"/>
        <v>#VALUE!</v>
      </c>
      <c r="R44" s="45"/>
      <c r="S44" s="45"/>
    </row>
    <row r="45" spans="2:22" ht="18.95" customHeight="1" thickTop="1">
      <c r="B45" s="114" t="s">
        <v>98</v>
      </c>
      <c r="D45" s="7"/>
      <c r="E45" s="6"/>
      <c r="H45" s="111" t="e">
        <f>H42/1200</f>
        <v>#VALUE!</v>
      </c>
      <c r="I45" s="106"/>
      <c r="J45" s="24">
        <v>167.58833333333334</v>
      </c>
      <c r="O45" s="45"/>
      <c r="P45" s="45"/>
      <c r="Q45" s="115" t="e">
        <f t="shared" si="0"/>
        <v>#VALUE!</v>
      </c>
      <c r="R45" s="45"/>
      <c r="S45" s="45"/>
    </row>
    <row r="46" spans="2:22" ht="18.95" customHeight="1">
      <c r="B46" s="114"/>
      <c r="D46" s="7"/>
      <c r="E46" s="6"/>
      <c r="H46" s="110"/>
      <c r="I46" s="106"/>
      <c r="J46" s="113"/>
      <c r="O46" s="45"/>
      <c r="P46" s="45"/>
      <c r="Q46" s="45"/>
      <c r="R46" s="45"/>
      <c r="S46" s="45"/>
    </row>
    <row r="47" spans="2:22" ht="25.5" thickBot="1">
      <c r="B47" s="567" t="s">
        <v>97</v>
      </c>
      <c r="C47" s="567"/>
      <c r="D47" s="567"/>
      <c r="E47" s="567"/>
      <c r="F47" s="567"/>
      <c r="G47" s="567"/>
      <c r="H47" s="567"/>
      <c r="I47" s="567"/>
      <c r="J47" s="567"/>
      <c r="L47" s="112"/>
      <c r="M47" s="112"/>
      <c r="N47" s="112"/>
      <c r="O47" s="45"/>
      <c r="P47" s="45"/>
      <c r="Q47" s="45"/>
      <c r="R47" s="45"/>
      <c r="S47" s="45"/>
    </row>
    <row r="48" spans="2:22" ht="18.95" customHeight="1">
      <c r="B48" s="8" t="s">
        <v>96</v>
      </c>
      <c r="D48" s="7"/>
      <c r="E48" s="6"/>
      <c r="G48" s="13"/>
      <c r="H48" s="111" t="e">
        <f>H42</f>
        <v>#VALUE!</v>
      </c>
      <c r="J48" s="110">
        <v>201106</v>
      </c>
      <c r="L48" s="22"/>
      <c r="M48" s="22"/>
      <c r="N48" s="22"/>
      <c r="O48" s="45"/>
      <c r="P48" s="45"/>
      <c r="Q48" s="45"/>
      <c r="R48" s="45"/>
      <c r="S48" s="45"/>
    </row>
    <row r="49" spans="2:19" ht="18.95" customHeight="1">
      <c r="B49" s="8" t="s">
        <v>95</v>
      </c>
      <c r="D49" s="7"/>
      <c r="E49" s="6"/>
      <c r="G49" s="13"/>
      <c r="H49" s="109">
        <f>J59</f>
        <v>434809</v>
      </c>
      <c r="J49" s="109">
        <v>334668</v>
      </c>
      <c r="L49" s="22"/>
      <c r="M49" s="22"/>
      <c r="N49" s="22"/>
      <c r="O49" s="45"/>
      <c r="P49" s="45"/>
      <c r="Q49" s="45"/>
      <c r="R49" s="45"/>
      <c r="S49" s="45"/>
    </row>
    <row r="50" spans="2:19" ht="18.95" customHeight="1">
      <c r="B50" s="8" t="s">
        <v>94</v>
      </c>
      <c r="C50" s="6"/>
      <c r="D50" s="7">
        <v>39</v>
      </c>
      <c r="E50" s="6"/>
      <c r="G50" s="13"/>
      <c r="H50" s="103" t="e">
        <f>+H51-H49</f>
        <v>#VALUE!</v>
      </c>
      <c r="J50" s="103">
        <v>0</v>
      </c>
      <c r="L50" s="22"/>
      <c r="M50" s="22"/>
      <c r="N50" s="22"/>
      <c r="O50" s="45"/>
      <c r="P50" s="45"/>
      <c r="Q50" s="45"/>
      <c r="R50" s="45"/>
      <c r="S50" s="45"/>
    </row>
    <row r="51" spans="2:19" ht="18.95" customHeight="1">
      <c r="B51" s="8" t="s">
        <v>93</v>
      </c>
      <c r="D51" s="7"/>
      <c r="E51" s="6"/>
      <c r="G51" s="13"/>
      <c r="H51" s="108" t="e">
        <f>-SUMIF([1]trz!$J$11:$J$66,D50,[1]trz!$I$11:$I$66)</f>
        <v>#VALUE!</v>
      </c>
      <c r="J51" s="108">
        <v>334668</v>
      </c>
      <c r="L51" s="22"/>
      <c r="M51" s="22"/>
      <c r="N51" s="22"/>
      <c r="O51" s="45"/>
      <c r="P51" s="45"/>
      <c r="Q51" s="45"/>
      <c r="R51" s="45"/>
      <c r="S51" s="45"/>
    </row>
    <row r="52" spans="2:19" ht="18.95" customHeight="1">
      <c r="B52" s="8" t="s">
        <v>92</v>
      </c>
      <c r="D52" s="7"/>
      <c r="E52" s="6"/>
      <c r="G52" s="13"/>
      <c r="H52" s="34" t="e">
        <f>+H51+H48</f>
        <v>#VALUE!</v>
      </c>
      <c r="J52" s="34">
        <v>535774</v>
      </c>
      <c r="L52" s="22"/>
      <c r="M52" s="22"/>
      <c r="N52" s="22"/>
      <c r="O52" s="45"/>
      <c r="P52" s="45"/>
      <c r="Q52" s="45"/>
      <c r="R52" s="45"/>
      <c r="S52" s="45"/>
    </row>
    <row r="53" spans="2:19" ht="12.75" customHeight="1">
      <c r="B53" s="107" t="s">
        <v>91</v>
      </c>
      <c r="D53" s="7"/>
      <c r="E53" s="6"/>
      <c r="G53" s="13"/>
      <c r="H53" s="106"/>
      <c r="J53" s="106"/>
      <c r="L53" s="22"/>
      <c r="M53" s="22"/>
      <c r="N53" s="22"/>
      <c r="O53" s="45"/>
      <c r="P53" s="45"/>
      <c r="Q53" s="45"/>
      <c r="R53" s="45"/>
      <c r="S53" s="45"/>
    </row>
    <row r="54" spans="2:19" ht="18.95" customHeight="1">
      <c r="B54" s="8" t="s">
        <v>38</v>
      </c>
      <c r="C54" s="6"/>
      <c r="D54" s="7">
        <v>25</v>
      </c>
      <c r="E54" s="6"/>
      <c r="F54" s="105">
        <v>0</v>
      </c>
      <c r="G54" s="13"/>
      <c r="J54" s="105">
        <v>-10055</v>
      </c>
      <c r="L54" s="22"/>
      <c r="M54" s="22"/>
      <c r="N54" s="22"/>
      <c r="O54" s="45"/>
      <c r="P54" s="45"/>
      <c r="Q54" s="45"/>
      <c r="R54" s="45"/>
      <c r="S54" s="45"/>
    </row>
    <row r="55" spans="2:19" ht="18.95" customHeight="1">
      <c r="B55" s="8" t="s">
        <v>37</v>
      </c>
      <c r="C55" s="6"/>
      <c r="D55" s="7">
        <v>26</v>
      </c>
      <c r="E55" s="6"/>
      <c r="F55" s="104">
        <v>0</v>
      </c>
      <c r="G55" s="13"/>
      <c r="J55" s="104">
        <v>-20110</v>
      </c>
      <c r="L55" s="22"/>
      <c r="M55" s="22"/>
      <c r="N55" s="22"/>
      <c r="O55" s="45"/>
      <c r="P55" s="45"/>
      <c r="Q55" s="45"/>
      <c r="R55" s="45"/>
      <c r="S55" s="45"/>
    </row>
    <row r="56" spans="2:19" ht="18.95" customHeight="1">
      <c r="B56" s="8" t="s">
        <v>90</v>
      </c>
      <c r="C56" s="6"/>
      <c r="D56" s="7"/>
      <c r="E56" s="6"/>
      <c r="F56" s="104">
        <v>0</v>
      </c>
      <c r="G56" s="13"/>
      <c r="H56" s="1"/>
      <c r="J56" s="28">
        <v>-34800</v>
      </c>
      <c r="L56" s="22"/>
      <c r="M56" s="22"/>
      <c r="N56" s="22"/>
      <c r="O56" s="45"/>
      <c r="P56" s="45"/>
      <c r="Q56" s="45"/>
      <c r="R56" s="45"/>
      <c r="S56" s="45"/>
    </row>
    <row r="57" spans="2:19" ht="18.95" customHeight="1">
      <c r="B57" s="8" t="s">
        <v>89</v>
      </c>
      <c r="D57" s="7"/>
      <c r="E57" s="6"/>
      <c r="F57" s="103">
        <v>0</v>
      </c>
      <c r="G57" s="13"/>
      <c r="J57" s="103">
        <v>-36000</v>
      </c>
      <c r="L57" s="22"/>
      <c r="M57" s="22"/>
      <c r="N57" s="22"/>
      <c r="O57" s="45"/>
      <c r="P57" s="45"/>
      <c r="Q57" s="45"/>
      <c r="R57" s="45"/>
      <c r="S57" s="45"/>
    </row>
    <row r="58" spans="2:19" ht="18.95" customHeight="1">
      <c r="B58" s="8"/>
      <c r="D58" s="7"/>
      <c r="E58" s="6"/>
      <c r="G58" s="13"/>
      <c r="H58" s="102">
        <f>SUM(F54:F57)</f>
        <v>0</v>
      </c>
      <c r="J58" s="102">
        <v>-100965</v>
      </c>
      <c r="L58" s="22"/>
      <c r="M58" s="22"/>
      <c r="N58" s="22"/>
      <c r="O58" s="45"/>
      <c r="P58" s="45"/>
      <c r="Q58" s="45"/>
    </row>
    <row r="59" spans="2:19" ht="18.95" customHeight="1" thickBot="1">
      <c r="B59" s="8" t="s">
        <v>88</v>
      </c>
      <c r="D59" s="7"/>
      <c r="E59" s="6"/>
      <c r="G59" s="13"/>
      <c r="H59" s="101" t="e">
        <f>+H58+H52</f>
        <v>#VALUE!</v>
      </c>
      <c r="J59" s="101">
        <v>434809</v>
      </c>
      <c r="L59" s="22"/>
      <c r="M59" s="22"/>
      <c r="N59" s="22"/>
      <c r="O59" s="45"/>
      <c r="P59" s="45"/>
      <c r="Q59" s="45"/>
    </row>
    <row r="60" spans="2:19" ht="12" customHeight="1" thickTop="1">
      <c r="B60" s="100"/>
      <c r="D60" s="7"/>
      <c r="F60" s="13"/>
      <c r="G60" s="13"/>
      <c r="H60" s="97"/>
      <c r="J60" s="99"/>
      <c r="L60" s="22"/>
      <c r="M60" s="22"/>
      <c r="N60" s="22"/>
      <c r="O60" s="45"/>
      <c r="P60" s="45"/>
      <c r="Q60" s="45"/>
    </row>
    <row r="61" spans="2:19" ht="16.5" customHeight="1">
      <c r="B61" s="100"/>
      <c r="D61" s="7"/>
      <c r="F61" s="13"/>
      <c r="G61" s="13"/>
      <c r="H61" s="97"/>
      <c r="J61" s="99"/>
      <c r="L61" s="22"/>
      <c r="M61" s="22"/>
      <c r="N61" s="22"/>
      <c r="O61" s="45"/>
      <c r="P61" s="45"/>
      <c r="Q61" s="45"/>
    </row>
    <row r="62" spans="2:19" ht="12" customHeight="1">
      <c r="B62" s="565" t="s">
        <v>0</v>
      </c>
      <c r="C62" s="566"/>
      <c r="D62" s="566"/>
      <c r="E62" s="566"/>
      <c r="F62" s="566"/>
      <c r="G62" s="566"/>
      <c r="H62" s="566"/>
      <c r="I62" s="566"/>
      <c r="J62" s="566"/>
      <c r="L62" s="22"/>
      <c r="M62" s="22"/>
      <c r="N62" s="22"/>
      <c r="O62" s="45"/>
      <c r="P62" s="45"/>
      <c r="Q62" s="45"/>
    </row>
    <row r="63" spans="2:19" ht="25.5" customHeight="1">
      <c r="B63" s="564">
        <v>-5</v>
      </c>
      <c r="C63" s="564"/>
      <c r="D63" s="564"/>
      <c r="E63" s="564"/>
      <c r="F63" s="564"/>
      <c r="G63" s="564"/>
      <c r="H63" s="564"/>
      <c r="I63" s="564"/>
      <c r="J63" s="564"/>
      <c r="K63" s="564"/>
      <c r="L63" s="22"/>
      <c r="M63" s="22"/>
      <c r="N63" s="22"/>
      <c r="O63" s="45"/>
      <c r="P63" s="45"/>
      <c r="Q63" s="45"/>
    </row>
    <row r="64" spans="2:19" ht="18" customHeight="1">
      <c r="D64" s="7"/>
      <c r="P64" s="45"/>
      <c r="Q64" s="45"/>
    </row>
    <row r="65" spans="4:17" ht="15.75">
      <c r="Q65" s="45"/>
    </row>
    <row r="66" spans="4:17" ht="24.75">
      <c r="D66" s="7"/>
      <c r="Q66" s="45"/>
    </row>
    <row r="67" spans="4:17" ht="24.75">
      <c r="D67" s="7"/>
      <c r="J67" s="98"/>
      <c r="Q67" s="45"/>
    </row>
    <row r="68" spans="4:17" ht="24.75">
      <c r="D68" s="7"/>
      <c r="H68" s="97"/>
      <c r="Q68" s="45"/>
    </row>
    <row r="69" spans="4:17" ht="24.75">
      <c r="D69" s="7"/>
      <c r="H69" s="97"/>
      <c r="Q69" s="45"/>
    </row>
    <row r="70" spans="4:17" ht="24.75">
      <c r="D70" s="7"/>
      <c r="H70" s="97"/>
      <c r="Q70" s="96" t="s">
        <v>87</v>
      </c>
    </row>
    <row r="71" spans="4:17" ht="24.75">
      <c r="D71" s="7"/>
      <c r="Q71" s="96" t="s">
        <v>86</v>
      </c>
    </row>
    <row r="72" spans="4:17" ht="24.75">
      <c r="D72" s="7"/>
      <c r="Q72" s="96" t="s">
        <v>85</v>
      </c>
    </row>
    <row r="73" spans="4:17">
      <c r="Q73" s="96" t="s">
        <v>84</v>
      </c>
    </row>
    <row r="74" spans="4:17">
      <c r="Q74" s="96" t="s">
        <v>83</v>
      </c>
    </row>
    <row r="75" spans="4:17">
      <c r="Q75" s="96" t="s">
        <v>82</v>
      </c>
    </row>
    <row r="76" spans="4:17">
      <c r="Q76" s="96" t="s">
        <v>81</v>
      </c>
    </row>
    <row r="77" spans="4:17">
      <c r="Q77" s="96" t="s">
        <v>80</v>
      </c>
    </row>
    <row r="78" spans="4:17">
      <c r="Q78" s="96" t="s">
        <v>79</v>
      </c>
    </row>
    <row r="79" spans="4:17">
      <c r="Q79" s="96" t="s">
        <v>78</v>
      </c>
    </row>
    <row r="80" spans="4:17">
      <c r="Q80" s="96" t="s">
        <v>77</v>
      </c>
    </row>
    <row r="81" spans="17:17">
      <c r="Q81" s="96" t="s">
        <v>76</v>
      </c>
    </row>
    <row r="82" spans="17:17">
      <c r="Q82" s="96" t="s">
        <v>75</v>
      </c>
    </row>
    <row r="83" spans="17:17">
      <c r="Q83" s="96" t="s">
        <v>74</v>
      </c>
    </row>
    <row r="84" spans="17:17">
      <c r="Q84" s="96" t="s">
        <v>73</v>
      </c>
    </row>
    <row r="85" spans="17:17">
      <c r="Q85" s="96" t="s">
        <v>72</v>
      </c>
    </row>
    <row r="90" spans="17:17" ht="15">
      <c r="Q90" s="95"/>
    </row>
    <row r="242" spans="7:7">
      <c r="G242" s="1">
        <v>18049</v>
      </c>
    </row>
    <row r="249" spans="7:7">
      <c r="G249" s="1">
        <v>213846</v>
      </c>
    </row>
  </sheetData>
  <mergeCells count="7">
    <mergeCell ref="B63:K63"/>
    <mergeCell ref="B2:J2"/>
    <mergeCell ref="B3:J3"/>
    <mergeCell ref="B4:J4"/>
    <mergeCell ref="B62:J62"/>
    <mergeCell ref="F6:H6"/>
    <mergeCell ref="B47:J47"/>
  </mergeCells>
  <printOptions horizontalCentered="1"/>
  <pageMargins left="0" right="0" top="0" bottom="0" header="0" footer="0"/>
  <pageSetup paperSize="9"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V97"/>
  <sheetViews>
    <sheetView rightToLeft="1" zoomScaleNormal="100" workbookViewId="0">
      <pane xSplit="2" ySplit="9" topLeftCell="C34" activePane="bottomRight" state="frozen"/>
      <selection activeCell="F56" sqref="F56"/>
      <selection pane="topRight" activeCell="F56" sqref="F56"/>
      <selection pane="bottomLeft" activeCell="F56" sqref="F56"/>
      <selection pane="bottomRight" activeCell="F56" sqref="F56"/>
    </sheetView>
  </sheetViews>
  <sheetFormatPr defaultColWidth="9" defaultRowHeight="19.5"/>
  <cols>
    <col min="1" max="1" width="4.42578125" style="95" bestFit="1" customWidth="1"/>
    <col min="2" max="2" width="43.140625" style="95" bestFit="1" customWidth="1"/>
    <col min="3" max="3" width="0.85546875" style="95" customWidth="1"/>
    <col min="4" max="4" width="9.5703125" style="157" bestFit="1" customWidth="1"/>
    <col min="5" max="5" width="0.85546875" style="157" customWidth="1"/>
    <col min="6" max="6" width="8.7109375" style="157" bestFit="1" customWidth="1"/>
    <col min="7" max="7" width="0.85546875" style="157" customWidth="1"/>
    <col min="8" max="8" width="7.5703125" style="157" bestFit="1" customWidth="1"/>
    <col min="9" max="9" width="0.85546875" style="157" customWidth="1"/>
    <col min="10" max="10" width="8.42578125" style="157" customWidth="1"/>
    <col min="11" max="11" width="0.85546875" style="157" customWidth="1"/>
    <col min="12" max="12" width="8.7109375" style="157" bestFit="1" customWidth="1"/>
    <col min="13" max="13" width="0.85546875" style="157" customWidth="1"/>
    <col min="14" max="14" width="8.7109375" style="157" bestFit="1" customWidth="1"/>
    <col min="15" max="15" width="0.85546875" style="157" customWidth="1"/>
    <col min="16" max="16" width="8.7109375" style="157" bestFit="1" customWidth="1"/>
    <col min="17" max="17" width="0.85546875" style="157" customWidth="1"/>
    <col min="18" max="18" width="8.7109375" style="157" bestFit="1" customWidth="1"/>
    <col min="19" max="19" width="0.85546875" style="157" customWidth="1"/>
    <col min="20" max="20" width="7.5703125" style="157" bestFit="1" customWidth="1"/>
    <col min="21" max="21" width="0.85546875" style="157" customWidth="1"/>
    <col min="22" max="22" width="8.7109375" style="157" bestFit="1" customWidth="1"/>
    <col min="23" max="23" width="0.85546875" style="157" customWidth="1"/>
    <col min="24" max="24" width="8.7109375" style="157" bestFit="1" customWidth="1"/>
    <col min="25" max="25" width="0.85546875" style="157" customWidth="1"/>
    <col min="26" max="26" width="8.42578125" style="157" customWidth="1"/>
    <col min="27" max="27" width="0.85546875" style="157" customWidth="1"/>
    <col min="28" max="28" width="8.7109375" style="157" bestFit="1" customWidth="1"/>
    <col min="29" max="29" width="0.85546875" style="157" customWidth="1"/>
    <col min="30" max="30" width="8.7109375" style="157" bestFit="1" customWidth="1"/>
    <col min="31" max="31" width="0.85546875" style="157" customWidth="1"/>
    <col min="32" max="32" width="8.7109375" style="157" bestFit="1" customWidth="1"/>
    <col min="33" max="33" width="0.85546875" style="157" customWidth="1"/>
    <col min="34" max="34" width="8.7109375" style="157" bestFit="1" customWidth="1"/>
    <col min="35" max="35" width="0.85546875" style="157" customWidth="1"/>
    <col min="36" max="36" width="8.7109375" style="157" bestFit="1" customWidth="1"/>
    <col min="37" max="37" width="0.85546875" style="157" customWidth="1"/>
    <col min="38" max="38" width="8.7109375" style="157" bestFit="1" customWidth="1"/>
    <col min="39" max="39" width="0.85546875" style="157" customWidth="1"/>
    <col min="40" max="40" width="8.7109375" style="157" bestFit="1" customWidth="1"/>
    <col min="41" max="41" width="0.85546875" style="157" customWidth="1"/>
    <col min="42" max="42" width="8.7109375" style="157" bestFit="1" customWidth="1"/>
    <col min="43" max="43" width="0.85546875" style="157" customWidth="1"/>
    <col min="44" max="44" width="8.7109375" style="157" bestFit="1" customWidth="1"/>
    <col min="45" max="45" width="0.85546875" style="157" customWidth="1"/>
    <col min="46" max="46" width="8.7109375" style="157" bestFit="1" customWidth="1"/>
    <col min="47" max="47" width="0.85546875" style="157" customWidth="1"/>
    <col min="48" max="48" width="8.7109375" style="157" bestFit="1" customWidth="1"/>
    <col min="49" max="16384" width="9" style="95"/>
  </cols>
  <sheetData>
    <row r="1" spans="1:48" ht="21">
      <c r="B1" s="156" t="s">
        <v>135</v>
      </c>
      <c r="C1" s="156"/>
      <c r="P1" s="158"/>
    </row>
    <row r="2" spans="1:48" ht="21">
      <c r="B2" s="156" t="s">
        <v>136</v>
      </c>
      <c r="C2" s="156"/>
      <c r="D2" s="158"/>
      <c r="F2" s="158"/>
      <c r="H2" s="158"/>
      <c r="J2" s="159" t="s">
        <v>137</v>
      </c>
    </row>
    <row r="3" spans="1:48">
      <c r="B3" s="6" t="s">
        <v>138</v>
      </c>
      <c r="C3" s="6"/>
      <c r="D3" s="160" t="s">
        <v>139</v>
      </c>
      <c r="F3" s="158"/>
      <c r="H3" s="158"/>
    </row>
    <row r="4" spans="1:48" ht="17.25">
      <c r="B4" s="6" t="s">
        <v>140</v>
      </c>
      <c r="C4" s="6"/>
      <c r="D4" s="161">
        <f>D38</f>
        <v>3895612</v>
      </c>
      <c r="E4" s="162"/>
      <c r="F4" s="161">
        <f>F38</f>
        <v>455000</v>
      </c>
      <c r="G4" s="162"/>
      <c r="H4" s="161"/>
      <c r="I4" s="162"/>
      <c r="J4" s="161">
        <f>J38</f>
        <v>600000</v>
      </c>
      <c r="K4" s="162"/>
      <c r="L4" s="161">
        <f>L38</f>
        <v>105475</v>
      </c>
      <c r="M4" s="162"/>
      <c r="N4" s="161">
        <f>N38</f>
        <v>716984</v>
      </c>
      <c r="O4" s="162"/>
      <c r="P4" s="161">
        <f>P38</f>
        <v>1100000</v>
      </c>
      <c r="Q4" s="162"/>
      <c r="R4" s="161">
        <f>R38</f>
        <v>420000</v>
      </c>
      <c r="S4" s="162"/>
      <c r="T4" s="161">
        <f>T38</f>
        <v>280000</v>
      </c>
      <c r="U4" s="162"/>
      <c r="V4" s="161">
        <f>V38</f>
        <v>400000</v>
      </c>
      <c r="W4" s="162"/>
      <c r="X4" s="161">
        <f>X38</f>
        <v>400000</v>
      </c>
      <c r="Y4" s="162"/>
      <c r="Z4" s="161">
        <f>Z38</f>
        <v>1500000</v>
      </c>
      <c r="AA4" s="162"/>
      <c r="AB4" s="161">
        <f>AB38</f>
        <v>610723</v>
      </c>
      <c r="AC4" s="162"/>
      <c r="AD4" s="161">
        <f>AD38</f>
        <v>398824</v>
      </c>
      <c r="AE4" s="162"/>
      <c r="AF4" s="161">
        <f>AF38</f>
        <v>280000</v>
      </c>
      <c r="AG4" s="162"/>
      <c r="AH4" s="161">
        <f>AH38</f>
        <v>698456</v>
      </c>
      <c r="AI4" s="162"/>
      <c r="AJ4" s="161">
        <f>AJ38</f>
        <v>400000</v>
      </c>
      <c r="AK4" s="162"/>
      <c r="AL4" s="161">
        <f>AL38</f>
        <v>400000</v>
      </c>
      <c r="AM4" s="162"/>
      <c r="AN4" s="161">
        <f>AN38</f>
        <v>400000</v>
      </c>
      <c r="AO4" s="162"/>
      <c r="AP4" s="161"/>
      <c r="AQ4" s="162"/>
      <c r="AR4" s="161"/>
      <c r="AS4" s="162"/>
      <c r="AT4" s="161"/>
      <c r="AU4" s="162"/>
      <c r="AV4" s="161"/>
    </row>
    <row r="5" spans="1:48" ht="17.25">
      <c r="B5" s="6" t="s">
        <v>35</v>
      </c>
      <c r="C5" s="6"/>
      <c r="D5" s="161">
        <f>D44</f>
        <v>16096501</v>
      </c>
      <c r="E5" s="163"/>
      <c r="F5" s="161">
        <f>F44</f>
        <v>2657511</v>
      </c>
      <c r="G5" s="163"/>
      <c r="H5" s="161"/>
      <c r="I5" s="163"/>
      <c r="J5" s="161">
        <f>J44</f>
        <v>4177660</v>
      </c>
      <c r="K5" s="163"/>
      <c r="L5" s="161">
        <f>L44</f>
        <v>1078574</v>
      </c>
      <c r="M5" s="163"/>
      <c r="N5" s="161">
        <f>N44</f>
        <v>456811</v>
      </c>
      <c r="O5" s="163"/>
      <c r="P5" s="161">
        <f>P44</f>
        <v>2152668</v>
      </c>
      <c r="Q5" s="163"/>
      <c r="R5" s="161">
        <f>R44</f>
        <v>459824</v>
      </c>
      <c r="S5" s="163"/>
      <c r="T5" s="161">
        <f>T44</f>
        <v>702502</v>
      </c>
      <c r="U5" s="163"/>
      <c r="V5" s="161">
        <f>V44</f>
        <v>1524401</v>
      </c>
      <c r="W5" s="163"/>
      <c r="X5" s="161">
        <f>X44</f>
        <v>632951</v>
      </c>
      <c r="Y5" s="163"/>
      <c r="Z5" s="161">
        <f>Z44</f>
        <v>2194053</v>
      </c>
      <c r="AA5" s="163"/>
      <c r="AB5" s="161">
        <f>AB44</f>
        <v>755793</v>
      </c>
      <c r="AC5" s="163"/>
      <c r="AD5" s="161">
        <f>AD44</f>
        <v>578866</v>
      </c>
      <c r="AE5" s="163"/>
      <c r="AF5" s="161">
        <f>AF44</f>
        <v>437551</v>
      </c>
      <c r="AG5" s="163"/>
      <c r="AH5" s="161">
        <f>AH44</f>
        <v>1074925</v>
      </c>
      <c r="AI5" s="163"/>
      <c r="AJ5" s="161">
        <f>AJ44</f>
        <v>559860</v>
      </c>
      <c r="AK5" s="163"/>
      <c r="AL5" s="161">
        <f>AL44</f>
        <v>677533</v>
      </c>
      <c r="AM5" s="163"/>
      <c r="AN5" s="161">
        <f>AN44</f>
        <v>483875</v>
      </c>
      <c r="AO5" s="163"/>
      <c r="AP5" s="161"/>
      <c r="AQ5" s="163"/>
      <c r="AR5" s="161"/>
      <c r="AS5" s="163"/>
      <c r="AT5" s="161"/>
      <c r="AU5" s="163"/>
      <c r="AV5" s="161"/>
    </row>
    <row r="6" spans="1:48" ht="17.25">
      <c r="B6" s="6" t="s">
        <v>141</v>
      </c>
      <c r="C6" s="6"/>
      <c r="D6" s="163">
        <f>D47</f>
        <v>24111240</v>
      </c>
      <c r="E6" s="163"/>
      <c r="F6" s="163">
        <f>F47</f>
        <v>6542275</v>
      </c>
      <c r="G6" s="163"/>
      <c r="H6" s="163"/>
      <c r="I6" s="163"/>
      <c r="J6" s="163">
        <f>J47</f>
        <v>3823411</v>
      </c>
      <c r="K6" s="163"/>
      <c r="L6" s="163">
        <f>L47</f>
        <v>3208580</v>
      </c>
      <c r="M6" s="163"/>
      <c r="N6" s="163">
        <f>N47</f>
        <v>1005775</v>
      </c>
      <c r="O6" s="163"/>
      <c r="P6" s="163">
        <f>P47</f>
        <v>3398709</v>
      </c>
      <c r="Q6" s="163"/>
      <c r="R6" s="163">
        <f>R47</f>
        <v>2365320</v>
      </c>
      <c r="S6" s="163"/>
      <c r="T6" s="163">
        <f>T47</f>
        <v>691995</v>
      </c>
      <c r="U6" s="163"/>
      <c r="V6" s="163">
        <f>V47</f>
        <v>3009588</v>
      </c>
      <c r="W6" s="163"/>
      <c r="X6" s="163">
        <f>X47</f>
        <v>1157434</v>
      </c>
      <c r="Y6" s="163"/>
      <c r="Z6" s="163">
        <f>Z47</f>
        <v>1516562</v>
      </c>
      <c r="AA6" s="163"/>
      <c r="AB6" s="163">
        <f>AB47</f>
        <v>2451246</v>
      </c>
      <c r="AC6" s="163"/>
      <c r="AD6" s="163">
        <f>AD47</f>
        <v>969329</v>
      </c>
      <c r="AE6" s="163"/>
      <c r="AF6" s="163">
        <f>AF47</f>
        <v>1322334</v>
      </c>
      <c r="AG6" s="163"/>
      <c r="AH6" s="163">
        <f>AH47</f>
        <v>1730799</v>
      </c>
      <c r="AI6" s="163"/>
      <c r="AJ6" s="163">
        <f>AJ47</f>
        <v>368271</v>
      </c>
      <c r="AK6" s="163"/>
      <c r="AL6" s="163">
        <f>AL47</f>
        <v>1040114</v>
      </c>
      <c r="AM6" s="163"/>
      <c r="AN6" s="163">
        <f>AN47</f>
        <v>530775</v>
      </c>
      <c r="AO6" s="163"/>
      <c r="AP6" s="163"/>
      <c r="AQ6" s="163"/>
      <c r="AR6" s="163"/>
      <c r="AS6" s="163"/>
      <c r="AT6" s="163"/>
      <c r="AU6" s="163"/>
      <c r="AV6" s="163"/>
    </row>
    <row r="7" spans="1:48" ht="21">
      <c r="A7" s="164"/>
      <c r="B7" s="165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</row>
    <row r="8" spans="1:48" s="167" customFormat="1">
      <c r="A8" s="164"/>
      <c r="B8" s="165"/>
      <c r="D8" s="168"/>
      <c r="E8" s="169"/>
      <c r="F8" s="168"/>
      <c r="G8" s="169"/>
      <c r="H8" s="168"/>
      <c r="I8" s="169"/>
      <c r="J8" s="169"/>
      <c r="K8" s="169"/>
      <c r="L8" s="168"/>
      <c r="M8" s="169"/>
      <c r="N8" s="168"/>
      <c r="O8" s="169"/>
      <c r="P8" s="168"/>
      <c r="Q8" s="169"/>
      <c r="R8" s="168"/>
      <c r="S8" s="169"/>
      <c r="T8" s="168"/>
      <c r="U8" s="169"/>
      <c r="V8" s="168"/>
      <c r="W8" s="169"/>
      <c r="X8" s="168"/>
      <c r="Y8" s="169"/>
      <c r="Z8" s="168"/>
      <c r="AA8" s="169"/>
      <c r="AB8" s="168"/>
      <c r="AC8" s="169"/>
      <c r="AD8" s="168"/>
      <c r="AE8" s="169"/>
      <c r="AF8" s="168"/>
      <c r="AG8" s="169"/>
      <c r="AH8" s="168"/>
      <c r="AI8" s="169"/>
      <c r="AJ8" s="168"/>
      <c r="AK8" s="169"/>
      <c r="AL8" s="168"/>
      <c r="AM8" s="169"/>
      <c r="AN8" s="168"/>
      <c r="AO8" s="169"/>
      <c r="AP8" s="168"/>
      <c r="AQ8" s="169"/>
      <c r="AR8" s="168"/>
      <c r="AS8" s="169"/>
      <c r="AT8" s="168"/>
      <c r="AU8" s="169"/>
      <c r="AV8" s="168"/>
    </row>
    <row r="9" spans="1:48" ht="23.25">
      <c r="A9" s="568" t="s">
        <v>142</v>
      </c>
      <c r="B9" s="170" t="s">
        <v>29</v>
      </c>
      <c r="D9" s="171" t="s">
        <v>143</v>
      </c>
      <c r="E9" s="95"/>
      <c r="F9" s="171" t="s">
        <v>144</v>
      </c>
      <c r="G9" s="95"/>
      <c r="H9" s="171" t="s">
        <v>145</v>
      </c>
      <c r="I9" s="95"/>
      <c r="J9" s="171" t="s">
        <v>146</v>
      </c>
      <c r="K9" s="95"/>
      <c r="L9" s="171" t="s">
        <v>147</v>
      </c>
      <c r="M9" s="95"/>
      <c r="N9" s="171" t="s">
        <v>148</v>
      </c>
      <c r="O9" s="95"/>
      <c r="P9" s="171" t="s">
        <v>149</v>
      </c>
      <c r="Q9" s="95"/>
      <c r="R9" s="171" t="s">
        <v>150</v>
      </c>
      <c r="S9" s="95"/>
      <c r="T9" s="171" t="s">
        <v>151</v>
      </c>
      <c r="U9" s="95"/>
      <c r="V9" s="171" t="s">
        <v>152</v>
      </c>
      <c r="W9" s="95"/>
      <c r="X9" s="171" t="s">
        <v>153</v>
      </c>
      <c r="Y9" s="95"/>
      <c r="Z9" s="171" t="s">
        <v>154</v>
      </c>
      <c r="AA9" s="95"/>
      <c r="AB9" s="171" t="s">
        <v>155</v>
      </c>
      <c r="AC9" s="95"/>
      <c r="AD9" s="171" t="s">
        <v>156</v>
      </c>
      <c r="AE9" s="95"/>
      <c r="AF9" s="171" t="s">
        <v>157</v>
      </c>
      <c r="AG9" s="95"/>
      <c r="AH9" s="171" t="s">
        <v>158</v>
      </c>
      <c r="AI9" s="95"/>
      <c r="AJ9" s="171" t="s">
        <v>159</v>
      </c>
      <c r="AK9" s="95"/>
      <c r="AL9" s="171" t="s">
        <v>160</v>
      </c>
      <c r="AM9" s="95"/>
      <c r="AN9" s="171" t="s">
        <v>161</v>
      </c>
      <c r="AO9" s="95"/>
      <c r="AP9" s="171" t="s">
        <v>162</v>
      </c>
      <c r="AQ9" s="95"/>
      <c r="AR9" s="171" t="s">
        <v>163</v>
      </c>
      <c r="AS9" s="95"/>
      <c r="AT9" s="171" t="s">
        <v>164</v>
      </c>
      <c r="AU9" s="95"/>
      <c r="AV9" s="171" t="s">
        <v>165</v>
      </c>
    </row>
    <row r="10" spans="1:48" ht="20.100000000000001" customHeight="1">
      <c r="A10" s="569"/>
      <c r="B10" s="114" t="s">
        <v>166</v>
      </c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</row>
    <row r="11" spans="1:48" ht="20.100000000000001" customHeight="1">
      <c r="A11" s="569"/>
      <c r="B11" s="173" t="s">
        <v>64</v>
      </c>
      <c r="D11" s="174">
        <v>1708945</v>
      </c>
      <c r="E11" s="172"/>
      <c r="F11" s="174">
        <v>658199</v>
      </c>
      <c r="G11" s="172"/>
      <c r="H11" s="174">
        <v>18696</v>
      </c>
      <c r="I11" s="175"/>
      <c r="J11" s="174">
        <v>342972</v>
      </c>
      <c r="K11" s="175"/>
      <c r="L11" s="174">
        <v>153822</v>
      </c>
      <c r="M11" s="175"/>
      <c r="N11" s="174">
        <v>263784</v>
      </c>
      <c r="O11" s="175"/>
      <c r="P11" s="174">
        <v>386360</v>
      </c>
      <c r="Q11" s="175"/>
      <c r="R11" s="174">
        <v>168371</v>
      </c>
      <c r="S11" s="175"/>
      <c r="T11" s="174">
        <v>170984</v>
      </c>
      <c r="U11" s="175"/>
      <c r="V11" s="174">
        <v>639162</v>
      </c>
      <c r="W11" s="175"/>
      <c r="X11" s="174">
        <v>64361</v>
      </c>
      <c r="Y11" s="175"/>
      <c r="Z11" s="174">
        <v>197450</v>
      </c>
      <c r="AA11" s="175"/>
      <c r="AB11" s="174">
        <v>317567</v>
      </c>
      <c r="AC11" s="175"/>
      <c r="AD11" s="174">
        <v>201866</v>
      </c>
      <c r="AE11" s="175"/>
      <c r="AF11" s="174">
        <v>138198</v>
      </c>
      <c r="AG11" s="175"/>
      <c r="AH11" s="174">
        <v>144693</v>
      </c>
      <c r="AI11" s="175"/>
      <c r="AJ11" s="174">
        <v>63614</v>
      </c>
      <c r="AK11" s="175"/>
      <c r="AL11" s="174">
        <v>308675</v>
      </c>
      <c r="AM11" s="175"/>
      <c r="AN11" s="174">
        <v>127656</v>
      </c>
      <c r="AO11" s="175"/>
      <c r="AP11" s="174">
        <v>27538</v>
      </c>
      <c r="AQ11" s="175"/>
      <c r="AR11" s="174">
        <v>7264</v>
      </c>
      <c r="AS11" s="175"/>
      <c r="AT11" s="174">
        <v>55407</v>
      </c>
      <c r="AU11" s="175"/>
      <c r="AV11" s="174">
        <f t="shared" ref="AV11:AV48" si="0">SUM(D11:AT11)</f>
        <v>6165584</v>
      </c>
    </row>
    <row r="12" spans="1:48" ht="20.100000000000001" customHeight="1">
      <c r="A12" s="569"/>
      <c r="B12" s="173" t="s">
        <v>62</v>
      </c>
      <c r="D12" s="174">
        <v>5794956</v>
      </c>
      <c r="E12" s="172"/>
      <c r="F12" s="174">
        <v>866943</v>
      </c>
      <c r="G12" s="172"/>
      <c r="H12" s="174">
        <v>248477</v>
      </c>
      <c r="I12" s="175"/>
      <c r="J12" s="174">
        <v>1422803</v>
      </c>
      <c r="K12" s="175"/>
      <c r="L12" s="174">
        <v>393969</v>
      </c>
      <c r="M12" s="175"/>
      <c r="N12" s="174">
        <v>398909</v>
      </c>
      <c r="O12" s="175"/>
      <c r="P12" s="174">
        <v>306001</v>
      </c>
      <c r="Q12" s="175"/>
      <c r="R12" s="174">
        <v>11669</v>
      </c>
      <c r="S12" s="175"/>
      <c r="T12" s="174">
        <v>501</v>
      </c>
      <c r="U12" s="175"/>
      <c r="V12" s="174">
        <v>601463</v>
      </c>
      <c r="W12" s="175"/>
      <c r="X12" s="174">
        <v>125644</v>
      </c>
      <c r="Y12" s="175"/>
      <c r="Z12" s="174">
        <v>414516</v>
      </c>
      <c r="AA12" s="175"/>
      <c r="AB12" s="174">
        <v>171241</v>
      </c>
      <c r="AC12" s="175"/>
      <c r="AD12" s="174">
        <v>205662</v>
      </c>
      <c r="AE12" s="175"/>
      <c r="AF12" s="174">
        <v>80759</v>
      </c>
      <c r="AG12" s="175"/>
      <c r="AH12" s="174">
        <v>0</v>
      </c>
      <c r="AI12" s="175"/>
      <c r="AJ12" s="174">
        <v>153087</v>
      </c>
      <c r="AK12" s="175"/>
      <c r="AL12" s="174">
        <v>84831</v>
      </c>
      <c r="AM12" s="175"/>
      <c r="AN12" s="174">
        <v>0</v>
      </c>
      <c r="AO12" s="175"/>
      <c r="AP12" s="174">
        <v>6940</v>
      </c>
      <c r="AQ12" s="175"/>
      <c r="AR12" s="174">
        <v>19390</v>
      </c>
      <c r="AS12" s="175"/>
      <c r="AT12" s="174">
        <v>271673</v>
      </c>
      <c r="AU12" s="175"/>
      <c r="AV12" s="174">
        <f t="shared" si="0"/>
        <v>11579434</v>
      </c>
    </row>
    <row r="13" spans="1:48" ht="20.100000000000001" customHeight="1">
      <c r="A13" s="569"/>
      <c r="B13" s="173" t="s">
        <v>60</v>
      </c>
      <c r="D13" s="174">
        <v>12403904</v>
      </c>
      <c r="E13" s="172"/>
      <c r="F13" s="174">
        <v>3418099</v>
      </c>
      <c r="G13" s="172"/>
      <c r="H13" s="174">
        <v>245513</v>
      </c>
      <c r="I13" s="175"/>
      <c r="J13" s="174">
        <v>2147162</v>
      </c>
      <c r="K13" s="175"/>
      <c r="L13" s="174">
        <v>3264111</v>
      </c>
      <c r="M13" s="175"/>
      <c r="N13" s="174">
        <v>892811</v>
      </c>
      <c r="O13" s="175"/>
      <c r="P13" s="174">
        <v>5425947</v>
      </c>
      <c r="Q13" s="175"/>
      <c r="R13" s="174">
        <v>575028</v>
      </c>
      <c r="S13" s="175"/>
      <c r="T13" s="174">
        <v>415573</v>
      </c>
      <c r="U13" s="175"/>
      <c r="V13" s="174">
        <v>870973</v>
      </c>
      <c r="W13" s="175"/>
      <c r="X13" s="174">
        <v>1859482</v>
      </c>
      <c r="Y13" s="175"/>
      <c r="Z13" s="174">
        <v>1555296</v>
      </c>
      <c r="AA13" s="175"/>
      <c r="AB13" s="174">
        <v>3429350</v>
      </c>
      <c r="AC13" s="175"/>
      <c r="AD13" s="174">
        <v>466046</v>
      </c>
      <c r="AE13" s="175"/>
      <c r="AF13" s="174">
        <v>489116</v>
      </c>
      <c r="AG13" s="175"/>
      <c r="AH13" s="174">
        <v>277003</v>
      </c>
      <c r="AI13" s="175"/>
      <c r="AJ13" s="174">
        <v>238108</v>
      </c>
      <c r="AK13" s="175"/>
      <c r="AL13" s="174">
        <v>1323727</v>
      </c>
      <c r="AM13" s="175"/>
      <c r="AN13" s="174">
        <v>752802</v>
      </c>
      <c r="AO13" s="175"/>
      <c r="AP13" s="174">
        <v>48533</v>
      </c>
      <c r="AQ13" s="175"/>
      <c r="AR13" s="174">
        <v>4086</v>
      </c>
      <c r="AS13" s="175"/>
      <c r="AT13" s="174">
        <v>50787</v>
      </c>
      <c r="AU13" s="175"/>
      <c r="AV13" s="174">
        <f t="shared" si="0"/>
        <v>40153457</v>
      </c>
    </row>
    <row r="14" spans="1:48" ht="20.100000000000001" customHeight="1">
      <c r="A14" s="569"/>
      <c r="B14" s="173" t="s">
        <v>58</v>
      </c>
      <c r="D14" s="174">
        <v>2993417</v>
      </c>
      <c r="E14" s="172"/>
      <c r="F14" s="174">
        <v>361762</v>
      </c>
      <c r="G14" s="172"/>
      <c r="H14" s="174">
        <v>0</v>
      </c>
      <c r="I14" s="175"/>
      <c r="J14" s="174">
        <v>142800</v>
      </c>
      <c r="K14" s="175"/>
      <c r="L14" s="174">
        <v>108418</v>
      </c>
      <c r="M14" s="175"/>
      <c r="N14" s="174">
        <v>80368</v>
      </c>
      <c r="O14" s="175"/>
      <c r="P14" s="174">
        <v>438006</v>
      </c>
      <c r="Q14" s="175"/>
      <c r="R14" s="174">
        <v>3636</v>
      </c>
      <c r="S14" s="175"/>
      <c r="T14" s="174">
        <v>107620</v>
      </c>
      <c r="U14" s="175"/>
      <c r="V14" s="174">
        <v>75875</v>
      </c>
      <c r="W14" s="175"/>
      <c r="X14" s="174">
        <v>38858</v>
      </c>
      <c r="Y14" s="175"/>
      <c r="Z14" s="174">
        <v>460502</v>
      </c>
      <c r="AA14" s="175"/>
      <c r="AB14" s="174">
        <v>0</v>
      </c>
      <c r="AC14" s="175"/>
      <c r="AD14" s="174">
        <v>117829</v>
      </c>
      <c r="AE14" s="175"/>
      <c r="AF14" s="174">
        <v>77307</v>
      </c>
      <c r="AG14" s="175"/>
      <c r="AH14" s="174">
        <v>119806</v>
      </c>
      <c r="AI14" s="175"/>
      <c r="AJ14" s="174">
        <v>0</v>
      </c>
      <c r="AK14" s="175"/>
      <c r="AL14" s="174">
        <v>0</v>
      </c>
      <c r="AM14" s="175"/>
      <c r="AN14" s="174">
        <v>500</v>
      </c>
      <c r="AO14" s="175"/>
      <c r="AP14" s="174">
        <v>5620</v>
      </c>
      <c r="AQ14" s="175"/>
      <c r="AR14" s="174">
        <v>0</v>
      </c>
      <c r="AS14" s="175"/>
      <c r="AT14" s="174">
        <v>26675</v>
      </c>
      <c r="AU14" s="175"/>
      <c r="AV14" s="174">
        <f t="shared" si="0"/>
        <v>5158999</v>
      </c>
    </row>
    <row r="15" spans="1:48" ht="20.100000000000001" customHeight="1">
      <c r="A15" s="569"/>
      <c r="B15" s="173" t="s">
        <v>167</v>
      </c>
      <c r="D15" s="174">
        <v>3165026</v>
      </c>
      <c r="E15" s="172"/>
      <c r="F15" s="174">
        <v>1578767</v>
      </c>
      <c r="G15" s="172"/>
      <c r="H15" s="174">
        <v>69608</v>
      </c>
      <c r="I15" s="175"/>
      <c r="J15" s="174">
        <v>162236</v>
      </c>
      <c r="K15" s="175"/>
      <c r="L15" s="174">
        <v>792376</v>
      </c>
      <c r="M15" s="175"/>
      <c r="N15" s="174">
        <v>306777</v>
      </c>
      <c r="O15" s="175"/>
      <c r="P15" s="174">
        <v>972130</v>
      </c>
      <c r="Q15" s="175"/>
      <c r="R15" s="174">
        <v>890320</v>
      </c>
      <c r="S15" s="175"/>
      <c r="T15" s="174">
        <v>403960</v>
      </c>
      <c r="U15" s="175"/>
      <c r="V15" s="174">
        <v>134449</v>
      </c>
      <c r="W15" s="175"/>
      <c r="X15" s="174">
        <v>64872</v>
      </c>
      <c r="Y15" s="175"/>
      <c r="Z15" s="174">
        <v>565443</v>
      </c>
      <c r="AA15" s="175"/>
      <c r="AB15" s="174">
        <v>1157362</v>
      </c>
      <c r="AC15" s="175"/>
      <c r="AD15" s="174">
        <v>379488</v>
      </c>
      <c r="AE15" s="175"/>
      <c r="AF15" s="174">
        <v>54383</v>
      </c>
      <c r="AG15" s="175"/>
      <c r="AH15" s="174">
        <v>358079</v>
      </c>
      <c r="AI15" s="175"/>
      <c r="AJ15" s="174">
        <v>53272</v>
      </c>
      <c r="AK15" s="175"/>
      <c r="AL15" s="174">
        <v>204586</v>
      </c>
      <c r="AM15" s="175"/>
      <c r="AN15" s="174">
        <v>3221</v>
      </c>
      <c r="AO15" s="175"/>
      <c r="AP15" s="174">
        <v>1982</v>
      </c>
      <c r="AQ15" s="175"/>
      <c r="AR15" s="174">
        <v>19683</v>
      </c>
      <c r="AS15" s="175"/>
      <c r="AT15" s="174">
        <v>58334</v>
      </c>
      <c r="AU15" s="175"/>
      <c r="AV15" s="174">
        <f t="shared" si="0"/>
        <v>11396354</v>
      </c>
    </row>
    <row r="16" spans="1:48" ht="20.100000000000001" customHeight="1">
      <c r="A16" s="569"/>
      <c r="B16" s="173" t="s">
        <v>54</v>
      </c>
      <c r="D16" s="174">
        <v>12457299</v>
      </c>
      <c r="E16" s="172"/>
      <c r="F16" s="174">
        <v>3706585</v>
      </c>
      <c r="G16" s="172"/>
      <c r="H16" s="174">
        <v>145970</v>
      </c>
      <c r="I16" s="175"/>
      <c r="J16" s="174">
        <v>1637499</v>
      </c>
      <c r="K16" s="175"/>
      <c r="L16" s="174">
        <v>2056031</v>
      </c>
      <c r="M16" s="175"/>
      <c r="N16" s="174">
        <v>835612</v>
      </c>
      <c r="O16" s="175"/>
      <c r="P16" s="174">
        <v>1358669</v>
      </c>
      <c r="Q16" s="175"/>
      <c r="R16" s="174">
        <v>996840</v>
      </c>
      <c r="S16" s="175"/>
      <c r="T16" s="174">
        <v>301365</v>
      </c>
      <c r="U16" s="175"/>
      <c r="V16" s="174">
        <v>2122383</v>
      </c>
      <c r="W16" s="175"/>
      <c r="X16" s="174">
        <v>1059773</v>
      </c>
      <c r="Y16" s="175"/>
      <c r="Z16" s="174">
        <v>715833</v>
      </c>
      <c r="AA16" s="175"/>
      <c r="AB16" s="174">
        <v>1066756</v>
      </c>
      <c r="AC16" s="175"/>
      <c r="AD16" s="174">
        <v>448889</v>
      </c>
      <c r="AE16" s="175"/>
      <c r="AF16" s="174">
        <v>724116</v>
      </c>
      <c r="AG16" s="175"/>
      <c r="AH16" s="174">
        <v>997601</v>
      </c>
      <c r="AI16" s="175"/>
      <c r="AJ16" s="174">
        <v>214994</v>
      </c>
      <c r="AK16" s="175"/>
      <c r="AL16" s="174">
        <v>453959</v>
      </c>
      <c r="AM16" s="175"/>
      <c r="AN16" s="174">
        <v>277259</v>
      </c>
      <c r="AO16" s="175"/>
      <c r="AP16" s="174">
        <v>148431</v>
      </c>
      <c r="AQ16" s="175"/>
      <c r="AR16" s="174">
        <v>38181</v>
      </c>
      <c r="AS16" s="175"/>
      <c r="AT16" s="174">
        <v>59485</v>
      </c>
      <c r="AU16" s="175"/>
      <c r="AV16" s="174">
        <f t="shared" si="0"/>
        <v>31823530</v>
      </c>
    </row>
    <row r="17" spans="1:48" ht="20.100000000000001" customHeight="1">
      <c r="A17" s="569"/>
      <c r="B17" s="173" t="s">
        <v>168</v>
      </c>
      <c r="D17" s="174">
        <v>3478918</v>
      </c>
      <c r="E17" s="172"/>
      <c r="F17" s="174">
        <v>265608</v>
      </c>
      <c r="G17" s="172"/>
      <c r="H17" s="174">
        <v>1813</v>
      </c>
      <c r="I17" s="175"/>
      <c r="J17" s="174">
        <v>310602</v>
      </c>
      <c r="K17" s="175"/>
      <c r="L17" s="174">
        <v>63687</v>
      </c>
      <c r="M17" s="175"/>
      <c r="N17" s="174">
        <v>0</v>
      </c>
      <c r="O17" s="175"/>
      <c r="P17" s="174">
        <v>192294</v>
      </c>
      <c r="Q17" s="175"/>
      <c r="R17" s="174">
        <v>7443</v>
      </c>
      <c r="S17" s="175"/>
      <c r="T17" s="174">
        <v>0</v>
      </c>
      <c r="U17" s="175"/>
      <c r="V17" s="174">
        <v>433013</v>
      </c>
      <c r="W17" s="175"/>
      <c r="X17" s="174">
        <v>0</v>
      </c>
      <c r="Y17" s="175"/>
      <c r="Z17" s="174">
        <v>303330</v>
      </c>
      <c r="AA17" s="175"/>
      <c r="AB17" s="174">
        <v>10977</v>
      </c>
      <c r="AC17" s="175"/>
      <c r="AD17" s="174">
        <v>0</v>
      </c>
      <c r="AE17" s="175"/>
      <c r="AF17" s="174">
        <v>0</v>
      </c>
      <c r="AG17" s="175"/>
      <c r="AH17" s="174">
        <v>96296</v>
      </c>
      <c r="AI17" s="175"/>
      <c r="AJ17" s="174">
        <v>0</v>
      </c>
      <c r="AK17" s="175"/>
      <c r="AL17" s="174">
        <v>0</v>
      </c>
      <c r="AM17" s="175"/>
      <c r="AN17" s="174">
        <v>0</v>
      </c>
      <c r="AO17" s="175"/>
      <c r="AP17" s="174">
        <v>0</v>
      </c>
      <c r="AQ17" s="175"/>
      <c r="AR17" s="174">
        <v>0</v>
      </c>
      <c r="AS17" s="175"/>
      <c r="AT17" s="174">
        <v>76028</v>
      </c>
      <c r="AU17" s="175"/>
      <c r="AV17" s="174">
        <f t="shared" si="0"/>
        <v>5240009</v>
      </c>
    </row>
    <row r="18" spans="1:48" ht="20.100000000000001" customHeight="1">
      <c r="A18" s="569"/>
      <c r="B18" s="173" t="s">
        <v>49</v>
      </c>
      <c r="D18" s="174">
        <v>8985008</v>
      </c>
      <c r="E18" s="172"/>
      <c r="F18" s="174">
        <v>3351115</v>
      </c>
      <c r="G18" s="172"/>
      <c r="H18" s="174">
        <v>266029</v>
      </c>
      <c r="I18" s="175"/>
      <c r="J18" s="174">
        <v>1281564</v>
      </c>
      <c r="K18" s="175"/>
      <c r="L18" s="174">
        <v>728166</v>
      </c>
      <c r="M18" s="175"/>
      <c r="N18" s="174">
        <v>269600</v>
      </c>
      <c r="O18" s="175"/>
      <c r="P18" s="174">
        <v>1728648</v>
      </c>
      <c r="Q18" s="175"/>
      <c r="R18" s="174">
        <v>2244622</v>
      </c>
      <c r="S18" s="175"/>
      <c r="T18" s="174">
        <v>265797</v>
      </c>
      <c r="U18" s="175"/>
      <c r="V18" s="174">
        <v>1682486</v>
      </c>
      <c r="W18" s="175"/>
      <c r="X18" s="174">
        <v>28080</v>
      </c>
      <c r="Y18" s="175"/>
      <c r="Z18" s="174">
        <v>1788217</v>
      </c>
      <c r="AA18" s="175"/>
      <c r="AB18" s="174">
        <v>470485</v>
      </c>
      <c r="AC18" s="175"/>
      <c r="AD18" s="174">
        <v>624873</v>
      </c>
      <c r="AE18" s="175"/>
      <c r="AF18" s="174">
        <v>1507616</v>
      </c>
      <c r="AG18" s="175"/>
      <c r="AH18" s="174">
        <v>2286174</v>
      </c>
      <c r="AI18" s="175"/>
      <c r="AJ18" s="174">
        <v>633086</v>
      </c>
      <c r="AK18" s="175"/>
      <c r="AL18" s="174">
        <v>262602</v>
      </c>
      <c r="AM18" s="175"/>
      <c r="AN18" s="174">
        <v>371638</v>
      </c>
      <c r="AO18" s="175"/>
      <c r="AP18" s="174">
        <v>17080</v>
      </c>
      <c r="AQ18" s="175"/>
      <c r="AR18" s="174">
        <v>14700</v>
      </c>
      <c r="AS18" s="175"/>
      <c r="AT18" s="174">
        <v>644965</v>
      </c>
      <c r="AU18" s="175"/>
      <c r="AV18" s="174">
        <f t="shared" si="0"/>
        <v>29452551</v>
      </c>
    </row>
    <row r="19" spans="1:48" ht="20.100000000000001" customHeight="1">
      <c r="A19" s="569"/>
      <c r="B19" s="173" t="s">
        <v>45</v>
      </c>
      <c r="D19" s="174">
        <v>13793425</v>
      </c>
      <c r="E19" s="172"/>
      <c r="F19" s="174">
        <v>2707068</v>
      </c>
      <c r="G19" s="172"/>
      <c r="H19" s="174">
        <v>190802</v>
      </c>
      <c r="I19" s="175"/>
      <c r="J19" s="174">
        <v>3740254</v>
      </c>
      <c r="K19" s="175"/>
      <c r="L19" s="174">
        <v>1191322</v>
      </c>
      <c r="M19" s="175"/>
      <c r="N19" s="174">
        <v>546240</v>
      </c>
      <c r="O19" s="175"/>
      <c r="P19" s="174">
        <v>275787</v>
      </c>
      <c r="Q19" s="175"/>
      <c r="R19" s="174">
        <v>502615</v>
      </c>
      <c r="S19" s="175"/>
      <c r="T19" s="174">
        <v>768748</v>
      </c>
      <c r="U19" s="175"/>
      <c r="V19" s="174">
        <v>1235872</v>
      </c>
      <c r="W19" s="175"/>
      <c r="X19" s="174">
        <v>374430</v>
      </c>
      <c r="Y19" s="175"/>
      <c r="Z19" s="174">
        <v>543537</v>
      </c>
      <c r="AA19" s="175"/>
      <c r="AB19" s="174">
        <v>208218</v>
      </c>
      <c r="AC19" s="175"/>
      <c r="AD19" s="174">
        <v>164379</v>
      </c>
      <c r="AE19" s="175"/>
      <c r="AF19" s="174">
        <v>167485</v>
      </c>
      <c r="AG19" s="175"/>
      <c r="AH19" s="174">
        <v>529093</v>
      </c>
      <c r="AI19" s="175"/>
      <c r="AJ19" s="174">
        <v>251517</v>
      </c>
      <c r="AK19" s="175"/>
      <c r="AL19" s="174">
        <v>387990</v>
      </c>
      <c r="AM19" s="175"/>
      <c r="AN19" s="174">
        <v>191538</v>
      </c>
      <c r="AO19" s="175"/>
      <c r="AP19" s="174">
        <v>77657</v>
      </c>
      <c r="AQ19" s="175"/>
      <c r="AR19" s="174">
        <v>82882</v>
      </c>
      <c r="AS19" s="175"/>
      <c r="AT19" s="174">
        <v>111519</v>
      </c>
      <c r="AU19" s="175"/>
      <c r="AV19" s="174">
        <f t="shared" si="0"/>
        <v>28042378</v>
      </c>
    </row>
    <row r="20" spans="1:48" ht="21">
      <c r="A20" s="569"/>
      <c r="B20" s="173" t="s">
        <v>47</v>
      </c>
      <c r="D20" s="174">
        <v>32911</v>
      </c>
      <c r="E20" s="172"/>
      <c r="F20" s="174">
        <v>5519</v>
      </c>
      <c r="G20" s="172"/>
      <c r="H20" s="174">
        <v>4257</v>
      </c>
      <c r="I20" s="175"/>
      <c r="J20" s="174">
        <v>13679</v>
      </c>
      <c r="K20" s="175"/>
      <c r="L20" s="174">
        <v>20267</v>
      </c>
      <c r="M20" s="175"/>
      <c r="N20" s="174">
        <v>41137</v>
      </c>
      <c r="O20" s="175"/>
      <c r="P20" s="174">
        <v>2386</v>
      </c>
      <c r="Q20" s="175"/>
      <c r="R20" s="174">
        <v>345</v>
      </c>
      <c r="S20" s="175"/>
      <c r="T20" s="174">
        <v>1759</v>
      </c>
      <c r="U20" s="175"/>
      <c r="V20" s="174">
        <v>783</v>
      </c>
      <c r="W20" s="175"/>
      <c r="X20" s="174">
        <v>4974</v>
      </c>
      <c r="Y20" s="175"/>
      <c r="Z20" s="174">
        <v>2340</v>
      </c>
      <c r="AA20" s="175"/>
      <c r="AB20" s="174">
        <v>1536</v>
      </c>
      <c r="AC20" s="175"/>
      <c r="AD20" s="174">
        <v>25811</v>
      </c>
      <c r="AE20" s="175"/>
      <c r="AF20" s="174">
        <v>3074</v>
      </c>
      <c r="AG20" s="175"/>
      <c r="AH20" s="174">
        <v>28150</v>
      </c>
      <c r="AI20" s="175"/>
      <c r="AJ20" s="174">
        <v>3411</v>
      </c>
      <c r="AK20" s="175"/>
      <c r="AL20" s="174">
        <v>1697</v>
      </c>
      <c r="AM20" s="175"/>
      <c r="AN20" s="174">
        <v>11487</v>
      </c>
      <c r="AO20" s="175"/>
      <c r="AP20" s="174">
        <v>2940</v>
      </c>
      <c r="AQ20" s="175"/>
      <c r="AR20" s="174">
        <v>1093</v>
      </c>
      <c r="AS20" s="175"/>
      <c r="AT20" s="174">
        <v>1844</v>
      </c>
      <c r="AU20" s="175"/>
      <c r="AV20" s="174">
        <f t="shared" si="0"/>
        <v>211400</v>
      </c>
    </row>
    <row r="21" spans="1:48" ht="21">
      <c r="A21" s="569"/>
      <c r="B21" s="176" t="s">
        <v>169</v>
      </c>
      <c r="D21" s="177">
        <v>17893</v>
      </c>
      <c r="E21" s="172"/>
      <c r="F21" s="177">
        <v>7353</v>
      </c>
      <c r="G21" s="172"/>
      <c r="H21" s="177">
        <v>0</v>
      </c>
      <c r="I21" s="175"/>
      <c r="J21" s="177">
        <v>21900</v>
      </c>
      <c r="K21" s="175"/>
      <c r="L21" s="177">
        <v>386724</v>
      </c>
      <c r="M21" s="175"/>
      <c r="N21" s="177">
        <v>33223</v>
      </c>
      <c r="O21" s="175"/>
      <c r="P21" s="177">
        <v>0</v>
      </c>
      <c r="Q21" s="175"/>
      <c r="R21" s="177">
        <v>17510</v>
      </c>
      <c r="S21" s="175"/>
      <c r="T21" s="177">
        <v>18503</v>
      </c>
      <c r="U21" s="175"/>
      <c r="V21" s="177">
        <v>0</v>
      </c>
      <c r="W21" s="175"/>
      <c r="X21" s="177">
        <v>522429</v>
      </c>
      <c r="Y21" s="175"/>
      <c r="Z21" s="177">
        <v>541495</v>
      </c>
      <c r="AA21" s="175"/>
      <c r="AB21" s="177">
        <v>0</v>
      </c>
      <c r="AC21" s="175"/>
      <c r="AD21" s="177">
        <v>0</v>
      </c>
      <c r="AE21" s="175"/>
      <c r="AF21" s="177">
        <v>8684</v>
      </c>
      <c r="AG21" s="175"/>
      <c r="AH21" s="177">
        <v>0</v>
      </c>
      <c r="AI21" s="175"/>
      <c r="AJ21" s="177">
        <v>5</v>
      </c>
      <c r="AK21" s="175"/>
      <c r="AL21" s="177">
        <v>20185</v>
      </c>
      <c r="AM21" s="175"/>
      <c r="AN21" s="177">
        <v>18799</v>
      </c>
      <c r="AO21" s="175"/>
      <c r="AP21" s="177">
        <v>2184</v>
      </c>
      <c r="AQ21" s="175"/>
      <c r="AR21" s="177">
        <v>0</v>
      </c>
      <c r="AS21" s="175"/>
      <c r="AT21" s="177">
        <v>300</v>
      </c>
      <c r="AU21" s="175"/>
      <c r="AV21" s="177">
        <f t="shared" si="0"/>
        <v>1617187</v>
      </c>
    </row>
    <row r="22" spans="1:48" ht="24.75" thickBot="1">
      <c r="A22" s="569"/>
      <c r="B22" s="178" t="s">
        <v>34</v>
      </c>
      <c r="D22" s="179">
        <f>SUM(D11:D21)</f>
        <v>64831702</v>
      </c>
      <c r="E22" s="172"/>
      <c r="F22" s="179">
        <f>SUM(F11:F21)</f>
        <v>16927018</v>
      </c>
      <c r="G22" s="172"/>
      <c r="H22" s="179">
        <f>SUM(H11:H21)</f>
        <v>1191165</v>
      </c>
      <c r="I22" s="180"/>
      <c r="J22" s="179">
        <f>SUM(J11:J21)</f>
        <v>11223471</v>
      </c>
      <c r="K22" s="180"/>
      <c r="L22" s="179">
        <f>SUM(L11:L21)</f>
        <v>9158893</v>
      </c>
      <c r="M22" s="180"/>
      <c r="N22" s="179">
        <f>SUM(N11:N21)</f>
        <v>3668461</v>
      </c>
      <c r="O22" s="180"/>
      <c r="P22" s="179">
        <f>SUM(P11:P21)</f>
        <v>11086228</v>
      </c>
      <c r="Q22" s="180"/>
      <c r="R22" s="179">
        <f>SUM(R11:R21)</f>
        <v>5418399</v>
      </c>
      <c r="S22" s="180"/>
      <c r="T22" s="179">
        <f>SUM(T11:T21)</f>
        <v>2454810</v>
      </c>
      <c r="U22" s="180"/>
      <c r="V22" s="179">
        <f>SUM(V11:V21)</f>
        <v>7796459</v>
      </c>
      <c r="W22" s="180"/>
      <c r="X22" s="179">
        <f>SUM(X11:X21)</f>
        <v>4142903</v>
      </c>
      <c r="Y22" s="180"/>
      <c r="Z22" s="179">
        <f>SUM(Z11:Z21)</f>
        <v>7087959</v>
      </c>
      <c r="AA22" s="180"/>
      <c r="AB22" s="179">
        <f>SUM(AB11:AB21)</f>
        <v>6833492</v>
      </c>
      <c r="AC22" s="180"/>
      <c r="AD22" s="179">
        <f>SUM(AD11:AD21)</f>
        <v>2634843</v>
      </c>
      <c r="AE22" s="180"/>
      <c r="AF22" s="179">
        <f>SUM(AF11:AF21)</f>
        <v>3250738</v>
      </c>
      <c r="AG22" s="180"/>
      <c r="AH22" s="179">
        <f>SUM(AH11:AH21)</f>
        <v>4836895</v>
      </c>
      <c r="AI22" s="180"/>
      <c r="AJ22" s="179">
        <f>SUM(AJ11:AJ21)</f>
        <v>1611094</v>
      </c>
      <c r="AK22" s="180"/>
      <c r="AL22" s="179">
        <f>SUM(AL11:AL21)</f>
        <v>3048252</v>
      </c>
      <c r="AM22" s="180"/>
      <c r="AN22" s="179">
        <f>SUM(AN11:AN21)</f>
        <v>1754900</v>
      </c>
      <c r="AO22" s="180"/>
      <c r="AP22" s="179">
        <f>SUM(AP11:AP21)</f>
        <v>338905</v>
      </c>
      <c r="AQ22" s="180"/>
      <c r="AR22" s="179">
        <f>SUM(AR11:AR21)</f>
        <v>187279</v>
      </c>
      <c r="AS22" s="180"/>
      <c r="AT22" s="179">
        <f>SUM(AT11:AT21)</f>
        <v>1357017</v>
      </c>
      <c r="AU22" s="180"/>
      <c r="AV22" s="179">
        <f t="shared" si="0"/>
        <v>170840883</v>
      </c>
    </row>
    <row r="23" spans="1:48" ht="21.75" thickTop="1">
      <c r="A23" s="569"/>
      <c r="B23" s="181" t="s">
        <v>67</v>
      </c>
      <c r="D23" s="175"/>
      <c r="E23" s="172"/>
      <c r="F23" s="175"/>
      <c r="G23" s="172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</row>
    <row r="24" spans="1:48" ht="21">
      <c r="A24" s="569"/>
      <c r="B24" s="173" t="s">
        <v>63</v>
      </c>
      <c r="D24" s="174">
        <v>0</v>
      </c>
      <c r="E24" s="172"/>
      <c r="F24" s="174">
        <v>275389</v>
      </c>
      <c r="G24" s="172"/>
      <c r="H24" s="174">
        <v>2836</v>
      </c>
      <c r="I24" s="175"/>
      <c r="J24" s="174">
        <v>326187</v>
      </c>
      <c r="K24" s="175"/>
      <c r="L24" s="174">
        <v>357442</v>
      </c>
      <c r="M24" s="175"/>
      <c r="N24" s="174">
        <v>283280</v>
      </c>
      <c r="O24" s="175"/>
      <c r="P24" s="174">
        <v>411570</v>
      </c>
      <c r="Q24" s="175"/>
      <c r="R24" s="174">
        <v>78727</v>
      </c>
      <c r="S24" s="175"/>
      <c r="T24" s="174">
        <v>200329</v>
      </c>
      <c r="U24" s="175"/>
      <c r="V24" s="174">
        <v>52582</v>
      </c>
      <c r="W24" s="175"/>
      <c r="X24" s="174">
        <v>128160</v>
      </c>
      <c r="Y24" s="175"/>
      <c r="Z24" s="174">
        <v>0</v>
      </c>
      <c r="AA24" s="175"/>
      <c r="AB24" s="174">
        <v>0</v>
      </c>
      <c r="AC24" s="175"/>
      <c r="AD24" s="174">
        <v>46476</v>
      </c>
      <c r="AE24" s="175"/>
      <c r="AF24" s="174">
        <v>132408</v>
      </c>
      <c r="AG24" s="175"/>
      <c r="AH24" s="174">
        <v>32293</v>
      </c>
      <c r="AI24" s="175"/>
      <c r="AJ24" s="174">
        <v>26762</v>
      </c>
      <c r="AK24" s="175"/>
      <c r="AL24" s="174">
        <v>0</v>
      </c>
      <c r="AM24" s="175"/>
      <c r="AN24" s="174">
        <v>56963</v>
      </c>
      <c r="AO24" s="175"/>
      <c r="AP24" s="174">
        <v>5675</v>
      </c>
      <c r="AQ24" s="175"/>
      <c r="AR24" s="174">
        <v>5513</v>
      </c>
      <c r="AS24" s="175"/>
      <c r="AT24" s="174">
        <v>19383</v>
      </c>
      <c r="AU24" s="175"/>
      <c r="AV24" s="174">
        <f t="shared" si="0"/>
        <v>2441975</v>
      </c>
    </row>
    <row r="25" spans="1:48" ht="21">
      <c r="A25" s="569"/>
      <c r="B25" s="173" t="s">
        <v>170</v>
      </c>
      <c r="D25" s="174">
        <v>272257</v>
      </c>
      <c r="E25" s="172"/>
      <c r="F25" s="174">
        <v>60888</v>
      </c>
      <c r="G25" s="172"/>
      <c r="H25" s="174">
        <v>181292</v>
      </c>
      <c r="I25" s="175"/>
      <c r="J25" s="174">
        <v>123144</v>
      </c>
      <c r="K25" s="175"/>
      <c r="L25" s="174">
        <v>325283</v>
      </c>
      <c r="M25" s="175"/>
      <c r="N25" s="174">
        <v>194451</v>
      </c>
      <c r="O25" s="175"/>
      <c r="P25" s="174">
        <v>828267</v>
      </c>
      <c r="Q25" s="175"/>
      <c r="R25" s="174">
        <v>3962</v>
      </c>
      <c r="S25" s="175"/>
      <c r="T25" s="174">
        <v>61998</v>
      </c>
      <c r="U25" s="175"/>
      <c r="V25" s="174">
        <v>66140</v>
      </c>
      <c r="W25" s="175"/>
      <c r="X25" s="174">
        <v>358865</v>
      </c>
      <c r="Y25" s="175"/>
      <c r="Z25" s="174">
        <v>806059</v>
      </c>
      <c r="AA25" s="175"/>
      <c r="AB25" s="174">
        <v>601289</v>
      </c>
      <c r="AC25" s="175"/>
      <c r="AD25" s="174">
        <v>87896</v>
      </c>
      <c r="AE25" s="175"/>
      <c r="AF25" s="174">
        <v>117709</v>
      </c>
      <c r="AG25" s="175"/>
      <c r="AH25" s="174">
        <v>218450</v>
      </c>
      <c r="AI25" s="175"/>
      <c r="AJ25" s="174">
        <v>115711</v>
      </c>
      <c r="AK25" s="175"/>
      <c r="AL25" s="174">
        <v>50461</v>
      </c>
      <c r="AM25" s="175"/>
      <c r="AN25" s="174">
        <v>158636</v>
      </c>
      <c r="AO25" s="175"/>
      <c r="AP25" s="174">
        <v>17875</v>
      </c>
      <c r="AQ25" s="175"/>
      <c r="AR25" s="174">
        <v>16761</v>
      </c>
      <c r="AS25" s="175"/>
      <c r="AT25" s="174">
        <v>83673</v>
      </c>
      <c r="AU25" s="175"/>
      <c r="AV25" s="174">
        <f t="shared" si="0"/>
        <v>4751067</v>
      </c>
    </row>
    <row r="26" spans="1:48" ht="21">
      <c r="A26" s="569"/>
      <c r="B26" s="173" t="s">
        <v>171</v>
      </c>
      <c r="D26" s="174">
        <v>9068122</v>
      </c>
      <c r="E26" s="172"/>
      <c r="F26" s="174">
        <v>2967894</v>
      </c>
      <c r="G26" s="172"/>
      <c r="H26" s="174">
        <v>33273</v>
      </c>
      <c r="I26" s="175"/>
      <c r="J26" s="174">
        <v>564953</v>
      </c>
      <c r="K26" s="175"/>
      <c r="L26" s="174">
        <v>1730173</v>
      </c>
      <c r="M26" s="175"/>
      <c r="N26" s="174">
        <v>509556</v>
      </c>
      <c r="O26" s="175"/>
      <c r="P26" s="174">
        <v>2100610</v>
      </c>
      <c r="Q26" s="175"/>
      <c r="R26" s="174">
        <v>1485204</v>
      </c>
      <c r="S26" s="175"/>
      <c r="T26" s="174">
        <v>334260</v>
      </c>
      <c r="U26" s="175"/>
      <c r="V26" s="174">
        <v>298517</v>
      </c>
      <c r="W26" s="175"/>
      <c r="X26" s="174">
        <v>524881</v>
      </c>
      <c r="Y26" s="175"/>
      <c r="Z26" s="174">
        <v>813849</v>
      </c>
      <c r="AA26" s="175"/>
      <c r="AB26" s="174">
        <v>761310</v>
      </c>
      <c r="AC26" s="175"/>
      <c r="AD26" s="174">
        <v>437395</v>
      </c>
      <c r="AE26" s="175"/>
      <c r="AF26" s="174">
        <v>336047</v>
      </c>
      <c r="AG26" s="175"/>
      <c r="AH26" s="174">
        <v>741343</v>
      </c>
      <c r="AI26" s="175"/>
      <c r="AJ26" s="174">
        <v>153046</v>
      </c>
      <c r="AK26" s="175"/>
      <c r="AL26" s="174">
        <v>745275</v>
      </c>
      <c r="AM26" s="175"/>
      <c r="AN26" s="174">
        <v>102217</v>
      </c>
      <c r="AO26" s="175"/>
      <c r="AP26" s="174">
        <v>15771</v>
      </c>
      <c r="AQ26" s="175"/>
      <c r="AR26" s="174">
        <v>3380</v>
      </c>
      <c r="AS26" s="175"/>
      <c r="AT26" s="174">
        <v>5723</v>
      </c>
      <c r="AU26" s="175"/>
      <c r="AV26" s="174">
        <f t="shared" si="0"/>
        <v>23732799</v>
      </c>
    </row>
    <row r="27" spans="1:48" ht="21">
      <c r="A27" s="569"/>
      <c r="B27" s="173" t="s">
        <v>172</v>
      </c>
      <c r="D27" s="174">
        <v>1550209</v>
      </c>
      <c r="E27" s="172"/>
      <c r="F27" s="174">
        <v>0</v>
      </c>
      <c r="G27" s="172"/>
      <c r="H27" s="174">
        <v>0</v>
      </c>
      <c r="I27" s="175"/>
      <c r="J27" s="174">
        <v>8679</v>
      </c>
      <c r="K27" s="175"/>
      <c r="L27" s="174">
        <v>246</v>
      </c>
      <c r="M27" s="175"/>
      <c r="N27" s="174">
        <v>940</v>
      </c>
      <c r="O27" s="175"/>
      <c r="P27" s="174">
        <v>102476</v>
      </c>
      <c r="Q27" s="175"/>
      <c r="R27" s="174">
        <v>3603</v>
      </c>
      <c r="S27" s="175"/>
      <c r="T27" s="174">
        <v>0</v>
      </c>
      <c r="U27" s="175"/>
      <c r="V27" s="174">
        <v>3141</v>
      </c>
      <c r="W27" s="175"/>
      <c r="X27" s="174">
        <v>23653</v>
      </c>
      <c r="Y27" s="175"/>
      <c r="Z27" s="174">
        <v>0</v>
      </c>
      <c r="AA27" s="175"/>
      <c r="AB27" s="174">
        <v>7619</v>
      </c>
      <c r="AC27" s="175"/>
      <c r="AD27" s="174">
        <v>1659</v>
      </c>
      <c r="AE27" s="175"/>
      <c r="AF27" s="174">
        <v>0</v>
      </c>
      <c r="AG27" s="175"/>
      <c r="AH27" s="174">
        <v>11518</v>
      </c>
      <c r="AI27" s="175"/>
      <c r="AJ27" s="174">
        <v>0</v>
      </c>
      <c r="AK27" s="175"/>
      <c r="AL27" s="174">
        <v>44734</v>
      </c>
      <c r="AM27" s="175"/>
      <c r="AN27" s="174">
        <v>0</v>
      </c>
      <c r="AO27" s="175"/>
      <c r="AP27" s="174">
        <v>84</v>
      </c>
      <c r="AQ27" s="175"/>
      <c r="AR27" s="174">
        <v>0</v>
      </c>
      <c r="AS27" s="175"/>
      <c r="AT27" s="174">
        <v>1168</v>
      </c>
      <c r="AU27" s="175"/>
      <c r="AV27" s="174">
        <f t="shared" si="0"/>
        <v>1759729</v>
      </c>
    </row>
    <row r="28" spans="1:48" ht="21">
      <c r="A28" s="569"/>
      <c r="B28" s="173" t="s">
        <v>55</v>
      </c>
      <c r="D28" s="174">
        <v>0</v>
      </c>
      <c r="E28" s="172"/>
      <c r="F28" s="174">
        <v>3570</v>
      </c>
      <c r="G28" s="172"/>
      <c r="H28" s="174">
        <v>0</v>
      </c>
      <c r="I28" s="175"/>
      <c r="J28" s="174">
        <v>67</v>
      </c>
      <c r="K28" s="175"/>
      <c r="L28" s="174">
        <v>155</v>
      </c>
      <c r="M28" s="175"/>
      <c r="N28" s="174">
        <v>55053</v>
      </c>
      <c r="O28" s="175"/>
      <c r="P28" s="174">
        <v>581464</v>
      </c>
      <c r="Q28" s="175"/>
      <c r="R28" s="174">
        <v>0</v>
      </c>
      <c r="S28" s="175"/>
      <c r="T28" s="174">
        <v>0</v>
      </c>
      <c r="U28" s="175"/>
      <c r="V28" s="174">
        <v>2618</v>
      </c>
      <c r="W28" s="175"/>
      <c r="X28" s="174">
        <v>0</v>
      </c>
      <c r="Y28" s="175"/>
      <c r="Z28" s="174">
        <v>235498</v>
      </c>
      <c r="AA28" s="175"/>
      <c r="AB28" s="174">
        <v>135601</v>
      </c>
      <c r="AC28" s="175"/>
      <c r="AD28" s="174">
        <v>0</v>
      </c>
      <c r="AE28" s="175"/>
      <c r="AF28" s="174">
        <v>88682</v>
      </c>
      <c r="AG28" s="175"/>
      <c r="AH28" s="174">
        <v>0</v>
      </c>
      <c r="AI28" s="175"/>
      <c r="AJ28" s="174">
        <v>21811</v>
      </c>
      <c r="AK28" s="175"/>
      <c r="AL28" s="174">
        <v>11565</v>
      </c>
      <c r="AM28" s="175"/>
      <c r="AN28" s="174">
        <v>915</v>
      </c>
      <c r="AO28" s="175"/>
      <c r="AP28" s="174">
        <v>0</v>
      </c>
      <c r="AQ28" s="175"/>
      <c r="AR28" s="174">
        <v>0</v>
      </c>
      <c r="AS28" s="175"/>
      <c r="AT28" s="174">
        <v>0</v>
      </c>
      <c r="AU28" s="175"/>
      <c r="AV28" s="174">
        <f t="shared" si="0"/>
        <v>1136999</v>
      </c>
    </row>
    <row r="29" spans="1:48" ht="21">
      <c r="A29" s="569"/>
      <c r="B29" s="173" t="s">
        <v>173</v>
      </c>
      <c r="D29" s="174">
        <v>25764096</v>
      </c>
      <c r="E29" s="172"/>
      <c r="F29" s="174">
        <v>8586175</v>
      </c>
      <c r="G29" s="172"/>
      <c r="H29" s="174">
        <v>187485</v>
      </c>
      <c r="I29" s="175"/>
      <c r="J29" s="174">
        <v>4367803</v>
      </c>
      <c r="K29" s="175"/>
      <c r="L29" s="174">
        <v>4719874</v>
      </c>
      <c r="M29" s="175"/>
      <c r="N29" s="174">
        <v>921977</v>
      </c>
      <c r="O29" s="175"/>
      <c r="P29" s="174">
        <v>3212023</v>
      </c>
      <c r="Q29" s="175"/>
      <c r="R29" s="174">
        <v>1919927</v>
      </c>
      <c r="S29" s="175"/>
      <c r="T29" s="174">
        <v>658388</v>
      </c>
      <c r="U29" s="175"/>
      <c r="V29" s="174">
        <v>972690</v>
      </c>
      <c r="W29" s="175"/>
      <c r="X29" s="174">
        <v>1396363</v>
      </c>
      <c r="Y29" s="175"/>
      <c r="Z29" s="174">
        <v>948868</v>
      </c>
      <c r="AA29" s="175"/>
      <c r="AB29" s="174">
        <v>2818975</v>
      </c>
      <c r="AC29" s="175"/>
      <c r="AD29" s="174">
        <v>931052</v>
      </c>
      <c r="AE29" s="175"/>
      <c r="AF29" s="174">
        <v>1493805</v>
      </c>
      <c r="AG29" s="175"/>
      <c r="AH29" s="174">
        <v>2211938</v>
      </c>
      <c r="AI29" s="175"/>
      <c r="AJ29" s="174">
        <v>382430</v>
      </c>
      <c r="AK29" s="175"/>
      <c r="AL29" s="174">
        <v>1165720</v>
      </c>
      <c r="AM29" s="175"/>
      <c r="AN29" s="174">
        <v>661968</v>
      </c>
      <c r="AO29" s="175"/>
      <c r="AP29" s="174">
        <v>50345</v>
      </c>
      <c r="AQ29" s="175"/>
      <c r="AR29" s="174">
        <v>25853</v>
      </c>
      <c r="AS29" s="175"/>
      <c r="AT29" s="174">
        <v>129953</v>
      </c>
      <c r="AU29" s="175"/>
      <c r="AV29" s="174">
        <f t="shared" si="0"/>
        <v>63527708</v>
      </c>
    </row>
    <row r="30" spans="1:48" ht="21">
      <c r="A30" s="569"/>
      <c r="B30" s="173" t="s">
        <v>174</v>
      </c>
      <c r="D30" s="174">
        <v>6545533</v>
      </c>
      <c r="E30" s="172"/>
      <c r="F30" s="174">
        <v>1307657</v>
      </c>
      <c r="G30" s="172"/>
      <c r="H30" s="174">
        <v>14849</v>
      </c>
      <c r="I30" s="175"/>
      <c r="J30" s="174">
        <v>1093107</v>
      </c>
      <c r="K30" s="175"/>
      <c r="L30" s="174">
        <v>544737</v>
      </c>
      <c r="M30" s="175"/>
      <c r="N30" s="174">
        <v>919410</v>
      </c>
      <c r="O30" s="175"/>
      <c r="P30" s="174">
        <v>1059787</v>
      </c>
      <c r="Q30" s="175"/>
      <c r="R30" s="174">
        <v>1201631</v>
      </c>
      <c r="S30" s="175"/>
      <c r="T30" s="174">
        <v>198065</v>
      </c>
      <c r="U30" s="175"/>
      <c r="V30" s="174">
        <v>340290</v>
      </c>
      <c r="W30" s="175"/>
      <c r="X30" s="174">
        <v>611401</v>
      </c>
      <c r="Y30" s="175"/>
      <c r="Z30" s="174">
        <v>1031126</v>
      </c>
      <c r="AA30" s="175"/>
      <c r="AB30" s="174">
        <v>613242</v>
      </c>
      <c r="AC30" s="175"/>
      <c r="AD30" s="174">
        <v>388087</v>
      </c>
      <c r="AE30" s="175"/>
      <c r="AF30" s="174">
        <v>432756</v>
      </c>
      <c r="AG30" s="175"/>
      <c r="AH30" s="174">
        <v>393990</v>
      </c>
      <c r="AI30" s="175"/>
      <c r="AJ30" s="174">
        <v>156587</v>
      </c>
      <c r="AK30" s="175"/>
      <c r="AL30" s="174">
        <v>300200</v>
      </c>
      <c r="AM30" s="175"/>
      <c r="AN30" s="174">
        <v>118073</v>
      </c>
      <c r="AO30" s="175"/>
      <c r="AP30" s="174">
        <v>151738</v>
      </c>
      <c r="AQ30" s="175"/>
      <c r="AR30" s="174">
        <v>33653</v>
      </c>
      <c r="AS30" s="175"/>
      <c r="AT30" s="174">
        <v>53655</v>
      </c>
      <c r="AU30" s="175"/>
      <c r="AV30" s="174">
        <f t="shared" si="0"/>
        <v>17509574</v>
      </c>
    </row>
    <row r="31" spans="1:48" ht="21">
      <c r="A31" s="569"/>
      <c r="B31" s="173" t="s">
        <v>175</v>
      </c>
      <c r="D31" s="174">
        <v>472704</v>
      </c>
      <c r="E31" s="172"/>
      <c r="F31" s="174">
        <v>323526</v>
      </c>
      <c r="G31" s="172"/>
      <c r="H31" s="174">
        <v>1087</v>
      </c>
      <c r="I31" s="175"/>
      <c r="J31" s="174">
        <v>103860</v>
      </c>
      <c r="K31" s="175"/>
      <c r="L31" s="174">
        <v>23301</v>
      </c>
      <c r="M31" s="175"/>
      <c r="N31" s="174">
        <v>0</v>
      </c>
      <c r="O31" s="175"/>
      <c r="P31" s="174">
        <v>0</v>
      </c>
      <c r="Q31" s="175"/>
      <c r="R31" s="174">
        <v>12603</v>
      </c>
      <c r="S31" s="175"/>
      <c r="T31" s="174">
        <v>44710</v>
      </c>
      <c r="U31" s="175"/>
      <c r="V31" s="174">
        <v>23493</v>
      </c>
      <c r="W31" s="175"/>
      <c r="X31" s="174">
        <v>102949</v>
      </c>
      <c r="Y31" s="175"/>
      <c r="Z31" s="174">
        <v>84643</v>
      </c>
      <c r="AA31" s="175"/>
      <c r="AB31" s="174">
        <v>173834</v>
      </c>
      <c r="AC31" s="175"/>
      <c r="AD31" s="174">
        <v>32441</v>
      </c>
      <c r="AE31" s="175"/>
      <c r="AF31" s="174">
        <v>0</v>
      </c>
      <c r="AG31" s="175"/>
      <c r="AH31" s="174">
        <v>0</v>
      </c>
      <c r="AI31" s="175"/>
      <c r="AJ31" s="174">
        <v>17952</v>
      </c>
      <c r="AK31" s="175"/>
      <c r="AL31" s="174">
        <v>14574</v>
      </c>
      <c r="AM31" s="175"/>
      <c r="AN31" s="174">
        <v>35701</v>
      </c>
      <c r="AO31" s="175"/>
      <c r="AP31" s="174">
        <v>0</v>
      </c>
      <c r="AQ31" s="175"/>
      <c r="AR31" s="174">
        <v>0</v>
      </c>
      <c r="AS31" s="175"/>
      <c r="AT31" s="174">
        <v>11267</v>
      </c>
      <c r="AU31" s="175"/>
      <c r="AV31" s="174">
        <f t="shared" si="0"/>
        <v>1478645</v>
      </c>
    </row>
    <row r="32" spans="1:48" ht="21">
      <c r="A32" s="569"/>
      <c r="B32" s="173" t="s">
        <v>176</v>
      </c>
      <c r="D32" s="174">
        <v>4258910</v>
      </c>
      <c r="E32" s="172"/>
      <c r="F32" s="174">
        <v>355028</v>
      </c>
      <c r="G32" s="172"/>
      <c r="H32" s="174">
        <v>28</v>
      </c>
      <c r="I32" s="175"/>
      <c r="J32" s="174">
        <v>0</v>
      </c>
      <c r="K32" s="175"/>
      <c r="L32" s="174">
        <v>0</v>
      </c>
      <c r="M32" s="175"/>
      <c r="N32" s="174">
        <v>0</v>
      </c>
      <c r="O32" s="175"/>
      <c r="P32" s="174">
        <v>485568</v>
      </c>
      <c r="Q32" s="175"/>
      <c r="R32" s="174">
        <v>240602</v>
      </c>
      <c r="S32" s="175"/>
      <c r="T32" s="174">
        <v>136907</v>
      </c>
      <c r="U32" s="175"/>
      <c r="V32" s="174">
        <v>3818991</v>
      </c>
      <c r="W32" s="175"/>
      <c r="X32" s="174">
        <v>209443</v>
      </c>
      <c r="Y32" s="175"/>
      <c r="Z32" s="174">
        <v>252401</v>
      </c>
      <c r="AA32" s="175"/>
      <c r="AB32" s="174">
        <v>85785</v>
      </c>
      <c r="AC32" s="175"/>
      <c r="AD32" s="174">
        <v>99079</v>
      </c>
      <c r="AE32" s="175"/>
      <c r="AF32" s="174">
        <v>119889</v>
      </c>
      <c r="AG32" s="175"/>
      <c r="AH32" s="174">
        <v>122472</v>
      </c>
      <c r="AI32" s="175"/>
      <c r="AJ32" s="174">
        <v>44248</v>
      </c>
      <c r="AK32" s="175"/>
      <c r="AL32" s="174">
        <v>28153</v>
      </c>
      <c r="AM32" s="175"/>
      <c r="AN32" s="174">
        <v>27993</v>
      </c>
      <c r="AO32" s="175"/>
      <c r="AP32" s="174">
        <v>9923</v>
      </c>
      <c r="AQ32" s="175"/>
      <c r="AR32" s="174">
        <v>2762</v>
      </c>
      <c r="AS32" s="175"/>
      <c r="AT32" s="174">
        <v>22992</v>
      </c>
      <c r="AU32" s="175"/>
      <c r="AV32" s="174">
        <f t="shared" si="0"/>
        <v>10321174</v>
      </c>
    </row>
    <row r="33" spans="1:48" ht="21">
      <c r="A33" s="569"/>
      <c r="B33" s="173" t="s">
        <v>46</v>
      </c>
      <c r="D33" s="174">
        <v>186694</v>
      </c>
      <c r="E33" s="172"/>
      <c r="F33" s="174">
        <v>125794</v>
      </c>
      <c r="G33" s="172"/>
      <c r="H33" s="174">
        <v>5659</v>
      </c>
      <c r="I33" s="175"/>
      <c r="J33" s="174">
        <v>274610</v>
      </c>
      <c r="K33" s="175"/>
      <c r="L33" s="174">
        <v>172786</v>
      </c>
      <c r="M33" s="175"/>
      <c r="N33" s="174">
        <v>56842</v>
      </c>
      <c r="O33" s="175"/>
      <c r="P33" s="174">
        <v>116799</v>
      </c>
      <c r="Q33" s="175"/>
      <c r="R33" s="174">
        <v>2341</v>
      </c>
      <c r="S33" s="175"/>
      <c r="T33" s="174">
        <v>17421</v>
      </c>
      <c r="U33" s="175"/>
      <c r="V33" s="174">
        <v>92050</v>
      </c>
      <c r="W33" s="175"/>
      <c r="X33" s="174">
        <v>139780</v>
      </c>
      <c r="Y33" s="175"/>
      <c r="Z33" s="174">
        <v>7013</v>
      </c>
      <c r="AA33" s="175"/>
      <c r="AB33" s="174">
        <v>10978</v>
      </c>
      <c r="AC33" s="175"/>
      <c r="AD33" s="174">
        <v>18340</v>
      </c>
      <c r="AE33" s="175"/>
      <c r="AF33" s="174">
        <v>51061</v>
      </c>
      <c r="AG33" s="175"/>
      <c r="AH33" s="174">
        <v>15201</v>
      </c>
      <c r="AI33" s="175"/>
      <c r="AJ33" s="174">
        <v>29582</v>
      </c>
      <c r="AK33" s="175"/>
      <c r="AL33" s="174">
        <v>10037</v>
      </c>
      <c r="AM33" s="175"/>
      <c r="AN33" s="174">
        <v>87638</v>
      </c>
      <c r="AO33" s="175"/>
      <c r="AP33" s="174">
        <v>11</v>
      </c>
      <c r="AQ33" s="175"/>
      <c r="AR33" s="174">
        <v>3128</v>
      </c>
      <c r="AS33" s="175"/>
      <c r="AT33" s="174">
        <v>4781</v>
      </c>
      <c r="AU33" s="175"/>
      <c r="AV33" s="174">
        <f t="shared" si="0"/>
        <v>1428546</v>
      </c>
    </row>
    <row r="34" spans="1:48" ht="21">
      <c r="A34" s="569"/>
      <c r="B34" s="173" t="s">
        <v>44</v>
      </c>
      <c r="D34" s="174">
        <v>616676</v>
      </c>
      <c r="E34" s="172"/>
      <c r="F34" s="174">
        <v>263586</v>
      </c>
      <c r="G34" s="172"/>
      <c r="H34" s="174">
        <v>1947</v>
      </c>
      <c r="I34" s="175"/>
      <c r="J34" s="174">
        <v>183401</v>
      </c>
      <c r="K34" s="175"/>
      <c r="L34" s="174">
        <v>206322</v>
      </c>
      <c r="M34" s="175"/>
      <c r="N34" s="174">
        <v>14565</v>
      </c>
      <c r="O34" s="175"/>
      <c r="P34" s="174">
        <v>34461</v>
      </c>
      <c r="Q34" s="175"/>
      <c r="R34" s="174">
        <v>9975</v>
      </c>
      <c r="S34" s="175"/>
      <c r="T34" s="174">
        <v>0</v>
      </c>
      <c r="U34" s="175"/>
      <c r="V34" s="174">
        <v>25518</v>
      </c>
      <c r="W34" s="175"/>
      <c r="X34" s="174">
        <v>14457</v>
      </c>
      <c r="Y34" s="175"/>
      <c r="Z34" s="174">
        <v>15912</v>
      </c>
      <c r="AA34" s="175"/>
      <c r="AB34" s="174">
        <v>10161</v>
      </c>
      <c r="AC34" s="175"/>
      <c r="AD34" s="174">
        <v>13552</v>
      </c>
      <c r="AE34" s="175"/>
      <c r="AF34" s="174">
        <v>10346</v>
      </c>
      <c r="AG34" s="175"/>
      <c r="AH34" s="174">
        <v>14765</v>
      </c>
      <c r="AI34" s="175"/>
      <c r="AJ34" s="174">
        <v>2515</v>
      </c>
      <c r="AK34" s="175"/>
      <c r="AL34" s="174">
        <v>0</v>
      </c>
      <c r="AM34" s="175"/>
      <c r="AN34" s="174">
        <v>3701</v>
      </c>
      <c r="AO34" s="175"/>
      <c r="AP34" s="174">
        <v>0</v>
      </c>
      <c r="AQ34" s="175"/>
      <c r="AR34" s="174">
        <v>0</v>
      </c>
      <c r="AS34" s="175"/>
      <c r="AT34" s="174">
        <v>1512</v>
      </c>
      <c r="AU34" s="175"/>
      <c r="AV34" s="174">
        <f t="shared" si="0"/>
        <v>1443372</v>
      </c>
    </row>
    <row r="35" spans="1:48" ht="21">
      <c r="A35" s="569"/>
      <c r="B35" s="176" t="s">
        <v>43</v>
      </c>
      <c r="D35" s="177">
        <v>0</v>
      </c>
      <c r="E35" s="172"/>
      <c r="F35" s="177">
        <v>0</v>
      </c>
      <c r="G35" s="172"/>
      <c r="H35" s="177">
        <v>77507</v>
      </c>
      <c r="I35" s="175"/>
      <c r="J35" s="177">
        <v>0</v>
      </c>
      <c r="K35" s="175"/>
      <c r="L35" s="177">
        <v>0</v>
      </c>
      <c r="M35" s="175"/>
      <c r="N35" s="177">
        <v>255576</v>
      </c>
      <c r="O35" s="175"/>
      <c r="P35" s="177">
        <v>535</v>
      </c>
      <c r="Q35" s="175"/>
      <c r="R35" s="177">
        <v>0</v>
      </c>
      <c r="S35" s="175"/>
      <c r="T35" s="177">
        <v>100230</v>
      </c>
      <c r="U35" s="175"/>
      <c r="V35" s="177">
        <v>576028</v>
      </c>
      <c r="W35" s="175"/>
      <c r="X35" s="177">
        <v>0</v>
      </c>
      <c r="Y35" s="175"/>
      <c r="Z35" s="177">
        <v>698537</v>
      </c>
      <c r="AA35" s="175"/>
      <c r="AB35" s="177">
        <v>858905</v>
      </c>
      <c r="AC35" s="175"/>
      <c r="AD35" s="177">
        <v>0</v>
      </c>
      <c r="AE35" s="175"/>
      <c r="AF35" s="177">
        <v>30484</v>
      </c>
      <c r="AG35" s="175"/>
      <c r="AH35" s="177">
        <v>0</v>
      </c>
      <c r="AI35" s="175"/>
      <c r="AJ35" s="177">
        <v>100590</v>
      </c>
      <c r="AK35" s="175"/>
      <c r="AL35" s="177">
        <v>0</v>
      </c>
      <c r="AM35" s="175"/>
      <c r="AN35" s="177">
        <v>17220</v>
      </c>
      <c r="AO35" s="175"/>
      <c r="AP35" s="177">
        <v>0</v>
      </c>
      <c r="AQ35" s="175"/>
      <c r="AR35" s="177">
        <v>0</v>
      </c>
      <c r="AS35" s="175"/>
      <c r="AT35" s="177">
        <v>0</v>
      </c>
      <c r="AU35" s="175"/>
      <c r="AV35" s="177">
        <f t="shared" si="0"/>
        <v>2715612</v>
      </c>
    </row>
    <row r="36" spans="1:48" ht="24">
      <c r="A36" s="569"/>
      <c r="B36" s="182" t="s">
        <v>42</v>
      </c>
      <c r="D36" s="183">
        <f>SUM(D24:D35)</f>
        <v>48735201</v>
      </c>
      <c r="E36" s="172"/>
      <c r="F36" s="183">
        <f>SUM(F24:F35)</f>
        <v>14269507</v>
      </c>
      <c r="G36" s="172"/>
      <c r="H36" s="183">
        <f>SUM(H24:H35)</f>
        <v>505963</v>
      </c>
      <c r="I36" s="180"/>
      <c r="J36" s="183">
        <f>SUM(J24:J35)</f>
        <v>7045811</v>
      </c>
      <c r="K36" s="180"/>
      <c r="L36" s="183">
        <f>SUM(L24:L35)</f>
        <v>8080319</v>
      </c>
      <c r="M36" s="180"/>
      <c r="N36" s="183">
        <f>SUM(N24:N35)</f>
        <v>3211650</v>
      </c>
      <c r="O36" s="180"/>
      <c r="P36" s="183">
        <f>SUM(P24:P35)</f>
        <v>8933560</v>
      </c>
      <c r="Q36" s="180"/>
      <c r="R36" s="183">
        <f>SUM(R24:R35)</f>
        <v>4958575</v>
      </c>
      <c r="S36" s="180"/>
      <c r="T36" s="183">
        <f>SUM(T24:T35)</f>
        <v>1752308</v>
      </c>
      <c r="U36" s="180"/>
      <c r="V36" s="183">
        <f>SUM(V24:V35)</f>
        <v>6272058</v>
      </c>
      <c r="W36" s="180"/>
      <c r="X36" s="183">
        <f>SUM(X24:X35)</f>
        <v>3509952</v>
      </c>
      <c r="Y36" s="180"/>
      <c r="Z36" s="183">
        <f>SUM(Z24:Z35)</f>
        <v>4893906</v>
      </c>
      <c r="AA36" s="180"/>
      <c r="AB36" s="183">
        <f>SUM(AB24:AB35)</f>
        <v>6077699</v>
      </c>
      <c r="AC36" s="180"/>
      <c r="AD36" s="183">
        <f>SUM(AD24:AD35)</f>
        <v>2055977</v>
      </c>
      <c r="AE36" s="180"/>
      <c r="AF36" s="183">
        <f>SUM(AF24:AF35)</f>
        <v>2813187</v>
      </c>
      <c r="AG36" s="180"/>
      <c r="AH36" s="183">
        <f>SUM(AH24:AH35)</f>
        <v>3761970</v>
      </c>
      <c r="AI36" s="180"/>
      <c r="AJ36" s="183">
        <f>SUM(AJ24:AJ35)</f>
        <v>1051234</v>
      </c>
      <c r="AK36" s="180"/>
      <c r="AL36" s="183">
        <f>SUM(AL24:AL35)</f>
        <v>2370719</v>
      </c>
      <c r="AM36" s="180"/>
      <c r="AN36" s="183">
        <f>SUM(AN24:AN35)</f>
        <v>1271025</v>
      </c>
      <c r="AO36" s="180"/>
      <c r="AP36" s="183">
        <f>SUM(AP24:AP35)</f>
        <v>251422</v>
      </c>
      <c r="AQ36" s="180"/>
      <c r="AR36" s="183">
        <f>SUM(AR24:AR35)</f>
        <v>91050</v>
      </c>
      <c r="AS36" s="180"/>
      <c r="AT36" s="183">
        <f>SUM(AT24:AT35)</f>
        <v>334107</v>
      </c>
      <c r="AU36" s="180"/>
      <c r="AV36" s="183">
        <f t="shared" si="0"/>
        <v>132247200</v>
      </c>
    </row>
    <row r="37" spans="1:48" ht="24">
      <c r="A37" s="569"/>
      <c r="B37" s="66" t="s">
        <v>41</v>
      </c>
      <c r="D37" s="175"/>
      <c r="E37" s="172"/>
      <c r="F37" s="175"/>
      <c r="G37" s="172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</row>
    <row r="38" spans="1:48" ht="21">
      <c r="A38" s="569"/>
      <c r="B38" s="173" t="s">
        <v>40</v>
      </c>
      <c r="D38" s="174">
        <v>3895612</v>
      </c>
      <c r="E38" s="172"/>
      <c r="F38" s="174">
        <v>455000</v>
      </c>
      <c r="G38" s="172"/>
      <c r="H38" s="174">
        <v>600000</v>
      </c>
      <c r="I38" s="175"/>
      <c r="J38" s="174">
        <v>600000</v>
      </c>
      <c r="K38" s="175"/>
      <c r="L38" s="174">
        <v>105475</v>
      </c>
      <c r="M38" s="175"/>
      <c r="N38" s="174">
        <v>716984</v>
      </c>
      <c r="O38" s="175"/>
      <c r="P38" s="174">
        <v>1100000</v>
      </c>
      <c r="Q38" s="175"/>
      <c r="R38" s="174">
        <v>420000</v>
      </c>
      <c r="S38" s="175"/>
      <c r="T38" s="174">
        <v>280000</v>
      </c>
      <c r="U38" s="175"/>
      <c r="V38" s="174">
        <v>400000</v>
      </c>
      <c r="W38" s="175"/>
      <c r="X38" s="174">
        <v>400000</v>
      </c>
      <c r="Y38" s="175"/>
      <c r="Z38" s="174">
        <v>1500000</v>
      </c>
      <c r="AA38" s="175"/>
      <c r="AB38" s="174">
        <v>610723</v>
      </c>
      <c r="AC38" s="175"/>
      <c r="AD38" s="174">
        <v>398824</v>
      </c>
      <c r="AE38" s="175"/>
      <c r="AF38" s="174">
        <v>280000</v>
      </c>
      <c r="AG38" s="175"/>
      <c r="AH38" s="174">
        <v>698456</v>
      </c>
      <c r="AI38" s="175"/>
      <c r="AJ38" s="174">
        <v>400000</v>
      </c>
      <c r="AK38" s="175"/>
      <c r="AL38" s="174">
        <v>400000</v>
      </c>
      <c r="AM38" s="175"/>
      <c r="AN38" s="174">
        <v>400000</v>
      </c>
      <c r="AO38" s="175"/>
      <c r="AP38" s="174">
        <v>15000</v>
      </c>
      <c r="AQ38" s="175"/>
      <c r="AR38" s="174">
        <v>90000</v>
      </c>
      <c r="AS38" s="175"/>
      <c r="AT38" s="174">
        <v>500000</v>
      </c>
      <c r="AU38" s="175"/>
      <c r="AV38" s="174">
        <f t="shared" si="0"/>
        <v>14266074</v>
      </c>
    </row>
    <row r="39" spans="1:48" ht="21">
      <c r="A39" s="569"/>
      <c r="B39" s="173" t="s">
        <v>177</v>
      </c>
      <c r="D39" s="174">
        <v>10440123</v>
      </c>
      <c r="E39" s="172"/>
      <c r="F39" s="174">
        <v>1845058</v>
      </c>
      <c r="G39" s="172"/>
      <c r="H39" s="174">
        <v>0</v>
      </c>
      <c r="I39" s="175"/>
      <c r="J39" s="174">
        <v>3000000</v>
      </c>
      <c r="K39" s="175"/>
      <c r="L39" s="174">
        <v>0</v>
      </c>
      <c r="M39" s="175"/>
      <c r="N39" s="174">
        <v>0</v>
      </c>
      <c r="O39" s="175"/>
      <c r="P39" s="174">
        <v>0</v>
      </c>
      <c r="Q39" s="175"/>
      <c r="R39" s="174">
        <v>0</v>
      </c>
      <c r="S39" s="175"/>
      <c r="T39" s="174">
        <v>345852</v>
      </c>
      <c r="U39" s="175"/>
      <c r="V39" s="174">
        <v>749448</v>
      </c>
      <c r="W39" s="175"/>
      <c r="X39" s="174">
        <v>0</v>
      </c>
      <c r="Y39" s="175"/>
      <c r="Z39" s="174">
        <v>0</v>
      </c>
      <c r="AA39" s="175"/>
      <c r="AB39" s="174">
        <v>0</v>
      </c>
      <c r="AC39" s="175"/>
      <c r="AD39" s="174">
        <v>0</v>
      </c>
      <c r="AE39" s="175"/>
      <c r="AF39" s="174">
        <v>0</v>
      </c>
      <c r="AG39" s="175"/>
      <c r="AH39" s="174">
        <v>0</v>
      </c>
      <c r="AI39" s="175"/>
      <c r="AJ39" s="174">
        <v>0</v>
      </c>
      <c r="AK39" s="175"/>
      <c r="AL39" s="174">
        <v>0</v>
      </c>
      <c r="AM39" s="175"/>
      <c r="AN39" s="174">
        <v>0</v>
      </c>
      <c r="AO39" s="175"/>
      <c r="AP39" s="174">
        <v>46343</v>
      </c>
      <c r="AQ39" s="175"/>
      <c r="AR39" s="174">
        <v>0</v>
      </c>
      <c r="AS39" s="175"/>
      <c r="AT39" s="174">
        <v>0</v>
      </c>
      <c r="AU39" s="175"/>
      <c r="AV39" s="174">
        <f t="shared" si="0"/>
        <v>16426824</v>
      </c>
    </row>
    <row r="40" spans="1:48" ht="21">
      <c r="A40" s="569"/>
      <c r="B40" s="173" t="s">
        <v>38</v>
      </c>
      <c r="D40" s="174">
        <v>734129</v>
      </c>
      <c r="E40" s="172"/>
      <c r="F40" s="174">
        <v>54657</v>
      </c>
      <c r="G40" s="172"/>
      <c r="H40" s="174">
        <v>5835</v>
      </c>
      <c r="I40" s="175"/>
      <c r="J40" s="174">
        <v>60000</v>
      </c>
      <c r="K40" s="175"/>
      <c r="L40" s="174">
        <v>14045</v>
      </c>
      <c r="M40" s="175"/>
      <c r="N40" s="174">
        <v>31582</v>
      </c>
      <c r="O40" s="175"/>
      <c r="P40" s="174">
        <v>151834</v>
      </c>
      <c r="Q40" s="175"/>
      <c r="R40" s="174">
        <v>38654</v>
      </c>
      <c r="S40" s="175"/>
      <c r="T40" s="174">
        <v>28000</v>
      </c>
      <c r="U40" s="175"/>
      <c r="V40" s="174">
        <v>58049</v>
      </c>
      <c r="W40" s="175"/>
      <c r="X40" s="174">
        <v>31691</v>
      </c>
      <c r="Y40" s="175"/>
      <c r="Z40" s="174">
        <v>139276</v>
      </c>
      <c r="AA40" s="175"/>
      <c r="AB40" s="174">
        <v>35918</v>
      </c>
      <c r="AC40" s="175"/>
      <c r="AD40" s="174">
        <v>41005</v>
      </c>
      <c r="AE40" s="175"/>
      <c r="AF40" s="174">
        <v>28000</v>
      </c>
      <c r="AG40" s="175"/>
      <c r="AH40" s="174">
        <v>61623</v>
      </c>
      <c r="AI40" s="175"/>
      <c r="AJ40" s="174">
        <v>9568</v>
      </c>
      <c r="AK40" s="175"/>
      <c r="AL40" s="174">
        <v>14985</v>
      </c>
      <c r="AM40" s="175"/>
      <c r="AN40" s="174">
        <v>11223</v>
      </c>
      <c r="AO40" s="175"/>
      <c r="AP40" s="174">
        <v>1500</v>
      </c>
      <c r="AQ40" s="175"/>
      <c r="AR40" s="174">
        <v>751</v>
      </c>
      <c r="AS40" s="175"/>
      <c r="AT40" s="174">
        <v>53761</v>
      </c>
      <c r="AU40" s="175"/>
      <c r="AV40" s="174">
        <f t="shared" si="0"/>
        <v>1606086</v>
      </c>
    </row>
    <row r="41" spans="1:48" ht="21">
      <c r="A41" s="569"/>
      <c r="B41" s="173" t="s">
        <v>37</v>
      </c>
      <c r="D41" s="174">
        <v>639598</v>
      </c>
      <c r="E41" s="172"/>
      <c r="F41" s="174">
        <v>74054</v>
      </c>
      <c r="G41" s="172"/>
      <c r="H41" s="174">
        <v>11671</v>
      </c>
      <c r="I41" s="175"/>
      <c r="J41" s="174">
        <v>244205</v>
      </c>
      <c r="K41" s="175"/>
      <c r="L41" s="174">
        <v>33541</v>
      </c>
      <c r="M41" s="175"/>
      <c r="N41" s="174">
        <v>15791</v>
      </c>
      <c r="O41" s="175"/>
      <c r="P41" s="174">
        <v>401814</v>
      </c>
      <c r="Q41" s="175"/>
      <c r="R41" s="174">
        <v>21770</v>
      </c>
      <c r="S41" s="175"/>
      <c r="T41" s="174">
        <v>29520</v>
      </c>
      <c r="U41" s="175"/>
      <c r="V41" s="174">
        <v>45034</v>
      </c>
      <c r="W41" s="175"/>
      <c r="X41" s="174">
        <v>49915</v>
      </c>
      <c r="Y41" s="175"/>
      <c r="Z41" s="174">
        <v>197027</v>
      </c>
      <c r="AA41" s="175"/>
      <c r="AB41" s="174">
        <v>41203</v>
      </c>
      <c r="AC41" s="175"/>
      <c r="AD41" s="174">
        <v>37936</v>
      </c>
      <c r="AE41" s="175"/>
      <c r="AF41" s="174">
        <v>46829</v>
      </c>
      <c r="AG41" s="175"/>
      <c r="AH41" s="174">
        <v>80076</v>
      </c>
      <c r="AI41" s="175"/>
      <c r="AJ41" s="174">
        <v>19136</v>
      </c>
      <c r="AK41" s="175"/>
      <c r="AL41" s="174">
        <v>29970</v>
      </c>
      <c r="AM41" s="175"/>
      <c r="AN41" s="174">
        <v>15658</v>
      </c>
      <c r="AO41" s="175"/>
      <c r="AP41" s="174">
        <v>5988</v>
      </c>
      <c r="AQ41" s="175"/>
      <c r="AR41" s="174">
        <v>1201</v>
      </c>
      <c r="AS41" s="175"/>
      <c r="AT41" s="174">
        <v>51789</v>
      </c>
      <c r="AU41" s="175"/>
      <c r="AV41" s="174">
        <f t="shared" si="0"/>
        <v>2093726</v>
      </c>
    </row>
    <row r="42" spans="1:48" ht="21">
      <c r="A42" s="569"/>
      <c r="B42" s="173" t="s">
        <v>178</v>
      </c>
      <c r="D42" s="174">
        <v>1505768</v>
      </c>
      <c r="E42" s="172"/>
      <c r="F42" s="174">
        <v>16597</v>
      </c>
      <c r="G42" s="172"/>
      <c r="H42" s="174">
        <v>0</v>
      </c>
      <c r="I42" s="175"/>
      <c r="J42" s="174">
        <v>0</v>
      </c>
      <c r="K42" s="175"/>
      <c r="L42" s="174">
        <v>915762</v>
      </c>
      <c r="M42" s="175"/>
      <c r="N42" s="174">
        <v>1200</v>
      </c>
      <c r="O42" s="175"/>
      <c r="P42" s="174">
        <v>0</v>
      </c>
      <c r="Q42" s="175"/>
      <c r="R42" s="174">
        <v>0</v>
      </c>
      <c r="S42" s="175"/>
      <c r="T42" s="174">
        <v>0</v>
      </c>
      <c r="U42" s="175"/>
      <c r="V42" s="174">
        <v>0</v>
      </c>
      <c r="W42" s="175"/>
      <c r="X42" s="174">
        <v>0</v>
      </c>
      <c r="Y42" s="175"/>
      <c r="Z42" s="174">
        <v>0</v>
      </c>
      <c r="AA42" s="175"/>
      <c r="AB42" s="174">
        <v>0</v>
      </c>
      <c r="AC42" s="175"/>
      <c r="AD42" s="174">
        <v>0</v>
      </c>
      <c r="AE42" s="175"/>
      <c r="AF42" s="174">
        <v>0</v>
      </c>
      <c r="AG42" s="175"/>
      <c r="AH42" s="174">
        <v>0</v>
      </c>
      <c r="AI42" s="175"/>
      <c r="AJ42" s="174">
        <v>0</v>
      </c>
      <c r="AK42" s="175"/>
      <c r="AL42" s="174">
        <v>0</v>
      </c>
      <c r="AM42" s="175"/>
      <c r="AN42" s="174">
        <v>0</v>
      </c>
      <c r="AO42" s="175"/>
      <c r="AP42" s="174">
        <v>1000</v>
      </c>
      <c r="AQ42" s="175"/>
      <c r="AR42" s="174">
        <v>0</v>
      </c>
      <c r="AS42" s="175"/>
      <c r="AT42" s="174">
        <v>0</v>
      </c>
      <c r="AU42" s="175"/>
      <c r="AV42" s="174">
        <f t="shared" si="0"/>
        <v>2440327</v>
      </c>
    </row>
    <row r="43" spans="1:48" ht="21">
      <c r="A43" s="569"/>
      <c r="B43" s="173" t="s">
        <v>36</v>
      </c>
      <c r="D43" s="174">
        <v>-1118729</v>
      </c>
      <c r="E43" s="172"/>
      <c r="F43" s="174">
        <v>212145</v>
      </c>
      <c r="G43" s="172"/>
      <c r="H43" s="174">
        <v>67696</v>
      </c>
      <c r="I43" s="175"/>
      <c r="J43" s="174">
        <v>273455</v>
      </c>
      <c r="K43" s="175"/>
      <c r="L43" s="174">
        <v>9751</v>
      </c>
      <c r="M43" s="175"/>
      <c r="N43" s="174">
        <v>-308746</v>
      </c>
      <c r="O43" s="175"/>
      <c r="P43" s="174">
        <v>499020</v>
      </c>
      <c r="Q43" s="175"/>
      <c r="R43" s="174">
        <v>-20600</v>
      </c>
      <c r="S43" s="175"/>
      <c r="T43" s="174">
        <v>19130</v>
      </c>
      <c r="U43" s="175"/>
      <c r="V43" s="174">
        <v>271870</v>
      </c>
      <c r="W43" s="175"/>
      <c r="X43" s="174">
        <v>151345</v>
      </c>
      <c r="Y43" s="175"/>
      <c r="Z43" s="174">
        <v>357750</v>
      </c>
      <c r="AA43" s="175"/>
      <c r="AB43" s="174">
        <v>67949</v>
      </c>
      <c r="AC43" s="175"/>
      <c r="AD43" s="174">
        <v>101101</v>
      </c>
      <c r="AE43" s="175"/>
      <c r="AF43" s="174">
        <v>82722</v>
      </c>
      <c r="AG43" s="175"/>
      <c r="AH43" s="174">
        <v>234770</v>
      </c>
      <c r="AI43" s="175"/>
      <c r="AJ43" s="174">
        <v>131156</v>
      </c>
      <c r="AK43" s="175"/>
      <c r="AL43" s="174">
        <v>232578</v>
      </c>
      <c r="AM43" s="175"/>
      <c r="AN43" s="174">
        <v>56994</v>
      </c>
      <c r="AO43" s="175"/>
      <c r="AP43" s="174">
        <v>17652</v>
      </c>
      <c r="AQ43" s="175"/>
      <c r="AR43" s="174">
        <v>4277</v>
      </c>
      <c r="AS43" s="175"/>
      <c r="AT43" s="174">
        <v>417360</v>
      </c>
      <c r="AU43" s="175"/>
      <c r="AV43" s="174">
        <f t="shared" si="0"/>
        <v>1760646</v>
      </c>
    </row>
    <row r="44" spans="1:48" ht="24">
      <c r="A44" s="569"/>
      <c r="B44" s="182" t="s">
        <v>35</v>
      </c>
      <c r="D44" s="183">
        <f>SUM(D38:D43)</f>
        <v>16096501</v>
      </c>
      <c r="E44" s="172"/>
      <c r="F44" s="183">
        <f>SUM(F38:F43)</f>
        <v>2657511</v>
      </c>
      <c r="G44" s="172"/>
      <c r="H44" s="183">
        <f>SUM(H38:H43)</f>
        <v>685202</v>
      </c>
      <c r="I44" s="180"/>
      <c r="J44" s="183">
        <f>SUM(J38:J43)</f>
        <v>4177660</v>
      </c>
      <c r="K44" s="180"/>
      <c r="L44" s="183">
        <f>SUM(L38:L43)</f>
        <v>1078574</v>
      </c>
      <c r="M44" s="180"/>
      <c r="N44" s="183">
        <f>SUM(N38:N43)</f>
        <v>456811</v>
      </c>
      <c r="O44" s="180"/>
      <c r="P44" s="183">
        <f>SUM(P38:P43)</f>
        <v>2152668</v>
      </c>
      <c r="Q44" s="180"/>
      <c r="R44" s="183">
        <f>SUM(R38:R43)</f>
        <v>459824</v>
      </c>
      <c r="S44" s="180"/>
      <c r="T44" s="183">
        <f>SUM(T38:T43)</f>
        <v>702502</v>
      </c>
      <c r="U44" s="180"/>
      <c r="V44" s="183">
        <f>SUM(V38:V43)</f>
        <v>1524401</v>
      </c>
      <c r="W44" s="180"/>
      <c r="X44" s="183">
        <v>632951</v>
      </c>
      <c r="Y44" s="180"/>
      <c r="Z44" s="183">
        <f>SUM(Z38:Z43)</f>
        <v>2194053</v>
      </c>
      <c r="AA44" s="180"/>
      <c r="AB44" s="183">
        <f>SUM(AB38:AB43)</f>
        <v>755793</v>
      </c>
      <c r="AC44" s="180"/>
      <c r="AD44" s="183">
        <f>SUM(AD38:AD43)</f>
        <v>578866</v>
      </c>
      <c r="AE44" s="180"/>
      <c r="AF44" s="183">
        <f>SUM(AF38:AF43)</f>
        <v>437551</v>
      </c>
      <c r="AG44" s="180"/>
      <c r="AH44" s="183">
        <f>SUM(AH38:AH43)</f>
        <v>1074925</v>
      </c>
      <c r="AI44" s="180"/>
      <c r="AJ44" s="183">
        <f>SUM(AJ38:AJ43)</f>
        <v>559860</v>
      </c>
      <c r="AK44" s="180"/>
      <c r="AL44" s="183">
        <f>SUM(AL38:AL43)</f>
        <v>677533</v>
      </c>
      <c r="AM44" s="180"/>
      <c r="AN44" s="183">
        <f>SUM(AN38:AN43)</f>
        <v>483875</v>
      </c>
      <c r="AO44" s="180"/>
      <c r="AP44" s="183">
        <f>SUM(AP38:AP43)</f>
        <v>87483</v>
      </c>
      <c r="AQ44" s="180"/>
      <c r="AR44" s="183">
        <f>SUM(AR38:AR43)</f>
        <v>96229</v>
      </c>
      <c r="AS44" s="180"/>
      <c r="AT44" s="183">
        <f>SUM(AT38:AT43)</f>
        <v>1022910</v>
      </c>
      <c r="AU44" s="180"/>
      <c r="AV44" s="183">
        <f t="shared" si="0"/>
        <v>38593683</v>
      </c>
    </row>
    <row r="45" spans="1:48" ht="24.75" thickBot="1">
      <c r="A45" s="570"/>
      <c r="B45" s="178" t="s">
        <v>33</v>
      </c>
      <c r="D45" s="179">
        <f>+D44+D36</f>
        <v>64831702</v>
      </c>
      <c r="E45" s="172"/>
      <c r="F45" s="179">
        <f>+F44+F36</f>
        <v>16927018</v>
      </c>
      <c r="G45" s="172"/>
      <c r="H45" s="179">
        <f>+H44+H36</f>
        <v>1191165</v>
      </c>
      <c r="I45" s="180"/>
      <c r="J45" s="179">
        <f>+J44+J36</f>
        <v>11223471</v>
      </c>
      <c r="K45" s="180"/>
      <c r="L45" s="179">
        <f>+L44+L36</f>
        <v>9158893</v>
      </c>
      <c r="M45" s="180"/>
      <c r="N45" s="179">
        <f>+N44+N36</f>
        <v>3668461</v>
      </c>
      <c r="O45" s="180"/>
      <c r="P45" s="179">
        <f>+P44+P36</f>
        <v>11086228</v>
      </c>
      <c r="Q45" s="180"/>
      <c r="R45" s="179">
        <f>+R44+R36</f>
        <v>5418399</v>
      </c>
      <c r="S45" s="180"/>
      <c r="T45" s="179">
        <f>+T44+T36</f>
        <v>2454810</v>
      </c>
      <c r="U45" s="180"/>
      <c r="V45" s="179">
        <f>+V44+V36</f>
        <v>7796459</v>
      </c>
      <c r="W45" s="180"/>
      <c r="X45" s="179">
        <f>+X44+X36</f>
        <v>4142903</v>
      </c>
      <c r="Y45" s="180"/>
      <c r="Z45" s="179">
        <f>+Z44+Z36</f>
        <v>7087959</v>
      </c>
      <c r="AA45" s="180"/>
      <c r="AB45" s="179">
        <f>+AB44+AB36</f>
        <v>6833492</v>
      </c>
      <c r="AC45" s="180"/>
      <c r="AD45" s="179">
        <f>+AD44+AD36</f>
        <v>2634843</v>
      </c>
      <c r="AE45" s="180"/>
      <c r="AF45" s="179">
        <f>+AF44+AF36</f>
        <v>3250738</v>
      </c>
      <c r="AG45" s="180"/>
      <c r="AH45" s="179">
        <f>+AH44+AH36</f>
        <v>4836895</v>
      </c>
      <c r="AI45" s="180"/>
      <c r="AJ45" s="179">
        <f>+AJ44+AJ36</f>
        <v>1611094</v>
      </c>
      <c r="AK45" s="180"/>
      <c r="AL45" s="179">
        <f>+AL44+AL36</f>
        <v>3048252</v>
      </c>
      <c r="AM45" s="180"/>
      <c r="AN45" s="179">
        <f>+AN44+AN36</f>
        <v>1754900</v>
      </c>
      <c r="AO45" s="180"/>
      <c r="AP45" s="179">
        <f>+AP44+AP36</f>
        <v>338905</v>
      </c>
      <c r="AQ45" s="180"/>
      <c r="AR45" s="179">
        <f>+AR44+AR36</f>
        <v>187279</v>
      </c>
      <c r="AS45" s="180"/>
      <c r="AT45" s="179">
        <f>+AT44+AT36</f>
        <v>1357017</v>
      </c>
      <c r="AU45" s="180"/>
      <c r="AV45" s="179">
        <f t="shared" si="0"/>
        <v>170840883</v>
      </c>
    </row>
    <row r="46" spans="1:48" ht="22.5" thickTop="1" thickBot="1">
      <c r="B46" s="6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>
        <f t="shared" si="0"/>
        <v>0</v>
      </c>
    </row>
    <row r="47" spans="1:48" ht="21.75" thickBot="1">
      <c r="B47" s="184" t="s">
        <v>141</v>
      </c>
      <c r="D47" s="185">
        <f>+D29+D30+D32-D16</f>
        <v>24111240</v>
      </c>
      <c r="E47" s="172"/>
      <c r="F47" s="185">
        <f>+F29+F30+F32-F16</f>
        <v>6542275</v>
      </c>
      <c r="G47" s="172"/>
      <c r="H47" s="185">
        <f>+H29+H30+H32-H16</f>
        <v>56392</v>
      </c>
      <c r="I47" s="172"/>
      <c r="J47" s="185">
        <f>+J29+J30+J32-J16</f>
        <v>3823411</v>
      </c>
      <c r="K47" s="172"/>
      <c r="L47" s="185">
        <f>+L29+L30+L32-L16</f>
        <v>3208580</v>
      </c>
      <c r="M47" s="172"/>
      <c r="N47" s="185">
        <f>+N29+N30+N32-N16</f>
        <v>1005775</v>
      </c>
      <c r="O47" s="172"/>
      <c r="P47" s="185">
        <f>+P29+P30+P32-P16</f>
        <v>3398709</v>
      </c>
      <c r="Q47" s="172"/>
      <c r="R47" s="185">
        <f>+R29+R30+R32-R16</f>
        <v>2365320</v>
      </c>
      <c r="S47" s="172"/>
      <c r="T47" s="185">
        <f>+T29+T30+T32-T16</f>
        <v>691995</v>
      </c>
      <c r="U47" s="172"/>
      <c r="V47" s="185">
        <f>+V29+V30+V32-V16</f>
        <v>3009588</v>
      </c>
      <c r="W47" s="172"/>
      <c r="X47" s="185">
        <f>+X29+X30+X32-X16</f>
        <v>1157434</v>
      </c>
      <c r="Y47" s="172"/>
      <c r="Z47" s="185">
        <f>+Z29+Z30+Z32-Z16</f>
        <v>1516562</v>
      </c>
      <c r="AA47" s="172"/>
      <c r="AB47" s="185">
        <f>+AB29+AB30+AB32-AB16</f>
        <v>2451246</v>
      </c>
      <c r="AC47" s="172"/>
      <c r="AD47" s="185">
        <f>+AD29+AD30+AD32-AD16</f>
        <v>969329</v>
      </c>
      <c r="AE47" s="172"/>
      <c r="AF47" s="185">
        <f>+AF29+AF30+AF32-AF16</f>
        <v>1322334</v>
      </c>
      <c r="AG47" s="172"/>
      <c r="AH47" s="185">
        <f>+AH29+AH30+AH32-AH16</f>
        <v>1730799</v>
      </c>
      <c r="AI47" s="172"/>
      <c r="AJ47" s="185">
        <f>+AJ29+AJ30+AJ32-AJ16</f>
        <v>368271</v>
      </c>
      <c r="AK47" s="172"/>
      <c r="AL47" s="185">
        <f>+AL29+AL30+AL32-AL16</f>
        <v>1040114</v>
      </c>
      <c r="AM47" s="172"/>
      <c r="AN47" s="185">
        <f>+AN29+AN30+AN32-AN16</f>
        <v>530775</v>
      </c>
      <c r="AO47" s="172"/>
      <c r="AP47" s="185">
        <f>+AP29+AP30+AP32-AP16</f>
        <v>63575</v>
      </c>
      <c r="AQ47" s="172"/>
      <c r="AR47" s="185">
        <f>+AR29+AR30+AR32-AR16</f>
        <v>24087</v>
      </c>
      <c r="AS47" s="172"/>
      <c r="AT47" s="185">
        <f>+AT29+AT30+AT32-AT16</f>
        <v>147115</v>
      </c>
      <c r="AU47" s="172"/>
      <c r="AV47" s="185">
        <f t="shared" si="0"/>
        <v>59534926</v>
      </c>
    </row>
    <row r="48" spans="1:48" ht="22.5">
      <c r="B48" s="8"/>
      <c r="D48" s="172">
        <f>+D45-D22</f>
        <v>0</v>
      </c>
      <c r="E48" s="172"/>
      <c r="F48" s="172">
        <f>+F45-F22</f>
        <v>0</v>
      </c>
      <c r="G48" s="172"/>
      <c r="H48" s="172">
        <f>+H45-H22</f>
        <v>0</v>
      </c>
      <c r="I48" s="172"/>
      <c r="J48" s="172">
        <f>+J45-J22</f>
        <v>0</v>
      </c>
      <c r="K48" s="172"/>
      <c r="L48" s="172">
        <f>+L45-L22</f>
        <v>0</v>
      </c>
      <c r="M48" s="172"/>
      <c r="N48" s="172">
        <f>+N45-N22</f>
        <v>0</v>
      </c>
      <c r="O48" s="172"/>
      <c r="P48" s="172">
        <f>+P45-P22</f>
        <v>0</v>
      </c>
      <c r="Q48" s="172"/>
      <c r="R48" s="172">
        <f>+R45-R22</f>
        <v>0</v>
      </c>
      <c r="S48" s="172"/>
      <c r="T48" s="172">
        <f>+T45-T22</f>
        <v>0</v>
      </c>
      <c r="U48" s="172"/>
      <c r="V48" s="172">
        <f>+V45-V22</f>
        <v>0</v>
      </c>
      <c r="W48" s="172"/>
      <c r="X48" s="172">
        <f>+X45-X22</f>
        <v>0</v>
      </c>
      <c r="Y48" s="172"/>
      <c r="Z48" s="172">
        <f>+Z45-Z22</f>
        <v>0</v>
      </c>
      <c r="AA48" s="172"/>
      <c r="AB48" s="172">
        <f>+AB45-AB22</f>
        <v>0</v>
      </c>
      <c r="AC48" s="172">
        <f t="shared" ref="AC48:AU48" si="1">+AC45-AC22</f>
        <v>0</v>
      </c>
      <c r="AD48" s="172">
        <f t="shared" si="1"/>
        <v>0</v>
      </c>
      <c r="AE48" s="172">
        <f t="shared" si="1"/>
        <v>0</v>
      </c>
      <c r="AF48" s="172">
        <f t="shared" si="1"/>
        <v>0</v>
      </c>
      <c r="AG48" s="172">
        <f t="shared" si="1"/>
        <v>0</v>
      </c>
      <c r="AH48" s="172">
        <f t="shared" si="1"/>
        <v>0</v>
      </c>
      <c r="AI48" s="172">
        <f t="shared" si="1"/>
        <v>0</v>
      </c>
      <c r="AJ48" s="172">
        <f t="shared" si="1"/>
        <v>0</v>
      </c>
      <c r="AK48" s="172">
        <f t="shared" si="1"/>
        <v>0</v>
      </c>
      <c r="AL48" s="172">
        <f t="shared" si="1"/>
        <v>0</v>
      </c>
      <c r="AM48" s="172">
        <f t="shared" si="1"/>
        <v>0</v>
      </c>
      <c r="AN48" s="172">
        <f t="shared" si="1"/>
        <v>0</v>
      </c>
      <c r="AO48" s="172"/>
      <c r="AP48" s="172">
        <f t="shared" si="1"/>
        <v>0</v>
      </c>
      <c r="AQ48" s="172"/>
      <c r="AR48" s="172">
        <f t="shared" si="1"/>
        <v>0</v>
      </c>
      <c r="AS48" s="172"/>
      <c r="AT48" s="172">
        <f t="shared" si="1"/>
        <v>0</v>
      </c>
      <c r="AU48" s="172">
        <f t="shared" si="1"/>
        <v>0</v>
      </c>
      <c r="AV48" s="172">
        <f t="shared" si="0"/>
        <v>0</v>
      </c>
    </row>
    <row r="49" spans="2:48" ht="22.5">
      <c r="B49" s="8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</row>
    <row r="50" spans="2:48" ht="21">
      <c r="B50" s="100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</row>
    <row r="51" spans="2:48" ht="21"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</row>
    <row r="52" spans="2:48" ht="22.5">
      <c r="B52" s="8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</row>
    <row r="53" spans="2:48" ht="21">
      <c r="B53" s="114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</row>
    <row r="54" spans="2:48" ht="22.5">
      <c r="B54" s="8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</row>
    <row r="55" spans="2:48" ht="22.5">
      <c r="B55" s="8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</row>
    <row r="56" spans="2:48" ht="22.5">
      <c r="B56" s="8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</row>
    <row r="57" spans="2:48" ht="22.5">
      <c r="B57" s="186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</row>
    <row r="58" spans="2:48" ht="22.5">
      <c r="B58" s="186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</row>
    <row r="59" spans="2:48" ht="21"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</row>
    <row r="60" spans="2:48" ht="21">
      <c r="B60" s="187"/>
      <c r="C60" s="187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</row>
    <row r="61" spans="2:48" ht="21">
      <c r="B61" s="187"/>
      <c r="C61" s="187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</row>
    <row r="62" spans="2:48" ht="21"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</row>
    <row r="63" spans="2:48" ht="21"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</row>
    <row r="64" spans="2:48" ht="21"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</row>
    <row r="65" spans="4:48" ht="21"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</row>
    <row r="66" spans="4:48" ht="21"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</row>
    <row r="67" spans="4:48" ht="21"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</row>
    <row r="68" spans="4:48" ht="21"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</row>
    <row r="69" spans="4:48" ht="21"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</row>
    <row r="70" spans="4:48" ht="21"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</row>
    <row r="71" spans="4:48" ht="21"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</row>
    <row r="72" spans="4:48" ht="21"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</row>
    <row r="73" spans="4:48" ht="21"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</row>
    <row r="74" spans="4:48" ht="27">
      <c r="D74" s="188"/>
      <c r="E74" s="189"/>
      <c r="F74" s="188"/>
      <c r="G74" s="189"/>
      <c r="H74" s="188"/>
    </row>
    <row r="75" spans="4:48" ht="27">
      <c r="D75" s="188"/>
      <c r="E75" s="189"/>
      <c r="F75" s="188"/>
      <c r="G75" s="189"/>
      <c r="H75" s="188"/>
    </row>
    <row r="76" spans="4:48" ht="27">
      <c r="D76" s="188"/>
      <c r="E76" s="189"/>
      <c r="F76" s="188"/>
      <c r="G76" s="189"/>
      <c r="H76" s="188"/>
    </row>
    <row r="77" spans="4:48" ht="27">
      <c r="D77" s="188"/>
      <c r="E77" s="189"/>
      <c r="F77" s="188"/>
      <c r="G77" s="189"/>
      <c r="H77" s="188"/>
    </row>
    <row r="78" spans="4:48" ht="27">
      <c r="D78" s="188"/>
      <c r="E78" s="189"/>
      <c r="F78" s="188"/>
      <c r="G78" s="189"/>
      <c r="H78" s="188"/>
    </row>
    <row r="79" spans="4:48" ht="27">
      <c r="D79" s="188"/>
      <c r="E79" s="189"/>
      <c r="F79" s="188"/>
      <c r="G79" s="189"/>
      <c r="H79" s="188"/>
    </row>
    <row r="80" spans="4:48" ht="27">
      <c r="D80" s="188"/>
      <c r="E80" s="189"/>
      <c r="F80" s="188"/>
      <c r="G80" s="189"/>
      <c r="H80" s="188"/>
    </row>
    <row r="81" spans="1:8" ht="27">
      <c r="D81" s="188"/>
      <c r="E81" s="189"/>
      <c r="F81" s="188"/>
      <c r="G81" s="189"/>
      <c r="H81" s="188"/>
    </row>
    <row r="82" spans="1:8" ht="27">
      <c r="D82" s="188"/>
      <c r="E82" s="189"/>
      <c r="F82" s="188"/>
      <c r="G82" s="189"/>
      <c r="H82" s="188"/>
    </row>
    <row r="83" spans="1:8" ht="27">
      <c r="D83" s="188"/>
      <c r="E83" s="189"/>
      <c r="F83" s="188"/>
      <c r="G83" s="189"/>
      <c r="H83" s="188"/>
    </row>
    <row r="84" spans="1:8" ht="27">
      <c r="D84" s="188"/>
      <c r="E84" s="189"/>
      <c r="F84" s="188"/>
      <c r="G84" s="189"/>
      <c r="H84" s="188"/>
    </row>
    <row r="85" spans="1:8" ht="27">
      <c r="D85" s="188"/>
      <c r="E85" s="189"/>
      <c r="F85" s="188"/>
      <c r="G85" s="189"/>
      <c r="H85" s="188"/>
    </row>
    <row r="86" spans="1:8" ht="27">
      <c r="D86" s="188"/>
      <c r="E86" s="189"/>
      <c r="F86" s="188"/>
      <c r="G86" s="189"/>
      <c r="H86" s="188"/>
    </row>
    <row r="87" spans="1:8" s="157" customFormat="1" ht="27">
      <c r="A87" s="95"/>
      <c r="B87" s="95"/>
      <c r="C87" s="95"/>
      <c r="D87" s="188"/>
      <c r="E87" s="189"/>
      <c r="F87" s="188"/>
      <c r="G87" s="189"/>
      <c r="H87" s="188"/>
    </row>
    <row r="88" spans="1:8" s="157" customFormat="1" ht="27">
      <c r="A88" s="95"/>
      <c r="B88" s="95"/>
      <c r="C88" s="95"/>
      <c r="D88" s="188"/>
      <c r="E88" s="189"/>
      <c r="F88" s="188"/>
      <c r="G88" s="189"/>
      <c r="H88" s="188"/>
    </row>
    <row r="89" spans="1:8" s="157" customFormat="1" ht="27">
      <c r="A89" s="95"/>
      <c r="B89" s="95"/>
      <c r="C89" s="95"/>
      <c r="D89" s="188"/>
      <c r="E89" s="189"/>
      <c r="F89" s="188"/>
      <c r="G89" s="189"/>
      <c r="H89" s="188"/>
    </row>
    <row r="90" spans="1:8" s="157" customFormat="1" ht="27">
      <c r="A90" s="95"/>
      <c r="B90" s="95"/>
      <c r="C90" s="95"/>
      <c r="D90" s="188"/>
      <c r="E90" s="189"/>
      <c r="F90" s="188"/>
      <c r="G90" s="189"/>
      <c r="H90" s="188"/>
    </row>
    <row r="91" spans="1:8" s="157" customFormat="1" ht="27">
      <c r="A91" s="95"/>
      <c r="B91" s="95"/>
      <c r="C91" s="95"/>
      <c r="D91" s="188"/>
      <c r="E91" s="189"/>
      <c r="F91" s="188"/>
      <c r="G91" s="189"/>
      <c r="H91" s="188"/>
    </row>
    <row r="92" spans="1:8" s="157" customFormat="1" ht="27">
      <c r="A92" s="95"/>
      <c r="B92" s="95"/>
      <c r="C92" s="95"/>
      <c r="D92" s="188"/>
      <c r="E92" s="189"/>
      <c r="F92" s="188"/>
      <c r="G92" s="189"/>
      <c r="H92" s="188"/>
    </row>
    <row r="93" spans="1:8" s="157" customFormat="1" ht="27">
      <c r="A93" s="95"/>
      <c r="B93" s="95"/>
      <c r="C93" s="95"/>
      <c r="D93" s="188"/>
      <c r="E93" s="189"/>
      <c r="F93" s="188"/>
      <c r="G93" s="189"/>
      <c r="H93" s="188"/>
    </row>
    <row r="94" spans="1:8" s="157" customFormat="1" ht="27">
      <c r="A94" s="95"/>
      <c r="B94" s="95"/>
      <c r="C94" s="95"/>
      <c r="D94" s="188"/>
      <c r="E94" s="189"/>
      <c r="F94" s="188"/>
      <c r="G94" s="189"/>
      <c r="H94" s="188"/>
    </row>
    <row r="95" spans="1:8" s="157" customFormat="1" ht="27">
      <c r="A95" s="95"/>
      <c r="B95" s="95"/>
      <c r="C95" s="95"/>
      <c r="D95" s="188"/>
      <c r="E95" s="189"/>
      <c r="F95" s="188"/>
      <c r="G95" s="189"/>
      <c r="H95" s="188"/>
    </row>
    <row r="96" spans="1:8" s="157" customFormat="1" ht="27">
      <c r="A96" s="95"/>
      <c r="B96" s="95"/>
      <c r="C96" s="95"/>
      <c r="D96" s="188"/>
      <c r="E96" s="189"/>
      <c r="F96" s="188"/>
      <c r="G96" s="189"/>
      <c r="H96" s="188"/>
    </row>
    <row r="97" spans="1:8" s="157" customFormat="1" ht="27">
      <c r="A97" s="95"/>
      <c r="B97" s="95"/>
      <c r="C97" s="95"/>
      <c r="D97" s="188"/>
      <c r="E97" s="189"/>
      <c r="F97" s="188"/>
      <c r="G97" s="189"/>
      <c r="H97" s="188"/>
    </row>
  </sheetData>
  <mergeCells count="1">
    <mergeCell ref="A9:A45"/>
  </mergeCells>
  <conditionalFormatting sqref="D48:F48 I48:AA48">
    <cfRule type="cellIs" dxfId="69" priority="11" operator="equal">
      <formula>0</formula>
    </cfRule>
    <cfRule type="cellIs" dxfId="68" priority="12" operator="greaterThan">
      <formula>0</formula>
    </cfRule>
  </conditionalFormatting>
  <conditionalFormatting sqref="AB48">
    <cfRule type="cellIs" dxfId="67" priority="9" operator="equal">
      <formula>0</formula>
    </cfRule>
    <cfRule type="cellIs" dxfId="66" priority="10" operator="greaterThan">
      <formula>0</formula>
    </cfRule>
  </conditionalFormatting>
  <conditionalFormatting sqref="G48">
    <cfRule type="cellIs" dxfId="65" priority="7" operator="equal">
      <formula>0</formula>
    </cfRule>
    <cfRule type="cellIs" dxfId="64" priority="8" operator="greaterThan">
      <formula>0</formula>
    </cfRule>
  </conditionalFormatting>
  <conditionalFormatting sqref="H48">
    <cfRule type="cellIs" dxfId="63" priority="5" operator="equal">
      <formula>0</formula>
    </cfRule>
    <cfRule type="cellIs" dxfId="62" priority="6" operator="greaterThan">
      <formula>0</formula>
    </cfRule>
  </conditionalFormatting>
  <conditionalFormatting sqref="AC48 AE48 AG48 AI48 AK48 AM48 AO48 AQ48 AS48 AU48">
    <cfRule type="cellIs" dxfId="61" priority="3" operator="equal">
      <formula>0</formula>
    </cfRule>
    <cfRule type="cellIs" dxfId="60" priority="4" operator="greaterThan">
      <formula>0</formula>
    </cfRule>
  </conditionalFormatting>
  <conditionalFormatting sqref="AD48 AF48 AH48 AJ48 AL48 AN48 AP48 AR48 AT48 AV48">
    <cfRule type="cellIs" dxfId="59" priority="1" operator="equal">
      <formula>0</formula>
    </cfRule>
    <cfRule type="cellIs" dxfId="58" priority="2" operator="greaterThan">
      <formula>0</formula>
    </cfRule>
  </conditionalFormatting>
  <printOptions horizontalCentered="1" verticalCentered="1"/>
  <pageMargins left="0" right="0" top="0" bottom="0" header="0" footer="0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V94"/>
  <sheetViews>
    <sheetView rightToLeft="1" zoomScaleNormal="100" workbookViewId="0">
      <pane xSplit="2" ySplit="9" topLeftCell="D13" activePane="bottomRight" state="frozen"/>
      <selection activeCell="F56" sqref="F56"/>
      <selection pane="topRight" activeCell="F56" sqref="F56"/>
      <selection pane="bottomLeft" activeCell="F56" sqref="F56"/>
      <selection pane="bottomRight" activeCell="F56" sqref="F56"/>
    </sheetView>
  </sheetViews>
  <sheetFormatPr defaultColWidth="9" defaultRowHeight="19.5"/>
  <cols>
    <col min="1" max="1" width="4.42578125" style="95" bestFit="1" customWidth="1"/>
    <col min="2" max="2" width="46.5703125" style="95" bestFit="1" customWidth="1"/>
    <col min="3" max="3" width="0.85546875" style="95" customWidth="1"/>
    <col min="4" max="4" width="9" style="190" bestFit="1" customWidth="1"/>
    <col min="5" max="5" width="0.85546875" style="190" customWidth="1"/>
    <col min="6" max="6" width="9.42578125" style="191" customWidth="1"/>
    <col min="7" max="7" width="0.85546875" style="190" customWidth="1"/>
    <col min="8" max="8" width="9.42578125" style="191" customWidth="1"/>
    <col min="9" max="9" width="0.85546875" style="190" customWidth="1"/>
    <col min="10" max="10" width="10.85546875" style="191" customWidth="1"/>
    <col min="11" max="11" width="0.85546875" style="191" customWidth="1"/>
    <col min="12" max="12" width="12.28515625" style="191" customWidth="1"/>
    <col min="13" max="13" width="0.85546875" style="191" customWidth="1"/>
    <col min="14" max="14" width="11.42578125" style="191" customWidth="1"/>
    <col min="15" max="15" width="0.85546875" style="191" customWidth="1"/>
    <col min="16" max="16" width="10.42578125" style="191" customWidth="1"/>
    <col min="17" max="17" width="0.85546875" style="191" customWidth="1"/>
    <col min="18" max="18" width="10.85546875" style="191" customWidth="1"/>
    <col min="19" max="19" width="0.85546875" style="191" customWidth="1"/>
    <col min="20" max="20" width="10.42578125" style="191" customWidth="1"/>
    <col min="21" max="21" width="0.85546875" style="191" customWidth="1"/>
    <col min="22" max="22" width="8.42578125" style="191" customWidth="1"/>
    <col min="23" max="23" width="0.85546875" style="191" customWidth="1"/>
    <col min="24" max="24" width="8.42578125" style="191" customWidth="1"/>
    <col min="25" max="25" width="0.85546875" style="191" customWidth="1"/>
    <col min="26" max="26" width="7.28515625" style="191" bestFit="1" customWidth="1"/>
    <col min="27" max="27" width="0.85546875" style="191" customWidth="1"/>
    <col min="28" max="28" width="8.7109375" style="191" customWidth="1"/>
    <col min="29" max="29" width="0.85546875" style="191" customWidth="1"/>
    <col min="30" max="30" width="9" style="191" customWidth="1"/>
    <col min="31" max="31" width="0.85546875" style="191" customWidth="1"/>
    <col min="32" max="32" width="9" style="191" customWidth="1"/>
    <col min="33" max="33" width="0.85546875" style="191" customWidth="1"/>
    <col min="34" max="34" width="8.42578125" style="191" customWidth="1"/>
    <col min="35" max="35" width="0.85546875" style="191" customWidth="1"/>
    <col min="36" max="36" width="8.7109375" style="191" customWidth="1"/>
    <col min="37" max="37" width="0.85546875" style="191" customWidth="1"/>
    <col min="38" max="38" width="10.42578125" style="191" customWidth="1"/>
    <col min="39" max="39" width="0.85546875" style="191" customWidth="1"/>
    <col min="40" max="40" width="8.85546875" style="191" customWidth="1"/>
    <col min="41" max="41" width="0.85546875" style="191" customWidth="1"/>
    <col min="42" max="42" width="8.85546875" style="191" customWidth="1"/>
    <col min="43" max="43" width="0.85546875" style="191" customWidth="1"/>
    <col min="44" max="44" width="8.85546875" style="191" customWidth="1"/>
    <col min="45" max="45" width="0.85546875" style="191" customWidth="1"/>
    <col min="46" max="46" width="8.85546875" style="191" customWidth="1"/>
    <col min="47" max="47" width="0.85546875" style="191" customWidth="1"/>
    <col min="48" max="48" width="8.7109375" style="191" customWidth="1"/>
    <col min="49" max="16384" width="9" style="95"/>
  </cols>
  <sheetData>
    <row r="1" spans="1:48" ht="21">
      <c r="B1" s="156" t="s">
        <v>135</v>
      </c>
      <c r="C1" s="156"/>
    </row>
    <row r="2" spans="1:48" ht="21">
      <c r="B2" s="156" t="s">
        <v>179</v>
      </c>
      <c r="C2" s="156"/>
      <c r="J2" s="192" t="s">
        <v>137</v>
      </c>
    </row>
    <row r="3" spans="1:48" ht="21">
      <c r="B3" s="6" t="s">
        <v>138</v>
      </c>
      <c r="C3" s="156"/>
      <c r="D3" s="193" t="s">
        <v>180</v>
      </c>
      <c r="F3" s="194"/>
      <c r="H3" s="194"/>
      <c r="J3" s="194"/>
      <c r="L3" s="194"/>
      <c r="N3" s="194"/>
      <c r="P3" s="194"/>
      <c r="R3" s="194"/>
      <c r="T3" s="194"/>
      <c r="V3" s="194"/>
      <c r="X3" s="194"/>
      <c r="Z3" s="194"/>
      <c r="AB3" s="194"/>
      <c r="AD3" s="194"/>
      <c r="AF3" s="194"/>
      <c r="AH3" s="194"/>
      <c r="AJ3" s="194"/>
      <c r="AL3" s="194"/>
      <c r="AN3" s="194"/>
      <c r="AP3" s="194"/>
      <c r="AR3" s="194"/>
      <c r="AT3" s="194"/>
      <c r="AV3" s="194"/>
    </row>
    <row r="4" spans="1:48" ht="21">
      <c r="B4" s="6"/>
      <c r="C4" s="156"/>
      <c r="F4" s="194"/>
      <c r="H4" s="194"/>
      <c r="J4" s="194"/>
      <c r="L4" s="194"/>
      <c r="N4" s="194"/>
      <c r="P4" s="194"/>
      <c r="R4" s="194"/>
      <c r="T4" s="194"/>
      <c r="V4" s="194"/>
      <c r="X4" s="194"/>
      <c r="Z4" s="194"/>
      <c r="AB4" s="194"/>
      <c r="AD4" s="194"/>
      <c r="AF4" s="194"/>
      <c r="AH4" s="194"/>
      <c r="AJ4" s="194"/>
      <c r="AL4" s="194"/>
      <c r="AN4" s="194"/>
      <c r="AP4" s="194"/>
      <c r="AR4" s="194"/>
      <c r="AT4" s="194"/>
      <c r="AV4" s="194"/>
    </row>
    <row r="5" spans="1:48" ht="21">
      <c r="B5" s="6"/>
      <c r="C5" s="156"/>
      <c r="D5" s="195"/>
      <c r="E5" s="195"/>
      <c r="F5" s="194"/>
      <c r="G5" s="195"/>
      <c r="H5" s="194"/>
      <c r="I5" s="195"/>
      <c r="J5" s="194"/>
      <c r="K5" s="196"/>
      <c r="L5" s="194"/>
      <c r="M5" s="196"/>
      <c r="N5" s="194"/>
      <c r="O5" s="196"/>
      <c r="P5" s="194"/>
      <c r="Q5" s="196"/>
      <c r="R5" s="194"/>
      <c r="S5" s="196"/>
      <c r="T5" s="194"/>
      <c r="U5" s="196"/>
      <c r="V5" s="194"/>
      <c r="W5" s="196"/>
      <c r="X5" s="194"/>
      <c r="Y5" s="196"/>
      <c r="Z5" s="194"/>
      <c r="AA5" s="196"/>
      <c r="AB5" s="194"/>
      <c r="AC5" s="196"/>
      <c r="AD5" s="194"/>
      <c r="AE5" s="196"/>
      <c r="AF5" s="194"/>
      <c r="AG5" s="196"/>
      <c r="AH5" s="194"/>
      <c r="AJ5" s="194"/>
      <c r="AL5" s="194"/>
      <c r="AN5" s="194"/>
      <c r="AP5" s="194"/>
      <c r="AR5" s="194"/>
      <c r="AT5" s="194"/>
      <c r="AV5" s="194"/>
    </row>
    <row r="6" spans="1:48" ht="21">
      <c r="B6" s="6" t="s">
        <v>35</v>
      </c>
      <c r="C6" s="156"/>
      <c r="D6" s="195"/>
      <c r="E6" s="195"/>
      <c r="F6" s="196"/>
      <c r="G6" s="195"/>
      <c r="H6" s="196"/>
      <c r="I6" s="195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</row>
    <row r="7" spans="1:48" ht="21">
      <c r="B7" s="6" t="s">
        <v>141</v>
      </c>
      <c r="C7" s="156"/>
      <c r="D7" s="195"/>
      <c r="E7" s="195"/>
      <c r="F7" s="196"/>
      <c r="G7" s="195"/>
      <c r="H7" s="196"/>
      <c r="I7" s="195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</row>
    <row r="8" spans="1:48" ht="21">
      <c r="B8" s="6" t="s">
        <v>181</v>
      </c>
      <c r="C8" s="156"/>
      <c r="AK8" s="197"/>
      <c r="AV8" s="194">
        <f>SUM(D8:AN8)</f>
        <v>0</v>
      </c>
    </row>
    <row r="9" spans="1:48" ht="23.25">
      <c r="A9" s="568" t="s">
        <v>182</v>
      </c>
      <c r="B9" s="198" t="s">
        <v>29</v>
      </c>
      <c r="C9" s="156"/>
      <c r="D9" s="199" t="s">
        <v>143</v>
      </c>
      <c r="E9" s="156"/>
      <c r="F9" s="199" t="s">
        <v>144</v>
      </c>
      <c r="G9" s="156"/>
      <c r="H9" s="199" t="s">
        <v>145</v>
      </c>
      <c r="I9" s="156"/>
      <c r="J9" s="199" t="s">
        <v>146</v>
      </c>
      <c r="K9" s="156"/>
      <c r="L9" s="199" t="s">
        <v>147</v>
      </c>
      <c r="M9" s="156"/>
      <c r="N9" s="199" t="s">
        <v>148</v>
      </c>
      <c r="O9" s="156"/>
      <c r="P9" s="199" t="s">
        <v>149</v>
      </c>
      <c r="Q9" s="156"/>
      <c r="R9" s="199" t="s">
        <v>150</v>
      </c>
      <c r="S9" s="156"/>
      <c r="T9" s="199" t="s">
        <v>151</v>
      </c>
      <c r="U9" s="156"/>
      <c r="V9" s="199" t="s">
        <v>152</v>
      </c>
      <c r="W9" s="156"/>
      <c r="X9" s="199" t="s">
        <v>153</v>
      </c>
      <c r="Y9" s="156"/>
      <c r="Z9" s="199" t="s">
        <v>154</v>
      </c>
      <c r="AA9" s="156"/>
      <c r="AB9" s="199" t="s">
        <v>155</v>
      </c>
      <c r="AC9" s="156"/>
      <c r="AD9" s="199" t="s">
        <v>156</v>
      </c>
      <c r="AE9" s="156"/>
      <c r="AF9" s="199" t="s">
        <v>157</v>
      </c>
      <c r="AG9" s="156"/>
      <c r="AH9" s="199" t="s">
        <v>158</v>
      </c>
      <c r="AI9" s="156"/>
      <c r="AJ9" s="199" t="s">
        <v>159</v>
      </c>
      <c r="AK9" s="156"/>
      <c r="AL9" s="199" t="s">
        <v>160</v>
      </c>
      <c r="AM9" s="156"/>
      <c r="AN9" s="199" t="s">
        <v>161</v>
      </c>
      <c r="AO9" s="95"/>
      <c r="AP9" s="171" t="s">
        <v>162</v>
      </c>
      <c r="AQ9" s="95"/>
      <c r="AR9" s="171" t="s">
        <v>163</v>
      </c>
      <c r="AS9" s="95"/>
      <c r="AT9" s="171" t="s">
        <v>164</v>
      </c>
      <c r="AU9" s="156"/>
      <c r="AV9" s="199" t="s">
        <v>165</v>
      </c>
    </row>
    <row r="10" spans="1:48" ht="18.75" customHeight="1">
      <c r="A10" s="569"/>
      <c r="B10" s="200" t="s">
        <v>132</v>
      </c>
      <c r="C10" s="156"/>
      <c r="D10" s="201">
        <v>59095819</v>
      </c>
      <c r="E10" s="195"/>
      <c r="F10" s="194">
        <v>13725795</v>
      </c>
      <c r="G10" s="195"/>
      <c r="H10" s="194">
        <v>344840</v>
      </c>
      <c r="I10" s="195"/>
      <c r="J10" s="194">
        <v>7636887</v>
      </c>
      <c r="K10" s="202"/>
      <c r="L10" s="194">
        <v>7672473</v>
      </c>
      <c r="M10" s="202"/>
      <c r="N10" s="194">
        <v>2174340</v>
      </c>
      <c r="O10" s="202"/>
      <c r="P10" s="194">
        <v>6406926</v>
      </c>
      <c r="Q10" s="202"/>
      <c r="R10" s="194">
        <v>5148229</v>
      </c>
      <c r="S10" s="202"/>
      <c r="T10" s="194">
        <v>1483973</v>
      </c>
      <c r="U10" s="202"/>
      <c r="V10" s="194">
        <v>3572327</v>
      </c>
      <c r="W10" s="202"/>
      <c r="X10" s="194">
        <v>3606070</v>
      </c>
      <c r="Y10" s="202"/>
      <c r="Z10" s="194">
        <v>2093654</v>
      </c>
      <c r="AA10" s="202"/>
      <c r="AB10" s="194">
        <v>4996540</v>
      </c>
      <c r="AC10" s="202"/>
      <c r="AD10" s="194">
        <v>1705084</v>
      </c>
      <c r="AE10" s="202"/>
      <c r="AF10" s="194">
        <v>2897789</v>
      </c>
      <c r="AG10" s="202"/>
      <c r="AH10" s="194">
        <v>3394377</v>
      </c>
      <c r="AJ10" s="194">
        <v>731458</v>
      </c>
      <c r="AL10" s="194">
        <v>2278540</v>
      </c>
      <c r="AN10" s="194">
        <v>1750967</v>
      </c>
      <c r="AP10" s="194">
        <v>112744</v>
      </c>
      <c r="AR10" s="194">
        <v>58372</v>
      </c>
      <c r="AT10" s="194">
        <v>351911</v>
      </c>
      <c r="AV10" s="194">
        <f>SUM(D10:AT10)</f>
        <v>131239115</v>
      </c>
    </row>
    <row r="11" spans="1:48" ht="21">
      <c r="A11" s="569"/>
      <c r="B11" s="200" t="s">
        <v>131</v>
      </c>
      <c r="C11" s="156"/>
      <c r="D11" s="194">
        <v>-5365499</v>
      </c>
      <c r="E11" s="195"/>
      <c r="F11" s="194">
        <v>-2188524</v>
      </c>
      <c r="G11" s="195"/>
      <c r="H11" s="194">
        <v>-187346</v>
      </c>
      <c r="I11" s="195"/>
      <c r="J11" s="194">
        <v>-1085545</v>
      </c>
      <c r="K11" s="202"/>
      <c r="L11" s="194">
        <v>-2164835</v>
      </c>
      <c r="M11" s="202"/>
      <c r="N11" s="194">
        <v>-235649</v>
      </c>
      <c r="O11" s="202"/>
      <c r="P11" s="194">
        <v>-442841</v>
      </c>
      <c r="Q11" s="202"/>
      <c r="R11" s="194">
        <v>-562924</v>
      </c>
      <c r="S11" s="202"/>
      <c r="T11" s="194">
        <v>-128207</v>
      </c>
      <c r="U11" s="202"/>
      <c r="V11" s="194">
        <v>-289760</v>
      </c>
      <c r="W11" s="202"/>
      <c r="X11" s="194">
        <v>-364348</v>
      </c>
      <c r="Y11" s="202"/>
      <c r="Z11" s="194">
        <v>397728</v>
      </c>
      <c r="AA11" s="202"/>
      <c r="AB11" s="194">
        <v>-1603996</v>
      </c>
      <c r="AC11" s="202"/>
      <c r="AD11" s="194">
        <v>-158922</v>
      </c>
      <c r="AE11" s="202"/>
      <c r="AF11" s="194">
        <v>-535808</v>
      </c>
      <c r="AG11" s="202"/>
      <c r="AH11" s="194">
        <v>-1060074</v>
      </c>
      <c r="AJ11" s="194">
        <v>-285669</v>
      </c>
      <c r="AL11" s="194">
        <v>-765715</v>
      </c>
      <c r="AN11" s="194">
        <v>-405059</v>
      </c>
      <c r="AP11" s="194">
        <v>-18299</v>
      </c>
      <c r="AR11" s="194">
        <v>-10714</v>
      </c>
      <c r="AT11" s="194">
        <v>-45335</v>
      </c>
      <c r="AV11" s="194">
        <f>SUM(D11:AT11)</f>
        <v>-17507341</v>
      </c>
    </row>
    <row r="12" spans="1:48" ht="21">
      <c r="A12" s="569"/>
      <c r="B12" s="203" t="s">
        <v>130</v>
      </c>
      <c r="C12" s="156"/>
      <c r="D12" s="204">
        <f>SUM(D10:D11)</f>
        <v>53730320</v>
      </c>
      <c r="E12" s="195"/>
      <c r="F12" s="204">
        <f>SUM(F10:F11)</f>
        <v>11537271</v>
      </c>
      <c r="G12" s="195"/>
      <c r="H12" s="204">
        <f>SUM(H10:H11)</f>
        <v>157494</v>
      </c>
      <c r="I12" s="195"/>
      <c r="J12" s="204">
        <f>SUM(J10:J11)</f>
        <v>6551342</v>
      </c>
      <c r="K12" s="195"/>
      <c r="L12" s="204">
        <f>SUM(L10:L11)</f>
        <v>5507638</v>
      </c>
      <c r="M12" s="195"/>
      <c r="N12" s="204">
        <f>SUM(N10:N11)</f>
        <v>1938691</v>
      </c>
      <c r="O12" s="195"/>
      <c r="P12" s="204">
        <f>SUM(P10:P11)</f>
        <v>5964085</v>
      </c>
      <c r="Q12" s="195"/>
      <c r="R12" s="204">
        <f>SUM(R10:R11)</f>
        <v>4585305</v>
      </c>
      <c r="S12" s="195"/>
      <c r="T12" s="204">
        <f>SUM(T10:T11)</f>
        <v>1355766</v>
      </c>
      <c r="U12" s="195"/>
      <c r="V12" s="204">
        <f>SUM(V10:V11)</f>
        <v>3282567</v>
      </c>
      <c r="W12" s="195"/>
      <c r="X12" s="204">
        <f>SUM(X10:X11)</f>
        <v>3241722</v>
      </c>
      <c r="Y12" s="195"/>
      <c r="Z12" s="204">
        <f>SUM(Z10:Z11)</f>
        <v>2491382</v>
      </c>
      <c r="AA12" s="195"/>
      <c r="AB12" s="204">
        <f>SUM(AB10:AB11)</f>
        <v>3392544</v>
      </c>
      <c r="AC12" s="195"/>
      <c r="AD12" s="204">
        <f>SUM(AD10:AD11)</f>
        <v>1546162</v>
      </c>
      <c r="AE12" s="195"/>
      <c r="AF12" s="204">
        <f>SUM(AF10:AF11)</f>
        <v>2361981</v>
      </c>
      <c r="AG12" s="195"/>
      <c r="AH12" s="204">
        <f>SUM(AH10:AH11)</f>
        <v>2334303</v>
      </c>
      <c r="AI12" s="195"/>
      <c r="AJ12" s="204">
        <f>SUM(AJ10:AJ11)</f>
        <v>445789</v>
      </c>
      <c r="AK12" s="195"/>
      <c r="AL12" s="204">
        <f>SUM(AL10:AL11)</f>
        <v>1512825</v>
      </c>
      <c r="AM12" s="195"/>
      <c r="AN12" s="204">
        <f t="shared" ref="AN12:AT12" si="0">SUM(AN10:AN11)</f>
        <v>1345908</v>
      </c>
      <c r="AO12" s="195"/>
      <c r="AP12" s="204">
        <f t="shared" si="0"/>
        <v>94445</v>
      </c>
      <c r="AQ12" s="195"/>
      <c r="AR12" s="204">
        <f t="shared" si="0"/>
        <v>47658</v>
      </c>
      <c r="AS12" s="195"/>
      <c r="AT12" s="204">
        <f t="shared" si="0"/>
        <v>306576</v>
      </c>
      <c r="AU12" s="195"/>
      <c r="AV12" s="204">
        <f>SUM(D12:AT12)</f>
        <v>113731774</v>
      </c>
    </row>
    <row r="13" spans="1:48" ht="10.5" customHeight="1">
      <c r="A13" s="569"/>
      <c r="B13" s="200"/>
      <c r="C13" s="156"/>
      <c r="D13" s="201"/>
      <c r="E13" s="195"/>
      <c r="F13" s="194"/>
      <c r="G13" s="195"/>
      <c r="H13" s="194"/>
      <c r="I13" s="195"/>
      <c r="J13" s="194"/>
      <c r="K13" s="202"/>
      <c r="L13" s="194"/>
      <c r="M13" s="202"/>
      <c r="N13" s="194"/>
      <c r="O13" s="202"/>
      <c r="P13" s="194"/>
      <c r="Q13" s="202"/>
      <c r="R13" s="194"/>
      <c r="S13" s="202"/>
      <c r="T13" s="194"/>
      <c r="U13" s="202"/>
      <c r="V13" s="194"/>
      <c r="W13" s="202"/>
      <c r="X13" s="194"/>
      <c r="Y13" s="202"/>
      <c r="Z13" s="194"/>
      <c r="AA13" s="202"/>
      <c r="AB13" s="194"/>
      <c r="AC13" s="202"/>
      <c r="AD13" s="194"/>
      <c r="AE13" s="202"/>
      <c r="AF13" s="194"/>
      <c r="AG13" s="202"/>
      <c r="AH13" s="194"/>
      <c r="AJ13" s="194"/>
      <c r="AL13" s="194"/>
      <c r="AN13" s="194"/>
      <c r="AP13" s="194"/>
      <c r="AR13" s="194"/>
      <c r="AT13" s="194"/>
      <c r="AV13" s="194"/>
    </row>
    <row r="14" spans="1:48" ht="21">
      <c r="A14" s="569"/>
      <c r="B14" s="200" t="s">
        <v>129</v>
      </c>
      <c r="C14" s="156"/>
      <c r="D14" s="205">
        <v>-15986722</v>
      </c>
      <c r="E14" s="195"/>
      <c r="F14" s="205">
        <v>-3759504</v>
      </c>
      <c r="G14" s="195"/>
      <c r="H14" s="205">
        <v>-215992</v>
      </c>
      <c r="I14" s="195"/>
      <c r="J14" s="205">
        <v>-2020268</v>
      </c>
      <c r="K14" s="202"/>
      <c r="L14" s="205">
        <v>-2246486</v>
      </c>
      <c r="M14" s="202"/>
      <c r="N14" s="205">
        <v>-780148</v>
      </c>
      <c r="O14" s="202"/>
      <c r="P14" s="205">
        <v>-1749233</v>
      </c>
      <c r="Q14" s="202"/>
      <c r="R14" s="205">
        <v>-1288228</v>
      </c>
      <c r="S14" s="202"/>
      <c r="T14" s="205">
        <v>-421280</v>
      </c>
      <c r="U14" s="202"/>
      <c r="V14" s="205">
        <v>-1314696</v>
      </c>
      <c r="W14" s="202"/>
      <c r="X14" s="205">
        <v>-1229982</v>
      </c>
      <c r="Y14" s="202"/>
      <c r="Z14" s="205">
        <v>-611822</v>
      </c>
      <c r="AA14" s="202"/>
      <c r="AB14" s="205">
        <v>-1460710</v>
      </c>
      <c r="AC14" s="202"/>
      <c r="AD14" s="205">
        <v>-484996</v>
      </c>
      <c r="AE14" s="202"/>
      <c r="AF14" s="205">
        <v>-864417</v>
      </c>
      <c r="AG14" s="202"/>
      <c r="AH14" s="205">
        <v>-1115319</v>
      </c>
      <c r="AJ14" s="205">
        <v>-243381</v>
      </c>
      <c r="AL14" s="205">
        <v>-680887</v>
      </c>
      <c r="AN14" s="205">
        <v>-499606</v>
      </c>
      <c r="AP14" s="205">
        <v>-16823</v>
      </c>
      <c r="AR14" s="205">
        <v>-22387</v>
      </c>
      <c r="AT14" s="205">
        <v>-79787</v>
      </c>
      <c r="AV14" s="205">
        <f>SUM(D14:AT14)</f>
        <v>-37092674</v>
      </c>
    </row>
    <row r="15" spans="1:48" ht="21">
      <c r="A15" s="569"/>
      <c r="B15" s="200" t="s">
        <v>128</v>
      </c>
      <c r="C15" s="156"/>
      <c r="D15" s="206">
        <v>2592163</v>
      </c>
      <c r="E15" s="195"/>
      <c r="F15" s="206">
        <v>876878</v>
      </c>
      <c r="G15" s="195"/>
      <c r="H15" s="206">
        <v>141611</v>
      </c>
      <c r="I15" s="195"/>
      <c r="J15" s="206">
        <v>287657</v>
      </c>
      <c r="K15" s="202"/>
      <c r="L15" s="206">
        <v>837405</v>
      </c>
      <c r="M15" s="202"/>
      <c r="N15" s="206">
        <v>125203</v>
      </c>
      <c r="O15" s="202"/>
      <c r="P15" s="206">
        <v>158042</v>
      </c>
      <c r="Q15" s="202"/>
      <c r="R15" s="206">
        <v>190909</v>
      </c>
      <c r="S15" s="202"/>
      <c r="T15" s="206">
        <v>30386</v>
      </c>
      <c r="U15" s="202"/>
      <c r="V15" s="206">
        <v>118699</v>
      </c>
      <c r="W15" s="202"/>
      <c r="X15" s="206">
        <v>199037</v>
      </c>
      <c r="Y15" s="202"/>
      <c r="Z15" s="206">
        <v>-286236</v>
      </c>
      <c r="AA15" s="202"/>
      <c r="AB15" s="206">
        <v>552407</v>
      </c>
      <c r="AC15" s="202"/>
      <c r="AD15" s="206">
        <v>-25757</v>
      </c>
      <c r="AE15" s="202"/>
      <c r="AF15" s="206">
        <v>197006</v>
      </c>
      <c r="AG15" s="202"/>
      <c r="AH15" s="206">
        <v>343674</v>
      </c>
      <c r="AJ15" s="206">
        <v>117332</v>
      </c>
      <c r="AL15" s="206">
        <v>225716</v>
      </c>
      <c r="AN15" s="206">
        <v>150695</v>
      </c>
      <c r="AP15" s="206">
        <v>972</v>
      </c>
      <c r="AR15" s="206">
        <v>6081</v>
      </c>
      <c r="AT15" s="206">
        <v>5956</v>
      </c>
      <c r="AV15" s="206">
        <f>SUM(D15:AT15)</f>
        <v>6845836</v>
      </c>
    </row>
    <row r="16" spans="1:48" ht="21">
      <c r="A16" s="569"/>
      <c r="B16" s="207" t="s">
        <v>127</v>
      </c>
      <c r="C16" s="156"/>
      <c r="D16" s="194">
        <f>SUM(D14:D15)</f>
        <v>-13394559</v>
      </c>
      <c r="E16" s="195"/>
      <c r="F16" s="194">
        <f>SUM(F14:F15)</f>
        <v>-2882626</v>
      </c>
      <c r="G16" s="195"/>
      <c r="H16" s="194">
        <f>SUM(H14:H15)</f>
        <v>-74381</v>
      </c>
      <c r="I16" s="195"/>
      <c r="J16" s="194">
        <f>SUM(J14:J15)</f>
        <v>-1732611</v>
      </c>
      <c r="K16" s="195"/>
      <c r="L16" s="194">
        <f>SUM(L14:L15)</f>
        <v>-1409081</v>
      </c>
      <c r="M16" s="195"/>
      <c r="N16" s="194">
        <f>SUM(N14:N15)</f>
        <v>-654945</v>
      </c>
      <c r="O16" s="195"/>
      <c r="P16" s="194">
        <f>SUM(P14:P15)</f>
        <v>-1591191</v>
      </c>
      <c r="Q16" s="195"/>
      <c r="R16" s="194">
        <f>SUM(R14:R15)</f>
        <v>-1097319</v>
      </c>
      <c r="S16" s="195"/>
      <c r="T16" s="194">
        <f>SUM(T14:T15)</f>
        <v>-390894</v>
      </c>
      <c r="U16" s="195"/>
      <c r="V16" s="194">
        <f>SUM(V14:V15)</f>
        <v>-1195997</v>
      </c>
      <c r="W16" s="195"/>
      <c r="X16" s="194">
        <f>SUM(X14:X15)</f>
        <v>-1030945</v>
      </c>
      <c r="Y16" s="195"/>
      <c r="Z16" s="194">
        <f>SUM(Z14:Z15)</f>
        <v>-898058</v>
      </c>
      <c r="AA16" s="195"/>
      <c r="AB16" s="194">
        <f>SUM(AB14:AB15)</f>
        <v>-908303</v>
      </c>
      <c r="AC16" s="195"/>
      <c r="AD16" s="194">
        <f>SUM(AD14:AD15)</f>
        <v>-510753</v>
      </c>
      <c r="AE16" s="195"/>
      <c r="AF16" s="194">
        <f>SUM(AF14:AF15)</f>
        <v>-667411</v>
      </c>
      <c r="AG16" s="195"/>
      <c r="AH16" s="194">
        <f>SUM(AH14:AH15)</f>
        <v>-771645</v>
      </c>
      <c r="AI16" s="195"/>
      <c r="AJ16" s="194">
        <f>SUM(AJ14:AJ15)</f>
        <v>-126049</v>
      </c>
      <c r="AK16" s="195"/>
      <c r="AL16" s="194">
        <f>SUM(AL14:AL15)</f>
        <v>-455171</v>
      </c>
      <c r="AM16" s="195"/>
      <c r="AN16" s="194">
        <f t="shared" ref="AN16:AT16" si="1">SUM(AN14:AN15)</f>
        <v>-348911</v>
      </c>
      <c r="AO16" s="195"/>
      <c r="AP16" s="194">
        <f t="shared" si="1"/>
        <v>-15851</v>
      </c>
      <c r="AQ16" s="195"/>
      <c r="AR16" s="194">
        <f t="shared" si="1"/>
        <v>-16306</v>
      </c>
      <c r="AS16" s="195"/>
      <c r="AT16" s="194">
        <f t="shared" si="1"/>
        <v>-73831</v>
      </c>
      <c r="AU16" s="195"/>
      <c r="AV16" s="194">
        <f>SUM(D16:AT16)</f>
        <v>-30246838</v>
      </c>
    </row>
    <row r="17" spans="1:48" ht="21">
      <c r="A17" s="569"/>
      <c r="B17" s="208" t="s">
        <v>126</v>
      </c>
      <c r="C17" s="156"/>
      <c r="D17" s="209">
        <f>SUM(D16,D12)</f>
        <v>40335761</v>
      </c>
      <c r="E17" s="195"/>
      <c r="F17" s="209">
        <f>SUM(F16,F12)</f>
        <v>8654645</v>
      </c>
      <c r="G17" s="195"/>
      <c r="H17" s="209">
        <f>SUM(H16,H12)</f>
        <v>83113</v>
      </c>
      <c r="I17" s="195"/>
      <c r="J17" s="209">
        <f>SUM(J16,J12)</f>
        <v>4818731</v>
      </c>
      <c r="K17" s="195"/>
      <c r="L17" s="209">
        <f>SUM(L16,L12)</f>
        <v>4098557</v>
      </c>
      <c r="M17" s="195"/>
      <c r="N17" s="209">
        <f>SUM(N16,N12)</f>
        <v>1283746</v>
      </c>
      <c r="O17" s="195"/>
      <c r="P17" s="209">
        <f>SUM(P16,P12)</f>
        <v>4372894</v>
      </c>
      <c r="Q17" s="195"/>
      <c r="R17" s="209">
        <f>SUM(R16,R12)</f>
        <v>3487986</v>
      </c>
      <c r="S17" s="195"/>
      <c r="T17" s="209">
        <f>SUM(T16,T12)</f>
        <v>964872</v>
      </c>
      <c r="U17" s="195"/>
      <c r="V17" s="209">
        <f>SUM(V16,V12)</f>
        <v>2086570</v>
      </c>
      <c r="W17" s="195"/>
      <c r="X17" s="209">
        <f>SUM(X16,X12)</f>
        <v>2210777</v>
      </c>
      <c r="Y17" s="195"/>
      <c r="Z17" s="209">
        <f>SUM(Z16,Z12)</f>
        <v>1593324</v>
      </c>
      <c r="AA17" s="195"/>
      <c r="AB17" s="209">
        <f>SUM(AB16,AB12)</f>
        <v>2484241</v>
      </c>
      <c r="AC17" s="195"/>
      <c r="AD17" s="209">
        <f>SUM(AD16,AD12)</f>
        <v>1035409</v>
      </c>
      <c r="AE17" s="195"/>
      <c r="AF17" s="209">
        <f>SUM(AF16,AF12)</f>
        <v>1694570</v>
      </c>
      <c r="AG17" s="195"/>
      <c r="AH17" s="209">
        <f>SUM(AH16,AH12)</f>
        <v>1562658</v>
      </c>
      <c r="AI17" s="195"/>
      <c r="AJ17" s="209">
        <f>SUM(AJ16,AJ12)</f>
        <v>319740</v>
      </c>
      <c r="AK17" s="195"/>
      <c r="AL17" s="209">
        <f>SUM(AL16,AL12)</f>
        <v>1057654</v>
      </c>
      <c r="AM17" s="195"/>
      <c r="AN17" s="209">
        <f t="shared" ref="AN17:AT17" si="2">SUM(AN16,AN12)</f>
        <v>996997</v>
      </c>
      <c r="AO17" s="195"/>
      <c r="AP17" s="209">
        <f t="shared" si="2"/>
        <v>78594</v>
      </c>
      <c r="AQ17" s="195"/>
      <c r="AR17" s="209">
        <f t="shared" si="2"/>
        <v>31352</v>
      </c>
      <c r="AS17" s="195"/>
      <c r="AT17" s="209">
        <f t="shared" si="2"/>
        <v>232745</v>
      </c>
      <c r="AU17" s="195"/>
      <c r="AV17" s="209">
        <f>SUM(D17:AT17)</f>
        <v>83484936</v>
      </c>
    </row>
    <row r="18" spans="1:48" ht="12" customHeight="1">
      <c r="A18" s="569"/>
      <c r="B18" s="200"/>
      <c r="C18" s="156"/>
      <c r="D18" s="201"/>
      <c r="E18" s="195"/>
      <c r="F18" s="194"/>
      <c r="G18" s="195"/>
      <c r="H18" s="194"/>
      <c r="I18" s="195"/>
      <c r="J18" s="194"/>
      <c r="K18" s="202"/>
      <c r="L18" s="194"/>
      <c r="M18" s="202"/>
      <c r="N18" s="194"/>
      <c r="O18" s="202"/>
      <c r="P18" s="194"/>
      <c r="Q18" s="202"/>
      <c r="R18" s="194"/>
      <c r="S18" s="202"/>
      <c r="T18" s="194"/>
      <c r="U18" s="202"/>
      <c r="V18" s="194"/>
      <c r="W18" s="202"/>
      <c r="X18" s="194"/>
      <c r="Y18" s="202"/>
      <c r="Z18" s="194"/>
      <c r="AA18" s="202"/>
      <c r="AB18" s="194"/>
      <c r="AC18" s="202"/>
      <c r="AD18" s="194"/>
      <c r="AE18" s="202"/>
      <c r="AF18" s="194"/>
      <c r="AG18" s="202"/>
      <c r="AH18" s="194"/>
      <c r="AJ18" s="194"/>
      <c r="AL18" s="194"/>
      <c r="AN18" s="194"/>
      <c r="AP18" s="194"/>
      <c r="AR18" s="194"/>
      <c r="AT18" s="194"/>
      <c r="AV18" s="194"/>
    </row>
    <row r="19" spans="1:48" ht="21">
      <c r="A19" s="569"/>
      <c r="B19" s="210" t="s">
        <v>125</v>
      </c>
      <c r="C19" s="156"/>
      <c r="D19" s="205">
        <v>-40660945</v>
      </c>
      <c r="E19" s="195"/>
      <c r="F19" s="205">
        <v>-7806322</v>
      </c>
      <c r="G19" s="195"/>
      <c r="H19" s="205">
        <v>-13929</v>
      </c>
      <c r="I19" s="195"/>
      <c r="J19" s="205">
        <v>-4179302</v>
      </c>
      <c r="K19" s="202"/>
      <c r="L19" s="205">
        <v>-4055686</v>
      </c>
      <c r="M19" s="202"/>
      <c r="N19" s="205">
        <v>-1290506</v>
      </c>
      <c r="O19" s="202"/>
      <c r="P19" s="205">
        <v>-3270739</v>
      </c>
      <c r="Q19" s="202"/>
      <c r="R19" s="205">
        <v>-2886176</v>
      </c>
      <c r="S19" s="202"/>
      <c r="T19" s="205">
        <v>-1094230</v>
      </c>
      <c r="U19" s="202"/>
      <c r="V19" s="205">
        <v>-1124135</v>
      </c>
      <c r="W19" s="202"/>
      <c r="X19" s="205">
        <v>-2207019</v>
      </c>
      <c r="Y19" s="202"/>
      <c r="Z19" s="205">
        <v>-1409851</v>
      </c>
      <c r="AA19" s="202"/>
      <c r="AB19" s="205">
        <v>-2264229</v>
      </c>
      <c r="AC19" s="202"/>
      <c r="AD19" s="205">
        <v>-854359</v>
      </c>
      <c r="AE19" s="202"/>
      <c r="AF19" s="205">
        <v>-1568577</v>
      </c>
      <c r="AG19" s="202"/>
      <c r="AH19" s="205">
        <v>-1201109</v>
      </c>
      <c r="AJ19" s="205">
        <v>-59032</v>
      </c>
      <c r="AL19" s="205">
        <v>-627203</v>
      </c>
      <c r="AN19" s="205">
        <v>-919888</v>
      </c>
      <c r="AP19" s="205">
        <v>-45746</v>
      </c>
      <c r="AR19" s="205">
        <v>-22776</v>
      </c>
      <c r="AT19" s="205">
        <v>-166933</v>
      </c>
      <c r="AV19" s="205">
        <f>SUM(D19:AT19)</f>
        <v>-77728692</v>
      </c>
    </row>
    <row r="20" spans="1:48" ht="21">
      <c r="A20" s="569"/>
      <c r="B20" s="211" t="s">
        <v>124</v>
      </c>
      <c r="C20" s="156"/>
      <c r="D20" s="206">
        <v>-1194993</v>
      </c>
      <c r="E20" s="195"/>
      <c r="F20" s="206">
        <v>-751105</v>
      </c>
      <c r="G20" s="195"/>
      <c r="H20" s="206">
        <v>-15936</v>
      </c>
      <c r="I20" s="195"/>
      <c r="J20" s="206">
        <v>-294749</v>
      </c>
      <c r="K20" s="202"/>
      <c r="L20" s="206">
        <v>-9174</v>
      </c>
      <c r="M20" s="202"/>
      <c r="N20" s="206">
        <v>-55426</v>
      </c>
      <c r="O20" s="202"/>
      <c r="P20" s="206">
        <v>-458026</v>
      </c>
      <c r="Q20" s="202"/>
      <c r="R20" s="206">
        <v>-552375</v>
      </c>
      <c r="S20" s="202"/>
      <c r="T20" s="206">
        <v>82268</v>
      </c>
      <c r="U20" s="202"/>
      <c r="V20" s="206">
        <v>19447</v>
      </c>
      <c r="W20" s="202"/>
      <c r="X20" s="206">
        <v>-102566</v>
      </c>
      <c r="Y20" s="202"/>
      <c r="Z20" s="206">
        <v>-228892</v>
      </c>
      <c r="AA20" s="202"/>
      <c r="AB20" s="206">
        <v>-718133</v>
      </c>
      <c r="AC20" s="202"/>
      <c r="AD20" s="206">
        <v>-252778</v>
      </c>
      <c r="AE20" s="202"/>
      <c r="AF20" s="206">
        <v>-192163</v>
      </c>
      <c r="AG20" s="202"/>
      <c r="AH20" s="206">
        <v>-171115</v>
      </c>
      <c r="AJ20" s="206">
        <v>-155872</v>
      </c>
      <c r="AL20" s="206">
        <v>-231370</v>
      </c>
      <c r="AN20" s="206">
        <v>-99051</v>
      </c>
      <c r="AP20" s="206">
        <v>-75373</v>
      </c>
      <c r="AR20" s="206">
        <v>-6713</v>
      </c>
      <c r="AT20" s="206">
        <v>-6339</v>
      </c>
      <c r="AV20" s="206">
        <f>SUM(D20:AT20)</f>
        <v>-5470434</v>
      </c>
    </row>
    <row r="21" spans="1:48" ht="21">
      <c r="A21" s="569"/>
      <c r="B21" s="212" t="s">
        <v>123</v>
      </c>
      <c r="C21" s="156"/>
      <c r="D21" s="213">
        <f>SUM(D19:D20)</f>
        <v>-41855938</v>
      </c>
      <c r="E21" s="195"/>
      <c r="F21" s="213">
        <f>SUM(F19:F20)</f>
        <v>-8557427</v>
      </c>
      <c r="G21" s="195"/>
      <c r="H21" s="213">
        <f>SUM(H19:H20)</f>
        <v>-29865</v>
      </c>
      <c r="I21" s="195"/>
      <c r="J21" s="213">
        <f>SUM(J19:J20)</f>
        <v>-4474051</v>
      </c>
      <c r="K21" s="195"/>
      <c r="L21" s="213">
        <f>SUM(L19:L20)</f>
        <v>-4064860</v>
      </c>
      <c r="M21" s="195"/>
      <c r="N21" s="213">
        <f>SUM(N19:N20)</f>
        <v>-1345932</v>
      </c>
      <c r="O21" s="195"/>
      <c r="P21" s="213">
        <f>SUM(P19:P20)</f>
        <v>-3728765</v>
      </c>
      <c r="Q21" s="195"/>
      <c r="R21" s="213">
        <f>SUM(R19:R20)</f>
        <v>-3438551</v>
      </c>
      <c r="S21" s="195"/>
      <c r="T21" s="213">
        <f>SUM(T19:T20)</f>
        <v>-1011962</v>
      </c>
      <c r="U21" s="195"/>
      <c r="V21" s="213">
        <f>SUM(V19:V20)</f>
        <v>-1104688</v>
      </c>
      <c r="W21" s="195"/>
      <c r="X21" s="213">
        <f>SUM(X19:X20)</f>
        <v>-2309585</v>
      </c>
      <c r="Y21" s="195"/>
      <c r="Z21" s="213">
        <f>SUM(Z19:Z20)</f>
        <v>-1638743</v>
      </c>
      <c r="AA21" s="195"/>
      <c r="AB21" s="213">
        <f>SUM(AB19:AB20)</f>
        <v>-2982362</v>
      </c>
      <c r="AC21" s="195"/>
      <c r="AD21" s="213">
        <f>SUM(AD19:AD20)</f>
        <v>-1107137</v>
      </c>
      <c r="AE21" s="195"/>
      <c r="AF21" s="213">
        <f>SUM(AF19:AF20)</f>
        <v>-1760740</v>
      </c>
      <c r="AG21" s="195"/>
      <c r="AH21" s="213">
        <f>SUM(AH19:AH20)</f>
        <v>-1372224</v>
      </c>
      <c r="AI21" s="195"/>
      <c r="AJ21" s="213">
        <f>SUM(AJ19:AJ20)</f>
        <v>-214904</v>
      </c>
      <c r="AK21" s="195"/>
      <c r="AL21" s="213">
        <f>SUM(AL19:AL20)</f>
        <v>-858573</v>
      </c>
      <c r="AM21" s="195"/>
      <c r="AN21" s="213">
        <f t="shared" ref="AN21:AT21" si="3">SUM(AN19:AN20)</f>
        <v>-1018939</v>
      </c>
      <c r="AO21" s="195"/>
      <c r="AP21" s="213">
        <f t="shared" si="3"/>
        <v>-121119</v>
      </c>
      <c r="AQ21" s="195"/>
      <c r="AR21" s="213">
        <f t="shared" si="3"/>
        <v>-29489</v>
      </c>
      <c r="AS21" s="195"/>
      <c r="AT21" s="213">
        <f t="shared" si="3"/>
        <v>-173272</v>
      </c>
      <c r="AU21" s="195"/>
      <c r="AV21" s="213">
        <f>SUM(D21:AT21)</f>
        <v>-83199126</v>
      </c>
    </row>
    <row r="22" spans="1:48" ht="12" customHeight="1">
      <c r="A22" s="569"/>
      <c r="B22" s="200"/>
      <c r="C22" s="156"/>
      <c r="D22" s="201"/>
      <c r="E22" s="195"/>
      <c r="F22" s="194"/>
      <c r="G22" s="195"/>
      <c r="H22" s="194"/>
      <c r="I22" s="195"/>
      <c r="J22" s="194"/>
      <c r="K22" s="202"/>
      <c r="L22" s="194"/>
      <c r="M22" s="202"/>
      <c r="N22" s="194"/>
      <c r="O22" s="202"/>
      <c r="P22" s="194"/>
      <c r="Q22" s="202"/>
      <c r="R22" s="194"/>
      <c r="S22" s="202"/>
      <c r="T22" s="194"/>
      <c r="U22" s="202"/>
      <c r="V22" s="194"/>
      <c r="W22" s="202"/>
      <c r="X22" s="194"/>
      <c r="Y22" s="202"/>
      <c r="Z22" s="194"/>
      <c r="AA22" s="202"/>
      <c r="AB22" s="194"/>
      <c r="AC22" s="202"/>
      <c r="AD22" s="194"/>
      <c r="AE22" s="202"/>
      <c r="AF22" s="194"/>
      <c r="AG22" s="202"/>
      <c r="AH22" s="194"/>
      <c r="AJ22" s="194"/>
      <c r="AL22" s="194"/>
      <c r="AN22" s="194"/>
      <c r="AP22" s="194"/>
      <c r="AR22" s="194"/>
      <c r="AT22" s="194"/>
      <c r="AV22" s="194"/>
    </row>
    <row r="23" spans="1:48" ht="21">
      <c r="A23" s="569"/>
      <c r="B23" s="210" t="s">
        <v>122</v>
      </c>
      <c r="C23" s="156"/>
      <c r="D23" s="214">
        <v>10280395</v>
      </c>
      <c r="E23" s="195"/>
      <c r="F23" s="205">
        <v>2028368</v>
      </c>
      <c r="G23" s="195"/>
      <c r="H23" s="205">
        <v>3405</v>
      </c>
      <c r="I23" s="195"/>
      <c r="J23" s="205">
        <v>1083230</v>
      </c>
      <c r="K23" s="202"/>
      <c r="L23" s="205">
        <v>996635</v>
      </c>
      <c r="M23" s="202"/>
      <c r="N23" s="205">
        <v>381163</v>
      </c>
      <c r="O23" s="202"/>
      <c r="P23" s="205">
        <v>824465</v>
      </c>
      <c r="Q23" s="202"/>
      <c r="R23" s="205">
        <v>798802</v>
      </c>
      <c r="S23" s="202"/>
      <c r="T23" s="205">
        <v>340671</v>
      </c>
      <c r="U23" s="202"/>
      <c r="V23" s="205">
        <v>329361</v>
      </c>
      <c r="W23" s="202"/>
      <c r="X23" s="205">
        <v>684221</v>
      </c>
      <c r="Y23" s="202"/>
      <c r="Z23" s="205">
        <v>356165</v>
      </c>
      <c r="AA23" s="202"/>
      <c r="AB23" s="205">
        <v>664527</v>
      </c>
      <c r="AC23" s="202"/>
      <c r="AD23" s="205">
        <v>248997</v>
      </c>
      <c r="AE23" s="202"/>
      <c r="AF23" s="205">
        <v>414290</v>
      </c>
      <c r="AG23" s="202"/>
      <c r="AH23" s="205">
        <v>349895</v>
      </c>
      <c r="AJ23" s="205">
        <v>19293</v>
      </c>
      <c r="AL23" s="205">
        <v>198298</v>
      </c>
      <c r="AN23" s="205">
        <v>246616</v>
      </c>
      <c r="AP23" s="205">
        <v>4356</v>
      </c>
      <c r="AR23" s="205">
        <v>6690</v>
      </c>
      <c r="AT23" s="205">
        <v>20490</v>
      </c>
      <c r="AV23" s="205">
        <f>SUM(D23:AT23)</f>
        <v>20280333</v>
      </c>
    </row>
    <row r="24" spans="1:48" ht="21">
      <c r="A24" s="569"/>
      <c r="B24" s="215" t="s">
        <v>121</v>
      </c>
      <c r="C24" s="156"/>
      <c r="D24" s="216">
        <v>428773</v>
      </c>
      <c r="E24" s="195"/>
      <c r="F24" s="206">
        <v>167610</v>
      </c>
      <c r="G24" s="195"/>
      <c r="H24" s="206">
        <v>4318</v>
      </c>
      <c r="I24" s="195"/>
      <c r="J24" s="206">
        <v>57668</v>
      </c>
      <c r="K24" s="202"/>
      <c r="L24" s="206">
        <v>70175</v>
      </c>
      <c r="M24" s="202"/>
      <c r="N24" s="206">
        <v>76892</v>
      </c>
      <c r="O24" s="202"/>
      <c r="P24" s="206">
        <v>112981</v>
      </c>
      <c r="Q24" s="202"/>
      <c r="R24" s="206">
        <v>139716</v>
      </c>
      <c r="S24" s="202"/>
      <c r="T24" s="206">
        <v>-16452</v>
      </c>
      <c r="U24" s="202"/>
      <c r="V24" s="206">
        <v>-13808</v>
      </c>
      <c r="W24" s="202"/>
      <c r="X24" s="206">
        <v>52989</v>
      </c>
      <c r="Y24" s="202"/>
      <c r="Z24" s="206">
        <v>100716</v>
      </c>
      <c r="AA24" s="202"/>
      <c r="AB24" s="206">
        <v>143232</v>
      </c>
      <c r="AC24" s="202"/>
      <c r="AD24" s="206">
        <v>53039</v>
      </c>
      <c r="AE24" s="202"/>
      <c r="AF24" s="206">
        <v>81805</v>
      </c>
      <c r="AG24" s="202"/>
      <c r="AH24" s="206">
        <v>31470</v>
      </c>
      <c r="AJ24" s="206">
        <v>62345</v>
      </c>
      <c r="AL24" s="206">
        <v>59828</v>
      </c>
      <c r="AN24" s="206">
        <v>21906</v>
      </c>
      <c r="AP24" s="206">
        <v>67248</v>
      </c>
      <c r="AR24" s="206">
        <v>3745</v>
      </c>
      <c r="AT24" s="206">
        <v>1512</v>
      </c>
      <c r="AV24" s="206">
        <f>SUM(D24:AT24)</f>
        <v>1707708</v>
      </c>
    </row>
    <row r="25" spans="1:48" ht="21">
      <c r="A25" s="569"/>
      <c r="B25" s="203" t="s">
        <v>120</v>
      </c>
      <c r="C25" s="156"/>
      <c r="D25" s="204">
        <f>+D23+D24</f>
        <v>10709168</v>
      </c>
      <c r="E25" s="195"/>
      <c r="F25" s="217">
        <f>+F23+F24</f>
        <v>2195978</v>
      </c>
      <c r="G25" s="195"/>
      <c r="H25" s="217">
        <f>+H23+H24</f>
        <v>7723</v>
      </c>
      <c r="I25" s="195"/>
      <c r="J25" s="217">
        <f>+J23+J24</f>
        <v>1140898</v>
      </c>
      <c r="K25" s="195"/>
      <c r="L25" s="217">
        <f>+L23+L24</f>
        <v>1066810</v>
      </c>
      <c r="M25" s="195"/>
      <c r="N25" s="217">
        <f>+N23+N24</f>
        <v>458055</v>
      </c>
      <c r="O25" s="195"/>
      <c r="P25" s="217">
        <f>+P23+P24</f>
        <v>937446</v>
      </c>
      <c r="Q25" s="195"/>
      <c r="R25" s="217">
        <f>+R23+R24</f>
        <v>938518</v>
      </c>
      <c r="S25" s="195"/>
      <c r="T25" s="217">
        <f>+T23+T24</f>
        <v>324219</v>
      </c>
      <c r="U25" s="195"/>
      <c r="V25" s="217">
        <f>+V23+V24</f>
        <v>315553</v>
      </c>
      <c r="W25" s="195"/>
      <c r="X25" s="217">
        <f>+X23+X24</f>
        <v>737210</v>
      </c>
      <c r="Y25" s="195"/>
      <c r="Z25" s="217">
        <f>+Z23+Z24</f>
        <v>456881</v>
      </c>
      <c r="AA25" s="195"/>
      <c r="AB25" s="217">
        <f>+AB23+AB24</f>
        <v>807759</v>
      </c>
      <c r="AC25" s="195"/>
      <c r="AD25" s="217">
        <f>+AD23+AD24</f>
        <v>302036</v>
      </c>
      <c r="AE25" s="195"/>
      <c r="AF25" s="217">
        <f>+AF23+AF24</f>
        <v>496095</v>
      </c>
      <c r="AG25" s="195"/>
      <c r="AH25" s="217">
        <f>+AH23+AH24</f>
        <v>381365</v>
      </c>
      <c r="AI25" s="195"/>
      <c r="AJ25" s="217">
        <f>+AJ23+AJ24</f>
        <v>81638</v>
      </c>
      <c r="AK25" s="195"/>
      <c r="AL25" s="217">
        <f>+AL23+AL24</f>
        <v>258126</v>
      </c>
      <c r="AM25" s="195"/>
      <c r="AN25" s="217">
        <f t="shared" ref="AN25:AT25" si="4">+AN23+AN24</f>
        <v>268522</v>
      </c>
      <c r="AO25" s="195"/>
      <c r="AP25" s="217">
        <f t="shared" si="4"/>
        <v>71604</v>
      </c>
      <c r="AQ25" s="195"/>
      <c r="AR25" s="217">
        <f t="shared" si="4"/>
        <v>10435</v>
      </c>
      <c r="AS25" s="195"/>
      <c r="AT25" s="217">
        <f t="shared" si="4"/>
        <v>22002</v>
      </c>
      <c r="AU25" s="195"/>
      <c r="AV25" s="217">
        <f>SUM(D25:AT25)</f>
        <v>21988041</v>
      </c>
    </row>
    <row r="26" spans="1:48" ht="21">
      <c r="A26" s="569"/>
      <c r="B26" s="212" t="s">
        <v>119</v>
      </c>
      <c r="C26" s="156"/>
      <c r="D26" s="213">
        <f>SUM(D25,D21)</f>
        <v>-31146770</v>
      </c>
      <c r="E26" s="195"/>
      <c r="F26" s="213">
        <f>SUM(F25,F21)</f>
        <v>-6361449</v>
      </c>
      <c r="G26" s="195"/>
      <c r="H26" s="213">
        <f>SUM(H25,H21)</f>
        <v>-22142</v>
      </c>
      <c r="I26" s="195"/>
      <c r="J26" s="213">
        <f>SUM(J25,J21)</f>
        <v>-3333153</v>
      </c>
      <c r="K26" s="195"/>
      <c r="L26" s="213">
        <f>SUM(L25,L21)</f>
        <v>-2998050</v>
      </c>
      <c r="M26" s="195"/>
      <c r="N26" s="213">
        <f>SUM(N25,N21)</f>
        <v>-887877</v>
      </c>
      <c r="O26" s="195"/>
      <c r="P26" s="213">
        <f>SUM(P25,P21)</f>
        <v>-2791319</v>
      </c>
      <c r="Q26" s="195"/>
      <c r="R26" s="213">
        <f>SUM(R25,R21)</f>
        <v>-2500033</v>
      </c>
      <c r="S26" s="195"/>
      <c r="T26" s="213">
        <f>SUM(T25,T21)</f>
        <v>-687743</v>
      </c>
      <c r="U26" s="195"/>
      <c r="V26" s="213">
        <f>SUM(V25,V21)</f>
        <v>-789135</v>
      </c>
      <c r="W26" s="195"/>
      <c r="X26" s="213">
        <f>SUM(X25,X21)</f>
        <v>-1572375</v>
      </c>
      <c r="Y26" s="195"/>
      <c r="Z26" s="213">
        <f>SUM(Z25,Z21)</f>
        <v>-1181862</v>
      </c>
      <c r="AA26" s="195"/>
      <c r="AB26" s="213">
        <f>SUM(AB25,AB21)</f>
        <v>-2174603</v>
      </c>
      <c r="AC26" s="195"/>
      <c r="AD26" s="213">
        <f>SUM(AD25,AD21)</f>
        <v>-805101</v>
      </c>
      <c r="AE26" s="195"/>
      <c r="AF26" s="213">
        <f>SUM(AF25,AF21)</f>
        <v>-1264645</v>
      </c>
      <c r="AG26" s="195"/>
      <c r="AH26" s="213">
        <f>SUM(AH25,AH21)</f>
        <v>-990859</v>
      </c>
      <c r="AI26" s="195"/>
      <c r="AJ26" s="213">
        <f>SUM(AJ25,AJ21)</f>
        <v>-133266</v>
      </c>
      <c r="AK26" s="195"/>
      <c r="AL26" s="213">
        <f>SUM(AL25,AL21)</f>
        <v>-600447</v>
      </c>
      <c r="AM26" s="195"/>
      <c r="AN26" s="213">
        <f t="shared" ref="AN26:AT26" si="5">SUM(AN25,AN21)</f>
        <v>-750417</v>
      </c>
      <c r="AO26" s="195"/>
      <c r="AP26" s="213">
        <f t="shared" si="5"/>
        <v>-49515</v>
      </c>
      <c r="AQ26" s="195"/>
      <c r="AR26" s="213">
        <f t="shared" si="5"/>
        <v>-19054</v>
      </c>
      <c r="AS26" s="195"/>
      <c r="AT26" s="213">
        <f t="shared" si="5"/>
        <v>-151270</v>
      </c>
      <c r="AU26" s="195"/>
      <c r="AV26" s="213">
        <f>SUM(D26:AT26)</f>
        <v>-61211085</v>
      </c>
    </row>
    <row r="27" spans="1:48" ht="8.25" customHeight="1">
      <c r="A27" s="569"/>
      <c r="B27" s="200"/>
      <c r="C27" s="156"/>
      <c r="D27" s="201"/>
      <c r="E27" s="195"/>
      <c r="F27" s="194"/>
      <c r="G27" s="195"/>
      <c r="H27" s="194"/>
      <c r="I27" s="195"/>
      <c r="J27" s="194"/>
      <c r="K27" s="202"/>
      <c r="L27" s="194"/>
      <c r="M27" s="202"/>
      <c r="N27" s="194"/>
      <c r="O27" s="202"/>
      <c r="P27" s="194"/>
      <c r="Q27" s="202"/>
      <c r="R27" s="194"/>
      <c r="S27" s="202"/>
      <c r="T27" s="194"/>
      <c r="U27" s="202"/>
      <c r="V27" s="194"/>
      <c r="W27" s="202"/>
      <c r="X27" s="194"/>
      <c r="Y27" s="202"/>
      <c r="Z27" s="194"/>
      <c r="AA27" s="202"/>
      <c r="AB27" s="194"/>
      <c r="AC27" s="202"/>
      <c r="AD27" s="194"/>
      <c r="AE27" s="202"/>
      <c r="AF27" s="194"/>
      <c r="AG27" s="202"/>
      <c r="AH27" s="194"/>
      <c r="AJ27" s="194"/>
      <c r="AL27" s="194"/>
      <c r="AN27" s="194"/>
      <c r="AP27" s="194"/>
      <c r="AR27" s="194"/>
      <c r="AT27" s="194"/>
      <c r="AV27" s="194"/>
    </row>
    <row r="28" spans="1:48" ht="21">
      <c r="A28" s="569"/>
      <c r="B28" s="210" t="s">
        <v>118</v>
      </c>
      <c r="C28" s="156"/>
      <c r="D28" s="205">
        <v>-4234990</v>
      </c>
      <c r="E28" s="195"/>
      <c r="F28" s="205">
        <v>-1266957</v>
      </c>
      <c r="G28" s="195"/>
      <c r="H28" s="205">
        <v>-5973</v>
      </c>
      <c r="I28" s="195"/>
      <c r="J28" s="205">
        <v>-682767</v>
      </c>
      <c r="K28" s="202"/>
      <c r="L28" s="205">
        <v>-449680</v>
      </c>
      <c r="M28" s="202"/>
      <c r="N28" s="205">
        <v>-191264</v>
      </c>
      <c r="O28" s="202"/>
      <c r="P28" s="205">
        <v>-580464</v>
      </c>
      <c r="Q28" s="202"/>
      <c r="R28" s="205">
        <v>-396897</v>
      </c>
      <c r="S28" s="202"/>
      <c r="T28" s="205">
        <v>-89202</v>
      </c>
      <c r="U28" s="202"/>
      <c r="V28" s="205">
        <v>-544657</v>
      </c>
      <c r="W28" s="202"/>
      <c r="X28" s="205">
        <v>-251824</v>
      </c>
      <c r="Y28" s="202"/>
      <c r="Z28" s="205">
        <v>-190355</v>
      </c>
      <c r="AA28" s="202"/>
      <c r="AB28" s="205">
        <v>-170495</v>
      </c>
      <c r="AC28" s="202"/>
      <c r="AD28" s="205">
        <v>-210301</v>
      </c>
      <c r="AE28" s="202"/>
      <c r="AF28" s="205">
        <v>-287484</v>
      </c>
      <c r="AG28" s="202"/>
      <c r="AH28" s="205">
        <v>-413453</v>
      </c>
      <c r="AJ28" s="205">
        <v>-34179</v>
      </c>
      <c r="AL28" s="205">
        <v>-85957</v>
      </c>
      <c r="AN28" s="205">
        <v>-116697</v>
      </c>
      <c r="AP28" s="205">
        <v>-8867</v>
      </c>
      <c r="AR28" s="205">
        <v>-6164</v>
      </c>
      <c r="AT28" s="205">
        <v>-20129</v>
      </c>
      <c r="AV28" s="205">
        <f>SUM(D28:AT28)</f>
        <v>-10238756</v>
      </c>
    </row>
    <row r="29" spans="1:48" ht="21">
      <c r="A29" s="569"/>
      <c r="B29" s="211" t="s">
        <v>117</v>
      </c>
      <c r="C29" s="156"/>
      <c r="D29" s="218">
        <v>1969234</v>
      </c>
      <c r="E29" s="195"/>
      <c r="F29" s="206">
        <v>396346</v>
      </c>
      <c r="G29" s="195"/>
      <c r="H29" s="206">
        <v>25154</v>
      </c>
      <c r="I29" s="195"/>
      <c r="J29" s="206">
        <v>271810</v>
      </c>
      <c r="K29" s="202"/>
      <c r="L29" s="206">
        <v>313901</v>
      </c>
      <c r="M29" s="202"/>
      <c r="N29" s="206">
        <v>93331</v>
      </c>
      <c r="O29" s="202"/>
      <c r="P29" s="206">
        <v>265455</v>
      </c>
      <c r="Q29" s="202"/>
      <c r="R29" s="206">
        <v>109324</v>
      </c>
      <c r="S29" s="202"/>
      <c r="T29" s="206">
        <v>76443</v>
      </c>
      <c r="U29" s="202"/>
      <c r="V29" s="206">
        <v>304933</v>
      </c>
      <c r="W29" s="202"/>
      <c r="X29" s="206">
        <v>232389</v>
      </c>
      <c r="Y29" s="202"/>
      <c r="Z29" s="206">
        <v>81496</v>
      </c>
      <c r="AA29" s="202"/>
      <c r="AB29" s="206">
        <v>213828</v>
      </c>
      <c r="AC29" s="202"/>
      <c r="AD29" s="206">
        <v>135787</v>
      </c>
      <c r="AE29" s="202"/>
      <c r="AF29" s="206">
        <v>127055</v>
      </c>
      <c r="AG29" s="202"/>
      <c r="AH29" s="206">
        <v>219337</v>
      </c>
      <c r="AJ29" s="206">
        <v>51770</v>
      </c>
      <c r="AL29" s="206">
        <v>131948</v>
      </c>
      <c r="AN29" s="206">
        <v>60155</v>
      </c>
      <c r="AP29" s="206">
        <v>4037</v>
      </c>
      <c r="AR29" s="206">
        <v>6845</v>
      </c>
      <c r="AT29" s="206">
        <v>13903</v>
      </c>
      <c r="AV29" s="206">
        <f>SUM(D29:AT29)</f>
        <v>5104481</v>
      </c>
    </row>
    <row r="30" spans="1:48" ht="21">
      <c r="A30" s="569"/>
      <c r="B30" s="212" t="s">
        <v>116</v>
      </c>
      <c r="C30" s="156"/>
      <c r="D30" s="213">
        <f>SUM(D28:D29)</f>
        <v>-2265756</v>
      </c>
      <c r="E30" s="195"/>
      <c r="F30" s="213">
        <f>SUM(F28:F29)</f>
        <v>-870611</v>
      </c>
      <c r="G30" s="195"/>
      <c r="H30" s="213">
        <f>SUM(H28:H29)</f>
        <v>19181</v>
      </c>
      <c r="I30" s="195"/>
      <c r="J30" s="213">
        <f>SUM(J28:J29)</f>
        <v>-410957</v>
      </c>
      <c r="K30" s="195"/>
      <c r="L30" s="213">
        <f>SUM(L28:L29)</f>
        <v>-135779</v>
      </c>
      <c r="M30" s="195"/>
      <c r="N30" s="213">
        <f>SUM(N28:N29)</f>
        <v>-97933</v>
      </c>
      <c r="O30" s="195"/>
      <c r="P30" s="213">
        <f>SUM(P28:P29)</f>
        <v>-315009</v>
      </c>
      <c r="Q30" s="195"/>
      <c r="R30" s="213">
        <f>SUM(R28:R29)</f>
        <v>-287573</v>
      </c>
      <c r="S30" s="195"/>
      <c r="T30" s="213">
        <f>SUM(T28:T29)</f>
        <v>-12759</v>
      </c>
      <c r="U30" s="195"/>
      <c r="V30" s="213">
        <f>SUM(V28:V29)</f>
        <v>-239724</v>
      </c>
      <c r="W30" s="195"/>
      <c r="X30" s="213">
        <f>SUM(X28:X29)</f>
        <v>-19435</v>
      </c>
      <c r="Y30" s="195"/>
      <c r="Z30" s="213">
        <f>SUM(Z28:Z29)</f>
        <v>-108859</v>
      </c>
      <c r="AA30" s="195"/>
      <c r="AB30" s="213">
        <f>SUM(AB28:AB29)</f>
        <v>43333</v>
      </c>
      <c r="AC30" s="195"/>
      <c r="AD30" s="213">
        <f>SUM(AD28:AD29)</f>
        <v>-74514</v>
      </c>
      <c r="AE30" s="195"/>
      <c r="AF30" s="213">
        <f>SUM(AF28:AF29)</f>
        <v>-160429</v>
      </c>
      <c r="AG30" s="195"/>
      <c r="AH30" s="213">
        <f>SUM(AH28:AH29)</f>
        <v>-194116</v>
      </c>
      <c r="AI30" s="195"/>
      <c r="AJ30" s="213">
        <f>SUM(AJ28:AJ29)</f>
        <v>17591</v>
      </c>
      <c r="AK30" s="195"/>
      <c r="AL30" s="213">
        <f>SUM(AL28:AL29)</f>
        <v>45991</v>
      </c>
      <c r="AM30" s="195"/>
      <c r="AN30" s="213">
        <f t="shared" ref="AN30:AT30" si="6">SUM(AN28:AN29)</f>
        <v>-56542</v>
      </c>
      <c r="AO30" s="195"/>
      <c r="AP30" s="213">
        <f t="shared" si="6"/>
        <v>-4830</v>
      </c>
      <c r="AQ30" s="195"/>
      <c r="AR30" s="213">
        <f t="shared" si="6"/>
        <v>681</v>
      </c>
      <c r="AS30" s="195"/>
      <c r="AT30" s="213">
        <f t="shared" si="6"/>
        <v>-6226</v>
      </c>
      <c r="AU30" s="195"/>
      <c r="AV30" s="213">
        <f>SUM(D30:AT30)</f>
        <v>-5134275</v>
      </c>
    </row>
    <row r="31" spans="1:48" ht="10.5" customHeight="1">
      <c r="A31" s="569"/>
      <c r="B31" s="219"/>
      <c r="C31" s="156"/>
      <c r="D31" s="220"/>
      <c r="E31" s="195"/>
      <c r="F31" s="221"/>
      <c r="G31" s="195"/>
      <c r="H31" s="221"/>
      <c r="I31" s="195"/>
      <c r="J31" s="221"/>
      <c r="K31" s="202"/>
      <c r="L31" s="221"/>
      <c r="M31" s="202"/>
      <c r="N31" s="221"/>
      <c r="O31" s="202"/>
      <c r="P31" s="221"/>
      <c r="Q31" s="202"/>
      <c r="R31" s="221"/>
      <c r="S31" s="202"/>
      <c r="T31" s="221"/>
      <c r="U31" s="202"/>
      <c r="V31" s="221"/>
      <c r="W31" s="202"/>
      <c r="X31" s="221"/>
      <c r="Y31" s="202"/>
      <c r="Z31" s="221"/>
      <c r="AA31" s="202"/>
      <c r="AB31" s="221"/>
      <c r="AC31" s="202"/>
      <c r="AD31" s="221"/>
      <c r="AE31" s="202"/>
      <c r="AF31" s="221"/>
      <c r="AG31" s="202"/>
      <c r="AH31" s="221"/>
      <c r="AJ31" s="221"/>
      <c r="AL31" s="221"/>
      <c r="AN31" s="221"/>
      <c r="AP31" s="221"/>
      <c r="AR31" s="221"/>
      <c r="AT31" s="221"/>
      <c r="AV31" s="221"/>
    </row>
    <row r="32" spans="1:48" ht="21">
      <c r="A32" s="569"/>
      <c r="B32" s="210" t="s">
        <v>115</v>
      </c>
      <c r="C32" s="156"/>
      <c r="D32" s="222">
        <v>-949722</v>
      </c>
      <c r="E32" s="195"/>
      <c r="F32" s="205">
        <v>-349634</v>
      </c>
      <c r="G32" s="195"/>
      <c r="H32" s="205">
        <v>-24</v>
      </c>
      <c r="I32" s="195"/>
      <c r="J32" s="205">
        <v>0</v>
      </c>
      <c r="K32" s="202"/>
      <c r="L32" s="205">
        <v>30757</v>
      </c>
      <c r="M32" s="202"/>
      <c r="N32" s="205">
        <v>0</v>
      </c>
      <c r="O32" s="202"/>
      <c r="P32" s="205">
        <v>-111856</v>
      </c>
      <c r="Q32" s="202"/>
      <c r="R32" s="205">
        <v>-114100</v>
      </c>
      <c r="S32" s="202"/>
      <c r="T32" s="205">
        <v>-13786</v>
      </c>
      <c r="U32" s="202"/>
      <c r="V32" s="205">
        <v>-850022</v>
      </c>
      <c r="W32" s="202"/>
      <c r="X32" s="205">
        <v>-79655</v>
      </c>
      <c r="Y32" s="202"/>
      <c r="Z32" s="205">
        <v>-12680</v>
      </c>
      <c r="AA32" s="202"/>
      <c r="AB32" s="205">
        <v>-24132</v>
      </c>
      <c r="AC32" s="202"/>
      <c r="AD32" s="205">
        <v>-39955</v>
      </c>
      <c r="AE32" s="202"/>
      <c r="AF32" s="205">
        <v>-44305</v>
      </c>
      <c r="AG32" s="202"/>
      <c r="AH32" s="205">
        <v>-59671</v>
      </c>
      <c r="AJ32" s="205">
        <v>-41331</v>
      </c>
      <c r="AL32" s="205">
        <v>-27386</v>
      </c>
      <c r="AN32" s="205">
        <v>-22921</v>
      </c>
      <c r="AP32" s="205">
        <v>-995</v>
      </c>
      <c r="AR32" s="205">
        <v>-724</v>
      </c>
      <c r="AT32" s="205">
        <v>-10124</v>
      </c>
      <c r="AV32" s="205">
        <f t="shared" ref="AV32:AV44" si="7">SUM(D32:AT32)</f>
        <v>-2722266</v>
      </c>
    </row>
    <row r="33" spans="1:48" ht="21">
      <c r="A33" s="569"/>
      <c r="B33" s="223" t="s">
        <v>183</v>
      </c>
      <c r="C33" s="156"/>
      <c r="D33" s="222">
        <v>-876559</v>
      </c>
      <c r="E33" s="195"/>
      <c r="F33" s="224">
        <v>-238635</v>
      </c>
      <c r="G33" s="195"/>
      <c r="H33" s="224">
        <v>-2618</v>
      </c>
      <c r="I33" s="195"/>
      <c r="J33" s="224">
        <v>-121063</v>
      </c>
      <c r="K33" s="202"/>
      <c r="L33" s="224">
        <v>-93776</v>
      </c>
      <c r="M33" s="202"/>
      <c r="N33" s="224">
        <v>0</v>
      </c>
      <c r="O33" s="202"/>
      <c r="P33" s="224">
        <v>-135839</v>
      </c>
      <c r="Q33" s="202"/>
      <c r="R33" s="224">
        <v>-143833</v>
      </c>
      <c r="S33" s="202"/>
      <c r="T33" s="224">
        <v>-29926</v>
      </c>
      <c r="U33" s="202"/>
      <c r="V33" s="224">
        <v>-153729</v>
      </c>
      <c r="W33" s="202"/>
      <c r="X33" s="224">
        <v>-24991</v>
      </c>
      <c r="Y33" s="202"/>
      <c r="Z33" s="224">
        <v>-25962</v>
      </c>
      <c r="AA33" s="202"/>
      <c r="AB33" s="224">
        <v>-110387</v>
      </c>
      <c r="AC33" s="202"/>
      <c r="AD33" s="224">
        <v>-19026</v>
      </c>
      <c r="AE33" s="202"/>
      <c r="AF33" s="224">
        <v>-55862</v>
      </c>
      <c r="AG33" s="202"/>
      <c r="AH33" s="224">
        <v>-44497</v>
      </c>
      <c r="AJ33" s="224">
        <v>-5307</v>
      </c>
      <c r="AL33" s="224">
        <v>-38033</v>
      </c>
      <c r="AN33" s="224">
        <v>-15377</v>
      </c>
      <c r="AP33" s="224">
        <v>0</v>
      </c>
      <c r="AR33" s="224">
        <v>-1042</v>
      </c>
      <c r="AT33" s="224">
        <v>-6672</v>
      </c>
      <c r="AV33" s="224">
        <f t="shared" si="7"/>
        <v>-2143134</v>
      </c>
    </row>
    <row r="34" spans="1:48" ht="21">
      <c r="A34" s="569"/>
      <c r="B34" s="211" t="s">
        <v>111</v>
      </c>
      <c r="C34" s="156"/>
      <c r="D34" s="222">
        <v>-4354155</v>
      </c>
      <c r="E34" s="195"/>
      <c r="F34" s="206">
        <v>-649311</v>
      </c>
      <c r="G34" s="195"/>
      <c r="H34" s="206">
        <v>-11359</v>
      </c>
      <c r="I34" s="195"/>
      <c r="J34" s="206">
        <v>-542079</v>
      </c>
      <c r="K34" s="202"/>
      <c r="L34" s="206">
        <v>-446191</v>
      </c>
      <c r="M34" s="202"/>
      <c r="N34" s="206">
        <v>-203951</v>
      </c>
      <c r="O34" s="202"/>
      <c r="P34" s="206">
        <v>-779186</v>
      </c>
      <c r="Q34" s="202"/>
      <c r="R34" s="206">
        <v>-659439</v>
      </c>
      <c r="S34" s="202"/>
      <c r="T34" s="206">
        <v>-223054</v>
      </c>
      <c r="U34" s="202"/>
      <c r="V34" s="206">
        <v>-10324</v>
      </c>
      <c r="W34" s="202"/>
      <c r="X34" s="206">
        <v>-114599</v>
      </c>
      <c r="Y34" s="202"/>
      <c r="Z34" s="206">
        <v>-163064</v>
      </c>
      <c r="AA34" s="202"/>
      <c r="AB34" s="206">
        <v>-30213</v>
      </c>
      <c r="AC34" s="202"/>
      <c r="AD34" s="206">
        <v>-103682</v>
      </c>
      <c r="AE34" s="202"/>
      <c r="AF34" s="206">
        <v>-286987</v>
      </c>
      <c r="AG34" s="202"/>
      <c r="AH34" s="206">
        <v>-136813</v>
      </c>
      <c r="AJ34" s="206">
        <v>-17174</v>
      </c>
      <c r="AL34" s="206">
        <v>-165278</v>
      </c>
      <c r="AN34" s="206">
        <v>-81124</v>
      </c>
      <c r="AP34" s="206">
        <v>-5374</v>
      </c>
      <c r="AR34" s="206">
        <v>-912</v>
      </c>
      <c r="AT34" s="206">
        <v>-28832</v>
      </c>
      <c r="AV34" s="206">
        <f t="shared" si="7"/>
        <v>-9013101</v>
      </c>
    </row>
    <row r="35" spans="1:48" ht="21">
      <c r="A35" s="569"/>
      <c r="B35" s="212" t="s">
        <v>184</v>
      </c>
      <c r="C35" s="156"/>
      <c r="D35" s="213">
        <f>SUM(D32:D34)</f>
        <v>-6180436</v>
      </c>
      <c r="E35" s="195"/>
      <c r="F35" s="213">
        <f>SUM(F32:F34)</f>
        <v>-1237580</v>
      </c>
      <c r="G35" s="195"/>
      <c r="H35" s="213">
        <f>SUM(H32:H34)</f>
        <v>-14001</v>
      </c>
      <c r="I35" s="195"/>
      <c r="J35" s="213">
        <f>SUM(J32:J34)</f>
        <v>-663142</v>
      </c>
      <c r="K35" s="195"/>
      <c r="L35" s="213">
        <f>SUM(L32:L34)</f>
        <v>-509210</v>
      </c>
      <c r="M35" s="195"/>
      <c r="N35" s="213">
        <f>SUM(N32:N34)</f>
        <v>-203951</v>
      </c>
      <c r="O35" s="195"/>
      <c r="P35" s="213">
        <f>SUM(P32:P34)</f>
        <v>-1026881</v>
      </c>
      <c r="Q35" s="195"/>
      <c r="R35" s="213">
        <f>SUM(R32:R34)</f>
        <v>-917372</v>
      </c>
      <c r="S35" s="195"/>
      <c r="T35" s="213">
        <f>SUM(T32:T34)</f>
        <v>-266766</v>
      </c>
      <c r="U35" s="195"/>
      <c r="V35" s="213">
        <f>SUM(V32:V34)</f>
        <v>-1014075</v>
      </c>
      <c r="W35" s="195"/>
      <c r="X35" s="213">
        <f>SUM(X32:X34)</f>
        <v>-219245</v>
      </c>
      <c r="Y35" s="195"/>
      <c r="Z35" s="213">
        <f>SUM(Z32:Z34)</f>
        <v>-201706</v>
      </c>
      <c r="AA35" s="195"/>
      <c r="AB35" s="213">
        <f>SUM(AB32:AB34)</f>
        <v>-164732</v>
      </c>
      <c r="AC35" s="195"/>
      <c r="AD35" s="213">
        <f>SUM(AD32:AD34)</f>
        <v>-162663</v>
      </c>
      <c r="AE35" s="195"/>
      <c r="AF35" s="213">
        <f>SUM(AF32:AF34)</f>
        <v>-387154</v>
      </c>
      <c r="AG35" s="195"/>
      <c r="AH35" s="213">
        <f>SUM(AH32:AH34)</f>
        <v>-240981</v>
      </c>
      <c r="AI35" s="195"/>
      <c r="AJ35" s="213">
        <f>SUM(AJ32:AJ34)</f>
        <v>-63812</v>
      </c>
      <c r="AK35" s="195"/>
      <c r="AL35" s="213">
        <f>SUM(AL32:AL34)</f>
        <v>-230697</v>
      </c>
      <c r="AM35" s="195"/>
      <c r="AN35" s="213">
        <f t="shared" ref="AN35:AT35" si="8">SUM(AN32:AN34)</f>
        <v>-119422</v>
      </c>
      <c r="AO35" s="195"/>
      <c r="AP35" s="213">
        <f t="shared" si="8"/>
        <v>-6369</v>
      </c>
      <c r="AQ35" s="195"/>
      <c r="AR35" s="213">
        <f t="shared" si="8"/>
        <v>-2678</v>
      </c>
      <c r="AS35" s="195"/>
      <c r="AT35" s="213">
        <f t="shared" si="8"/>
        <v>-45628</v>
      </c>
      <c r="AU35" s="195"/>
      <c r="AV35" s="213">
        <f t="shared" si="7"/>
        <v>-13878501</v>
      </c>
    </row>
    <row r="36" spans="1:48" ht="21">
      <c r="A36" s="569"/>
      <c r="B36" s="200" t="s">
        <v>109</v>
      </c>
      <c r="C36" s="156"/>
      <c r="D36" s="201">
        <v>2246369</v>
      </c>
      <c r="E36" s="195"/>
      <c r="F36" s="194">
        <v>679605</v>
      </c>
      <c r="G36" s="195"/>
      <c r="H36" s="194">
        <v>0</v>
      </c>
      <c r="I36" s="195"/>
      <c r="J36" s="194">
        <v>339890</v>
      </c>
      <c r="K36" s="202"/>
      <c r="L36" s="194">
        <v>153249</v>
      </c>
      <c r="M36" s="202"/>
      <c r="N36" s="194">
        <v>124341</v>
      </c>
      <c r="O36" s="202"/>
      <c r="P36" s="194">
        <v>150447</v>
      </c>
      <c r="Q36" s="202"/>
      <c r="R36" s="194">
        <v>330841</v>
      </c>
      <c r="S36" s="202"/>
      <c r="T36" s="194">
        <v>43201</v>
      </c>
      <c r="U36" s="202"/>
      <c r="V36" s="194">
        <v>328162</v>
      </c>
      <c r="W36" s="202"/>
      <c r="X36" s="194">
        <v>13569</v>
      </c>
      <c r="Y36" s="202"/>
      <c r="Z36" s="194">
        <v>203026</v>
      </c>
      <c r="AA36" s="202"/>
      <c r="AB36" s="194">
        <v>89218</v>
      </c>
      <c r="AC36" s="202"/>
      <c r="AD36" s="194">
        <v>51020</v>
      </c>
      <c r="AE36" s="202"/>
      <c r="AF36" s="194">
        <v>232118</v>
      </c>
      <c r="AG36" s="202"/>
      <c r="AH36" s="194">
        <v>169325</v>
      </c>
      <c r="AJ36" s="194">
        <v>21763</v>
      </c>
      <c r="AL36" s="194">
        <v>39222</v>
      </c>
      <c r="AN36" s="194">
        <v>23741</v>
      </c>
      <c r="AP36" s="194">
        <v>1032</v>
      </c>
      <c r="AR36" s="194">
        <v>2162</v>
      </c>
      <c r="AT36" s="194">
        <v>17119</v>
      </c>
      <c r="AV36" s="194">
        <f t="shared" si="7"/>
        <v>5259420</v>
      </c>
    </row>
    <row r="37" spans="1:48" ht="21">
      <c r="A37" s="569"/>
      <c r="B37" s="208" t="s">
        <v>108</v>
      </c>
      <c r="C37" s="156"/>
      <c r="D37" s="225">
        <f>SUM(D36,D35,D30,D26,D17)</f>
        <v>2989168</v>
      </c>
      <c r="E37" s="195"/>
      <c r="F37" s="225">
        <f>SUM(F36,F35,F30,F26,F17)</f>
        <v>864610</v>
      </c>
      <c r="G37" s="195"/>
      <c r="H37" s="225">
        <f>SUM(H36,H35,H30,H26,H17)</f>
        <v>66151</v>
      </c>
      <c r="I37" s="195"/>
      <c r="J37" s="225">
        <f>SUM(J36,J35,J30,J26,J17)</f>
        <v>751369</v>
      </c>
      <c r="K37" s="195"/>
      <c r="L37" s="225">
        <f>SUM(L36,L35,L30,L26,L17)</f>
        <v>608767</v>
      </c>
      <c r="M37" s="195"/>
      <c r="N37" s="225">
        <f>SUM(N36,N35,N30,N26,N17)</f>
        <v>218326</v>
      </c>
      <c r="O37" s="195"/>
      <c r="P37" s="225">
        <f>SUM(P36,P35,P30,P26,P17)</f>
        <v>390132</v>
      </c>
      <c r="Q37" s="195"/>
      <c r="R37" s="225">
        <f>SUM(R36,R35,R30,R26,R17)</f>
        <v>113849</v>
      </c>
      <c r="S37" s="195"/>
      <c r="T37" s="225">
        <f>SUM(T36,T35,T30,T26,T17)</f>
        <v>40805</v>
      </c>
      <c r="U37" s="195"/>
      <c r="V37" s="225">
        <f>SUM(V36,V35,V30,V26,V17)</f>
        <v>371798</v>
      </c>
      <c r="W37" s="195"/>
      <c r="X37" s="225">
        <f>SUM(X36,X35,X30,X26,X17)</f>
        <v>413291</v>
      </c>
      <c r="Y37" s="195"/>
      <c r="Z37" s="225">
        <f>SUM(Z36,Z35,Z30,Z26,Z17)</f>
        <v>303923</v>
      </c>
      <c r="AA37" s="195"/>
      <c r="AB37" s="225">
        <f>SUM(AB36,AB35,AB30,AB26,AB17)</f>
        <v>277457</v>
      </c>
      <c r="AC37" s="195"/>
      <c r="AD37" s="225">
        <f>SUM(AD36,AD35,AD30,AD26,AD17)</f>
        <v>44151</v>
      </c>
      <c r="AE37" s="195"/>
      <c r="AF37" s="225">
        <f>SUM(AF36,AF35,AF30,AF26,AF17)</f>
        <v>114460</v>
      </c>
      <c r="AG37" s="195"/>
      <c r="AH37" s="225">
        <f>SUM(AH36,AH35,AH30,AH26,AH17)</f>
        <v>306027</v>
      </c>
      <c r="AI37" s="195"/>
      <c r="AJ37" s="225">
        <f>SUM(AJ36,AJ35,AJ30,AJ26,AJ17)</f>
        <v>162016</v>
      </c>
      <c r="AK37" s="195"/>
      <c r="AL37" s="225">
        <f>SUM(AL36,AL35,AL30,AL26,AL17)</f>
        <v>311723</v>
      </c>
      <c r="AM37" s="195"/>
      <c r="AN37" s="225">
        <f t="shared" ref="AN37:AT37" si="9">SUM(AN36,AN35,AN30,AN26,AN17)</f>
        <v>94357</v>
      </c>
      <c r="AO37" s="195"/>
      <c r="AP37" s="225">
        <f t="shared" si="9"/>
        <v>18912</v>
      </c>
      <c r="AQ37" s="195"/>
      <c r="AR37" s="225">
        <f t="shared" si="9"/>
        <v>12463</v>
      </c>
      <c r="AS37" s="195"/>
      <c r="AT37" s="225">
        <f t="shared" si="9"/>
        <v>46740</v>
      </c>
      <c r="AU37" s="195"/>
      <c r="AV37" s="225">
        <f t="shared" si="7"/>
        <v>8520495</v>
      </c>
    </row>
    <row r="38" spans="1:48" ht="21">
      <c r="A38" s="569"/>
      <c r="B38" s="200" t="s">
        <v>107</v>
      </c>
      <c r="C38" s="156"/>
      <c r="D38" s="201">
        <v>590496</v>
      </c>
      <c r="E38" s="195"/>
      <c r="F38" s="194">
        <v>99479</v>
      </c>
      <c r="G38" s="195"/>
      <c r="H38" s="194">
        <v>88680</v>
      </c>
      <c r="I38" s="195"/>
      <c r="J38" s="194">
        <v>126310</v>
      </c>
      <c r="K38" s="202"/>
      <c r="L38" s="194">
        <v>15156</v>
      </c>
      <c r="M38" s="202"/>
      <c r="N38" s="194">
        <v>13789</v>
      </c>
      <c r="O38" s="202"/>
      <c r="P38" s="194">
        <v>115814</v>
      </c>
      <c r="Q38" s="202"/>
      <c r="R38" s="194">
        <v>178145</v>
      </c>
      <c r="S38" s="202"/>
      <c r="T38" s="194">
        <v>49286</v>
      </c>
      <c r="U38" s="202"/>
      <c r="V38" s="194">
        <v>70009</v>
      </c>
      <c r="W38" s="202"/>
      <c r="X38" s="194">
        <v>6547</v>
      </c>
      <c r="Y38" s="202"/>
      <c r="Z38" s="194">
        <v>221819</v>
      </c>
      <c r="AA38" s="202"/>
      <c r="AB38" s="194">
        <v>82355</v>
      </c>
      <c r="AC38" s="202"/>
      <c r="AD38" s="194">
        <v>165911</v>
      </c>
      <c r="AE38" s="202"/>
      <c r="AF38" s="194">
        <v>121664</v>
      </c>
      <c r="AG38" s="202"/>
      <c r="AH38" s="194">
        <v>194345</v>
      </c>
      <c r="AJ38" s="194">
        <v>116792</v>
      </c>
      <c r="AL38" s="194">
        <v>59217</v>
      </c>
      <c r="AN38" s="194">
        <v>51462</v>
      </c>
      <c r="AP38" s="194">
        <v>932</v>
      </c>
      <c r="AR38" s="194">
        <v>3062</v>
      </c>
      <c r="AT38" s="194">
        <v>154068</v>
      </c>
      <c r="AV38" s="194">
        <f t="shared" si="7"/>
        <v>2525338</v>
      </c>
    </row>
    <row r="39" spans="1:48" ht="21">
      <c r="A39" s="569"/>
      <c r="B39" s="200" t="s">
        <v>106</v>
      </c>
      <c r="C39" s="156"/>
      <c r="D39" s="194">
        <v>-1828579</v>
      </c>
      <c r="E39" s="195"/>
      <c r="F39" s="194">
        <v>-894469</v>
      </c>
      <c r="G39" s="195"/>
      <c r="H39" s="194">
        <v>-90879</v>
      </c>
      <c r="I39" s="195"/>
      <c r="J39" s="194">
        <v>-603797</v>
      </c>
      <c r="K39" s="202"/>
      <c r="L39" s="194">
        <v>-608188</v>
      </c>
      <c r="M39" s="202"/>
      <c r="N39" s="194">
        <v>-178798</v>
      </c>
      <c r="O39" s="202"/>
      <c r="P39" s="194">
        <v>-77175</v>
      </c>
      <c r="Q39" s="202"/>
      <c r="R39" s="194">
        <v>-374744</v>
      </c>
      <c r="S39" s="202"/>
      <c r="T39" s="194">
        <v>-71881</v>
      </c>
      <c r="U39" s="202"/>
      <c r="V39" s="194">
        <v>-253518</v>
      </c>
      <c r="W39" s="202"/>
      <c r="X39" s="194">
        <v>-180824</v>
      </c>
      <c r="Y39" s="202"/>
      <c r="Z39" s="194">
        <v>-173300</v>
      </c>
      <c r="AA39" s="202"/>
      <c r="AB39" s="194">
        <v>-309613</v>
      </c>
      <c r="AC39" s="202"/>
      <c r="AD39" s="194">
        <v>-146599</v>
      </c>
      <c r="AE39" s="202"/>
      <c r="AF39" s="194">
        <v>-145807</v>
      </c>
      <c r="AG39" s="202"/>
      <c r="AH39" s="194">
        <v>-226433</v>
      </c>
      <c r="AJ39" s="194">
        <v>-113617</v>
      </c>
      <c r="AL39" s="194">
        <v>-88284</v>
      </c>
      <c r="AN39" s="194">
        <v>-85947</v>
      </c>
      <c r="AP39" s="194">
        <v>-10836</v>
      </c>
      <c r="AR39" s="194">
        <v>-11195</v>
      </c>
      <c r="AT39" s="194">
        <v>-22453</v>
      </c>
      <c r="AV39" s="194">
        <f t="shared" si="7"/>
        <v>-6496936</v>
      </c>
    </row>
    <row r="40" spans="1:48" ht="21">
      <c r="A40" s="569"/>
      <c r="B40" s="226" t="s">
        <v>105</v>
      </c>
      <c r="C40" s="156"/>
      <c r="D40" s="227">
        <f>SUM(D37:D39)</f>
        <v>1751085</v>
      </c>
      <c r="E40" s="195"/>
      <c r="F40" s="227">
        <f>SUM(F37:F39)</f>
        <v>69620</v>
      </c>
      <c r="G40" s="195"/>
      <c r="H40" s="227">
        <f>SUM(H37:H39)</f>
        <v>63952</v>
      </c>
      <c r="I40" s="195"/>
      <c r="J40" s="227">
        <f>SUM(J37:J39)</f>
        <v>273882</v>
      </c>
      <c r="K40" s="195"/>
      <c r="L40" s="227">
        <f>SUM(L37:L39)</f>
        <v>15735</v>
      </c>
      <c r="M40" s="195"/>
      <c r="N40" s="227">
        <f>SUM(N37:N39)</f>
        <v>53317</v>
      </c>
      <c r="O40" s="195"/>
      <c r="P40" s="227">
        <f>SUM(P37:P39)</f>
        <v>428771</v>
      </c>
      <c r="Q40" s="195"/>
      <c r="R40" s="227">
        <f>SUM(R37:R39)</f>
        <v>-82750</v>
      </c>
      <c r="S40" s="195"/>
      <c r="T40" s="227">
        <f>SUM(T37:T39)</f>
        <v>18210</v>
      </c>
      <c r="U40" s="195"/>
      <c r="V40" s="227">
        <f>SUM(V37:V39)</f>
        <v>188289</v>
      </c>
      <c r="W40" s="195"/>
      <c r="X40" s="227">
        <f>SUM(X37:X39)</f>
        <v>239014</v>
      </c>
      <c r="Y40" s="195"/>
      <c r="Z40" s="227">
        <f>SUM(Z37:Z39)</f>
        <v>352442</v>
      </c>
      <c r="AA40" s="195"/>
      <c r="AB40" s="227">
        <f>SUM(AB37:AB39)</f>
        <v>50199</v>
      </c>
      <c r="AC40" s="195"/>
      <c r="AD40" s="227">
        <f>SUM(AD37:AD39)</f>
        <v>63463</v>
      </c>
      <c r="AE40" s="195"/>
      <c r="AF40" s="227">
        <f>SUM(AF37:AF39)</f>
        <v>90317</v>
      </c>
      <c r="AG40" s="195"/>
      <c r="AH40" s="227">
        <f>SUM(AH37:AH39)</f>
        <v>273939</v>
      </c>
      <c r="AI40" s="195"/>
      <c r="AJ40" s="227">
        <f>SUM(AJ37:AJ39)</f>
        <v>165191</v>
      </c>
      <c r="AK40" s="195"/>
      <c r="AL40" s="227">
        <f>SUM(AL37:AL39)</f>
        <v>282656</v>
      </c>
      <c r="AM40" s="195"/>
      <c r="AN40" s="227">
        <f t="shared" ref="AN40:AT40" si="10">SUM(AN37:AN39)</f>
        <v>59872</v>
      </c>
      <c r="AO40" s="195"/>
      <c r="AP40" s="227">
        <f t="shared" si="10"/>
        <v>9008</v>
      </c>
      <c r="AQ40" s="195"/>
      <c r="AR40" s="227">
        <f t="shared" si="10"/>
        <v>4330</v>
      </c>
      <c r="AS40" s="195"/>
      <c r="AT40" s="227">
        <f t="shared" si="10"/>
        <v>178355</v>
      </c>
      <c r="AU40" s="195"/>
      <c r="AV40" s="227">
        <f t="shared" si="7"/>
        <v>4548897</v>
      </c>
    </row>
    <row r="41" spans="1:48" ht="21">
      <c r="A41" s="569"/>
      <c r="B41" s="211" t="s">
        <v>185</v>
      </c>
      <c r="C41" s="156"/>
      <c r="D41" s="228">
        <v>-46145</v>
      </c>
      <c r="E41" s="195"/>
      <c r="F41" s="229">
        <v>81437</v>
      </c>
      <c r="G41" s="195"/>
      <c r="H41" s="229">
        <v>3868</v>
      </c>
      <c r="I41" s="195"/>
      <c r="J41" s="229">
        <v>14942</v>
      </c>
      <c r="K41" s="202"/>
      <c r="L41" s="229">
        <v>27654</v>
      </c>
      <c r="M41" s="202"/>
      <c r="N41" s="229">
        <v>-15157</v>
      </c>
      <c r="O41" s="202"/>
      <c r="P41" s="229">
        <v>206260</v>
      </c>
      <c r="Q41" s="202"/>
      <c r="R41" s="229">
        <v>118915</v>
      </c>
      <c r="S41" s="202"/>
      <c r="T41" s="229">
        <v>0</v>
      </c>
      <c r="U41" s="202"/>
      <c r="V41" s="229">
        <v>25171</v>
      </c>
      <c r="W41" s="202"/>
      <c r="X41" s="229">
        <v>-4547</v>
      </c>
      <c r="Y41" s="202"/>
      <c r="Z41" s="229">
        <v>24257</v>
      </c>
      <c r="AA41" s="202"/>
      <c r="AB41" s="229">
        <v>-44856</v>
      </c>
      <c r="AC41" s="202"/>
      <c r="AD41" s="229">
        <v>54496</v>
      </c>
      <c r="AE41" s="202"/>
      <c r="AF41" s="229">
        <v>423</v>
      </c>
      <c r="AG41" s="202"/>
      <c r="AH41" s="229">
        <v>-2707</v>
      </c>
      <c r="AJ41" s="229">
        <v>-19402</v>
      </c>
      <c r="AL41" s="229">
        <v>1886</v>
      </c>
      <c r="AN41" s="229">
        <v>7114</v>
      </c>
      <c r="AP41" s="229">
        <v>9699</v>
      </c>
      <c r="AR41" s="229">
        <v>0</v>
      </c>
      <c r="AT41" s="229">
        <v>2147</v>
      </c>
      <c r="AV41" s="229">
        <f t="shared" si="7"/>
        <v>445455</v>
      </c>
    </row>
    <row r="42" spans="1:48" ht="21">
      <c r="A42" s="569"/>
      <c r="B42" s="230" t="s">
        <v>103</v>
      </c>
      <c r="C42" s="156"/>
      <c r="D42" s="227">
        <f>D40+D41</f>
        <v>1704940</v>
      </c>
      <c r="E42" s="195"/>
      <c r="F42" s="221">
        <f>SUM(F40:F41)</f>
        <v>151057</v>
      </c>
      <c r="G42" s="195"/>
      <c r="H42" s="221">
        <f>SUM(H40:H41)</f>
        <v>67820</v>
      </c>
      <c r="I42" s="195"/>
      <c r="J42" s="221">
        <f>SUM(J40:J41)</f>
        <v>288824</v>
      </c>
      <c r="K42" s="202"/>
      <c r="L42" s="221">
        <f>SUM(L40:L41)</f>
        <v>43389</v>
      </c>
      <c r="M42" s="202"/>
      <c r="N42" s="221">
        <f>SUM(N40:N41)</f>
        <v>38160</v>
      </c>
      <c r="O42" s="202"/>
      <c r="P42" s="221">
        <f>SUM(P40:P41)</f>
        <v>635031</v>
      </c>
      <c r="Q42" s="202"/>
      <c r="R42" s="221">
        <f>SUM(R40:R41)</f>
        <v>36165</v>
      </c>
      <c r="S42" s="202"/>
      <c r="T42" s="221">
        <f>SUM(T40:T41)</f>
        <v>18210</v>
      </c>
      <c r="U42" s="202"/>
      <c r="V42" s="221">
        <f>SUM(V40:V41)</f>
        <v>213460</v>
      </c>
      <c r="W42" s="202"/>
      <c r="X42" s="221">
        <f>SUM(X40:X41)</f>
        <v>234467</v>
      </c>
      <c r="Y42" s="202"/>
      <c r="Z42" s="221">
        <f>SUM(Z40:Z41)</f>
        <v>376699</v>
      </c>
      <c r="AA42" s="202"/>
      <c r="AB42" s="221">
        <f>SUM(AB40:AB41)</f>
        <v>5343</v>
      </c>
      <c r="AC42" s="202"/>
      <c r="AD42" s="221">
        <f>SUM(AD40:AD41)</f>
        <v>117959</v>
      </c>
      <c r="AE42" s="202"/>
      <c r="AF42" s="221">
        <f>SUM(AF40:AF41)</f>
        <v>90740</v>
      </c>
      <c r="AG42" s="202"/>
      <c r="AH42" s="221">
        <f>SUM(AH40:AH41)</f>
        <v>271232</v>
      </c>
      <c r="AJ42" s="221">
        <f>SUM(AJ40:AJ41)</f>
        <v>145789</v>
      </c>
      <c r="AL42" s="221">
        <f>SUM(AL40:AL41)</f>
        <v>284542</v>
      </c>
      <c r="AN42" s="221">
        <f>SUM(AN40:AN41)</f>
        <v>66986</v>
      </c>
      <c r="AP42" s="221">
        <f>SUM(AP40:AP41)</f>
        <v>18707</v>
      </c>
      <c r="AR42" s="221">
        <f>SUM(AR40:AR41)</f>
        <v>4330</v>
      </c>
      <c r="AT42" s="221">
        <f>SUM(AT40:AT41)</f>
        <v>180502</v>
      </c>
      <c r="AV42" s="221">
        <f t="shared" si="7"/>
        <v>4994352</v>
      </c>
    </row>
    <row r="43" spans="1:48" ht="21">
      <c r="A43" s="569"/>
      <c r="B43" s="231" t="s">
        <v>102</v>
      </c>
      <c r="C43" s="156"/>
      <c r="D43" s="232">
        <v>0</v>
      </c>
      <c r="E43" s="195"/>
      <c r="F43" s="233"/>
      <c r="G43" s="195"/>
      <c r="H43" s="233">
        <v>0</v>
      </c>
      <c r="I43" s="195"/>
      <c r="J43" s="233">
        <v>0</v>
      </c>
      <c r="K43" s="202"/>
      <c r="L43" s="233">
        <v>0</v>
      </c>
      <c r="M43" s="202"/>
      <c r="N43" s="233">
        <v>0</v>
      </c>
      <c r="O43" s="202"/>
      <c r="P43" s="233">
        <v>-82973</v>
      </c>
      <c r="Q43" s="202"/>
      <c r="R43" s="233">
        <v>-3603</v>
      </c>
      <c r="S43" s="202"/>
      <c r="T43" s="233">
        <v>0</v>
      </c>
      <c r="U43" s="202"/>
      <c r="V43" s="233">
        <v>0</v>
      </c>
      <c r="W43" s="202"/>
      <c r="X43" s="233">
        <v>-54193</v>
      </c>
      <c r="Y43" s="202"/>
      <c r="Z43" s="233">
        <v>0</v>
      </c>
      <c r="AA43" s="202"/>
      <c r="AB43" s="233">
        <v>0</v>
      </c>
      <c r="AC43" s="202"/>
      <c r="AD43" s="233">
        <v>0</v>
      </c>
      <c r="AE43" s="202"/>
      <c r="AF43" s="233">
        <v>0</v>
      </c>
      <c r="AG43" s="202"/>
      <c r="AH43" s="233">
        <v>0</v>
      </c>
      <c r="AJ43" s="233">
        <v>0</v>
      </c>
      <c r="AL43" s="233">
        <v>-44933</v>
      </c>
      <c r="AN43" s="233">
        <v>0</v>
      </c>
      <c r="AP43" s="233">
        <v>0</v>
      </c>
      <c r="AR43" s="233">
        <v>0</v>
      </c>
      <c r="AT43" s="233">
        <v>-1901</v>
      </c>
      <c r="AV43" s="233">
        <f t="shared" si="7"/>
        <v>-187603</v>
      </c>
    </row>
    <row r="44" spans="1:48" ht="21.75" thickBot="1">
      <c r="A44" s="569"/>
      <c r="B44" s="234" t="s">
        <v>186</v>
      </c>
      <c r="C44" s="156"/>
      <c r="D44" s="235">
        <f>SUM(D42:D43)</f>
        <v>1704940</v>
      </c>
      <c r="E44" s="195"/>
      <c r="F44" s="236">
        <f>SUM(F42:F43)</f>
        <v>151057</v>
      </c>
      <c r="G44" s="195"/>
      <c r="H44" s="236">
        <f>SUM(H42:H43)</f>
        <v>67820</v>
      </c>
      <c r="I44" s="195"/>
      <c r="J44" s="236">
        <f>SUM(J42:J43)</f>
        <v>288824</v>
      </c>
      <c r="K44" s="195"/>
      <c r="L44" s="236">
        <f>SUM(L42:L43)</f>
        <v>43389</v>
      </c>
      <c r="M44" s="195"/>
      <c r="N44" s="236">
        <f>SUM(N42:N43)</f>
        <v>38160</v>
      </c>
      <c r="O44" s="195"/>
      <c r="P44" s="236">
        <f>SUM(P42:P43)</f>
        <v>552058</v>
      </c>
      <c r="Q44" s="195"/>
      <c r="R44" s="236">
        <f>SUM(R42:R43)</f>
        <v>32562</v>
      </c>
      <c r="S44" s="195"/>
      <c r="T44" s="236">
        <f>SUM(T42:T43)</f>
        <v>18210</v>
      </c>
      <c r="U44" s="195"/>
      <c r="V44" s="236">
        <f>SUM(V42:V43)</f>
        <v>213460</v>
      </c>
      <c r="W44" s="195"/>
      <c r="X44" s="236">
        <f>SUM(X42:X43)</f>
        <v>180274</v>
      </c>
      <c r="Y44" s="195"/>
      <c r="Z44" s="236">
        <f>SUM(Z42:Z43)</f>
        <v>376699</v>
      </c>
      <c r="AA44" s="195"/>
      <c r="AB44" s="236">
        <f>SUM(AB42:AB43)</f>
        <v>5343</v>
      </c>
      <c r="AC44" s="195"/>
      <c r="AD44" s="236">
        <f>SUM(AD42:AD43)</f>
        <v>117959</v>
      </c>
      <c r="AE44" s="195"/>
      <c r="AF44" s="236">
        <f>SUM(AF42:AF43)</f>
        <v>90740</v>
      </c>
      <c r="AG44" s="195"/>
      <c r="AH44" s="236">
        <f>SUM(AH42:AH43)</f>
        <v>271232</v>
      </c>
      <c r="AI44" s="195"/>
      <c r="AJ44" s="236">
        <f>SUM(AJ42:AJ43)</f>
        <v>145789</v>
      </c>
      <c r="AK44" s="195"/>
      <c r="AL44" s="236">
        <f>SUM(AL42:AL43)</f>
        <v>239609</v>
      </c>
      <c r="AM44" s="195"/>
      <c r="AN44" s="236">
        <f t="shared" ref="AN44:AT44" si="11">SUM(AN42:AN43)</f>
        <v>66986</v>
      </c>
      <c r="AO44" s="195"/>
      <c r="AP44" s="236">
        <f t="shared" si="11"/>
        <v>18707</v>
      </c>
      <c r="AQ44" s="195"/>
      <c r="AR44" s="236">
        <f t="shared" si="11"/>
        <v>4330</v>
      </c>
      <c r="AS44" s="195"/>
      <c r="AT44" s="236">
        <f t="shared" si="11"/>
        <v>178601</v>
      </c>
      <c r="AU44" s="195"/>
      <c r="AV44" s="236">
        <f t="shared" si="7"/>
        <v>4806749</v>
      </c>
    </row>
    <row r="45" spans="1:48" ht="22.5" thickTop="1" thickBot="1">
      <c r="A45" s="569"/>
      <c r="B45" s="237"/>
      <c r="C45" s="156"/>
      <c r="D45" s="238"/>
      <c r="E45" s="195"/>
      <c r="F45" s="202"/>
      <c r="G45" s="195"/>
      <c r="H45" s="202"/>
      <c r="I45" s="195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J45" s="202"/>
      <c r="AL45" s="202"/>
      <c r="AN45" s="202"/>
      <c r="AP45" s="202"/>
      <c r="AR45" s="202"/>
      <c r="AT45" s="202"/>
      <c r="AV45" s="202">
        <f>SUM(D45:AN45)</f>
        <v>0</v>
      </c>
    </row>
    <row r="46" spans="1:48" ht="21.75" thickBot="1">
      <c r="A46" s="570"/>
      <c r="B46" s="184" t="s">
        <v>187</v>
      </c>
      <c r="C46" s="156"/>
      <c r="D46" s="239"/>
      <c r="E46" s="238"/>
      <c r="F46" s="239"/>
      <c r="G46" s="238"/>
      <c r="H46" s="239"/>
      <c r="I46" s="238"/>
      <c r="J46" s="239"/>
      <c r="K46" s="202"/>
      <c r="L46" s="239"/>
      <c r="M46" s="202"/>
      <c r="N46" s="239"/>
      <c r="O46" s="202"/>
      <c r="P46" s="239"/>
      <c r="Q46" s="202"/>
      <c r="R46" s="239"/>
      <c r="S46" s="202"/>
      <c r="T46" s="239"/>
      <c r="U46" s="202"/>
      <c r="V46" s="239"/>
      <c r="W46" s="202"/>
      <c r="X46" s="239"/>
      <c r="Y46" s="202"/>
      <c r="Z46" s="239"/>
      <c r="AA46" s="202"/>
      <c r="AB46" s="239"/>
      <c r="AC46" s="202"/>
      <c r="AD46" s="239"/>
      <c r="AE46" s="202"/>
      <c r="AF46" s="239"/>
      <c r="AG46" s="202"/>
      <c r="AH46" s="239"/>
      <c r="AJ46" s="239"/>
      <c r="AL46" s="239"/>
      <c r="AN46" s="239"/>
      <c r="AP46" s="239"/>
      <c r="AR46" s="239"/>
      <c r="AT46" s="239"/>
      <c r="AV46" s="239">
        <f>SUM(D46:AN46)</f>
        <v>0</v>
      </c>
    </row>
    <row r="47" spans="1:48" ht="21">
      <c r="B47" s="100"/>
      <c r="C47" s="156"/>
      <c r="D47" s="195"/>
      <c r="E47" s="195"/>
      <c r="F47" s="196"/>
      <c r="G47" s="195"/>
      <c r="H47" s="196"/>
      <c r="I47" s="195"/>
      <c r="J47" s="196"/>
      <c r="K47" s="202"/>
      <c r="L47" s="196"/>
      <c r="M47" s="202"/>
      <c r="N47" s="196"/>
      <c r="O47" s="202"/>
      <c r="P47" s="196"/>
      <c r="Q47" s="202"/>
      <c r="R47" s="196"/>
      <c r="S47" s="202"/>
      <c r="T47" s="196"/>
      <c r="U47" s="202"/>
      <c r="V47" s="196"/>
      <c r="W47" s="202"/>
      <c r="X47" s="196"/>
      <c r="Y47" s="202"/>
      <c r="Z47" s="196"/>
      <c r="AA47" s="202"/>
      <c r="AB47" s="196"/>
      <c r="AC47" s="202"/>
      <c r="AD47" s="196"/>
      <c r="AE47" s="202"/>
      <c r="AF47" s="196"/>
      <c r="AG47" s="202"/>
      <c r="AH47" s="196"/>
      <c r="AV47" s="191">
        <f t="shared" ref="AV47:AV53" si="12">SUM(D47:AN47)</f>
        <v>0</v>
      </c>
    </row>
    <row r="48" spans="1:48" ht="21">
      <c r="D48" s="238"/>
      <c r="E48" s="195"/>
      <c r="F48" s="202"/>
      <c r="G48" s="195"/>
      <c r="H48" s="202"/>
      <c r="I48" s="195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V48" s="191">
        <f t="shared" si="12"/>
        <v>0</v>
      </c>
    </row>
    <row r="49" spans="1:48" ht="22.5">
      <c r="B49" s="8"/>
      <c r="C49" s="8"/>
      <c r="AV49" s="191">
        <f t="shared" si="12"/>
        <v>0</v>
      </c>
    </row>
    <row r="50" spans="1:48" s="240" customFormat="1" ht="21">
      <c r="B50" s="241" t="s">
        <v>188</v>
      </c>
      <c r="C50" s="241"/>
      <c r="D50" s="242">
        <f>(D37)/D10</f>
        <v>5.0581717126214967E-2</v>
      </c>
      <c r="E50" s="243"/>
      <c r="F50" s="242">
        <f>(F37)/F10</f>
        <v>6.2991615421911812E-2</v>
      </c>
      <c r="G50" s="243"/>
      <c r="H50" s="242">
        <f>(H37)/H10</f>
        <v>0.19183099408421297</v>
      </c>
      <c r="I50" s="243"/>
      <c r="J50" s="242">
        <f>(J37)/J10</f>
        <v>9.838681651306351E-2</v>
      </c>
      <c r="K50" s="242"/>
      <c r="L50" s="242">
        <f>(L37)/L10</f>
        <v>7.9344300071176529E-2</v>
      </c>
      <c r="M50" s="242"/>
      <c r="N50" s="242">
        <f>(N37)/N10</f>
        <v>0.10041023942897614</v>
      </c>
      <c r="O50" s="242"/>
      <c r="P50" s="242">
        <f>(P37)/P10</f>
        <v>6.0892228191803684E-2</v>
      </c>
      <c r="Q50" s="242"/>
      <c r="R50" s="242">
        <f>(R37)/R10</f>
        <v>2.2114206652423581E-2</v>
      </c>
      <c r="S50" s="242"/>
      <c r="T50" s="242">
        <f>(T37)/T10</f>
        <v>2.7497131012491467E-2</v>
      </c>
      <c r="U50" s="242"/>
      <c r="V50" s="242">
        <f>(V37)/V10</f>
        <v>0.10407725832489578</v>
      </c>
      <c r="W50" s="242"/>
      <c r="X50" s="242">
        <f>(X37)/X10</f>
        <v>0.11460981068032512</v>
      </c>
      <c r="Y50" s="242"/>
      <c r="Z50" s="242">
        <f>(Z37)/Z10</f>
        <v>0.14516390960492995</v>
      </c>
      <c r="AA50" s="242"/>
      <c r="AB50" s="242">
        <f>(AB37)/AB10</f>
        <v>5.5529826640034904E-2</v>
      </c>
      <c r="AC50" s="242"/>
      <c r="AD50" s="242">
        <f>(AD37)/AD10</f>
        <v>2.5893738959488214E-2</v>
      </c>
      <c r="AE50" s="242"/>
      <c r="AF50" s="242">
        <f>(AF37)/AF10</f>
        <v>3.9499080160770847E-2</v>
      </c>
      <c r="AG50" s="242"/>
      <c r="AH50" s="242">
        <f>(AH37)/AH10</f>
        <v>9.0157045018865026E-2</v>
      </c>
      <c r="AI50" s="242"/>
      <c r="AJ50" s="242">
        <f>(AJ37)/AJ10</f>
        <v>0.22149733819303363</v>
      </c>
      <c r="AK50" s="242"/>
      <c r="AL50" s="242">
        <f>(AL37)/AL10</f>
        <v>0.1368082192983226</v>
      </c>
      <c r="AM50" s="242"/>
      <c r="AN50" s="242">
        <f>(AN37)/AN10</f>
        <v>5.3888508464180078E-2</v>
      </c>
      <c r="AO50" s="242"/>
      <c r="AP50" s="242">
        <f>(AP37)/AP10</f>
        <v>0.16774285106081033</v>
      </c>
      <c r="AQ50" s="242"/>
      <c r="AR50" s="242">
        <f>(AR37)/AR10</f>
        <v>0.21350990200781197</v>
      </c>
      <c r="AS50" s="242"/>
      <c r="AT50" s="242">
        <f>(AT37)/AT10</f>
        <v>0.13281767265018712</v>
      </c>
      <c r="AU50" s="242"/>
      <c r="AV50" s="242">
        <f t="shared" si="12"/>
        <v>1.6811739838471209</v>
      </c>
    </row>
    <row r="51" spans="1:48" s="240" customFormat="1" ht="22.5">
      <c r="B51" s="244" t="s">
        <v>189</v>
      </c>
      <c r="C51" s="244"/>
      <c r="D51" s="242">
        <f>(D39)/D10</f>
        <v>-3.0942612031487373E-2</v>
      </c>
      <c r="E51" s="243"/>
      <c r="F51" s="242">
        <f>(F39)/F10</f>
        <v>-6.5167008541217472E-2</v>
      </c>
      <c r="G51" s="243"/>
      <c r="H51" s="242">
        <f>(H39)/H10</f>
        <v>-0.26353961257394731</v>
      </c>
      <c r="I51" s="243"/>
      <c r="J51" s="242">
        <f>(J39)/J10</f>
        <v>-7.9063236106544463E-2</v>
      </c>
      <c r="K51" s="242"/>
      <c r="L51" s="242">
        <f>(L39)/L10</f>
        <v>-7.9268835484986394E-2</v>
      </c>
      <c r="M51" s="242"/>
      <c r="N51" s="242">
        <f>(N39)/N10</f>
        <v>-8.2230929845378373E-2</v>
      </c>
      <c r="O51" s="242"/>
      <c r="P51" s="242">
        <f>(P39)/P10</f>
        <v>-1.2045558197488156E-2</v>
      </c>
      <c r="Q51" s="242"/>
      <c r="R51" s="242">
        <f>(R39)/R10</f>
        <v>-7.2790856816975308E-2</v>
      </c>
      <c r="S51" s="242"/>
      <c r="T51" s="242">
        <f>(T39)/T10</f>
        <v>-4.8438212824626861E-2</v>
      </c>
      <c r="U51" s="242"/>
      <c r="V51" s="242">
        <f>(V39)/V10</f>
        <v>-7.0967187494313924E-2</v>
      </c>
      <c r="W51" s="242"/>
      <c r="X51" s="242">
        <f>(X39)/X10</f>
        <v>-5.014433996012279E-2</v>
      </c>
      <c r="Y51" s="242"/>
      <c r="Z51" s="242">
        <f>(Z39)/Z10</f>
        <v>-8.2773944500858301E-2</v>
      </c>
      <c r="AA51" s="242"/>
      <c r="AB51" s="242">
        <f>(AB39)/AB10</f>
        <v>-6.1965480112237667E-2</v>
      </c>
      <c r="AC51" s="242"/>
      <c r="AD51" s="242">
        <f>(AD39)/AD10</f>
        <v>-8.5977582336119504E-2</v>
      </c>
      <c r="AE51" s="242"/>
      <c r="AF51" s="242">
        <f>(AF39)/AF10</f>
        <v>-5.0316637960872927E-2</v>
      </c>
      <c r="AG51" s="242"/>
      <c r="AH51" s="242">
        <f>(AH39)/AH10</f>
        <v>-6.6708264874526316E-2</v>
      </c>
      <c r="AI51" s="242"/>
      <c r="AJ51" s="242">
        <f>(AJ39)/AJ10</f>
        <v>-0.15532949260244608</v>
      </c>
      <c r="AK51" s="242"/>
      <c r="AL51" s="242">
        <f>(AL39)/AL10</f>
        <v>-3.8745863579309557E-2</v>
      </c>
      <c r="AM51" s="242"/>
      <c r="AN51" s="242">
        <f>(AN39)/AN10</f>
        <v>-4.9085448212330671E-2</v>
      </c>
      <c r="AO51" s="242"/>
      <c r="AP51" s="242">
        <f>(AP39)/AP10</f>
        <v>-9.6111544738522667E-2</v>
      </c>
      <c r="AQ51" s="242"/>
      <c r="AR51" s="242">
        <f>(AR39)/AR10</f>
        <v>-0.19178715822654696</v>
      </c>
      <c r="AS51" s="242"/>
      <c r="AT51" s="242">
        <f>(AT39)/AT10</f>
        <v>-6.3803063842846633E-2</v>
      </c>
      <c r="AU51" s="242"/>
      <c r="AV51" s="242">
        <f t="shared" si="12"/>
        <v>-1.4455011040557895</v>
      </c>
    </row>
    <row r="52" spans="1:48" s="240" customFormat="1" ht="22.5">
      <c r="B52" s="244" t="s">
        <v>190</v>
      </c>
      <c r="C52" s="244"/>
      <c r="D52" s="242">
        <f>(+D36+D38)/D10</f>
        <v>4.8004495884895006E-2</v>
      </c>
      <c r="E52" s="243"/>
      <c r="F52" s="242">
        <f>(+F36+F38)/F10</f>
        <v>5.6760573795543355E-2</v>
      </c>
      <c r="G52" s="243"/>
      <c r="H52" s="242">
        <f>(+H36+H38)/H10</f>
        <v>0.25716274214128293</v>
      </c>
      <c r="I52" s="243"/>
      <c r="J52" s="242">
        <f>(+J36+J38)/J10</f>
        <v>6.1045816181383855E-2</v>
      </c>
      <c r="K52" s="242"/>
      <c r="L52" s="242">
        <f>(+L36+L38)/L10</f>
        <v>2.1949246351209057E-2</v>
      </c>
      <c r="M52" s="242"/>
      <c r="N52" s="242">
        <f>(+N36+N38)/N10</f>
        <v>6.3527323233716904E-2</v>
      </c>
      <c r="O52" s="242"/>
      <c r="P52" s="242">
        <f>(+P36+P38)/P10</f>
        <v>4.1558307369243846E-2</v>
      </c>
      <c r="Q52" s="242"/>
      <c r="R52" s="242">
        <f>(+R36+R38)/R10</f>
        <v>9.8866231474940211E-2</v>
      </c>
      <c r="S52" s="242"/>
      <c r="T52" s="242">
        <f>(+T36+T38)/T10</f>
        <v>6.2323910205913449E-2</v>
      </c>
      <c r="U52" s="242"/>
      <c r="V52" s="242">
        <f>(+V36+V38)/V10</f>
        <v>0.1114598411623572</v>
      </c>
      <c r="W52" s="242"/>
      <c r="X52" s="242">
        <f>(+X36+X38)/X10</f>
        <v>5.5783720227283442E-3</v>
      </c>
      <c r="Y52" s="242"/>
      <c r="Z52" s="242">
        <f>(+Z36+Z38)/Z10</f>
        <v>0.20292034882554616</v>
      </c>
      <c r="AA52" s="242"/>
      <c r="AB52" s="242">
        <f>(+AB36+AB38)/AB10</f>
        <v>3.4338362146605454E-2</v>
      </c>
      <c r="AC52" s="242"/>
      <c r="AD52" s="242">
        <f>(+AD36+AD38)/AD10</f>
        <v>0.1272259900392004</v>
      </c>
      <c r="AE52" s="242"/>
      <c r="AF52" s="242">
        <f>(+AF36+AF38)/AF10</f>
        <v>0.12208687382000553</v>
      </c>
      <c r="AG52" s="242"/>
      <c r="AH52" s="242">
        <f>(+AH36+AH38)/AH10</f>
        <v>0.10713895362830941</v>
      </c>
      <c r="AI52" s="242"/>
      <c r="AJ52" s="242">
        <f>(+AJ36+AJ38)/AJ10</f>
        <v>0.18942304274476457</v>
      </c>
      <c r="AK52" s="242"/>
      <c r="AL52" s="242">
        <f>(+AL36+AL38)/AL10</f>
        <v>4.3202664864342953E-2</v>
      </c>
      <c r="AM52" s="242"/>
      <c r="AN52" s="242">
        <f>(+AN36+AN38)/AN10</f>
        <v>4.2949410240170148E-2</v>
      </c>
      <c r="AO52" s="242"/>
      <c r="AP52" s="242">
        <f>(+AP36+AP38)/AP10</f>
        <v>1.7419995742567231E-2</v>
      </c>
      <c r="AQ52" s="242"/>
      <c r="AR52" s="242">
        <f>(+AR36+AR38)/AR10</f>
        <v>8.9494963338586989E-2</v>
      </c>
      <c r="AS52" s="242"/>
      <c r="AT52" s="242">
        <f>(+AT36+AT38)/AT10</f>
        <v>0.48644969892955892</v>
      </c>
      <c r="AU52" s="242"/>
      <c r="AV52" s="242">
        <f t="shared" si="12"/>
        <v>1.6975225061321586</v>
      </c>
    </row>
    <row r="53" spans="1:48" s="240" customFormat="1" ht="22.5">
      <c r="B53" s="244" t="s">
        <v>191</v>
      </c>
      <c r="C53" s="244"/>
      <c r="D53" s="242">
        <f>(D44)/D10</f>
        <v>2.8850433564513254E-2</v>
      </c>
      <c r="E53" s="243"/>
      <c r="F53" s="242">
        <f>(F44)/F10</f>
        <v>1.1005337031479779E-2</v>
      </c>
      <c r="G53" s="243"/>
      <c r="H53" s="242">
        <f>(H44)/H10</f>
        <v>0.19667091984688551</v>
      </c>
      <c r="I53" s="243"/>
      <c r="J53" s="242">
        <f>(J44)/J10</f>
        <v>3.7819598482994446E-2</v>
      </c>
      <c r="K53" s="242"/>
      <c r="L53" s="242">
        <f>(L44)/L10</f>
        <v>5.6551518656370635E-3</v>
      </c>
      <c r="M53" s="242"/>
      <c r="N53" s="242">
        <f>(N44)/N10</f>
        <v>1.7550153149921355E-2</v>
      </c>
      <c r="O53" s="242"/>
      <c r="P53" s="242">
        <f>(P44)/P10</f>
        <v>8.6165814932153112E-2</v>
      </c>
      <c r="Q53" s="242"/>
      <c r="R53" s="242">
        <f>(R44)/R10</f>
        <v>6.3248934730758865E-3</v>
      </c>
      <c r="S53" s="242"/>
      <c r="T53" s="242">
        <f>(T44)/T10</f>
        <v>1.2271112749355951E-2</v>
      </c>
      <c r="U53" s="242"/>
      <c r="V53" s="242">
        <f>(V44)/V10</f>
        <v>5.9753768342035878E-2</v>
      </c>
      <c r="W53" s="242"/>
      <c r="X53" s="242">
        <f>(X44)/X10</f>
        <v>4.9991819349042031E-2</v>
      </c>
      <c r="Y53" s="242"/>
      <c r="Z53" s="242">
        <f>(Z44)/Z10</f>
        <v>0.17992418995688877</v>
      </c>
      <c r="AA53" s="242"/>
      <c r="AB53" s="242">
        <f>(AB44)/AB10</f>
        <v>1.0693399832684216E-3</v>
      </c>
      <c r="AC53" s="242"/>
      <c r="AD53" s="242">
        <f>(AD44)/AD10</f>
        <v>6.9180755904107952E-2</v>
      </c>
      <c r="AE53" s="242"/>
      <c r="AF53" s="242">
        <f>(AF44)/AF10</f>
        <v>3.1313529038863766E-2</v>
      </c>
      <c r="AG53" s="242"/>
      <c r="AH53" s="242">
        <f>(AH44)/AH10</f>
        <v>7.9906268514074896E-2</v>
      </c>
      <c r="AI53" s="242"/>
      <c r="AJ53" s="242">
        <f>(AJ44)/AJ10</f>
        <v>0.19931287920837559</v>
      </c>
      <c r="AK53" s="242"/>
      <c r="AL53" s="242">
        <f>(AL44)/AL10</f>
        <v>0.10515900532797318</v>
      </c>
      <c r="AM53" s="242"/>
      <c r="AN53" s="242">
        <f>(AN44)/AN10</f>
        <v>3.8256574795527271E-2</v>
      </c>
      <c r="AO53" s="242"/>
      <c r="AP53" s="242">
        <f>(AP44)/AP10</f>
        <v>0.16592457248279288</v>
      </c>
      <c r="AQ53" s="242"/>
      <c r="AR53" s="242">
        <f>(AR44)/AR10</f>
        <v>7.4179401082710886E-2</v>
      </c>
      <c r="AS53" s="242"/>
      <c r="AT53" s="242">
        <f>(AT44)/AT10</f>
        <v>0.50751752573804176</v>
      </c>
      <c r="AU53" s="242"/>
      <c r="AV53" s="242">
        <f t="shared" si="12"/>
        <v>1.2161815455161742</v>
      </c>
    </row>
    <row r="54" spans="1:48" s="240" customFormat="1" ht="22.5">
      <c r="B54" s="245" t="s">
        <v>192</v>
      </c>
      <c r="C54" s="245"/>
      <c r="D54" s="242">
        <f>(D30)/D17</f>
        <v>-5.6172387574390872E-2</v>
      </c>
      <c r="E54" s="243"/>
      <c r="F54" s="242">
        <f>(F30)/F17</f>
        <v>-0.10059465177370071</v>
      </c>
      <c r="G54" s="243"/>
      <c r="H54" s="242">
        <f>(H30)/H17</f>
        <v>0.23078218810535053</v>
      </c>
      <c r="I54" s="243"/>
      <c r="J54" s="242">
        <f>(J30)/J17</f>
        <v>-8.5283241583728159E-2</v>
      </c>
      <c r="K54" s="242"/>
      <c r="L54" s="242">
        <f>(L30)/L17</f>
        <v>-3.3128488880354717E-2</v>
      </c>
      <c r="M54" s="242"/>
      <c r="N54" s="242">
        <f>(N30)/N17</f>
        <v>-7.6286897875436424E-2</v>
      </c>
      <c r="O54" s="242"/>
      <c r="P54" s="242">
        <f>(P30)/P17</f>
        <v>-7.2036733568204489E-2</v>
      </c>
      <c r="Q54" s="242"/>
      <c r="R54" s="242">
        <f>(R30)/R17</f>
        <v>-8.2446718536140912E-2</v>
      </c>
      <c r="S54" s="242"/>
      <c r="T54" s="242">
        <f>(T30)/T17</f>
        <v>-1.322351565803547E-2</v>
      </c>
      <c r="U54" s="242"/>
      <c r="V54" s="242">
        <f>(V30)/V17</f>
        <v>-0.11488902840546926</v>
      </c>
      <c r="W54" s="242"/>
      <c r="X54" s="242">
        <f>(X30)/X17</f>
        <v>-8.7910268652152609E-3</v>
      </c>
      <c r="Y54" s="242"/>
      <c r="Z54" s="242">
        <f>(Z30)/Z17</f>
        <v>-6.8321948329404442E-2</v>
      </c>
      <c r="AA54" s="242"/>
      <c r="AB54" s="242">
        <f>(AB30)/AB17</f>
        <v>1.7443154669776403E-2</v>
      </c>
      <c r="AC54" s="242"/>
      <c r="AD54" s="242">
        <f>(AD30)/AD17</f>
        <v>-7.1965764253546186E-2</v>
      </c>
      <c r="AE54" s="242"/>
      <c r="AF54" s="242">
        <f>(AF30)/AF17</f>
        <v>-9.4672394766813994E-2</v>
      </c>
      <c r="AG54" s="242"/>
      <c r="AH54" s="242">
        <f>(AH30)/AH17</f>
        <v>-0.12422167870384947</v>
      </c>
      <c r="AI54" s="242"/>
      <c r="AJ54" s="242">
        <f>(AJ30)/AJ17</f>
        <v>5.5016575967973977E-2</v>
      </c>
      <c r="AK54" s="242"/>
      <c r="AL54" s="242">
        <f>(AL30)/AL17</f>
        <v>4.3483974910509489E-2</v>
      </c>
      <c r="AM54" s="242"/>
      <c r="AN54" s="242">
        <f>(AN30)/AN17</f>
        <v>-5.6712307058095462E-2</v>
      </c>
      <c r="AO54" s="242"/>
      <c r="AP54" s="242">
        <f>(AP30)/AP17</f>
        <v>-6.1455072906328727E-2</v>
      </c>
      <c r="AQ54" s="242"/>
      <c r="AR54" s="242">
        <f>(AR30)/AR17</f>
        <v>2.1721102322020923E-2</v>
      </c>
      <c r="AS54" s="242"/>
      <c r="AT54" s="242">
        <f>(AT30)/AT17</f>
        <v>-2.6750306129025327E-2</v>
      </c>
      <c r="AU54" s="242"/>
      <c r="AV54" s="242">
        <f>SUM(D54:AN54)</f>
        <v>-0.71202089017877557</v>
      </c>
    </row>
    <row r="55" spans="1:48" s="240" customFormat="1" ht="22.5">
      <c r="B55" s="245" t="s">
        <v>193</v>
      </c>
      <c r="C55" s="245"/>
      <c r="D55" s="242">
        <f>(D26)/D17</f>
        <v>-0.77218748891337397</v>
      </c>
      <c r="E55" s="243"/>
      <c r="F55" s="242">
        <f>(F26)/F17</f>
        <v>-0.73503292162763467</v>
      </c>
      <c r="G55" s="243"/>
      <c r="H55" s="242">
        <f>(H26)/H17</f>
        <v>-0.26640838376667908</v>
      </c>
      <c r="I55" s="243"/>
      <c r="J55" s="242">
        <f>(J26)/J17</f>
        <v>-0.69170763007937153</v>
      </c>
      <c r="K55" s="242"/>
      <c r="L55" s="242">
        <f>(L26)/L17</f>
        <v>-0.73148915581752305</v>
      </c>
      <c r="M55" s="242"/>
      <c r="N55" s="242">
        <f>(N26)/N17</f>
        <v>-0.69162980838888688</v>
      </c>
      <c r="O55" s="242"/>
      <c r="P55" s="242">
        <f>(P26)/P17</f>
        <v>-0.63832304190314237</v>
      </c>
      <c r="Q55" s="242"/>
      <c r="R55" s="242">
        <f>(R26)/R17</f>
        <v>-0.71675545716066524</v>
      </c>
      <c r="S55" s="242"/>
      <c r="T55" s="242">
        <f>(T26)/T17</f>
        <v>-0.71278159175517586</v>
      </c>
      <c r="U55" s="242"/>
      <c r="V55" s="242">
        <f>(V26)/V17</f>
        <v>-0.37819723277915429</v>
      </c>
      <c r="W55" s="242"/>
      <c r="X55" s="242">
        <f>(X26)/X17</f>
        <v>-0.71123184292219432</v>
      </c>
      <c r="Y55" s="242"/>
      <c r="Z55" s="242">
        <f>(Z26)/Z17</f>
        <v>-0.74175873833570571</v>
      </c>
      <c r="AA55" s="242"/>
      <c r="AB55" s="242">
        <f>(AB26)/AB17</f>
        <v>-0.87535911370917718</v>
      </c>
      <c r="AC55" s="242"/>
      <c r="AD55" s="242">
        <f>(AD26)/AD17</f>
        <v>-0.77756809144985217</v>
      </c>
      <c r="AE55" s="242"/>
      <c r="AF55" s="242">
        <f>(AF26)/AF17</f>
        <v>-0.74629256979646752</v>
      </c>
      <c r="AG55" s="242"/>
      <c r="AH55" s="242">
        <f>(AH26)/AH17</f>
        <v>-0.63408564125995581</v>
      </c>
      <c r="AI55" s="242"/>
      <c r="AJ55" s="242">
        <f>(AJ26)/AJ17</f>
        <v>-0.41679489585288049</v>
      </c>
      <c r="AK55" s="242"/>
      <c r="AL55" s="242">
        <f>(AL26)/AL17</f>
        <v>-0.56771590709248965</v>
      </c>
      <c r="AM55" s="242"/>
      <c r="AN55" s="242">
        <f>(AN26)/AN17</f>
        <v>-0.75267728990157445</v>
      </c>
      <c r="AO55" s="242"/>
      <c r="AP55" s="242">
        <f>(AP26)/AP17</f>
        <v>-0.63000992442171155</v>
      </c>
      <c r="AQ55" s="242"/>
      <c r="AR55" s="242">
        <f>(AR26)/AR17</f>
        <v>-0.60774432253125799</v>
      </c>
      <c r="AS55" s="242"/>
      <c r="AT55" s="242">
        <f>(AT26)/AT17</f>
        <v>-0.6499387741949344</v>
      </c>
      <c r="AU55" s="242"/>
      <c r="AV55" s="242">
        <f>SUM(D55:AN55)</f>
        <v>-12.557996802511905</v>
      </c>
    </row>
    <row r="56" spans="1:48" ht="27">
      <c r="D56" s="246"/>
      <c r="E56" s="247"/>
      <c r="F56" s="248"/>
      <c r="G56" s="247"/>
      <c r="H56" s="248"/>
      <c r="I56" s="247"/>
    </row>
    <row r="57" spans="1:48" ht="27">
      <c r="B57" s="187"/>
      <c r="C57" s="187"/>
      <c r="D57" s="246"/>
      <c r="E57" s="247"/>
      <c r="F57" s="248"/>
      <c r="G57" s="247"/>
      <c r="H57" s="248"/>
      <c r="I57" s="247"/>
    </row>
    <row r="58" spans="1:48" ht="27">
      <c r="B58" s="187"/>
      <c r="C58" s="187"/>
      <c r="D58" s="246"/>
      <c r="E58" s="247"/>
      <c r="F58" s="248"/>
      <c r="G58" s="247"/>
      <c r="H58" s="248"/>
      <c r="I58" s="247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</row>
    <row r="59" spans="1:48" ht="27">
      <c r="D59" s="246"/>
      <c r="E59" s="247"/>
      <c r="F59" s="248"/>
      <c r="G59" s="247"/>
      <c r="H59" s="248"/>
      <c r="I59" s="247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</row>
    <row r="60" spans="1:48" ht="27">
      <c r="D60" s="246"/>
      <c r="E60" s="247"/>
      <c r="F60" s="248"/>
      <c r="G60" s="247"/>
      <c r="H60" s="248"/>
      <c r="I60" s="247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</row>
    <row r="61" spans="1:48" s="191" customFormat="1" ht="27">
      <c r="A61" s="95"/>
      <c r="B61" s="95"/>
      <c r="C61" s="95"/>
      <c r="D61" s="246"/>
      <c r="E61" s="247"/>
      <c r="F61" s="248"/>
      <c r="G61" s="247"/>
      <c r="H61" s="248"/>
      <c r="I61" s="247"/>
    </row>
    <row r="62" spans="1:48" s="191" customFormat="1" ht="27">
      <c r="A62" s="95"/>
      <c r="B62" s="95"/>
      <c r="C62" s="95"/>
      <c r="D62" s="246"/>
      <c r="E62" s="247"/>
      <c r="F62" s="248"/>
      <c r="G62" s="247"/>
      <c r="H62" s="248"/>
      <c r="I62" s="247"/>
    </row>
    <row r="63" spans="1:48" s="191" customFormat="1" ht="27">
      <c r="A63" s="95"/>
      <c r="B63" s="95"/>
      <c r="C63" s="95"/>
      <c r="D63" s="246"/>
      <c r="E63" s="247"/>
      <c r="F63" s="248"/>
      <c r="G63" s="247"/>
      <c r="H63" s="248"/>
      <c r="I63" s="247"/>
    </row>
    <row r="64" spans="1:48" s="191" customFormat="1" ht="27">
      <c r="A64" s="95"/>
      <c r="B64" s="95"/>
      <c r="C64" s="95"/>
      <c r="D64" s="246"/>
      <c r="E64" s="247"/>
      <c r="F64" s="248"/>
      <c r="G64" s="247"/>
      <c r="H64" s="248"/>
      <c r="I64" s="247"/>
    </row>
    <row r="65" spans="1:9" s="191" customFormat="1" ht="27">
      <c r="A65" s="95"/>
      <c r="B65" s="95"/>
      <c r="C65" s="95"/>
      <c r="D65" s="246"/>
      <c r="E65" s="247"/>
      <c r="F65" s="248"/>
      <c r="G65" s="247"/>
      <c r="H65" s="248"/>
      <c r="I65" s="247"/>
    </row>
    <row r="66" spans="1:9" s="191" customFormat="1" ht="27">
      <c r="A66" s="95"/>
      <c r="B66" s="95"/>
      <c r="C66" s="95"/>
      <c r="D66" s="246"/>
      <c r="E66" s="247"/>
      <c r="F66" s="248"/>
      <c r="G66" s="247"/>
      <c r="H66" s="248"/>
      <c r="I66" s="247"/>
    </row>
    <row r="67" spans="1:9" s="191" customFormat="1" ht="27">
      <c r="A67" s="95"/>
      <c r="B67" s="95"/>
      <c r="C67" s="95"/>
      <c r="D67" s="246"/>
      <c r="E67" s="247"/>
      <c r="F67" s="248"/>
      <c r="G67" s="247"/>
      <c r="H67" s="248"/>
      <c r="I67" s="247"/>
    </row>
    <row r="68" spans="1:9" s="191" customFormat="1" ht="27">
      <c r="A68" s="95"/>
      <c r="B68" s="95"/>
      <c r="C68" s="95"/>
      <c r="D68" s="246"/>
      <c r="E68" s="247"/>
      <c r="F68" s="248"/>
      <c r="G68" s="247"/>
      <c r="H68" s="248"/>
      <c r="I68" s="247"/>
    </row>
    <row r="69" spans="1:9" s="191" customFormat="1" ht="27">
      <c r="A69" s="95"/>
      <c r="B69" s="95"/>
      <c r="C69" s="95"/>
      <c r="D69" s="246"/>
      <c r="E69" s="247"/>
      <c r="F69" s="248"/>
      <c r="G69" s="247"/>
      <c r="H69" s="248"/>
      <c r="I69" s="247"/>
    </row>
    <row r="70" spans="1:9" s="191" customFormat="1" ht="27">
      <c r="A70" s="95"/>
      <c r="B70" s="95"/>
      <c r="C70" s="95"/>
      <c r="D70" s="246"/>
      <c r="E70" s="247"/>
      <c r="F70" s="248"/>
      <c r="G70" s="247"/>
      <c r="H70" s="248"/>
      <c r="I70" s="247"/>
    </row>
    <row r="71" spans="1:9" s="191" customFormat="1" ht="27">
      <c r="A71" s="95"/>
      <c r="B71" s="95"/>
      <c r="C71" s="95"/>
      <c r="D71" s="246"/>
      <c r="E71" s="247"/>
      <c r="F71" s="248"/>
      <c r="G71" s="247"/>
      <c r="H71" s="248"/>
      <c r="I71" s="247"/>
    </row>
    <row r="72" spans="1:9" s="191" customFormat="1" ht="27">
      <c r="A72" s="95"/>
      <c r="B72" s="95"/>
      <c r="C72" s="95"/>
      <c r="D72" s="246"/>
      <c r="E72" s="247"/>
      <c r="F72" s="248"/>
      <c r="G72" s="247"/>
      <c r="H72" s="248"/>
      <c r="I72" s="247"/>
    </row>
    <row r="73" spans="1:9" s="191" customFormat="1" ht="27">
      <c r="A73" s="95"/>
      <c r="B73" s="95"/>
      <c r="C73" s="95"/>
      <c r="D73" s="246"/>
      <c r="E73" s="247"/>
      <c r="F73" s="248"/>
      <c r="G73" s="247"/>
      <c r="H73" s="248"/>
      <c r="I73" s="247"/>
    </row>
    <row r="74" spans="1:9" s="191" customFormat="1" ht="27">
      <c r="A74" s="95"/>
      <c r="B74" s="95"/>
      <c r="C74" s="95"/>
      <c r="D74" s="246"/>
      <c r="E74" s="247"/>
      <c r="F74" s="248"/>
      <c r="G74" s="247"/>
      <c r="H74" s="248"/>
      <c r="I74" s="247"/>
    </row>
    <row r="75" spans="1:9" s="191" customFormat="1" ht="27">
      <c r="A75" s="95"/>
      <c r="B75" s="95"/>
      <c r="C75" s="95"/>
      <c r="D75" s="246"/>
      <c r="E75" s="247"/>
      <c r="F75" s="248"/>
      <c r="G75" s="247"/>
      <c r="H75" s="248"/>
      <c r="I75" s="247"/>
    </row>
    <row r="76" spans="1:9" s="191" customFormat="1" ht="27">
      <c r="A76" s="95"/>
      <c r="B76" s="95"/>
      <c r="C76" s="95"/>
      <c r="D76" s="246"/>
      <c r="E76" s="247"/>
      <c r="F76" s="248"/>
      <c r="G76" s="247"/>
      <c r="H76" s="248"/>
      <c r="I76" s="247"/>
    </row>
    <row r="77" spans="1:9" s="191" customFormat="1" ht="27">
      <c r="A77" s="95"/>
      <c r="B77" s="95"/>
      <c r="C77" s="95"/>
      <c r="D77" s="246"/>
      <c r="E77" s="247"/>
      <c r="F77" s="248"/>
      <c r="G77" s="247"/>
      <c r="H77" s="248"/>
      <c r="I77" s="247"/>
    </row>
    <row r="78" spans="1:9" s="191" customFormat="1" ht="27">
      <c r="A78" s="95"/>
      <c r="B78" s="95"/>
      <c r="C78" s="95"/>
      <c r="D78" s="246"/>
      <c r="E78" s="247"/>
      <c r="F78" s="248"/>
      <c r="G78" s="247"/>
      <c r="H78" s="248"/>
      <c r="I78" s="247"/>
    </row>
    <row r="79" spans="1:9" s="191" customFormat="1" ht="27">
      <c r="A79" s="95"/>
      <c r="B79" s="95"/>
      <c r="C79" s="95"/>
      <c r="D79" s="246"/>
      <c r="E79" s="247"/>
      <c r="F79" s="248"/>
      <c r="G79" s="247"/>
      <c r="H79" s="248"/>
      <c r="I79" s="247"/>
    </row>
    <row r="80" spans="1:9" s="191" customFormat="1" ht="27">
      <c r="A80" s="95"/>
      <c r="B80" s="95"/>
      <c r="C80" s="95"/>
      <c r="D80" s="246"/>
      <c r="E80" s="247"/>
      <c r="F80" s="248"/>
      <c r="G80" s="247"/>
      <c r="H80" s="248"/>
      <c r="I80" s="247"/>
    </row>
    <row r="81" spans="1:9" s="191" customFormat="1" ht="27">
      <c r="A81" s="95"/>
      <c r="B81" s="95"/>
      <c r="C81" s="95"/>
      <c r="D81" s="246"/>
      <c r="E81" s="247"/>
      <c r="F81" s="248"/>
      <c r="G81" s="247"/>
      <c r="H81" s="248"/>
      <c r="I81" s="247"/>
    </row>
    <row r="82" spans="1:9" s="191" customFormat="1" ht="27">
      <c r="A82" s="95"/>
      <c r="B82" s="95"/>
      <c r="C82" s="95"/>
      <c r="D82" s="246"/>
      <c r="E82" s="247"/>
      <c r="F82" s="248"/>
      <c r="G82" s="247"/>
      <c r="H82" s="248"/>
      <c r="I82" s="247"/>
    </row>
    <row r="83" spans="1:9" s="191" customFormat="1" ht="27">
      <c r="A83" s="95"/>
      <c r="B83" s="95"/>
      <c r="C83" s="95"/>
      <c r="D83" s="246"/>
      <c r="E83" s="247"/>
      <c r="F83" s="248"/>
      <c r="G83" s="247"/>
      <c r="H83" s="248"/>
      <c r="I83" s="247"/>
    </row>
    <row r="84" spans="1:9" s="191" customFormat="1" ht="27">
      <c r="A84" s="95"/>
      <c r="B84" s="95"/>
      <c r="C84" s="95"/>
      <c r="D84" s="246"/>
      <c r="E84" s="247"/>
      <c r="F84" s="248"/>
      <c r="G84" s="247"/>
      <c r="H84" s="248"/>
      <c r="I84" s="247"/>
    </row>
    <row r="85" spans="1:9" s="191" customFormat="1" ht="27">
      <c r="A85" s="95"/>
      <c r="B85" s="95"/>
      <c r="C85" s="95"/>
      <c r="D85" s="246"/>
      <c r="E85" s="247"/>
      <c r="F85" s="248"/>
      <c r="G85" s="247"/>
      <c r="H85" s="248"/>
      <c r="I85" s="247"/>
    </row>
    <row r="86" spans="1:9" s="191" customFormat="1" ht="27">
      <c r="A86" s="95"/>
      <c r="B86" s="95"/>
      <c r="C86" s="95"/>
      <c r="D86" s="246"/>
      <c r="E86" s="247"/>
      <c r="F86" s="248"/>
      <c r="G86" s="247"/>
      <c r="H86" s="248"/>
      <c r="I86" s="247"/>
    </row>
    <row r="87" spans="1:9" s="191" customFormat="1" ht="27">
      <c r="A87" s="95"/>
      <c r="B87" s="95"/>
      <c r="C87" s="95"/>
      <c r="D87" s="246"/>
      <c r="E87" s="247"/>
      <c r="F87" s="248"/>
      <c r="G87" s="247"/>
      <c r="H87" s="248"/>
      <c r="I87" s="247"/>
    </row>
    <row r="88" spans="1:9" s="191" customFormat="1" ht="27">
      <c r="A88" s="95"/>
      <c r="B88" s="95"/>
      <c r="C88" s="95"/>
      <c r="D88" s="246"/>
      <c r="E88" s="247"/>
      <c r="F88" s="248"/>
      <c r="G88" s="247"/>
      <c r="H88" s="248"/>
      <c r="I88" s="247"/>
    </row>
    <row r="89" spans="1:9" s="191" customFormat="1" ht="27">
      <c r="A89" s="95"/>
      <c r="B89" s="95"/>
      <c r="C89" s="95"/>
      <c r="D89" s="246"/>
      <c r="E89" s="247"/>
      <c r="F89" s="248"/>
      <c r="G89" s="247"/>
      <c r="H89" s="248"/>
      <c r="I89" s="247"/>
    </row>
    <row r="90" spans="1:9" s="191" customFormat="1" ht="27">
      <c r="A90" s="95"/>
      <c r="B90" s="95"/>
      <c r="C90" s="95"/>
      <c r="D90" s="246"/>
      <c r="E90" s="247"/>
      <c r="F90" s="248"/>
      <c r="G90" s="247"/>
      <c r="H90" s="248"/>
      <c r="I90" s="247"/>
    </row>
    <row r="91" spans="1:9" s="191" customFormat="1" ht="27">
      <c r="A91" s="95"/>
      <c r="B91" s="95"/>
      <c r="C91" s="95"/>
      <c r="D91" s="246"/>
      <c r="E91" s="247"/>
      <c r="F91" s="248"/>
      <c r="G91" s="247"/>
      <c r="H91" s="248"/>
      <c r="I91" s="247"/>
    </row>
    <row r="92" spans="1:9" s="191" customFormat="1" ht="27">
      <c r="A92" s="95"/>
      <c r="B92" s="95"/>
      <c r="C92" s="95"/>
      <c r="D92" s="246"/>
      <c r="E92" s="247"/>
      <c r="F92" s="248"/>
      <c r="G92" s="247"/>
      <c r="H92" s="248"/>
      <c r="I92" s="247"/>
    </row>
    <row r="93" spans="1:9" s="191" customFormat="1" ht="27">
      <c r="A93" s="95"/>
      <c r="B93" s="95"/>
      <c r="C93" s="95"/>
      <c r="D93" s="246"/>
      <c r="E93" s="247"/>
      <c r="F93" s="248"/>
      <c r="G93" s="247"/>
      <c r="H93" s="248"/>
      <c r="I93" s="247"/>
    </row>
    <row r="94" spans="1:9" s="191" customFormat="1" ht="27">
      <c r="A94" s="95"/>
      <c r="B94" s="95"/>
      <c r="C94" s="95"/>
      <c r="D94" s="246"/>
      <c r="E94" s="247"/>
      <c r="F94" s="248"/>
      <c r="G94" s="247"/>
      <c r="H94" s="248"/>
      <c r="I94" s="247"/>
    </row>
  </sheetData>
  <mergeCells count="1">
    <mergeCell ref="A9:A46"/>
  </mergeCells>
  <printOptions horizontalCentered="1" verticalCentered="1"/>
  <pageMargins left="0" right="0" top="0" bottom="0" header="0" footer="0"/>
  <pageSetup paperSize="9" scale="6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107"/>
  <sheetViews>
    <sheetView rightToLeft="1" zoomScale="85" zoomScaleNormal="85" workbookViewId="0">
      <pane xSplit="2" ySplit="9" topLeftCell="C31" activePane="bottomRight" state="frozen"/>
      <selection activeCell="F56" sqref="F56"/>
      <selection pane="topRight" activeCell="F56" sqref="F56"/>
      <selection pane="bottomLeft" activeCell="F56" sqref="F56"/>
      <selection pane="bottomRight" activeCell="F56" sqref="F56"/>
    </sheetView>
  </sheetViews>
  <sheetFormatPr defaultColWidth="9" defaultRowHeight="19.5"/>
  <cols>
    <col min="1" max="1" width="4.42578125" style="95" bestFit="1" customWidth="1"/>
    <col min="2" max="2" width="39" style="95" bestFit="1" customWidth="1"/>
    <col min="3" max="3" width="0.85546875" style="95" customWidth="1"/>
    <col min="4" max="4" width="9" style="157" customWidth="1"/>
    <col min="5" max="5" width="0.85546875" style="157" customWidth="1"/>
    <col min="6" max="6" width="10.5703125" style="157" customWidth="1"/>
    <col min="7" max="7" width="0.85546875" style="95" customWidth="1"/>
    <col min="8" max="8" width="9" style="157" customWidth="1"/>
    <col min="9" max="9" width="0.85546875" style="157" customWidth="1"/>
    <col min="10" max="10" width="9.7109375" style="157" customWidth="1"/>
    <col min="11" max="11" width="0.85546875" style="157" customWidth="1"/>
    <col min="12" max="12" width="10.140625" style="157" bestFit="1" customWidth="1"/>
    <col min="13" max="13" width="0.85546875" style="157" customWidth="1"/>
    <col min="14" max="14" width="7" style="157" customWidth="1"/>
    <col min="15" max="15" width="0.85546875" style="157" customWidth="1"/>
    <col min="16" max="16" width="13.85546875" style="157" bestFit="1" customWidth="1"/>
    <col min="17" max="17" width="0.85546875" style="157" customWidth="1"/>
    <col min="18" max="18" width="5.42578125" style="157" bestFit="1" customWidth="1"/>
    <col min="19" max="19" width="0.85546875" style="157" customWidth="1"/>
    <col min="20" max="20" width="15.85546875" style="157" bestFit="1" customWidth="1"/>
    <col min="21" max="21" width="0.85546875" style="157" customWidth="1"/>
    <col min="22" max="22" width="10.7109375" style="157" customWidth="1"/>
    <col min="23" max="23" width="0.85546875" style="157" customWidth="1"/>
    <col min="24" max="24" width="12" style="157" customWidth="1"/>
    <col min="25" max="25" width="0.85546875" style="157" customWidth="1"/>
    <col min="26" max="26" width="8.7109375" style="157" customWidth="1"/>
    <col min="27" max="27" width="0.85546875" style="157" customWidth="1"/>
    <col min="28" max="28" width="12.140625" style="157" bestFit="1" customWidth="1"/>
    <col min="29" max="29" width="0.85546875" style="157" customWidth="1"/>
    <col min="30" max="30" width="12.140625" style="157" bestFit="1" customWidth="1"/>
    <col min="31" max="31" width="0.85546875" style="157" customWidth="1"/>
    <col min="32" max="32" width="8.7109375" style="157" customWidth="1"/>
    <col min="33" max="33" width="0.85546875" style="157" customWidth="1"/>
    <col min="34" max="34" width="12.140625" style="157" customWidth="1"/>
    <col min="35" max="35" width="0.85546875" style="157" customWidth="1"/>
    <col min="36" max="36" width="8.7109375" style="157" customWidth="1"/>
    <col min="37" max="37" width="0.85546875" style="157" customWidth="1"/>
    <col min="38" max="38" width="8.7109375" style="157" customWidth="1"/>
    <col min="39" max="39" width="0.85546875" style="157" customWidth="1"/>
    <col min="40" max="40" width="8.7109375" style="157" customWidth="1"/>
    <col min="41" max="41" width="0.85546875" style="157" customWidth="1"/>
    <col min="42" max="42" width="8.7109375" style="157" bestFit="1" customWidth="1"/>
    <col min="43" max="43" width="0.85546875" style="157" customWidth="1"/>
    <col min="44" max="44" width="8.7109375" style="157" bestFit="1" customWidth="1"/>
    <col min="45" max="45" width="0.85546875" style="157" customWidth="1"/>
    <col min="46" max="46" width="12.140625" style="157" bestFit="1" customWidth="1"/>
    <col min="47" max="47" width="0.85546875" style="157" customWidth="1"/>
    <col min="48" max="48" width="11.140625" style="157" bestFit="1" customWidth="1"/>
    <col min="49" max="49" width="9" style="95"/>
    <col min="50" max="50" width="19.7109375" style="95" customWidth="1"/>
    <col min="51" max="51" width="12.7109375" style="95" bestFit="1" customWidth="1"/>
    <col min="52" max="52" width="11.7109375" style="95" bestFit="1" customWidth="1"/>
    <col min="53" max="53" width="16.140625" style="95" bestFit="1" customWidth="1"/>
    <col min="54" max="54" width="11.5703125" style="95" bestFit="1" customWidth="1"/>
    <col min="55" max="55" width="14.5703125" style="95" bestFit="1" customWidth="1"/>
    <col min="56" max="16384" width="9" style="95"/>
  </cols>
  <sheetData>
    <row r="1" spans="1:55" ht="21">
      <c r="B1" s="156" t="s">
        <v>135</v>
      </c>
      <c r="C1" s="156"/>
      <c r="G1" s="156"/>
      <c r="P1" s="158"/>
    </row>
    <row r="2" spans="1:55" ht="21">
      <c r="B2" s="156" t="s">
        <v>194</v>
      </c>
      <c r="C2" s="156"/>
      <c r="D2" s="158"/>
      <c r="F2" s="158"/>
      <c r="G2" s="156"/>
      <c r="H2" s="158"/>
      <c r="J2" s="159" t="s">
        <v>137</v>
      </c>
    </row>
    <row r="3" spans="1:55">
      <c r="B3" s="6" t="s">
        <v>138</v>
      </c>
      <c r="C3" s="6"/>
      <c r="D3" s="160" t="s">
        <v>139</v>
      </c>
      <c r="F3" s="158"/>
      <c r="G3" s="6"/>
      <c r="H3" s="160"/>
    </row>
    <row r="4" spans="1:55" ht="17.25">
      <c r="B4" s="6" t="s">
        <v>140</v>
      </c>
      <c r="C4" s="6"/>
      <c r="D4" s="161">
        <f>D47</f>
        <v>0</v>
      </c>
      <c r="E4" s="162"/>
      <c r="F4" s="161">
        <f>F47</f>
        <v>2300000</v>
      </c>
      <c r="G4" s="6"/>
      <c r="H4" s="161"/>
      <c r="I4" s="162"/>
      <c r="J4" s="161">
        <f>J47</f>
        <v>3600000</v>
      </c>
      <c r="K4" s="162"/>
      <c r="L4" s="161">
        <f>L47</f>
        <v>1020373</v>
      </c>
      <c r="M4" s="162"/>
      <c r="N4" s="161">
        <f>N47</f>
        <v>0</v>
      </c>
      <c r="O4" s="162"/>
      <c r="P4" s="161">
        <f>P47</f>
        <v>1100000</v>
      </c>
      <c r="Q4" s="162"/>
      <c r="R4" s="161">
        <f>R47</f>
        <v>0</v>
      </c>
      <c r="S4" s="162"/>
      <c r="T4" s="161">
        <f>T47</f>
        <v>625852</v>
      </c>
      <c r="U4" s="162"/>
      <c r="V4" s="161">
        <f>V47</f>
        <v>1200000</v>
      </c>
      <c r="W4" s="162"/>
      <c r="X4" s="161">
        <f>X47</f>
        <v>400000</v>
      </c>
      <c r="Y4" s="162"/>
      <c r="Z4" s="161">
        <f>Z47</f>
        <v>1500000</v>
      </c>
      <c r="AA4" s="162"/>
      <c r="AB4" s="161">
        <f>AB47</f>
        <v>610724</v>
      </c>
      <c r="AC4" s="162"/>
      <c r="AD4" s="161">
        <f>AD47</f>
        <v>400000</v>
      </c>
      <c r="AE4" s="162"/>
      <c r="AF4" s="161">
        <f>AF47</f>
        <v>280000</v>
      </c>
      <c r="AG4" s="162"/>
      <c r="AH4" s="161">
        <f>AH47</f>
        <v>907200</v>
      </c>
      <c r="AI4" s="162"/>
      <c r="AJ4" s="161">
        <f>AJ47</f>
        <v>400000</v>
      </c>
      <c r="AK4" s="162"/>
      <c r="AL4" s="161">
        <f>AL47</f>
        <v>400000</v>
      </c>
      <c r="AM4" s="162"/>
      <c r="AN4" s="161">
        <f>AN47</f>
        <v>400000</v>
      </c>
      <c r="AO4" s="162"/>
      <c r="AP4" s="161"/>
      <c r="AQ4" s="162"/>
      <c r="AR4" s="161"/>
      <c r="AS4" s="162"/>
      <c r="AT4" s="161">
        <v>400000</v>
      </c>
      <c r="AU4" s="162"/>
      <c r="AV4" s="161">
        <f>SUM(D4:AT4)</f>
        <v>15544149</v>
      </c>
    </row>
    <row r="5" spans="1:55" ht="17.25">
      <c r="B5" s="6" t="s">
        <v>35</v>
      </c>
      <c r="C5" s="6"/>
      <c r="D5" s="161">
        <f>D54</f>
        <v>0</v>
      </c>
      <c r="E5" s="163"/>
      <c r="F5" s="161">
        <f>F54</f>
        <v>2525600</v>
      </c>
      <c r="G5" s="6"/>
      <c r="H5" s="161"/>
      <c r="I5" s="163"/>
      <c r="J5" s="161">
        <f>J54</f>
        <v>4307365</v>
      </c>
      <c r="K5" s="163"/>
      <c r="L5" s="161">
        <f>L54</f>
        <v>1277960</v>
      </c>
      <c r="M5" s="163"/>
      <c r="N5" s="161">
        <f>N54</f>
        <v>0</v>
      </c>
      <c r="O5" s="163"/>
      <c r="P5" s="161">
        <f>P54</f>
        <v>3052493</v>
      </c>
      <c r="Q5" s="163"/>
      <c r="R5" s="161">
        <f>R54</f>
        <v>0</v>
      </c>
      <c r="S5" s="163"/>
      <c r="T5" s="161">
        <f>T54</f>
        <v>1899726</v>
      </c>
      <c r="U5" s="163"/>
      <c r="V5" s="161">
        <f>V54</f>
        <v>1733093</v>
      </c>
      <c r="W5" s="163"/>
      <c r="X5" s="161">
        <f>X54</f>
        <v>-179179</v>
      </c>
      <c r="Y5" s="163"/>
      <c r="Z5" s="161">
        <f>Z54</f>
        <v>2934254</v>
      </c>
      <c r="AA5" s="163"/>
      <c r="AB5" s="161">
        <f>AB54</f>
        <v>-1975018</v>
      </c>
      <c r="AC5" s="163"/>
      <c r="AD5" s="161">
        <f>AD54</f>
        <v>634058</v>
      </c>
      <c r="AE5" s="163"/>
      <c r="AF5" s="161">
        <f>AF54</f>
        <v>764987</v>
      </c>
      <c r="AG5" s="163"/>
      <c r="AH5" s="161">
        <f>AH54</f>
        <v>1499451</v>
      </c>
      <c r="AI5" s="163"/>
      <c r="AJ5" s="161">
        <f>AJ54</f>
        <v>1246724</v>
      </c>
      <c r="AK5" s="163"/>
      <c r="AL5" s="161">
        <f>AL54</f>
        <v>775916</v>
      </c>
      <c r="AM5" s="163"/>
      <c r="AN5" s="161">
        <f>AN54</f>
        <v>525222</v>
      </c>
      <c r="AO5" s="163"/>
      <c r="AP5" s="161"/>
      <c r="AQ5" s="163"/>
      <c r="AR5" s="161"/>
      <c r="AS5" s="163"/>
      <c r="AT5" s="183">
        <v>485280</v>
      </c>
      <c r="AU5" s="163"/>
      <c r="AV5" s="161">
        <f>SUM(D5:AT5)</f>
        <v>21507932</v>
      </c>
    </row>
    <row r="6" spans="1:55" ht="17.25">
      <c r="B6" s="6" t="s">
        <v>141</v>
      </c>
      <c r="C6" s="6"/>
      <c r="D6" s="163">
        <f>D57</f>
        <v>0</v>
      </c>
      <c r="E6" s="163"/>
      <c r="F6" s="163">
        <f>F57</f>
        <v>9282950</v>
      </c>
      <c r="G6" s="6"/>
      <c r="H6" s="163"/>
      <c r="I6" s="163"/>
      <c r="J6" s="163">
        <f>J57</f>
        <v>5346455</v>
      </c>
      <c r="K6" s="163"/>
      <c r="L6" s="163">
        <f>L57</f>
        <v>5644955</v>
      </c>
      <c r="M6" s="163"/>
      <c r="N6" s="163">
        <f>N57</f>
        <v>0</v>
      </c>
      <c r="O6" s="163"/>
      <c r="P6" s="163">
        <f>P57</f>
        <v>4861008</v>
      </c>
      <c r="Q6" s="163"/>
      <c r="R6" s="163">
        <f>R57</f>
        <v>0</v>
      </c>
      <c r="S6" s="163"/>
      <c r="T6" s="163">
        <f>T57</f>
        <v>1326487</v>
      </c>
      <c r="U6" s="163"/>
      <c r="V6" s="163">
        <f>V57</f>
        <v>4789069</v>
      </c>
      <c r="W6" s="163"/>
      <c r="X6" s="163">
        <f>X57</f>
        <v>2285022</v>
      </c>
      <c r="Y6" s="163"/>
      <c r="Z6" s="163">
        <f>Z57</f>
        <v>2558311</v>
      </c>
      <c r="AA6" s="163"/>
      <c r="AB6" s="163">
        <f>AB57</f>
        <v>1026144</v>
      </c>
      <c r="AC6" s="163"/>
      <c r="AD6" s="163">
        <f>AD57</f>
        <v>1328368</v>
      </c>
      <c r="AE6" s="163"/>
      <c r="AF6" s="163">
        <f>AF57</f>
        <v>1872613</v>
      </c>
      <c r="AG6" s="163"/>
      <c r="AH6" s="163">
        <f>AH57</f>
        <v>3190342</v>
      </c>
      <c r="AI6" s="163"/>
      <c r="AJ6" s="163">
        <f>AJ57</f>
        <v>555533</v>
      </c>
      <c r="AK6" s="163"/>
      <c r="AL6" s="163">
        <f>AL57</f>
        <v>2402196</v>
      </c>
      <c r="AM6" s="163"/>
      <c r="AN6" s="163">
        <f>AN57</f>
        <v>1062453</v>
      </c>
      <c r="AO6" s="163"/>
      <c r="AP6" s="163"/>
      <c r="AQ6" s="163"/>
      <c r="AR6" s="163"/>
      <c r="AS6" s="163"/>
      <c r="AT6" s="163">
        <v>16493</v>
      </c>
      <c r="AU6" s="163"/>
      <c r="AV6" s="163">
        <f>SUM(D6:AT6)</f>
        <v>47548399</v>
      </c>
    </row>
    <row r="7" spans="1:55" ht="21">
      <c r="A7" s="249" t="s">
        <v>195</v>
      </c>
      <c r="B7" s="250" t="s">
        <v>196</v>
      </c>
      <c r="D7" s="166"/>
      <c r="E7" s="166"/>
      <c r="F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</row>
    <row r="8" spans="1:55">
      <c r="A8" s="249" t="s">
        <v>197</v>
      </c>
      <c r="B8" s="251" t="s">
        <v>198</v>
      </c>
      <c r="D8" s="190"/>
      <c r="F8" s="190"/>
      <c r="H8" s="190"/>
      <c r="L8" s="190"/>
      <c r="N8" s="190"/>
      <c r="P8" s="190"/>
      <c r="R8" s="190"/>
      <c r="T8" s="190"/>
      <c r="V8" s="190"/>
      <c r="X8" s="190"/>
      <c r="Z8" s="190"/>
      <c r="AB8" s="190"/>
      <c r="AD8" s="190"/>
      <c r="AF8" s="190"/>
      <c r="AH8" s="190"/>
    </row>
    <row r="9" spans="1:55" ht="20.25" customHeight="1">
      <c r="A9" s="568" t="s">
        <v>199</v>
      </c>
      <c r="B9" s="170" t="s">
        <v>29</v>
      </c>
      <c r="D9" s="252" t="s">
        <v>143</v>
      </c>
      <c r="E9" s="253"/>
      <c r="F9" s="254" t="s">
        <v>144</v>
      </c>
      <c r="H9" s="254" t="s">
        <v>145</v>
      </c>
      <c r="I9" s="253"/>
      <c r="J9" s="171" t="s">
        <v>146</v>
      </c>
      <c r="K9" s="253"/>
      <c r="L9" s="255" t="s">
        <v>147</v>
      </c>
      <c r="M9" s="253"/>
      <c r="N9" s="252" t="s">
        <v>148</v>
      </c>
      <c r="O9" s="253"/>
      <c r="P9" s="255" t="s">
        <v>149</v>
      </c>
      <c r="Q9" s="253"/>
      <c r="R9" s="252" t="s">
        <v>150</v>
      </c>
      <c r="S9" s="253"/>
      <c r="T9" s="255" t="s">
        <v>151</v>
      </c>
      <c r="U9" s="253"/>
      <c r="V9" s="255" t="s">
        <v>152</v>
      </c>
      <c r="W9" s="253"/>
      <c r="X9" s="254" t="s">
        <v>153</v>
      </c>
      <c r="Y9" s="253"/>
      <c r="Z9" s="254" t="s">
        <v>154</v>
      </c>
      <c r="AA9" s="253"/>
      <c r="AB9" s="255" t="s">
        <v>155</v>
      </c>
      <c r="AC9" s="253"/>
      <c r="AD9" s="255" t="s">
        <v>156</v>
      </c>
      <c r="AE9" s="253"/>
      <c r="AF9" s="254" t="s">
        <v>157</v>
      </c>
      <c r="AG9" s="253"/>
      <c r="AH9" s="255" t="s">
        <v>158</v>
      </c>
      <c r="AI9" s="253"/>
      <c r="AJ9" s="255" t="s">
        <v>159</v>
      </c>
      <c r="AK9" s="253"/>
      <c r="AL9" s="255" t="s">
        <v>160</v>
      </c>
      <c r="AM9" s="253"/>
      <c r="AN9" s="254" t="s">
        <v>161</v>
      </c>
      <c r="AO9" s="95"/>
      <c r="AP9" s="252" t="s">
        <v>162</v>
      </c>
      <c r="AQ9" s="95"/>
      <c r="AR9" s="252" t="s">
        <v>163</v>
      </c>
      <c r="AS9" s="95"/>
      <c r="AT9" s="255" t="s">
        <v>200</v>
      </c>
      <c r="AU9" s="95"/>
      <c r="AV9" s="171" t="s">
        <v>165</v>
      </c>
    </row>
    <row r="10" spans="1:55" ht="63.75" customHeight="1">
      <c r="A10" s="569"/>
      <c r="B10" s="114" t="s">
        <v>166</v>
      </c>
      <c r="D10" s="172"/>
      <c r="E10" s="172"/>
      <c r="F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W10" s="587" t="s">
        <v>201</v>
      </c>
      <c r="AX10" s="588"/>
      <c r="AY10" s="256" t="s">
        <v>202</v>
      </c>
      <c r="AZ10" s="257" t="s">
        <v>203</v>
      </c>
      <c r="BA10" s="257" t="s">
        <v>204</v>
      </c>
      <c r="BB10" s="257" t="s">
        <v>205</v>
      </c>
      <c r="BC10" s="257" t="s">
        <v>206</v>
      </c>
    </row>
    <row r="11" spans="1:55" ht="20.100000000000001" customHeight="1">
      <c r="A11" s="569"/>
      <c r="B11" s="173" t="s">
        <v>64</v>
      </c>
      <c r="D11" s="174">
        <v>0</v>
      </c>
      <c r="E11" s="172"/>
      <c r="F11" s="174">
        <v>375208</v>
      </c>
      <c r="H11" s="174">
        <v>730714</v>
      </c>
      <c r="I11" s="172"/>
      <c r="J11" s="174">
        <v>718946</v>
      </c>
      <c r="K11" s="175"/>
      <c r="L11" s="174">
        <v>210172</v>
      </c>
      <c r="M11" s="175"/>
      <c r="N11" s="174">
        <v>0</v>
      </c>
      <c r="O11" s="175"/>
      <c r="P11" s="174">
        <v>175022</v>
      </c>
      <c r="Q11" s="175"/>
      <c r="R11" s="174">
        <v>0</v>
      </c>
      <c r="S11" s="175"/>
      <c r="T11" s="174">
        <v>164366</v>
      </c>
      <c r="U11" s="175"/>
      <c r="V11" s="174">
        <v>983246</v>
      </c>
      <c r="W11" s="175"/>
      <c r="X11" s="174">
        <v>63881</v>
      </c>
      <c r="Y11" s="175"/>
      <c r="Z11" s="174">
        <v>86732</v>
      </c>
      <c r="AA11" s="175"/>
      <c r="AB11" s="174">
        <v>147928</v>
      </c>
      <c r="AC11" s="175"/>
      <c r="AD11" s="174">
        <v>120595</v>
      </c>
      <c r="AE11" s="175"/>
      <c r="AF11" s="174">
        <v>207784</v>
      </c>
      <c r="AG11" s="175"/>
      <c r="AH11" s="174">
        <v>73428</v>
      </c>
      <c r="AI11" s="175"/>
      <c r="AJ11" s="174">
        <v>600206</v>
      </c>
      <c r="AK11" s="175"/>
      <c r="AL11" s="174">
        <v>268464</v>
      </c>
      <c r="AM11" s="175"/>
      <c r="AN11" s="174">
        <v>236314</v>
      </c>
      <c r="AO11" s="175"/>
      <c r="AP11" s="174"/>
      <c r="AQ11" s="175"/>
      <c r="AR11" s="174"/>
      <c r="AS11" s="175"/>
      <c r="AT11" s="174">
        <v>230</v>
      </c>
      <c r="AU11" s="175"/>
      <c r="AV11" s="174">
        <f t="shared" ref="AV11:AV57" si="0">SUM(D11:AN11)</f>
        <v>5163006</v>
      </c>
      <c r="AW11" s="589" t="s">
        <v>207</v>
      </c>
      <c r="AX11" s="590"/>
      <c r="AY11" s="586">
        <f>SUM(AV61:AV62)</f>
        <v>20286830</v>
      </c>
      <c r="AZ11" s="571"/>
      <c r="BA11" s="572"/>
      <c r="BB11" s="572"/>
      <c r="BC11" s="573"/>
    </row>
    <row r="12" spans="1:55" ht="20.100000000000001" customHeight="1">
      <c r="A12" s="569"/>
      <c r="B12" s="173" t="s">
        <v>62</v>
      </c>
      <c r="D12" s="174">
        <v>0</v>
      </c>
      <c r="E12" s="172"/>
      <c r="F12" s="174">
        <v>2167015</v>
      </c>
      <c r="H12" s="174">
        <v>178477</v>
      </c>
      <c r="I12" s="172"/>
      <c r="J12" s="174">
        <v>2737477</v>
      </c>
      <c r="K12" s="175"/>
      <c r="L12" s="174">
        <v>639350</v>
      </c>
      <c r="M12" s="175"/>
      <c r="N12" s="174">
        <v>0</v>
      </c>
      <c r="O12" s="175"/>
      <c r="P12" s="174">
        <v>1011184</v>
      </c>
      <c r="Q12" s="175"/>
      <c r="R12" s="174">
        <v>0</v>
      </c>
      <c r="S12" s="175"/>
      <c r="T12" s="174">
        <v>725677</v>
      </c>
      <c r="U12" s="175"/>
      <c r="V12" s="174">
        <v>898176</v>
      </c>
      <c r="W12" s="175"/>
      <c r="X12" s="174">
        <v>142896</v>
      </c>
      <c r="Y12" s="175"/>
      <c r="Z12" s="174">
        <v>1457643</v>
      </c>
      <c r="AA12" s="175"/>
      <c r="AB12" s="174">
        <v>104077</v>
      </c>
      <c r="AC12" s="175"/>
      <c r="AD12" s="174">
        <v>515861</v>
      </c>
      <c r="AE12" s="175"/>
      <c r="AF12" s="174">
        <v>426395</v>
      </c>
      <c r="AG12" s="175"/>
      <c r="AH12" s="174">
        <v>1089422</v>
      </c>
      <c r="AI12" s="175"/>
      <c r="AJ12" s="174">
        <v>402756</v>
      </c>
      <c r="AK12" s="175"/>
      <c r="AL12" s="174">
        <v>182930</v>
      </c>
      <c r="AM12" s="175"/>
      <c r="AN12" s="174">
        <v>598024</v>
      </c>
      <c r="AO12" s="175"/>
      <c r="AP12" s="174"/>
      <c r="AQ12" s="175"/>
      <c r="AR12" s="174"/>
      <c r="AS12" s="175"/>
      <c r="AT12" s="174">
        <v>211523</v>
      </c>
      <c r="AU12" s="175"/>
      <c r="AV12" s="174">
        <f t="shared" si="0"/>
        <v>13277360</v>
      </c>
      <c r="AW12" s="591"/>
      <c r="AX12" s="592"/>
      <c r="AY12" s="580"/>
      <c r="AZ12" s="574"/>
      <c r="BA12" s="575"/>
      <c r="BB12" s="575"/>
      <c r="BC12" s="576"/>
    </row>
    <row r="13" spans="1:55" ht="20.100000000000001" customHeight="1">
      <c r="A13" s="569"/>
      <c r="B13" s="173" t="s">
        <v>60</v>
      </c>
      <c r="D13" s="174">
        <v>0</v>
      </c>
      <c r="E13" s="172"/>
      <c r="F13" s="174">
        <v>3159698</v>
      </c>
      <c r="H13" s="174">
        <v>725214</v>
      </c>
      <c r="I13" s="172"/>
      <c r="J13" s="174">
        <v>2913865</v>
      </c>
      <c r="K13" s="175"/>
      <c r="L13" s="174">
        <v>4605327</v>
      </c>
      <c r="M13" s="175"/>
      <c r="N13" s="174">
        <v>0</v>
      </c>
      <c r="O13" s="175"/>
      <c r="P13" s="174">
        <v>4878078</v>
      </c>
      <c r="Q13" s="175"/>
      <c r="R13" s="174">
        <v>0</v>
      </c>
      <c r="S13" s="175"/>
      <c r="T13" s="174">
        <v>808790</v>
      </c>
      <c r="U13" s="175"/>
      <c r="V13" s="174">
        <v>1062918</v>
      </c>
      <c r="W13" s="175"/>
      <c r="X13" s="174">
        <v>2535896</v>
      </c>
      <c r="Y13" s="175"/>
      <c r="Z13" s="174">
        <v>2232082</v>
      </c>
      <c r="AA13" s="175"/>
      <c r="AB13" s="174">
        <v>547543</v>
      </c>
      <c r="AC13" s="175"/>
      <c r="AD13" s="174">
        <v>485089</v>
      </c>
      <c r="AE13" s="175"/>
      <c r="AF13" s="174">
        <v>528543</v>
      </c>
      <c r="AG13" s="175"/>
      <c r="AH13" s="174">
        <v>599286</v>
      </c>
      <c r="AI13" s="175"/>
      <c r="AJ13" s="174">
        <v>280718</v>
      </c>
      <c r="AK13" s="175"/>
      <c r="AL13" s="174">
        <v>2137639</v>
      </c>
      <c r="AM13" s="175"/>
      <c r="AN13" s="174">
        <v>1072392</v>
      </c>
      <c r="AO13" s="175"/>
      <c r="AP13" s="174"/>
      <c r="AQ13" s="175"/>
      <c r="AR13" s="174"/>
      <c r="AS13" s="175"/>
      <c r="AT13" s="174">
        <v>69019</v>
      </c>
      <c r="AU13" s="175"/>
      <c r="AV13" s="174">
        <f t="shared" si="0"/>
        <v>28573078</v>
      </c>
      <c r="AW13" s="593" t="s">
        <v>208</v>
      </c>
      <c r="AX13" s="594"/>
      <c r="AY13" s="586">
        <f>SUM(AV63:AV64)</f>
        <v>13794253</v>
      </c>
      <c r="AZ13" s="574"/>
      <c r="BA13" s="575"/>
      <c r="BB13" s="575"/>
      <c r="BC13" s="576"/>
    </row>
    <row r="14" spans="1:55" ht="20.100000000000001" customHeight="1">
      <c r="A14" s="569"/>
      <c r="B14" s="173" t="s">
        <v>58</v>
      </c>
      <c r="D14" s="174">
        <v>0</v>
      </c>
      <c r="E14" s="172"/>
      <c r="F14" s="174">
        <v>1222473</v>
      </c>
      <c r="H14" s="174">
        <v>2714</v>
      </c>
      <c r="I14" s="172"/>
      <c r="J14" s="174">
        <v>114258</v>
      </c>
      <c r="K14" s="175"/>
      <c r="L14" s="174">
        <v>235654</v>
      </c>
      <c r="M14" s="175"/>
      <c r="N14" s="174">
        <v>0</v>
      </c>
      <c r="O14" s="175"/>
      <c r="P14" s="174">
        <v>359913</v>
      </c>
      <c r="Q14" s="175"/>
      <c r="R14" s="174">
        <v>0</v>
      </c>
      <c r="S14" s="175"/>
      <c r="T14" s="174">
        <v>26389</v>
      </c>
      <c r="U14" s="175"/>
      <c r="V14" s="174">
        <v>89069</v>
      </c>
      <c r="W14" s="175"/>
      <c r="X14" s="174">
        <v>141007</v>
      </c>
      <c r="Y14" s="175"/>
      <c r="Z14" s="174">
        <v>198168</v>
      </c>
      <c r="AA14" s="175"/>
      <c r="AB14" s="174">
        <v>288398</v>
      </c>
      <c r="AC14" s="175"/>
      <c r="AD14" s="174">
        <v>124513</v>
      </c>
      <c r="AE14" s="175"/>
      <c r="AF14" s="174">
        <v>114875</v>
      </c>
      <c r="AG14" s="175"/>
      <c r="AH14" s="174">
        <v>54115</v>
      </c>
      <c r="AI14" s="175"/>
      <c r="AJ14" s="174">
        <v>0</v>
      </c>
      <c r="AK14" s="175"/>
      <c r="AL14" s="174">
        <v>0</v>
      </c>
      <c r="AM14" s="175"/>
      <c r="AN14" s="174">
        <v>500</v>
      </c>
      <c r="AO14" s="175"/>
      <c r="AP14" s="174"/>
      <c r="AQ14" s="175"/>
      <c r="AR14" s="174"/>
      <c r="AS14" s="175"/>
      <c r="AT14" s="174">
        <v>0</v>
      </c>
      <c r="AU14" s="175"/>
      <c r="AV14" s="174">
        <f t="shared" si="0"/>
        <v>2972046</v>
      </c>
      <c r="AW14" s="595"/>
      <c r="AX14" s="596"/>
      <c r="AY14" s="580"/>
      <c r="AZ14" s="574"/>
      <c r="BA14" s="575"/>
      <c r="BB14" s="575"/>
      <c r="BC14" s="576"/>
    </row>
    <row r="15" spans="1:55" ht="20.100000000000001" customHeight="1">
      <c r="A15" s="569"/>
      <c r="B15" s="173" t="s">
        <v>209</v>
      </c>
      <c r="D15" s="174">
        <v>0</v>
      </c>
      <c r="E15" s="172"/>
      <c r="F15" s="174">
        <v>0</v>
      </c>
      <c r="H15" s="174"/>
      <c r="I15" s="172"/>
      <c r="J15" s="174">
        <v>0</v>
      </c>
      <c r="K15" s="175"/>
      <c r="L15" s="174">
        <v>0</v>
      </c>
      <c r="M15" s="175"/>
      <c r="N15" s="174">
        <v>0</v>
      </c>
      <c r="O15" s="175"/>
      <c r="P15" s="174">
        <v>0</v>
      </c>
      <c r="Q15" s="175"/>
      <c r="R15" s="174">
        <v>0</v>
      </c>
      <c r="S15" s="175"/>
      <c r="T15" s="174">
        <v>0</v>
      </c>
      <c r="U15" s="175"/>
      <c r="V15" s="174">
        <v>0</v>
      </c>
      <c r="W15" s="175"/>
      <c r="X15" s="174">
        <v>497024</v>
      </c>
      <c r="Y15" s="175"/>
      <c r="Z15" s="174">
        <v>452959</v>
      </c>
      <c r="AA15" s="175"/>
      <c r="AB15" s="174">
        <v>0</v>
      </c>
      <c r="AC15" s="175"/>
      <c r="AD15" s="174">
        <v>0</v>
      </c>
      <c r="AE15" s="175"/>
      <c r="AF15" s="174">
        <v>0</v>
      </c>
      <c r="AG15" s="175"/>
      <c r="AH15" s="174">
        <v>0</v>
      </c>
      <c r="AI15" s="175"/>
      <c r="AJ15" s="174">
        <v>0</v>
      </c>
      <c r="AK15" s="175"/>
      <c r="AL15" s="174">
        <v>0</v>
      </c>
      <c r="AM15" s="175"/>
      <c r="AN15" s="174">
        <v>0</v>
      </c>
      <c r="AO15" s="175"/>
      <c r="AP15" s="174"/>
      <c r="AQ15" s="175"/>
      <c r="AR15" s="174"/>
      <c r="AS15" s="175"/>
      <c r="AT15" s="174">
        <v>0</v>
      </c>
      <c r="AU15" s="175"/>
      <c r="AV15" s="174">
        <f t="shared" si="0"/>
        <v>949983</v>
      </c>
      <c r="AW15" s="597" t="s">
        <v>210</v>
      </c>
      <c r="AX15" s="598"/>
      <c r="AY15" s="586">
        <f>SUM(AV65:AV66)</f>
        <v>2703487</v>
      </c>
      <c r="AZ15" s="574"/>
      <c r="BA15" s="575"/>
      <c r="BB15" s="575"/>
      <c r="BC15" s="576"/>
    </row>
    <row r="16" spans="1:55" ht="20.100000000000001" customHeight="1">
      <c r="A16" s="569"/>
      <c r="B16" s="173" t="s">
        <v>167</v>
      </c>
      <c r="D16" s="174">
        <v>0</v>
      </c>
      <c r="E16" s="172"/>
      <c r="F16" s="174">
        <v>1582347</v>
      </c>
      <c r="H16" s="174">
        <v>133654</v>
      </c>
      <c r="I16" s="172"/>
      <c r="J16" s="174">
        <v>322850</v>
      </c>
      <c r="K16" s="175"/>
      <c r="L16" s="174">
        <v>1572391</v>
      </c>
      <c r="M16" s="175"/>
      <c r="N16" s="174">
        <v>0</v>
      </c>
      <c r="O16" s="175"/>
      <c r="P16" s="174">
        <v>2338625</v>
      </c>
      <c r="Q16" s="175"/>
      <c r="R16" s="174">
        <v>0</v>
      </c>
      <c r="S16" s="175"/>
      <c r="T16" s="174">
        <v>875241</v>
      </c>
      <c r="U16" s="175"/>
      <c r="V16" s="174">
        <v>217222</v>
      </c>
      <c r="W16" s="175"/>
      <c r="X16" s="174">
        <v>106239</v>
      </c>
      <c r="Y16" s="175"/>
      <c r="Z16" s="174">
        <v>614584</v>
      </c>
      <c r="AA16" s="175"/>
      <c r="AB16" s="174">
        <v>425266</v>
      </c>
      <c r="AC16" s="175"/>
      <c r="AD16" s="174">
        <v>285276</v>
      </c>
      <c r="AE16" s="175"/>
      <c r="AF16" s="174">
        <v>103374</v>
      </c>
      <c r="AG16" s="175"/>
      <c r="AH16" s="174">
        <v>184935</v>
      </c>
      <c r="AI16" s="175"/>
      <c r="AJ16" s="174">
        <v>63832</v>
      </c>
      <c r="AK16" s="175"/>
      <c r="AL16" s="174">
        <v>99580</v>
      </c>
      <c r="AM16" s="175"/>
      <c r="AN16" s="174">
        <v>2969</v>
      </c>
      <c r="AO16" s="175"/>
      <c r="AP16" s="174"/>
      <c r="AQ16" s="175"/>
      <c r="AR16" s="174"/>
      <c r="AS16" s="175"/>
      <c r="AT16" s="174">
        <v>1361</v>
      </c>
      <c r="AU16" s="175"/>
      <c r="AV16" s="174">
        <f t="shared" si="0"/>
        <v>8928385</v>
      </c>
      <c r="AW16" s="599"/>
      <c r="AX16" s="600"/>
      <c r="AY16" s="580"/>
      <c r="AZ16" s="574"/>
      <c r="BA16" s="575"/>
      <c r="BB16" s="575"/>
      <c r="BC16" s="576"/>
    </row>
    <row r="17" spans="1:55" ht="20.100000000000001" customHeight="1">
      <c r="A17" s="569"/>
      <c r="B17" s="173" t="s">
        <v>54</v>
      </c>
      <c r="D17" s="174">
        <v>0</v>
      </c>
      <c r="E17" s="172"/>
      <c r="F17" s="174">
        <v>4529789</v>
      </c>
      <c r="H17" s="174">
        <v>217090</v>
      </c>
      <c r="I17" s="172"/>
      <c r="J17" s="174">
        <v>1820550</v>
      </c>
      <c r="K17" s="175"/>
      <c r="L17" s="174">
        <v>2520271</v>
      </c>
      <c r="M17" s="175"/>
      <c r="N17" s="174">
        <v>0</v>
      </c>
      <c r="O17" s="175"/>
      <c r="P17" s="174">
        <v>2081761</v>
      </c>
      <c r="Q17" s="175"/>
      <c r="R17" s="174">
        <v>0</v>
      </c>
      <c r="S17" s="175"/>
      <c r="T17" s="174">
        <v>412628</v>
      </c>
      <c r="U17" s="175"/>
      <c r="V17" s="174">
        <v>3210772</v>
      </c>
      <c r="W17" s="175"/>
      <c r="X17" s="174">
        <v>1063071</v>
      </c>
      <c r="Y17" s="175"/>
      <c r="Z17" s="174">
        <v>891060</v>
      </c>
      <c r="AA17" s="175"/>
      <c r="AB17" s="174">
        <v>349701</v>
      </c>
      <c r="AC17" s="175"/>
      <c r="AD17" s="174">
        <v>666260</v>
      </c>
      <c r="AE17" s="175"/>
      <c r="AF17" s="174">
        <v>959367</v>
      </c>
      <c r="AG17" s="175"/>
      <c r="AH17" s="174">
        <v>1621297</v>
      </c>
      <c r="AI17" s="175"/>
      <c r="AJ17" s="174">
        <v>380444</v>
      </c>
      <c r="AK17" s="175"/>
      <c r="AL17" s="174">
        <v>1072881</v>
      </c>
      <c r="AM17" s="175"/>
      <c r="AN17" s="174">
        <v>379607</v>
      </c>
      <c r="AO17" s="175"/>
      <c r="AP17" s="174"/>
      <c r="AQ17" s="175"/>
      <c r="AR17" s="174"/>
      <c r="AS17" s="175"/>
      <c r="AT17" s="174">
        <v>62567</v>
      </c>
      <c r="AU17" s="175"/>
      <c r="AV17" s="174">
        <f t="shared" si="0"/>
        <v>22176549</v>
      </c>
      <c r="AW17" s="601" t="s">
        <v>211</v>
      </c>
      <c r="AX17" s="602"/>
      <c r="AY17" s="586">
        <f>SUM(AV67:AV68)</f>
        <v>750974</v>
      </c>
      <c r="AZ17" s="574"/>
      <c r="BA17" s="575"/>
      <c r="BB17" s="575"/>
      <c r="BC17" s="576"/>
    </row>
    <row r="18" spans="1:55" ht="20.100000000000001" customHeight="1">
      <c r="A18" s="569"/>
      <c r="B18" s="173" t="s">
        <v>212</v>
      </c>
      <c r="D18" s="174"/>
      <c r="E18" s="172"/>
      <c r="F18" s="174"/>
      <c r="H18" s="174"/>
      <c r="I18" s="172"/>
      <c r="J18" s="174"/>
      <c r="K18" s="175"/>
      <c r="L18" s="174">
        <v>0</v>
      </c>
      <c r="M18" s="175"/>
      <c r="N18" s="174">
        <v>0</v>
      </c>
      <c r="O18" s="175"/>
      <c r="P18" s="174">
        <v>0</v>
      </c>
      <c r="Q18" s="175"/>
      <c r="R18" s="174">
        <v>0</v>
      </c>
      <c r="S18" s="175"/>
      <c r="T18" s="174">
        <v>0</v>
      </c>
      <c r="U18" s="175"/>
      <c r="V18" s="174">
        <v>0</v>
      </c>
      <c r="W18" s="175"/>
      <c r="X18" s="174"/>
      <c r="Y18" s="175"/>
      <c r="Z18" s="174">
        <v>0</v>
      </c>
      <c r="AA18" s="175"/>
      <c r="AB18" s="174">
        <v>0</v>
      </c>
      <c r="AC18" s="175"/>
      <c r="AD18" s="174">
        <v>0</v>
      </c>
      <c r="AE18" s="175"/>
      <c r="AF18" s="174">
        <v>0</v>
      </c>
      <c r="AG18" s="175"/>
      <c r="AH18" s="174">
        <v>0</v>
      </c>
      <c r="AI18" s="175"/>
      <c r="AJ18" s="174">
        <v>0</v>
      </c>
      <c r="AK18" s="175"/>
      <c r="AL18" s="174">
        <v>0</v>
      </c>
      <c r="AM18" s="175"/>
      <c r="AN18" s="174">
        <v>0</v>
      </c>
      <c r="AO18" s="175"/>
      <c r="AP18" s="174"/>
      <c r="AQ18" s="175"/>
      <c r="AR18" s="174"/>
      <c r="AS18" s="175"/>
      <c r="AT18" s="174">
        <v>0</v>
      </c>
      <c r="AU18" s="175"/>
      <c r="AV18" s="174">
        <f t="shared" si="0"/>
        <v>0</v>
      </c>
      <c r="AW18" s="603"/>
      <c r="AX18" s="604"/>
      <c r="AY18" s="580"/>
      <c r="AZ18" s="574"/>
      <c r="BA18" s="575"/>
      <c r="BB18" s="575"/>
      <c r="BC18" s="576"/>
    </row>
    <row r="19" spans="1:55" ht="20.100000000000001" customHeight="1">
      <c r="A19" s="569"/>
      <c r="B19" s="173" t="s">
        <v>213</v>
      </c>
      <c r="D19" s="174">
        <v>0</v>
      </c>
      <c r="E19" s="172"/>
      <c r="F19" s="174">
        <v>0</v>
      </c>
      <c r="H19" s="174"/>
      <c r="I19" s="172"/>
      <c r="J19" s="174">
        <v>506</v>
      </c>
      <c r="K19" s="175"/>
      <c r="L19" s="174">
        <v>0</v>
      </c>
      <c r="M19" s="175"/>
      <c r="N19" s="174">
        <v>0</v>
      </c>
      <c r="O19" s="175"/>
      <c r="P19" s="174">
        <v>0</v>
      </c>
      <c r="Q19" s="175"/>
      <c r="R19" s="174">
        <v>0</v>
      </c>
      <c r="S19" s="175"/>
      <c r="T19" s="174">
        <v>0</v>
      </c>
      <c r="U19" s="175"/>
      <c r="V19" s="174">
        <v>0</v>
      </c>
      <c r="W19" s="175"/>
      <c r="X19" s="174">
        <v>0</v>
      </c>
      <c r="Y19" s="175"/>
      <c r="Z19" s="174">
        <v>0</v>
      </c>
      <c r="AA19" s="175"/>
      <c r="AB19" s="174">
        <v>0</v>
      </c>
      <c r="AC19" s="175"/>
      <c r="AD19" s="174">
        <v>0</v>
      </c>
      <c r="AE19" s="175"/>
      <c r="AF19" s="174">
        <v>0</v>
      </c>
      <c r="AG19" s="175"/>
      <c r="AH19" s="174">
        <v>0</v>
      </c>
      <c r="AI19" s="175"/>
      <c r="AJ19" s="174">
        <v>0</v>
      </c>
      <c r="AK19" s="175"/>
      <c r="AL19" s="174">
        <v>0</v>
      </c>
      <c r="AM19" s="175"/>
      <c r="AN19" s="174">
        <v>0</v>
      </c>
      <c r="AO19" s="175"/>
      <c r="AP19" s="174"/>
      <c r="AQ19" s="175"/>
      <c r="AR19" s="174"/>
      <c r="AS19" s="175"/>
      <c r="AT19" s="174">
        <v>0</v>
      </c>
      <c r="AU19" s="175"/>
      <c r="AV19" s="174">
        <f t="shared" si="0"/>
        <v>506</v>
      </c>
      <c r="AW19" s="601" t="s">
        <v>214</v>
      </c>
      <c r="AX19" s="602"/>
      <c r="AY19" s="586">
        <f>SUM(AV69:AV70)</f>
        <v>153654</v>
      </c>
      <c r="AZ19" s="574"/>
      <c r="BA19" s="575"/>
      <c r="BB19" s="575"/>
      <c r="BC19" s="576"/>
    </row>
    <row r="20" spans="1:55" ht="20.100000000000001" customHeight="1">
      <c r="A20" s="569"/>
      <c r="B20" s="173" t="s">
        <v>215</v>
      </c>
      <c r="D20" s="174">
        <v>0</v>
      </c>
      <c r="E20" s="172"/>
      <c r="F20" s="174">
        <v>0</v>
      </c>
      <c r="H20" s="174"/>
      <c r="I20" s="172"/>
      <c r="J20" s="174">
        <v>10673</v>
      </c>
      <c r="K20" s="175"/>
      <c r="L20" s="174">
        <v>0</v>
      </c>
      <c r="M20" s="175"/>
      <c r="N20" s="174">
        <v>0</v>
      </c>
      <c r="O20" s="175"/>
      <c r="P20" s="174">
        <v>0</v>
      </c>
      <c r="Q20" s="175"/>
      <c r="R20" s="174">
        <v>0</v>
      </c>
      <c r="S20" s="175"/>
      <c r="T20" s="174">
        <v>0</v>
      </c>
      <c r="U20" s="175"/>
      <c r="V20" s="174">
        <v>0</v>
      </c>
      <c r="W20" s="175"/>
      <c r="X20" s="174">
        <v>0</v>
      </c>
      <c r="Y20" s="175"/>
      <c r="Z20" s="174">
        <v>0</v>
      </c>
      <c r="AA20" s="175"/>
      <c r="AB20" s="174">
        <v>0</v>
      </c>
      <c r="AC20" s="175"/>
      <c r="AD20" s="174">
        <v>0</v>
      </c>
      <c r="AE20" s="175"/>
      <c r="AF20" s="174">
        <v>0</v>
      </c>
      <c r="AG20" s="175"/>
      <c r="AH20" s="174">
        <v>0</v>
      </c>
      <c r="AI20" s="175"/>
      <c r="AJ20" s="174">
        <v>0</v>
      </c>
      <c r="AK20" s="175"/>
      <c r="AL20" s="174">
        <v>0</v>
      </c>
      <c r="AM20" s="175"/>
      <c r="AN20" s="174">
        <v>10154</v>
      </c>
      <c r="AO20" s="175"/>
      <c r="AP20" s="174"/>
      <c r="AQ20" s="175"/>
      <c r="AR20" s="174"/>
      <c r="AS20" s="175"/>
      <c r="AT20" s="174">
        <v>0</v>
      </c>
      <c r="AU20" s="175"/>
      <c r="AV20" s="174">
        <f t="shared" si="0"/>
        <v>20827</v>
      </c>
      <c r="AW20" s="603"/>
      <c r="AX20" s="604"/>
      <c r="AY20" s="580"/>
      <c r="AZ20" s="574"/>
      <c r="BA20" s="575"/>
      <c r="BB20" s="575"/>
      <c r="BC20" s="576"/>
    </row>
    <row r="21" spans="1:55" ht="20.100000000000001" customHeight="1">
      <c r="A21" s="569"/>
      <c r="B21" s="173" t="s">
        <v>168</v>
      </c>
      <c r="D21" s="174">
        <v>0</v>
      </c>
      <c r="E21" s="172"/>
      <c r="F21" s="174">
        <v>385212</v>
      </c>
      <c r="H21" s="174">
        <v>14451</v>
      </c>
      <c r="I21" s="172"/>
      <c r="J21" s="174">
        <v>324706</v>
      </c>
      <c r="K21" s="175"/>
      <c r="L21" s="174">
        <v>6875</v>
      </c>
      <c r="M21" s="175"/>
      <c r="N21" s="174">
        <v>0</v>
      </c>
      <c r="O21" s="175"/>
      <c r="P21" s="174">
        <v>137239</v>
      </c>
      <c r="Q21" s="175"/>
      <c r="R21" s="174">
        <v>0</v>
      </c>
      <c r="S21" s="175"/>
      <c r="T21" s="174">
        <v>0</v>
      </c>
      <c r="U21" s="175"/>
      <c r="V21" s="174">
        <v>688504</v>
      </c>
      <c r="W21" s="175"/>
      <c r="X21" s="174">
        <v>0</v>
      </c>
      <c r="Y21" s="175"/>
      <c r="Z21" s="174">
        <v>303091</v>
      </c>
      <c r="AA21" s="175"/>
      <c r="AB21" s="174">
        <v>3308</v>
      </c>
      <c r="AC21" s="175"/>
      <c r="AD21" s="174">
        <v>0</v>
      </c>
      <c r="AE21" s="175"/>
      <c r="AF21" s="174">
        <v>0</v>
      </c>
      <c r="AG21" s="175"/>
      <c r="AH21" s="174">
        <v>133622</v>
      </c>
      <c r="AI21" s="175"/>
      <c r="AJ21" s="174">
        <v>3573</v>
      </c>
      <c r="AK21" s="175"/>
      <c r="AL21" s="174">
        <v>24861</v>
      </c>
      <c r="AM21" s="175"/>
      <c r="AN21" s="174">
        <v>0</v>
      </c>
      <c r="AO21" s="175"/>
      <c r="AP21" s="174"/>
      <c r="AQ21" s="175"/>
      <c r="AR21" s="174"/>
      <c r="AS21" s="175"/>
      <c r="AT21" s="174">
        <v>0</v>
      </c>
      <c r="AU21" s="175"/>
      <c r="AV21" s="174">
        <f t="shared" si="0"/>
        <v>2025442</v>
      </c>
      <c r="AW21" s="582" t="s">
        <v>216</v>
      </c>
      <c r="AX21" s="583"/>
      <c r="AY21" s="586">
        <f>SUM(AV71:AV72)</f>
        <v>1615411</v>
      </c>
      <c r="AZ21" s="574"/>
      <c r="BA21" s="575"/>
      <c r="BB21" s="575"/>
      <c r="BC21" s="576"/>
    </row>
    <row r="22" spans="1:55" ht="20.100000000000001" customHeight="1">
      <c r="A22" s="569"/>
      <c r="B22" s="173" t="s">
        <v>49</v>
      </c>
      <c r="D22" s="174">
        <v>0</v>
      </c>
      <c r="E22" s="172"/>
      <c r="F22" s="174">
        <v>3198410</v>
      </c>
      <c r="H22" s="174">
        <v>306830</v>
      </c>
      <c r="I22" s="172"/>
      <c r="J22" s="174">
        <v>881301</v>
      </c>
      <c r="K22" s="175"/>
      <c r="L22" s="174">
        <v>1162726</v>
      </c>
      <c r="M22" s="175"/>
      <c r="N22" s="174">
        <v>0</v>
      </c>
      <c r="O22" s="175"/>
      <c r="P22" s="174">
        <v>1979317</v>
      </c>
      <c r="Q22" s="175"/>
      <c r="R22" s="174">
        <v>0</v>
      </c>
      <c r="S22" s="175"/>
      <c r="T22" s="174">
        <v>250167</v>
      </c>
      <c r="U22" s="175"/>
      <c r="V22" s="174">
        <v>2304197</v>
      </c>
      <c r="W22" s="175"/>
      <c r="X22" s="174">
        <v>37090</v>
      </c>
      <c r="Y22" s="175"/>
      <c r="Z22" s="174">
        <v>2071978</v>
      </c>
      <c r="AA22" s="175"/>
      <c r="AB22" s="174">
        <v>135155</v>
      </c>
      <c r="AC22" s="175"/>
      <c r="AD22" s="174">
        <v>733167</v>
      </c>
      <c r="AE22" s="175"/>
      <c r="AF22" s="174">
        <v>1803384</v>
      </c>
      <c r="AG22" s="175"/>
      <c r="AH22" s="174">
        <v>2982546</v>
      </c>
      <c r="AI22" s="175"/>
      <c r="AJ22" s="174">
        <v>607606</v>
      </c>
      <c r="AK22" s="175"/>
      <c r="AL22" s="174">
        <v>532122</v>
      </c>
      <c r="AM22" s="175"/>
      <c r="AN22" s="174">
        <v>32756</v>
      </c>
      <c r="AO22" s="175"/>
      <c r="AP22" s="174"/>
      <c r="AQ22" s="175"/>
      <c r="AR22" s="174"/>
      <c r="AS22" s="175"/>
      <c r="AT22" s="174">
        <v>180000</v>
      </c>
      <c r="AU22" s="175"/>
      <c r="AV22" s="174">
        <f t="shared" si="0"/>
        <v>19018752</v>
      </c>
      <c r="AW22" s="584"/>
      <c r="AX22" s="585"/>
      <c r="AY22" s="580"/>
      <c r="AZ22" s="574"/>
      <c r="BA22" s="575"/>
      <c r="BB22" s="575"/>
      <c r="BC22" s="576"/>
    </row>
    <row r="23" spans="1:55" ht="20.100000000000001" customHeight="1">
      <c r="A23" s="569"/>
      <c r="B23" s="173" t="s">
        <v>45</v>
      </c>
      <c r="D23" s="174">
        <v>0</v>
      </c>
      <c r="E23" s="172"/>
      <c r="F23" s="174">
        <v>3606288</v>
      </c>
      <c r="H23" s="174">
        <v>233010</v>
      </c>
      <c r="I23" s="172"/>
      <c r="J23" s="174">
        <v>3866312</v>
      </c>
      <c r="K23" s="175"/>
      <c r="L23" s="174">
        <v>1259582</v>
      </c>
      <c r="M23" s="175"/>
      <c r="N23" s="174">
        <v>0</v>
      </c>
      <c r="O23" s="175"/>
      <c r="P23" s="174">
        <v>815305</v>
      </c>
      <c r="Q23" s="175"/>
      <c r="R23" s="174">
        <v>0</v>
      </c>
      <c r="S23" s="175"/>
      <c r="T23" s="174">
        <v>1352053</v>
      </c>
      <c r="U23" s="175"/>
      <c r="V23" s="174">
        <v>1570223</v>
      </c>
      <c r="W23" s="175"/>
      <c r="X23" s="174">
        <v>390489</v>
      </c>
      <c r="Y23" s="175"/>
      <c r="Z23" s="174">
        <v>572630</v>
      </c>
      <c r="AA23" s="175"/>
      <c r="AB23" s="174">
        <v>197286</v>
      </c>
      <c r="AC23" s="175"/>
      <c r="AD23" s="174">
        <v>271156</v>
      </c>
      <c r="AE23" s="175"/>
      <c r="AF23" s="174">
        <v>236697</v>
      </c>
      <c r="AG23" s="175"/>
      <c r="AH23" s="174">
        <v>706582</v>
      </c>
      <c r="AI23" s="175"/>
      <c r="AJ23" s="174">
        <v>318881</v>
      </c>
      <c r="AK23" s="175"/>
      <c r="AL23" s="174">
        <v>1285581</v>
      </c>
      <c r="AM23" s="175"/>
      <c r="AN23" s="174">
        <v>321132</v>
      </c>
      <c r="AO23" s="175"/>
      <c r="AP23" s="174"/>
      <c r="AQ23" s="175"/>
      <c r="AR23" s="174"/>
      <c r="AS23" s="175"/>
      <c r="AT23" s="174">
        <v>182860</v>
      </c>
      <c r="AU23" s="175"/>
      <c r="AV23" s="174">
        <f t="shared" si="0"/>
        <v>17003207</v>
      </c>
      <c r="AW23" s="582" t="s">
        <v>217</v>
      </c>
      <c r="AX23" s="583"/>
      <c r="AY23" s="586">
        <f>SUM(AV73:AV74)</f>
        <v>1174237</v>
      </c>
      <c r="AZ23" s="574"/>
      <c r="BA23" s="575"/>
      <c r="BB23" s="575"/>
      <c r="BC23" s="576"/>
    </row>
    <row r="24" spans="1:55" ht="21">
      <c r="A24" s="569"/>
      <c r="B24" s="173" t="s">
        <v>47</v>
      </c>
      <c r="D24" s="174">
        <v>0</v>
      </c>
      <c r="E24" s="172"/>
      <c r="F24" s="174">
        <v>5936</v>
      </c>
      <c r="H24" s="174">
        <v>3508</v>
      </c>
      <c r="I24" s="172"/>
      <c r="J24" s="174">
        <v>16683</v>
      </c>
      <c r="K24" s="175"/>
      <c r="L24" s="174">
        <v>35261</v>
      </c>
      <c r="M24" s="175"/>
      <c r="N24" s="174">
        <v>0</v>
      </c>
      <c r="O24" s="175"/>
      <c r="P24" s="174">
        <v>492986</v>
      </c>
      <c r="Q24" s="175"/>
      <c r="R24" s="174">
        <v>0</v>
      </c>
      <c r="S24" s="175"/>
      <c r="T24" s="174">
        <v>1372</v>
      </c>
      <c r="U24" s="175"/>
      <c r="V24" s="174">
        <v>840</v>
      </c>
      <c r="W24" s="175"/>
      <c r="X24" s="174">
        <v>4423</v>
      </c>
      <c r="Y24" s="175"/>
      <c r="Z24" s="174">
        <v>2340</v>
      </c>
      <c r="AA24" s="175"/>
      <c r="AB24" s="174">
        <v>1719</v>
      </c>
      <c r="AC24" s="175"/>
      <c r="AD24" s="174">
        <v>37453</v>
      </c>
      <c r="AE24" s="175"/>
      <c r="AF24" s="174">
        <v>2782</v>
      </c>
      <c r="AG24" s="175"/>
      <c r="AH24" s="174">
        <v>35772</v>
      </c>
      <c r="AI24" s="175"/>
      <c r="AJ24" s="174">
        <v>2764</v>
      </c>
      <c r="AK24" s="175"/>
      <c r="AL24" s="174">
        <v>1216</v>
      </c>
      <c r="AM24" s="175"/>
      <c r="AN24" s="174">
        <v>11419</v>
      </c>
      <c r="AO24" s="175"/>
      <c r="AP24" s="174"/>
      <c r="AQ24" s="175"/>
      <c r="AR24" s="174"/>
      <c r="AS24" s="175"/>
      <c r="AT24" s="174">
        <v>8964</v>
      </c>
      <c r="AU24" s="175"/>
      <c r="AV24" s="174">
        <f t="shared" si="0"/>
        <v>656474</v>
      </c>
      <c r="AW24" s="584"/>
      <c r="AX24" s="585"/>
      <c r="AY24" s="580"/>
      <c r="AZ24" s="574"/>
      <c r="BA24" s="575"/>
      <c r="BB24" s="575"/>
      <c r="BC24" s="576"/>
    </row>
    <row r="25" spans="1:55" ht="21" customHeight="1">
      <c r="A25" s="569"/>
      <c r="B25" s="176" t="s">
        <v>169</v>
      </c>
      <c r="D25" s="177">
        <v>0</v>
      </c>
      <c r="E25" s="172"/>
      <c r="F25" s="177">
        <v>6987</v>
      </c>
      <c r="H25" s="177"/>
      <c r="I25" s="172"/>
      <c r="J25" s="177">
        <v>7493</v>
      </c>
      <c r="K25" s="175"/>
      <c r="L25" s="177">
        <v>485968</v>
      </c>
      <c r="M25" s="175"/>
      <c r="N25" s="177">
        <v>0</v>
      </c>
      <c r="O25" s="175"/>
      <c r="P25" s="177">
        <v>42592</v>
      </c>
      <c r="Q25" s="175"/>
      <c r="R25" s="177">
        <v>0</v>
      </c>
      <c r="S25" s="175"/>
      <c r="T25" s="177">
        <v>0</v>
      </c>
      <c r="U25" s="175"/>
      <c r="V25" s="177">
        <v>0</v>
      </c>
      <c r="W25" s="175"/>
      <c r="X25" s="177">
        <v>0</v>
      </c>
      <c r="Y25" s="175"/>
      <c r="Z25" s="177">
        <v>90446</v>
      </c>
      <c r="AA25" s="175"/>
      <c r="AB25" s="177">
        <v>0</v>
      </c>
      <c r="AC25" s="175"/>
      <c r="AD25" s="177">
        <v>0</v>
      </c>
      <c r="AE25" s="175"/>
      <c r="AF25" s="177">
        <v>8207</v>
      </c>
      <c r="AG25" s="175"/>
      <c r="AH25" s="177">
        <v>0</v>
      </c>
      <c r="AI25" s="175"/>
      <c r="AJ25" s="177">
        <v>14312</v>
      </c>
      <c r="AK25" s="175"/>
      <c r="AL25" s="177">
        <v>3750</v>
      </c>
      <c r="AM25" s="175"/>
      <c r="AN25" s="177">
        <v>11939</v>
      </c>
      <c r="AO25" s="175"/>
      <c r="AP25" s="177"/>
      <c r="AQ25" s="175"/>
      <c r="AR25" s="177"/>
      <c r="AS25" s="175"/>
      <c r="AT25" s="177">
        <v>0</v>
      </c>
      <c r="AU25" s="175"/>
      <c r="AV25" s="177">
        <f t="shared" si="0"/>
        <v>671694</v>
      </c>
      <c r="AW25" s="605" t="s">
        <v>218</v>
      </c>
      <c r="AX25" s="606"/>
      <c r="AY25" s="172">
        <v>11168001</v>
      </c>
      <c r="AZ25" s="574"/>
      <c r="BA25" s="575"/>
      <c r="BB25" s="575"/>
      <c r="BC25" s="576"/>
    </row>
    <row r="26" spans="1:55" ht="24.75" customHeight="1" thickBot="1">
      <c r="A26" s="569"/>
      <c r="B26" s="178" t="s">
        <v>34</v>
      </c>
      <c r="D26" s="179">
        <f>SUM(D11:D25)</f>
        <v>0</v>
      </c>
      <c r="E26" s="172"/>
      <c r="F26" s="179">
        <f>SUM(F11:F25)</f>
        <v>20239363</v>
      </c>
      <c r="H26" s="179">
        <f>SUM(H11:H25)</f>
        <v>2545662</v>
      </c>
      <c r="I26" s="172"/>
      <c r="J26" s="179">
        <f>SUM(J11:J25)</f>
        <v>13735620</v>
      </c>
      <c r="K26" s="180"/>
      <c r="L26" s="179">
        <f>SUM(L11:L25)</f>
        <v>12733577</v>
      </c>
      <c r="M26" s="180"/>
      <c r="N26" s="179">
        <f>SUM(N11:N25)</f>
        <v>0</v>
      </c>
      <c r="O26" s="180"/>
      <c r="P26" s="179">
        <f>SUM(P11:P25)</f>
        <v>14312022</v>
      </c>
      <c r="Q26" s="180"/>
      <c r="R26" s="179">
        <f>SUM(R11:R25)</f>
        <v>0</v>
      </c>
      <c r="S26" s="180"/>
      <c r="T26" s="179">
        <f>SUM(T11:T25)</f>
        <v>4616683</v>
      </c>
      <c r="U26" s="180"/>
      <c r="V26" s="179">
        <f>SUM(V11:V25)</f>
        <v>11025167</v>
      </c>
      <c r="W26" s="180"/>
      <c r="X26" s="179">
        <f>SUM(X11:X25)</f>
        <v>4982016</v>
      </c>
      <c r="Y26" s="180"/>
      <c r="Z26" s="179">
        <f>SUM(Z11:Z25)</f>
        <v>8973713</v>
      </c>
      <c r="AA26" s="180"/>
      <c r="AB26" s="179">
        <f>SUM(AB11:AB25)</f>
        <v>2200381</v>
      </c>
      <c r="AC26" s="180"/>
      <c r="AD26" s="179">
        <f>SUM(AD11:AD25)</f>
        <v>3239370</v>
      </c>
      <c r="AE26" s="180"/>
      <c r="AF26" s="179">
        <f>SUM(AF11:AF25)</f>
        <v>4391408</v>
      </c>
      <c r="AG26" s="180"/>
      <c r="AH26" s="179">
        <f>SUM(AH11:AH25)</f>
        <v>7481005</v>
      </c>
      <c r="AI26" s="180"/>
      <c r="AJ26" s="179">
        <f>SUM(AJ11:AJ25)</f>
        <v>2675092</v>
      </c>
      <c r="AK26" s="180"/>
      <c r="AL26" s="179">
        <f>SUM(AL11:AL25)</f>
        <v>5609024</v>
      </c>
      <c r="AM26" s="180"/>
      <c r="AN26" s="179">
        <f>SUM(AN11:AN25)</f>
        <v>2677206</v>
      </c>
      <c r="AO26" s="180"/>
      <c r="AP26" s="179">
        <f>SUM(AP11:AP25)</f>
        <v>0</v>
      </c>
      <c r="AQ26" s="180"/>
      <c r="AR26" s="179">
        <f>SUM(AR11:AR25)</f>
        <v>0</v>
      </c>
      <c r="AS26" s="180"/>
      <c r="AT26" s="179">
        <f>SUM(AT11:AT25)</f>
        <v>716524</v>
      </c>
      <c r="AU26" s="180"/>
      <c r="AV26" s="179">
        <f t="shared" si="0"/>
        <v>121437309</v>
      </c>
      <c r="AW26" s="607" t="s">
        <v>219</v>
      </c>
      <c r="AX26" s="608"/>
      <c r="AY26" s="258">
        <v>9256993</v>
      </c>
      <c r="AZ26" s="577"/>
      <c r="BA26" s="578"/>
      <c r="BB26" s="578"/>
      <c r="BC26" s="579"/>
    </row>
    <row r="27" spans="1:55" ht="21.75" thickTop="1">
      <c r="A27" s="569"/>
      <c r="B27" s="181" t="s">
        <v>67</v>
      </c>
      <c r="D27" s="175"/>
      <c r="E27" s="172"/>
      <c r="F27" s="175"/>
      <c r="H27" s="175"/>
      <c r="I27" s="172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>
        <f t="shared" si="0"/>
        <v>0</v>
      </c>
      <c r="AW27" s="571"/>
      <c r="AX27" s="572"/>
      <c r="AY27" s="573"/>
      <c r="AZ27" s="580">
        <f>AY19+AY21+AY23</f>
        <v>2943302</v>
      </c>
      <c r="BA27" s="580">
        <v>53419030</v>
      </c>
      <c r="BB27" s="580">
        <v>29302357</v>
      </c>
      <c r="BC27" s="580">
        <v>2245737</v>
      </c>
    </row>
    <row r="28" spans="1:55" ht="21">
      <c r="A28" s="569"/>
      <c r="B28" s="173" t="s">
        <v>63</v>
      </c>
      <c r="D28" s="174">
        <v>0</v>
      </c>
      <c r="E28" s="172"/>
      <c r="F28" s="174">
        <v>350592</v>
      </c>
      <c r="H28" s="174">
        <v>59715</v>
      </c>
      <c r="I28" s="172"/>
      <c r="J28" s="174">
        <v>456450</v>
      </c>
      <c r="K28" s="175"/>
      <c r="L28" s="174">
        <v>577647</v>
      </c>
      <c r="M28" s="175"/>
      <c r="N28" s="174">
        <v>0</v>
      </c>
      <c r="O28" s="175"/>
      <c r="P28" s="174">
        <v>437650</v>
      </c>
      <c r="Q28" s="175"/>
      <c r="R28" s="174">
        <v>0</v>
      </c>
      <c r="S28" s="175"/>
      <c r="T28" s="174">
        <v>137948</v>
      </c>
      <c r="U28" s="175"/>
      <c r="V28" s="174">
        <v>134999</v>
      </c>
      <c r="W28" s="175"/>
      <c r="X28" s="174">
        <v>626950</v>
      </c>
      <c r="Y28" s="175"/>
      <c r="Z28" s="174">
        <v>0</v>
      </c>
      <c r="AA28" s="175"/>
      <c r="AB28" s="174">
        <v>1483387</v>
      </c>
      <c r="AC28" s="175"/>
      <c r="AD28" s="174">
        <v>104765</v>
      </c>
      <c r="AE28" s="175"/>
      <c r="AF28" s="174">
        <v>85742</v>
      </c>
      <c r="AG28" s="175"/>
      <c r="AH28" s="174">
        <v>46987</v>
      </c>
      <c r="AI28" s="175"/>
      <c r="AJ28" s="174">
        <v>38728</v>
      </c>
      <c r="AK28" s="175"/>
      <c r="AL28" s="174">
        <v>155161</v>
      </c>
      <c r="AM28" s="175"/>
      <c r="AN28" s="174">
        <v>136820</v>
      </c>
      <c r="AO28" s="175"/>
      <c r="AP28" s="174"/>
      <c r="AQ28" s="175"/>
      <c r="AR28" s="174"/>
      <c r="AS28" s="175"/>
      <c r="AT28" s="174">
        <v>70</v>
      </c>
      <c r="AU28" s="175"/>
      <c r="AV28" s="174">
        <f t="shared" si="0"/>
        <v>4833541</v>
      </c>
      <c r="AW28" s="574"/>
      <c r="AX28" s="575"/>
      <c r="AY28" s="576"/>
      <c r="AZ28" s="581"/>
      <c r="BA28" s="581"/>
      <c r="BB28" s="581"/>
      <c r="BC28" s="581"/>
    </row>
    <row r="29" spans="1:55" ht="21">
      <c r="A29" s="569"/>
      <c r="B29" s="173" t="s">
        <v>220</v>
      </c>
      <c r="D29" s="174">
        <v>0</v>
      </c>
      <c r="E29" s="172"/>
      <c r="F29" s="174">
        <v>0</v>
      </c>
      <c r="H29" s="174">
        <v>0</v>
      </c>
      <c r="I29" s="172"/>
      <c r="J29" s="174">
        <v>0</v>
      </c>
      <c r="K29" s="175"/>
      <c r="L29" s="174">
        <v>0</v>
      </c>
      <c r="M29" s="175"/>
      <c r="N29" s="174">
        <v>0</v>
      </c>
      <c r="O29" s="175"/>
      <c r="P29" s="174">
        <v>0</v>
      </c>
      <c r="Q29" s="175"/>
      <c r="R29" s="174">
        <v>0</v>
      </c>
      <c r="S29" s="175"/>
      <c r="T29" s="174">
        <v>0</v>
      </c>
      <c r="U29" s="175"/>
      <c r="V29" s="174">
        <v>0</v>
      </c>
      <c r="W29" s="175"/>
      <c r="X29" s="174">
        <v>0</v>
      </c>
      <c r="Y29" s="175"/>
      <c r="Z29" s="174">
        <v>0</v>
      </c>
      <c r="AA29" s="175"/>
      <c r="AB29" s="174">
        <v>0</v>
      </c>
      <c r="AC29" s="175"/>
      <c r="AD29" s="174">
        <v>0</v>
      </c>
      <c r="AE29" s="175"/>
      <c r="AF29" s="174">
        <v>0</v>
      </c>
      <c r="AG29" s="175"/>
      <c r="AH29" s="174">
        <v>0</v>
      </c>
      <c r="AI29" s="175"/>
      <c r="AJ29" s="174">
        <v>74103</v>
      </c>
      <c r="AK29" s="175"/>
      <c r="AL29" s="174">
        <v>0</v>
      </c>
      <c r="AM29" s="175"/>
      <c r="AN29" s="174">
        <v>0</v>
      </c>
      <c r="AO29" s="175"/>
      <c r="AP29" s="174"/>
      <c r="AQ29" s="175"/>
      <c r="AR29" s="174"/>
      <c r="AS29" s="175"/>
      <c r="AT29" s="174"/>
      <c r="AU29" s="175"/>
      <c r="AV29" s="174">
        <f t="shared" si="0"/>
        <v>74103</v>
      </c>
      <c r="AW29" s="574"/>
      <c r="AX29" s="575"/>
      <c r="AY29" s="576"/>
      <c r="AZ29" s="581"/>
      <c r="BA29" s="581"/>
      <c r="BB29" s="581"/>
      <c r="BC29" s="581"/>
    </row>
    <row r="30" spans="1:55" ht="21">
      <c r="A30" s="569"/>
      <c r="B30" s="173" t="s">
        <v>170</v>
      </c>
      <c r="D30" s="174">
        <v>0</v>
      </c>
      <c r="E30" s="172"/>
      <c r="F30" s="174">
        <v>85706</v>
      </c>
      <c r="H30" s="174">
        <v>160165</v>
      </c>
      <c r="I30" s="172"/>
      <c r="J30" s="174">
        <v>64698</v>
      </c>
      <c r="K30" s="175"/>
      <c r="L30" s="174">
        <v>434848</v>
      </c>
      <c r="M30" s="175"/>
      <c r="N30" s="174">
        <v>0</v>
      </c>
      <c r="O30" s="175"/>
      <c r="P30" s="174">
        <v>1205138</v>
      </c>
      <c r="Q30" s="175"/>
      <c r="R30" s="174">
        <v>0</v>
      </c>
      <c r="S30" s="175"/>
      <c r="T30" s="174">
        <v>137336</v>
      </c>
      <c r="U30" s="175"/>
      <c r="V30" s="174">
        <v>348673</v>
      </c>
      <c r="W30" s="175"/>
      <c r="X30" s="174">
        <v>151091</v>
      </c>
      <c r="Y30" s="175"/>
      <c r="Z30" s="174">
        <v>940484</v>
      </c>
      <c r="AA30" s="175"/>
      <c r="AB30" s="174">
        <v>49201</v>
      </c>
      <c r="AC30" s="175"/>
      <c r="AD30" s="174">
        <v>119755</v>
      </c>
      <c r="AE30" s="175"/>
      <c r="AF30" s="174">
        <v>209142</v>
      </c>
      <c r="AG30" s="175"/>
      <c r="AH30" s="174">
        <v>438631</v>
      </c>
      <c r="AI30" s="175"/>
      <c r="AJ30" s="174">
        <v>3980</v>
      </c>
      <c r="AK30" s="175"/>
      <c r="AL30" s="174">
        <v>268452</v>
      </c>
      <c r="AM30" s="175"/>
      <c r="AN30" s="174">
        <v>109842</v>
      </c>
      <c r="AO30" s="175"/>
      <c r="AP30" s="174"/>
      <c r="AQ30" s="175"/>
      <c r="AR30" s="174"/>
      <c r="AS30" s="175"/>
      <c r="AT30" s="174">
        <v>92445</v>
      </c>
      <c r="AU30" s="175"/>
      <c r="AV30" s="174">
        <f t="shared" si="0"/>
        <v>4727142</v>
      </c>
      <c r="AW30" s="574"/>
      <c r="AX30" s="575"/>
      <c r="AY30" s="576"/>
      <c r="AZ30" s="581"/>
      <c r="BA30" s="581"/>
      <c r="BB30" s="581"/>
      <c r="BC30" s="581"/>
    </row>
    <row r="31" spans="1:55" ht="21">
      <c r="A31" s="569"/>
      <c r="B31" s="173" t="s">
        <v>171</v>
      </c>
      <c r="D31" s="174">
        <v>0</v>
      </c>
      <c r="E31" s="172"/>
      <c r="F31" s="174">
        <v>2855276</v>
      </c>
      <c r="H31" s="174">
        <v>310521</v>
      </c>
      <c r="I31" s="172"/>
      <c r="J31" s="174">
        <v>538335</v>
      </c>
      <c r="K31" s="175"/>
      <c r="L31" s="174">
        <v>1569632</v>
      </c>
      <c r="M31" s="175"/>
      <c r="N31" s="174">
        <v>0</v>
      </c>
      <c r="O31" s="175"/>
      <c r="P31" s="174">
        <v>2239479</v>
      </c>
      <c r="Q31" s="175"/>
      <c r="R31" s="174">
        <v>0</v>
      </c>
      <c r="S31" s="175"/>
      <c r="T31" s="174">
        <v>553838</v>
      </c>
      <c r="U31" s="175"/>
      <c r="V31" s="174">
        <v>235294</v>
      </c>
      <c r="W31" s="175"/>
      <c r="X31" s="174">
        <v>516260</v>
      </c>
      <c r="Y31" s="175"/>
      <c r="Z31" s="174">
        <v>965971</v>
      </c>
      <c r="AA31" s="175"/>
      <c r="AB31" s="174">
        <v>466009</v>
      </c>
      <c r="AC31" s="175"/>
      <c r="AD31" s="174">
        <v>243682</v>
      </c>
      <c r="AE31" s="175"/>
      <c r="AF31" s="174">
        <v>346404</v>
      </c>
      <c r="AG31" s="175"/>
      <c r="AH31" s="174">
        <v>524758</v>
      </c>
      <c r="AI31" s="175"/>
      <c r="AJ31" s="174">
        <v>131129</v>
      </c>
      <c r="AK31" s="175"/>
      <c r="AL31" s="174">
        <v>658584</v>
      </c>
      <c r="AM31" s="175"/>
      <c r="AN31" s="174">
        <v>277512</v>
      </c>
      <c r="AO31" s="175"/>
      <c r="AP31" s="174"/>
      <c r="AQ31" s="175"/>
      <c r="AR31" s="174"/>
      <c r="AS31" s="175"/>
      <c r="AT31" s="174">
        <v>58983</v>
      </c>
      <c r="AU31" s="175"/>
      <c r="AV31" s="174">
        <f t="shared" si="0"/>
        <v>12432684</v>
      </c>
      <c r="AW31" s="574"/>
      <c r="AX31" s="575"/>
      <c r="AY31" s="576"/>
      <c r="AZ31" s="581"/>
      <c r="BA31" s="581"/>
      <c r="BB31" s="581"/>
      <c r="BC31" s="581"/>
    </row>
    <row r="32" spans="1:55" ht="21">
      <c r="A32" s="569"/>
      <c r="B32" s="173" t="s">
        <v>172</v>
      </c>
      <c r="D32" s="174">
        <v>0</v>
      </c>
      <c r="E32" s="172"/>
      <c r="F32" s="174">
        <v>8889</v>
      </c>
      <c r="H32" s="174">
        <v>10826</v>
      </c>
      <c r="I32" s="172"/>
      <c r="J32" s="174">
        <v>8679</v>
      </c>
      <c r="K32" s="175"/>
      <c r="L32" s="174">
        <v>22015</v>
      </c>
      <c r="M32" s="175"/>
      <c r="N32" s="174">
        <v>0</v>
      </c>
      <c r="O32" s="175"/>
      <c r="P32" s="174">
        <v>89425</v>
      </c>
      <c r="Q32" s="175"/>
      <c r="R32" s="174">
        <v>0</v>
      </c>
      <c r="S32" s="175"/>
      <c r="T32" s="174">
        <v>0</v>
      </c>
      <c r="U32" s="175"/>
      <c r="V32" s="174">
        <v>3141</v>
      </c>
      <c r="W32" s="175"/>
      <c r="X32" s="174">
        <v>0</v>
      </c>
      <c r="Y32" s="175"/>
      <c r="Z32" s="174">
        <v>80352</v>
      </c>
      <c r="AA32" s="175"/>
      <c r="AB32" s="174">
        <v>51049</v>
      </c>
      <c r="AC32" s="175"/>
      <c r="AD32" s="174">
        <v>0</v>
      </c>
      <c r="AE32" s="175"/>
      <c r="AF32" s="174">
        <v>0</v>
      </c>
      <c r="AG32" s="175"/>
      <c r="AH32" s="174">
        <v>11518</v>
      </c>
      <c r="AI32" s="175"/>
      <c r="AJ32" s="174">
        <v>0</v>
      </c>
      <c r="AK32" s="175"/>
      <c r="AL32" s="174">
        <v>19974</v>
      </c>
      <c r="AM32" s="175"/>
      <c r="AN32" s="174">
        <v>2412</v>
      </c>
      <c r="AO32" s="175"/>
      <c r="AP32" s="174"/>
      <c r="AQ32" s="175"/>
      <c r="AR32" s="174"/>
      <c r="AS32" s="175"/>
      <c r="AT32" s="174">
        <v>0</v>
      </c>
      <c r="AU32" s="175"/>
      <c r="AV32" s="174">
        <f t="shared" si="0"/>
        <v>308280</v>
      </c>
      <c r="AW32" s="574"/>
      <c r="AX32" s="575"/>
      <c r="AY32" s="576"/>
      <c r="AZ32" s="581"/>
      <c r="BA32" s="581"/>
      <c r="BB32" s="581"/>
      <c r="BC32" s="581"/>
    </row>
    <row r="33" spans="1:55" ht="112.5">
      <c r="A33" s="569"/>
      <c r="B33" s="173" t="s">
        <v>221</v>
      </c>
      <c r="D33" s="174">
        <v>0</v>
      </c>
      <c r="E33" s="172"/>
      <c r="F33" s="174">
        <v>0</v>
      </c>
      <c r="H33" s="174"/>
      <c r="I33" s="172"/>
      <c r="J33" s="174">
        <v>0</v>
      </c>
      <c r="K33" s="175"/>
      <c r="L33" s="174">
        <v>0</v>
      </c>
      <c r="M33" s="175"/>
      <c r="N33" s="174">
        <v>0</v>
      </c>
      <c r="O33" s="175"/>
      <c r="P33" s="174">
        <v>0</v>
      </c>
      <c r="Q33" s="175"/>
      <c r="R33" s="174">
        <v>0</v>
      </c>
      <c r="S33" s="175"/>
      <c r="T33" s="174">
        <v>0</v>
      </c>
      <c r="U33" s="175"/>
      <c r="V33" s="174">
        <v>0</v>
      </c>
      <c r="W33" s="175"/>
      <c r="X33" s="174">
        <v>0</v>
      </c>
      <c r="Y33" s="175"/>
      <c r="Z33" s="174">
        <v>0</v>
      </c>
      <c r="AA33" s="175"/>
      <c r="AB33" s="174">
        <v>0</v>
      </c>
      <c r="AC33" s="175"/>
      <c r="AD33" s="174">
        <v>0</v>
      </c>
      <c r="AE33" s="175"/>
      <c r="AF33" s="174">
        <v>0</v>
      </c>
      <c r="AG33" s="175"/>
      <c r="AH33" s="174">
        <v>0</v>
      </c>
      <c r="AI33" s="175"/>
      <c r="AJ33" s="174">
        <v>0</v>
      </c>
      <c r="AK33" s="175"/>
      <c r="AL33" s="174">
        <v>0</v>
      </c>
      <c r="AM33" s="175"/>
      <c r="AN33" s="174">
        <v>59287</v>
      </c>
      <c r="AO33" s="175"/>
      <c r="AP33" s="174"/>
      <c r="AQ33" s="175"/>
      <c r="AR33" s="174"/>
      <c r="AS33" s="175"/>
      <c r="AT33" s="174">
        <v>0</v>
      </c>
      <c r="AU33" s="175"/>
      <c r="AV33" s="174">
        <f t="shared" si="0"/>
        <v>59287</v>
      </c>
      <c r="AW33" s="574"/>
      <c r="AX33" s="575"/>
      <c r="AY33" s="576"/>
      <c r="AZ33" s="259" t="s">
        <v>222</v>
      </c>
      <c r="BA33" s="260">
        <f>BA27/($AV$26-$AV$17)</f>
        <v>0.5381686579873054</v>
      </c>
      <c r="BB33" s="260">
        <f>BB27/($AV$26-$AV$17)</f>
        <v>0.29520584972349595</v>
      </c>
      <c r="BC33" s="261"/>
    </row>
    <row r="34" spans="1:55" ht="75">
      <c r="A34" s="569"/>
      <c r="B34" s="173" t="s">
        <v>223</v>
      </c>
      <c r="D34" s="174">
        <v>0</v>
      </c>
      <c r="E34" s="172"/>
      <c r="F34" s="174">
        <v>0</v>
      </c>
      <c r="H34" s="174"/>
      <c r="I34" s="172"/>
      <c r="J34" s="174">
        <v>0</v>
      </c>
      <c r="K34" s="175"/>
      <c r="L34" s="174">
        <v>0</v>
      </c>
      <c r="M34" s="175"/>
      <c r="N34" s="174">
        <v>0</v>
      </c>
      <c r="O34" s="175"/>
      <c r="P34" s="174">
        <v>0</v>
      </c>
      <c r="Q34" s="175"/>
      <c r="R34" s="174">
        <v>0</v>
      </c>
      <c r="S34" s="175"/>
      <c r="T34" s="174">
        <v>0</v>
      </c>
      <c r="U34" s="175"/>
      <c r="V34" s="174">
        <v>0</v>
      </c>
      <c r="W34" s="175"/>
      <c r="X34" s="174">
        <v>0</v>
      </c>
      <c r="Y34" s="175"/>
      <c r="Z34" s="174">
        <v>0</v>
      </c>
      <c r="AA34" s="175"/>
      <c r="AB34" s="174">
        <v>0</v>
      </c>
      <c r="AC34" s="175"/>
      <c r="AD34" s="174">
        <v>0</v>
      </c>
      <c r="AE34" s="175"/>
      <c r="AF34" s="174">
        <v>0</v>
      </c>
      <c r="AG34" s="175"/>
      <c r="AH34" s="174">
        <v>0</v>
      </c>
      <c r="AI34" s="175"/>
      <c r="AJ34" s="174">
        <v>0</v>
      </c>
      <c r="AK34" s="175"/>
      <c r="AL34" s="174">
        <v>0</v>
      </c>
      <c r="AM34" s="175"/>
      <c r="AN34" s="174">
        <v>0</v>
      </c>
      <c r="AO34" s="175"/>
      <c r="AP34" s="174"/>
      <c r="AQ34" s="175"/>
      <c r="AR34" s="174"/>
      <c r="AS34" s="175"/>
      <c r="AT34" s="174">
        <v>0</v>
      </c>
      <c r="AU34" s="175"/>
      <c r="AV34" s="174">
        <f t="shared" si="0"/>
        <v>0</v>
      </c>
      <c r="AW34" s="577"/>
      <c r="AX34" s="578"/>
      <c r="AY34" s="579"/>
      <c r="AZ34" s="262" t="s">
        <v>204</v>
      </c>
      <c r="BA34" s="263"/>
      <c r="BB34" s="264">
        <v>24116673</v>
      </c>
      <c r="BC34" s="263"/>
    </row>
    <row r="35" spans="1:55" ht="21">
      <c r="A35" s="569"/>
      <c r="B35" s="173" t="s">
        <v>55</v>
      </c>
      <c r="D35" s="174">
        <v>0</v>
      </c>
      <c r="E35" s="172"/>
      <c r="F35" s="174">
        <v>7458</v>
      </c>
      <c r="H35" s="174">
        <v>25875</v>
      </c>
      <c r="I35" s="172"/>
      <c r="J35" s="174">
        <v>65</v>
      </c>
      <c r="K35" s="175"/>
      <c r="L35" s="174">
        <v>496</v>
      </c>
      <c r="M35" s="175"/>
      <c r="N35" s="174">
        <v>0</v>
      </c>
      <c r="O35" s="175"/>
      <c r="P35" s="174">
        <v>163670</v>
      </c>
      <c r="Q35" s="175"/>
      <c r="R35" s="174">
        <v>0</v>
      </c>
      <c r="S35" s="175"/>
      <c r="T35" s="174">
        <v>0</v>
      </c>
      <c r="U35" s="175"/>
      <c r="V35" s="174">
        <v>7629</v>
      </c>
      <c r="W35" s="175"/>
      <c r="X35" s="174">
        <v>27772</v>
      </c>
      <c r="Y35" s="175"/>
      <c r="Z35" s="174">
        <v>2857</v>
      </c>
      <c r="AA35" s="175"/>
      <c r="AB35" s="174">
        <v>134267</v>
      </c>
      <c r="AC35" s="175"/>
      <c r="AD35" s="174">
        <v>0</v>
      </c>
      <c r="AE35" s="175"/>
      <c r="AF35" s="174">
        <v>53191</v>
      </c>
      <c r="AG35" s="175"/>
      <c r="AH35" s="174">
        <v>1431</v>
      </c>
      <c r="AI35" s="175"/>
      <c r="AJ35" s="174">
        <v>0</v>
      </c>
      <c r="AK35" s="175"/>
      <c r="AL35" s="174">
        <v>173488</v>
      </c>
      <c r="AM35" s="175"/>
      <c r="AN35" s="174">
        <v>653</v>
      </c>
      <c r="AO35" s="175"/>
      <c r="AP35" s="174"/>
      <c r="AQ35" s="175"/>
      <c r="AR35" s="174"/>
      <c r="AS35" s="175"/>
      <c r="AT35" s="174">
        <v>0</v>
      </c>
      <c r="AU35" s="175"/>
      <c r="AV35" s="174">
        <f t="shared" si="0"/>
        <v>598852</v>
      </c>
    </row>
    <row r="36" spans="1:55" ht="21">
      <c r="A36" s="569"/>
      <c r="B36" s="173" t="s">
        <v>224</v>
      </c>
      <c r="D36" s="174">
        <v>0</v>
      </c>
      <c r="E36" s="172"/>
      <c r="F36" s="174">
        <v>0</v>
      </c>
      <c r="H36" s="174">
        <v>0</v>
      </c>
      <c r="I36" s="172"/>
      <c r="J36" s="174">
        <v>45000</v>
      </c>
      <c r="K36" s="175"/>
      <c r="L36" s="174">
        <v>0</v>
      </c>
      <c r="M36" s="175"/>
      <c r="N36" s="174">
        <v>0</v>
      </c>
      <c r="O36" s="175"/>
      <c r="P36" s="174">
        <v>0</v>
      </c>
      <c r="Q36" s="175"/>
      <c r="R36" s="174">
        <v>0</v>
      </c>
      <c r="S36" s="175"/>
      <c r="T36" s="174">
        <v>128333</v>
      </c>
      <c r="U36" s="175"/>
      <c r="V36" s="174">
        <v>0</v>
      </c>
      <c r="W36" s="175"/>
      <c r="X36" s="174">
        <v>0</v>
      </c>
      <c r="Y36" s="175"/>
      <c r="Z36" s="174">
        <v>50000</v>
      </c>
      <c r="AA36" s="175"/>
      <c r="AB36" s="174">
        <v>200000</v>
      </c>
      <c r="AC36" s="175"/>
      <c r="AD36" s="174">
        <v>50135</v>
      </c>
      <c r="AE36" s="175"/>
      <c r="AF36" s="174">
        <v>25112</v>
      </c>
      <c r="AG36" s="175"/>
      <c r="AH36" s="174">
        <v>0</v>
      </c>
      <c r="AI36" s="175"/>
      <c r="AJ36" s="174">
        <v>0</v>
      </c>
      <c r="AK36" s="175"/>
      <c r="AL36" s="174">
        <v>0</v>
      </c>
      <c r="AM36" s="175"/>
      <c r="AN36" s="174">
        <v>0</v>
      </c>
      <c r="AO36" s="175"/>
      <c r="AP36" s="174"/>
      <c r="AQ36" s="175"/>
      <c r="AR36" s="174"/>
      <c r="AS36" s="175"/>
      <c r="AT36" s="174">
        <v>0</v>
      </c>
      <c r="AU36" s="175"/>
      <c r="AV36" s="174">
        <f t="shared" si="0"/>
        <v>498580</v>
      </c>
    </row>
    <row r="37" spans="1:55" ht="21">
      <c r="A37" s="569"/>
      <c r="B37" s="173" t="s">
        <v>173</v>
      </c>
      <c r="D37" s="174">
        <v>0</v>
      </c>
      <c r="E37" s="172"/>
      <c r="F37" s="174">
        <v>10723902</v>
      </c>
      <c r="H37" s="174">
        <v>671139</v>
      </c>
      <c r="I37" s="172"/>
      <c r="J37" s="174">
        <v>5201269</v>
      </c>
      <c r="K37" s="175"/>
      <c r="L37" s="174">
        <v>6753059</v>
      </c>
      <c r="M37" s="175"/>
      <c r="N37" s="174">
        <v>0</v>
      </c>
      <c r="O37" s="175"/>
      <c r="P37" s="174">
        <v>5107967</v>
      </c>
      <c r="Q37" s="175"/>
      <c r="R37" s="174">
        <v>0</v>
      </c>
      <c r="S37" s="175"/>
      <c r="T37" s="174">
        <v>1273939</v>
      </c>
      <c r="U37" s="175"/>
      <c r="V37" s="174">
        <v>7010141</v>
      </c>
      <c r="W37" s="175"/>
      <c r="X37" s="174">
        <v>2147239</v>
      </c>
      <c r="Y37" s="175"/>
      <c r="Z37" s="174">
        <v>1595008</v>
      </c>
      <c r="AA37" s="175"/>
      <c r="AB37" s="174">
        <v>454949</v>
      </c>
      <c r="AC37" s="175"/>
      <c r="AD37" s="174">
        <v>1491858</v>
      </c>
      <c r="AE37" s="175"/>
      <c r="AF37" s="174">
        <v>1905928</v>
      </c>
      <c r="AG37" s="175"/>
      <c r="AH37" s="174">
        <v>3563160</v>
      </c>
      <c r="AI37" s="175"/>
      <c r="AJ37" s="174">
        <v>537615</v>
      </c>
      <c r="AK37" s="175"/>
      <c r="AL37" s="174">
        <v>2710083</v>
      </c>
      <c r="AM37" s="175"/>
      <c r="AN37" s="174">
        <v>999848</v>
      </c>
      <c r="AO37" s="175"/>
      <c r="AP37" s="174"/>
      <c r="AQ37" s="175"/>
      <c r="AR37" s="174"/>
      <c r="AS37" s="175"/>
      <c r="AT37" s="174">
        <v>77933</v>
      </c>
      <c r="AU37" s="175"/>
      <c r="AV37" s="174">
        <f t="shared" si="0"/>
        <v>52147104</v>
      </c>
    </row>
    <row r="38" spans="1:55" ht="21">
      <c r="A38" s="569"/>
      <c r="B38" s="173" t="s">
        <v>174</v>
      </c>
      <c r="D38" s="174">
        <v>0</v>
      </c>
      <c r="E38" s="172"/>
      <c r="F38" s="174">
        <v>2313419</v>
      </c>
      <c r="H38" s="174">
        <v>117505</v>
      </c>
      <c r="I38" s="172"/>
      <c r="J38" s="174">
        <v>1897667</v>
      </c>
      <c r="K38" s="175"/>
      <c r="L38" s="174">
        <v>1108419</v>
      </c>
      <c r="M38" s="175"/>
      <c r="N38" s="174">
        <v>0</v>
      </c>
      <c r="O38" s="175"/>
      <c r="P38" s="174">
        <v>1155096</v>
      </c>
      <c r="Q38" s="175"/>
      <c r="R38" s="174">
        <v>0</v>
      </c>
      <c r="S38" s="175"/>
      <c r="T38" s="174">
        <v>306749</v>
      </c>
      <c r="U38" s="175"/>
      <c r="V38" s="174">
        <v>596113</v>
      </c>
      <c r="W38" s="175"/>
      <c r="X38" s="174">
        <v>775799</v>
      </c>
      <c r="Y38" s="175"/>
      <c r="Z38" s="174">
        <v>1584818</v>
      </c>
      <c r="AA38" s="175"/>
      <c r="AB38" s="174">
        <v>766249</v>
      </c>
      <c r="AC38" s="175"/>
      <c r="AD38" s="174">
        <v>368467</v>
      </c>
      <c r="AE38" s="175"/>
      <c r="AF38" s="174">
        <v>742324</v>
      </c>
      <c r="AG38" s="175"/>
      <c r="AH38" s="174">
        <v>1000100</v>
      </c>
      <c r="AI38" s="175"/>
      <c r="AJ38" s="174">
        <v>371978</v>
      </c>
      <c r="AK38" s="175"/>
      <c r="AL38" s="174">
        <v>639923</v>
      </c>
      <c r="AM38" s="175"/>
      <c r="AN38" s="174">
        <v>363868</v>
      </c>
      <c r="AO38" s="175"/>
      <c r="AP38" s="174"/>
      <c r="AQ38" s="175"/>
      <c r="AR38" s="174"/>
      <c r="AS38" s="175"/>
      <c r="AT38" s="174">
        <v>269</v>
      </c>
      <c r="AU38" s="175"/>
      <c r="AV38" s="174">
        <f t="shared" si="0"/>
        <v>14108494</v>
      </c>
    </row>
    <row r="39" spans="1:55" ht="21">
      <c r="A39" s="569"/>
      <c r="B39" s="173" t="s">
        <v>175</v>
      </c>
      <c r="D39" s="174">
        <v>0</v>
      </c>
      <c r="E39" s="172"/>
      <c r="F39" s="174">
        <v>18375</v>
      </c>
      <c r="H39" s="174">
        <v>3627</v>
      </c>
      <c r="I39" s="172"/>
      <c r="J39" s="174">
        <v>357376</v>
      </c>
      <c r="K39" s="175"/>
      <c r="L39" s="174">
        <v>106470</v>
      </c>
      <c r="M39" s="175"/>
      <c r="N39" s="174">
        <v>0</v>
      </c>
      <c r="O39" s="175"/>
      <c r="P39" s="174">
        <v>0</v>
      </c>
      <c r="Q39" s="175"/>
      <c r="R39" s="174">
        <v>0</v>
      </c>
      <c r="S39" s="175"/>
      <c r="T39" s="174">
        <v>0</v>
      </c>
      <c r="U39" s="175"/>
      <c r="V39" s="174">
        <v>0</v>
      </c>
      <c r="W39" s="175"/>
      <c r="X39" s="174">
        <v>314652</v>
      </c>
      <c r="Y39" s="175"/>
      <c r="Z39" s="174">
        <v>380199</v>
      </c>
      <c r="AA39" s="175"/>
      <c r="AB39" s="174">
        <v>73272</v>
      </c>
      <c r="AC39" s="175"/>
      <c r="AD39" s="174">
        <v>61559</v>
      </c>
      <c r="AE39" s="175"/>
      <c r="AF39" s="174">
        <v>0</v>
      </c>
      <c r="AG39" s="175"/>
      <c r="AH39" s="174">
        <v>77337</v>
      </c>
      <c r="AI39" s="175"/>
      <c r="AJ39" s="174">
        <v>0</v>
      </c>
      <c r="AK39" s="175"/>
      <c r="AL39" s="174">
        <v>21984</v>
      </c>
      <c r="AM39" s="175"/>
      <c r="AN39" s="174">
        <v>9671</v>
      </c>
      <c r="AO39" s="175"/>
      <c r="AP39" s="174"/>
      <c r="AQ39" s="175"/>
      <c r="AR39" s="174"/>
      <c r="AS39" s="175"/>
      <c r="AT39" s="174">
        <v>0</v>
      </c>
      <c r="AU39" s="175"/>
      <c r="AV39" s="174">
        <f t="shared" si="0"/>
        <v>1424522</v>
      </c>
    </row>
    <row r="40" spans="1:55" ht="21">
      <c r="A40" s="569"/>
      <c r="B40" s="173" t="s">
        <v>176</v>
      </c>
      <c r="D40" s="174">
        <v>0</v>
      </c>
      <c r="E40" s="172"/>
      <c r="F40" s="174">
        <v>775418</v>
      </c>
      <c r="H40" s="174">
        <v>7788</v>
      </c>
      <c r="I40" s="172"/>
      <c r="J40" s="174">
        <v>68069</v>
      </c>
      <c r="K40" s="175"/>
      <c r="L40" s="174">
        <v>303748</v>
      </c>
      <c r="M40" s="175"/>
      <c r="N40" s="174">
        <v>0</v>
      </c>
      <c r="O40" s="175"/>
      <c r="P40" s="174">
        <v>679706</v>
      </c>
      <c r="Q40" s="175"/>
      <c r="R40" s="174">
        <v>0</v>
      </c>
      <c r="S40" s="175"/>
      <c r="T40" s="174">
        <v>158427</v>
      </c>
      <c r="U40" s="175"/>
      <c r="V40" s="174">
        <v>393587</v>
      </c>
      <c r="W40" s="175"/>
      <c r="X40" s="174">
        <v>425055</v>
      </c>
      <c r="Y40" s="175"/>
      <c r="Z40" s="174">
        <v>269545</v>
      </c>
      <c r="AA40" s="175"/>
      <c r="AB40" s="174">
        <v>154647</v>
      </c>
      <c r="AC40" s="175"/>
      <c r="AD40" s="174">
        <v>134303</v>
      </c>
      <c r="AE40" s="175"/>
      <c r="AF40" s="174">
        <v>183728</v>
      </c>
      <c r="AG40" s="175"/>
      <c r="AH40" s="174">
        <v>248379</v>
      </c>
      <c r="AI40" s="175"/>
      <c r="AJ40" s="174">
        <v>26384</v>
      </c>
      <c r="AK40" s="175"/>
      <c r="AL40" s="174">
        <v>125071</v>
      </c>
      <c r="AM40" s="175"/>
      <c r="AN40" s="174">
        <v>78344</v>
      </c>
      <c r="AO40" s="175"/>
      <c r="AP40" s="174"/>
      <c r="AQ40" s="175"/>
      <c r="AR40" s="174"/>
      <c r="AS40" s="175"/>
      <c r="AT40" s="174">
        <v>858</v>
      </c>
      <c r="AU40" s="175"/>
      <c r="AV40" s="174">
        <f t="shared" si="0"/>
        <v>4032199</v>
      </c>
    </row>
    <row r="41" spans="1:55" ht="21">
      <c r="A41" s="569"/>
      <c r="B41" s="173" t="s">
        <v>225</v>
      </c>
      <c r="D41" s="174">
        <v>0</v>
      </c>
      <c r="E41" s="172"/>
      <c r="F41" s="174">
        <v>0</v>
      </c>
      <c r="H41" s="174"/>
      <c r="I41" s="172"/>
      <c r="J41" s="174">
        <v>0</v>
      </c>
      <c r="K41" s="175"/>
      <c r="L41" s="174">
        <v>0</v>
      </c>
      <c r="M41" s="175"/>
      <c r="N41" s="174">
        <v>0</v>
      </c>
      <c r="O41" s="175"/>
      <c r="P41" s="174">
        <v>0</v>
      </c>
      <c r="Q41" s="175"/>
      <c r="R41" s="174">
        <v>0</v>
      </c>
      <c r="S41" s="175"/>
      <c r="T41" s="174">
        <v>0</v>
      </c>
      <c r="U41" s="175"/>
      <c r="V41" s="174">
        <v>0</v>
      </c>
      <c r="W41" s="175"/>
      <c r="X41" s="174">
        <v>0</v>
      </c>
      <c r="Y41" s="175"/>
      <c r="Z41" s="174">
        <v>89809</v>
      </c>
      <c r="AA41" s="175"/>
      <c r="AB41" s="174">
        <v>0</v>
      </c>
      <c r="AC41" s="175"/>
      <c r="AD41" s="174">
        <v>0</v>
      </c>
      <c r="AE41" s="175"/>
      <c r="AF41" s="174">
        <v>0</v>
      </c>
      <c r="AG41" s="175"/>
      <c r="AH41" s="174">
        <v>0</v>
      </c>
      <c r="AI41" s="175"/>
      <c r="AJ41" s="174">
        <v>69517</v>
      </c>
      <c r="AK41" s="175"/>
      <c r="AL41" s="174">
        <v>0</v>
      </c>
      <c r="AM41" s="175"/>
      <c r="AN41" s="174">
        <v>0</v>
      </c>
      <c r="AO41" s="175"/>
      <c r="AP41" s="174"/>
      <c r="AQ41" s="175"/>
      <c r="AR41" s="174"/>
      <c r="AS41" s="175"/>
      <c r="AT41" s="174">
        <v>0</v>
      </c>
      <c r="AU41" s="175"/>
      <c r="AV41" s="174">
        <f t="shared" si="0"/>
        <v>159326</v>
      </c>
    </row>
    <row r="42" spans="1:55" ht="21">
      <c r="A42" s="569"/>
      <c r="B42" s="173" t="s">
        <v>46</v>
      </c>
      <c r="D42" s="174">
        <v>0</v>
      </c>
      <c r="E42" s="172"/>
      <c r="F42" s="174">
        <v>254220</v>
      </c>
      <c r="H42" s="174">
        <v>3833</v>
      </c>
      <c r="I42" s="172"/>
      <c r="J42" s="174">
        <v>568795</v>
      </c>
      <c r="K42" s="175"/>
      <c r="L42" s="174">
        <v>299172</v>
      </c>
      <c r="M42" s="175"/>
      <c r="N42" s="174">
        <v>0</v>
      </c>
      <c r="O42" s="175"/>
      <c r="P42" s="174">
        <v>132136</v>
      </c>
      <c r="Q42" s="175"/>
      <c r="R42" s="174">
        <v>0</v>
      </c>
      <c r="S42" s="175"/>
      <c r="T42" s="174">
        <v>20387</v>
      </c>
      <c r="U42" s="175"/>
      <c r="V42" s="174">
        <v>109792</v>
      </c>
      <c r="W42" s="175"/>
      <c r="X42" s="174">
        <v>155013</v>
      </c>
      <c r="Y42" s="175"/>
      <c r="Z42" s="174">
        <v>55303</v>
      </c>
      <c r="AA42" s="175"/>
      <c r="AB42" s="174">
        <v>17350</v>
      </c>
      <c r="AC42" s="175"/>
      <c r="AD42" s="174">
        <v>13260</v>
      </c>
      <c r="AE42" s="175"/>
      <c r="AF42" s="174">
        <v>58761</v>
      </c>
      <c r="AG42" s="175"/>
      <c r="AH42" s="174">
        <v>44011</v>
      </c>
      <c r="AI42" s="175"/>
      <c r="AJ42" s="174">
        <v>168917</v>
      </c>
      <c r="AK42" s="175"/>
      <c r="AL42" s="174">
        <v>60388</v>
      </c>
      <c r="AM42" s="175"/>
      <c r="AN42" s="174">
        <v>108089</v>
      </c>
      <c r="AO42" s="175"/>
      <c r="AP42" s="174"/>
      <c r="AQ42" s="175"/>
      <c r="AR42" s="174"/>
      <c r="AS42" s="175"/>
      <c r="AT42" s="174">
        <v>227</v>
      </c>
      <c r="AU42" s="175"/>
      <c r="AV42" s="174">
        <f t="shared" si="0"/>
        <v>2069427</v>
      </c>
    </row>
    <row r="43" spans="1:55" ht="21">
      <c r="A43" s="569"/>
      <c r="B43" s="173" t="s">
        <v>44</v>
      </c>
      <c r="D43" s="174">
        <v>0</v>
      </c>
      <c r="E43" s="172"/>
      <c r="F43" s="174">
        <v>320508</v>
      </c>
      <c r="H43" s="174">
        <v>5853</v>
      </c>
      <c r="I43" s="172"/>
      <c r="J43" s="174">
        <v>221852</v>
      </c>
      <c r="K43" s="175"/>
      <c r="L43" s="174">
        <v>280111</v>
      </c>
      <c r="M43" s="175"/>
      <c r="N43" s="174">
        <v>0</v>
      </c>
      <c r="O43" s="175"/>
      <c r="P43" s="174">
        <v>48888</v>
      </c>
      <c r="Q43" s="175"/>
      <c r="R43" s="174">
        <v>0</v>
      </c>
      <c r="S43" s="175"/>
      <c r="T43" s="174">
        <v>0</v>
      </c>
      <c r="U43" s="175"/>
      <c r="V43" s="174">
        <v>40834</v>
      </c>
      <c r="W43" s="175"/>
      <c r="X43" s="174">
        <v>21364</v>
      </c>
      <c r="Y43" s="175"/>
      <c r="Z43" s="174">
        <v>25113</v>
      </c>
      <c r="AA43" s="175"/>
      <c r="AB43" s="174">
        <v>10056</v>
      </c>
      <c r="AC43" s="175"/>
      <c r="AD43" s="174">
        <v>17528</v>
      </c>
      <c r="AE43" s="175"/>
      <c r="AF43" s="174">
        <v>16089</v>
      </c>
      <c r="AG43" s="175"/>
      <c r="AH43" s="174">
        <v>25242</v>
      </c>
      <c r="AI43" s="175"/>
      <c r="AJ43" s="174">
        <v>6017</v>
      </c>
      <c r="AK43" s="175"/>
      <c r="AL43" s="174">
        <v>0</v>
      </c>
      <c r="AM43" s="175"/>
      <c r="AN43" s="174">
        <v>5638</v>
      </c>
      <c r="AO43" s="175"/>
      <c r="AP43" s="174"/>
      <c r="AQ43" s="175"/>
      <c r="AR43" s="174"/>
      <c r="AS43" s="175"/>
      <c r="AT43" s="174">
        <v>459</v>
      </c>
      <c r="AU43" s="175"/>
      <c r="AV43" s="174">
        <f t="shared" si="0"/>
        <v>1045093</v>
      </c>
    </row>
    <row r="44" spans="1:55" ht="21">
      <c r="A44" s="569"/>
      <c r="B44" s="176" t="s">
        <v>43</v>
      </c>
      <c r="D44" s="177">
        <v>0</v>
      </c>
      <c r="E44" s="172"/>
      <c r="F44" s="177">
        <v>0</v>
      </c>
      <c r="H44" s="177"/>
      <c r="I44" s="172"/>
      <c r="J44" s="177">
        <v>0</v>
      </c>
      <c r="K44" s="175"/>
      <c r="L44" s="177">
        <v>0</v>
      </c>
      <c r="M44" s="175"/>
      <c r="N44" s="177">
        <v>0</v>
      </c>
      <c r="O44" s="175"/>
      <c r="P44" s="177">
        <v>374</v>
      </c>
      <c r="Q44" s="175"/>
      <c r="R44" s="177">
        <v>0</v>
      </c>
      <c r="S44" s="175"/>
      <c r="T44" s="177">
        <v>0</v>
      </c>
      <c r="U44" s="175"/>
      <c r="V44" s="177">
        <v>411871</v>
      </c>
      <c r="W44" s="175"/>
      <c r="X44" s="177">
        <v>0</v>
      </c>
      <c r="Y44" s="175"/>
      <c r="Z44" s="177">
        <v>0</v>
      </c>
      <c r="AA44" s="175"/>
      <c r="AB44" s="177">
        <v>314963</v>
      </c>
      <c r="AC44" s="175"/>
      <c r="AD44" s="177">
        <v>0</v>
      </c>
      <c r="AE44" s="175"/>
      <c r="AF44" s="177">
        <v>0</v>
      </c>
      <c r="AG44" s="175"/>
      <c r="AH44" s="177">
        <v>0</v>
      </c>
      <c r="AI44" s="175"/>
      <c r="AJ44" s="177">
        <v>0</v>
      </c>
      <c r="AK44" s="175"/>
      <c r="AL44" s="177">
        <v>0</v>
      </c>
      <c r="AM44" s="175"/>
      <c r="AN44" s="177">
        <v>0</v>
      </c>
      <c r="AO44" s="175"/>
      <c r="AP44" s="177"/>
      <c r="AQ44" s="175"/>
      <c r="AR44" s="177"/>
      <c r="AS44" s="175"/>
      <c r="AT44" s="177">
        <v>0</v>
      </c>
      <c r="AU44" s="175"/>
      <c r="AV44" s="177">
        <f t="shared" si="0"/>
        <v>727208</v>
      </c>
    </row>
    <row r="45" spans="1:55" ht="24">
      <c r="A45" s="569"/>
      <c r="B45" s="182" t="s">
        <v>42</v>
      </c>
      <c r="D45" s="183">
        <f>SUM(D28:D44)</f>
        <v>0</v>
      </c>
      <c r="E45" s="172"/>
      <c r="F45" s="183">
        <f>SUM(F28:F44)</f>
        <v>17713763</v>
      </c>
      <c r="H45" s="183">
        <f>SUM(H28:H44)</f>
        <v>1376847</v>
      </c>
      <c r="I45" s="172"/>
      <c r="J45" s="183">
        <f>SUM(J28:J44)</f>
        <v>9428255</v>
      </c>
      <c r="K45" s="180"/>
      <c r="L45" s="183">
        <f>SUM(L28:L44)</f>
        <v>11455617</v>
      </c>
      <c r="M45" s="180"/>
      <c r="N45" s="183">
        <f>SUM(N28:N44)</f>
        <v>0</v>
      </c>
      <c r="O45" s="180"/>
      <c r="P45" s="183">
        <f>SUM(P28:P44)</f>
        <v>11259529</v>
      </c>
      <c r="Q45" s="180"/>
      <c r="R45" s="183">
        <f>SUM(R28:R44)</f>
        <v>0</v>
      </c>
      <c r="S45" s="180"/>
      <c r="T45" s="183">
        <f>SUM(T28:T44)</f>
        <v>2716957</v>
      </c>
      <c r="U45" s="180"/>
      <c r="V45" s="183">
        <f>SUM(V28:V44)</f>
        <v>9292074</v>
      </c>
      <c r="W45" s="180"/>
      <c r="X45" s="183">
        <f>SUM(X28:X44)</f>
        <v>5161195</v>
      </c>
      <c r="Y45" s="180"/>
      <c r="Z45" s="183">
        <f>SUM(Z28:Z44)</f>
        <v>6039459</v>
      </c>
      <c r="AA45" s="180"/>
      <c r="AB45" s="183">
        <f>SUM(AB28:AB44)</f>
        <v>4175399</v>
      </c>
      <c r="AC45" s="180"/>
      <c r="AD45" s="183">
        <f>SUM(AD28:AD44)</f>
        <v>2605312</v>
      </c>
      <c r="AE45" s="180"/>
      <c r="AF45" s="183">
        <f>SUM(AF28:AF44)</f>
        <v>3626421</v>
      </c>
      <c r="AG45" s="180"/>
      <c r="AH45" s="183">
        <f>SUM(AH28:AH44)</f>
        <v>5981554</v>
      </c>
      <c r="AI45" s="180"/>
      <c r="AJ45" s="183">
        <f>SUM(AJ28:AJ44)</f>
        <v>1428368</v>
      </c>
      <c r="AK45" s="180"/>
      <c r="AL45" s="183">
        <f>SUM(AL28:AL44)</f>
        <v>4833108</v>
      </c>
      <c r="AM45" s="180"/>
      <c r="AN45" s="183">
        <f>SUM(AN28:AN44)</f>
        <v>2151984</v>
      </c>
      <c r="AO45" s="180"/>
      <c r="AP45" s="183">
        <f>SUM(AP28:AP44)</f>
        <v>0</v>
      </c>
      <c r="AQ45" s="180"/>
      <c r="AR45" s="183">
        <f>SUM(AR28:AR44)</f>
        <v>0</v>
      </c>
      <c r="AS45" s="180"/>
      <c r="AT45" s="183">
        <f>SUM(AT28:AT44)</f>
        <v>231244</v>
      </c>
      <c r="AU45" s="180"/>
      <c r="AV45" s="183">
        <f t="shared" si="0"/>
        <v>99245842</v>
      </c>
    </row>
    <row r="46" spans="1:55" ht="24">
      <c r="A46" s="569"/>
      <c r="B46" s="66" t="s">
        <v>41</v>
      </c>
      <c r="D46" s="175"/>
      <c r="E46" s="172"/>
      <c r="F46" s="175"/>
      <c r="H46" s="175"/>
      <c r="I46" s="172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>
        <f t="shared" si="0"/>
        <v>0</v>
      </c>
    </row>
    <row r="47" spans="1:55" ht="21">
      <c r="A47" s="569"/>
      <c r="B47" s="173" t="s">
        <v>40</v>
      </c>
      <c r="D47" s="174">
        <v>0</v>
      </c>
      <c r="E47" s="172"/>
      <c r="F47" s="174">
        <v>2300000</v>
      </c>
      <c r="H47" s="174">
        <v>600000</v>
      </c>
      <c r="I47" s="172"/>
      <c r="J47" s="174">
        <v>3600000</v>
      </c>
      <c r="K47" s="175"/>
      <c r="L47" s="174">
        <v>1020373</v>
      </c>
      <c r="M47" s="175"/>
      <c r="N47" s="174">
        <v>0</v>
      </c>
      <c r="O47" s="175"/>
      <c r="P47" s="174">
        <v>1100000</v>
      </c>
      <c r="Q47" s="175"/>
      <c r="R47" s="174">
        <v>0</v>
      </c>
      <c r="S47" s="175"/>
      <c r="T47" s="174">
        <v>625852</v>
      </c>
      <c r="U47" s="175"/>
      <c r="V47" s="174">
        <v>1200000</v>
      </c>
      <c r="W47" s="175"/>
      <c r="X47" s="174">
        <v>400000</v>
      </c>
      <c r="Y47" s="175"/>
      <c r="Z47" s="174">
        <v>1500000</v>
      </c>
      <c r="AA47" s="175"/>
      <c r="AB47" s="174">
        <v>610724</v>
      </c>
      <c r="AC47" s="175"/>
      <c r="AD47" s="174">
        <v>400000</v>
      </c>
      <c r="AE47" s="175"/>
      <c r="AF47" s="174">
        <v>280000</v>
      </c>
      <c r="AG47" s="175"/>
      <c r="AH47" s="174">
        <v>907200</v>
      </c>
      <c r="AI47" s="175"/>
      <c r="AJ47" s="174">
        <v>400000</v>
      </c>
      <c r="AK47" s="175"/>
      <c r="AL47" s="174">
        <v>400000</v>
      </c>
      <c r="AM47" s="175"/>
      <c r="AN47" s="174">
        <v>400000</v>
      </c>
      <c r="AO47" s="175"/>
      <c r="AP47" s="174"/>
      <c r="AQ47" s="175"/>
      <c r="AR47" s="174"/>
      <c r="AS47" s="175"/>
      <c r="AT47" s="174">
        <v>400000</v>
      </c>
      <c r="AU47" s="175"/>
      <c r="AV47" s="174">
        <f t="shared" si="0"/>
        <v>15744149</v>
      </c>
    </row>
    <row r="48" spans="1:55" ht="21">
      <c r="A48" s="569"/>
      <c r="B48" s="173" t="s">
        <v>39</v>
      </c>
      <c r="D48" s="174">
        <v>0</v>
      </c>
      <c r="E48" s="172"/>
      <c r="F48" s="174">
        <v>0</v>
      </c>
      <c r="H48" s="174">
        <v>449359</v>
      </c>
      <c r="I48" s="172"/>
      <c r="J48" s="174">
        <v>0</v>
      </c>
      <c r="K48" s="175"/>
      <c r="L48" s="174">
        <v>0</v>
      </c>
      <c r="M48" s="175"/>
      <c r="N48" s="174">
        <v>0</v>
      </c>
      <c r="O48" s="175"/>
      <c r="P48" s="174">
        <v>462000</v>
      </c>
      <c r="Q48" s="175"/>
      <c r="R48" s="174">
        <v>0</v>
      </c>
      <c r="S48" s="175"/>
      <c r="T48" s="174">
        <v>1264326</v>
      </c>
      <c r="U48" s="175"/>
      <c r="V48" s="174">
        <v>0</v>
      </c>
      <c r="W48" s="175"/>
      <c r="X48" s="174">
        <v>0</v>
      </c>
      <c r="Y48" s="175"/>
      <c r="Z48" s="174">
        <v>476055</v>
      </c>
      <c r="AA48" s="175"/>
      <c r="AB48" s="174">
        <v>0</v>
      </c>
      <c r="AC48" s="175"/>
      <c r="AD48" s="174">
        <v>0</v>
      </c>
      <c r="AE48" s="175"/>
      <c r="AF48" s="174">
        <v>120000</v>
      </c>
      <c r="AG48" s="175"/>
      <c r="AH48" s="174">
        <v>0</v>
      </c>
      <c r="AI48" s="175"/>
      <c r="AJ48" s="174">
        <v>575843</v>
      </c>
      <c r="AK48" s="175"/>
      <c r="AL48" s="174">
        <v>0</v>
      </c>
      <c r="AM48" s="175"/>
      <c r="AN48" s="174">
        <v>0</v>
      </c>
      <c r="AO48" s="175"/>
      <c r="AP48" s="174"/>
      <c r="AQ48" s="175"/>
      <c r="AR48" s="174"/>
      <c r="AS48" s="175"/>
      <c r="AT48" s="174">
        <v>0</v>
      </c>
      <c r="AU48" s="175"/>
      <c r="AV48" s="174">
        <f t="shared" si="0"/>
        <v>3347583</v>
      </c>
    </row>
    <row r="49" spans="1:55" ht="21">
      <c r="A49" s="569"/>
      <c r="B49" s="173" t="s">
        <v>38</v>
      </c>
      <c r="D49" s="174">
        <v>0</v>
      </c>
      <c r="E49" s="172"/>
      <c r="F49" s="174">
        <v>64712</v>
      </c>
      <c r="H49" s="174">
        <v>12382</v>
      </c>
      <c r="I49" s="172"/>
      <c r="J49" s="174">
        <v>79212</v>
      </c>
      <c r="K49" s="175"/>
      <c r="L49" s="174">
        <v>28592</v>
      </c>
      <c r="M49" s="175"/>
      <c r="N49" s="174">
        <v>0</v>
      </c>
      <c r="O49" s="175"/>
      <c r="P49" s="174">
        <v>151833</v>
      </c>
      <c r="Q49" s="175"/>
      <c r="R49" s="174">
        <v>0</v>
      </c>
      <c r="S49" s="175"/>
      <c r="T49" s="174">
        <v>62585</v>
      </c>
      <c r="U49" s="175"/>
      <c r="V49" s="174">
        <v>76627</v>
      </c>
      <c r="W49" s="175"/>
      <c r="X49" s="174">
        <v>33114</v>
      </c>
      <c r="Y49" s="175"/>
      <c r="Z49" s="174">
        <v>150000</v>
      </c>
      <c r="AA49" s="175"/>
      <c r="AB49" s="174">
        <v>35919</v>
      </c>
      <c r="AC49" s="175"/>
      <c r="AD49" s="174">
        <v>46756</v>
      </c>
      <c r="AE49" s="175"/>
      <c r="AF49" s="174">
        <v>28000</v>
      </c>
      <c r="AG49" s="175"/>
      <c r="AH49" s="174">
        <v>85896</v>
      </c>
      <c r="AI49" s="175"/>
      <c r="AJ49" s="174">
        <v>20919</v>
      </c>
      <c r="AK49" s="175"/>
      <c r="AL49" s="174">
        <v>29295</v>
      </c>
      <c r="AM49" s="175"/>
      <c r="AN49" s="174">
        <v>14884</v>
      </c>
      <c r="AO49" s="175"/>
      <c r="AP49" s="174"/>
      <c r="AQ49" s="175"/>
      <c r="AR49" s="174"/>
      <c r="AS49" s="175"/>
      <c r="AT49" s="174">
        <v>4264</v>
      </c>
      <c r="AU49" s="175"/>
      <c r="AV49" s="174">
        <f t="shared" si="0"/>
        <v>920726</v>
      </c>
    </row>
    <row r="50" spans="1:55" ht="21">
      <c r="A50" s="569"/>
      <c r="B50" s="173" t="s">
        <v>37</v>
      </c>
      <c r="D50" s="174">
        <v>0</v>
      </c>
      <c r="E50" s="172"/>
      <c r="F50" s="174">
        <v>94165</v>
      </c>
      <c r="H50" s="174">
        <v>24764</v>
      </c>
      <c r="I50" s="172"/>
      <c r="J50" s="174">
        <v>282629</v>
      </c>
      <c r="K50" s="175"/>
      <c r="L50" s="174">
        <v>62635</v>
      </c>
      <c r="M50" s="175"/>
      <c r="N50" s="174">
        <v>0</v>
      </c>
      <c r="O50" s="175"/>
      <c r="P50" s="174">
        <v>536530</v>
      </c>
      <c r="Q50" s="175"/>
      <c r="R50" s="174">
        <v>0</v>
      </c>
      <c r="S50" s="175"/>
      <c r="T50" s="174">
        <v>44675</v>
      </c>
      <c r="U50" s="175"/>
      <c r="V50" s="174">
        <v>82190</v>
      </c>
      <c r="W50" s="175"/>
      <c r="X50" s="174">
        <v>52760</v>
      </c>
      <c r="Y50" s="175"/>
      <c r="Z50" s="174">
        <v>282552</v>
      </c>
      <c r="AA50" s="175"/>
      <c r="AB50" s="174">
        <v>41202</v>
      </c>
      <c r="AC50" s="175"/>
      <c r="AD50" s="174">
        <v>49438</v>
      </c>
      <c r="AE50" s="175"/>
      <c r="AF50" s="174">
        <v>88658</v>
      </c>
      <c r="AG50" s="175"/>
      <c r="AH50" s="174">
        <v>123901</v>
      </c>
      <c r="AI50" s="175"/>
      <c r="AJ50" s="174">
        <v>41838</v>
      </c>
      <c r="AK50" s="175"/>
      <c r="AL50" s="174">
        <v>58590</v>
      </c>
      <c r="AM50" s="175"/>
      <c r="AN50" s="174">
        <v>22980</v>
      </c>
      <c r="AO50" s="175"/>
      <c r="AP50" s="174"/>
      <c r="AQ50" s="175"/>
      <c r="AR50" s="174"/>
      <c r="AS50" s="175"/>
      <c r="AT50" s="174">
        <v>8528</v>
      </c>
      <c r="AU50" s="175"/>
      <c r="AV50" s="174">
        <f t="shared" si="0"/>
        <v>1889507</v>
      </c>
    </row>
    <row r="51" spans="1:55" ht="21">
      <c r="A51" s="569"/>
      <c r="B51" s="173" t="s">
        <v>178</v>
      </c>
      <c r="D51" s="174">
        <v>0</v>
      </c>
      <c r="E51" s="172"/>
      <c r="F51" s="174">
        <v>16597</v>
      </c>
      <c r="H51" s="174"/>
      <c r="I51" s="172"/>
      <c r="J51" s="174">
        <v>0</v>
      </c>
      <c r="K51" s="175"/>
      <c r="L51" s="174">
        <v>863</v>
      </c>
      <c r="M51" s="175"/>
      <c r="N51" s="174">
        <v>0</v>
      </c>
      <c r="O51" s="175"/>
      <c r="P51" s="174">
        <v>0</v>
      </c>
      <c r="Q51" s="175"/>
      <c r="R51" s="174">
        <v>0</v>
      </c>
      <c r="S51" s="175"/>
      <c r="T51" s="174">
        <v>0</v>
      </c>
      <c r="U51" s="175"/>
      <c r="V51" s="174">
        <v>0</v>
      </c>
      <c r="W51" s="175"/>
      <c r="X51" s="174">
        <v>0</v>
      </c>
      <c r="Y51" s="175"/>
      <c r="Z51" s="174">
        <v>0</v>
      </c>
      <c r="AA51" s="175"/>
      <c r="AB51" s="174">
        <v>0</v>
      </c>
      <c r="AC51" s="175"/>
      <c r="AD51" s="174">
        <v>0</v>
      </c>
      <c r="AE51" s="175"/>
      <c r="AF51" s="174">
        <v>0</v>
      </c>
      <c r="AG51" s="175"/>
      <c r="AH51" s="174">
        <v>0</v>
      </c>
      <c r="AI51" s="175"/>
      <c r="AJ51" s="174">
        <v>0</v>
      </c>
      <c r="AK51" s="175"/>
      <c r="AL51" s="174">
        <v>0</v>
      </c>
      <c r="AM51" s="175"/>
      <c r="AN51" s="174">
        <v>0</v>
      </c>
      <c r="AO51" s="175"/>
      <c r="AP51" s="174"/>
      <c r="AQ51" s="175"/>
      <c r="AR51" s="174"/>
      <c r="AS51" s="175"/>
      <c r="AT51" s="174">
        <v>0</v>
      </c>
      <c r="AU51" s="175"/>
      <c r="AV51" s="174">
        <f t="shared" si="0"/>
        <v>17460</v>
      </c>
    </row>
    <row r="52" spans="1:55" ht="21">
      <c r="A52" s="569"/>
      <c r="B52" s="173" t="s">
        <v>36</v>
      </c>
      <c r="D52" s="174">
        <v>0</v>
      </c>
      <c r="E52" s="172"/>
      <c r="F52" s="174">
        <v>50126</v>
      </c>
      <c r="H52" s="174">
        <v>82310</v>
      </c>
      <c r="I52" s="172"/>
      <c r="J52" s="174">
        <v>345524</v>
      </c>
      <c r="K52" s="175"/>
      <c r="L52" s="174">
        <v>165497</v>
      </c>
      <c r="M52" s="175"/>
      <c r="N52" s="174">
        <v>0</v>
      </c>
      <c r="O52" s="175"/>
      <c r="P52" s="174">
        <v>802130</v>
      </c>
      <c r="Q52" s="175"/>
      <c r="R52" s="174">
        <v>0</v>
      </c>
      <c r="S52" s="175"/>
      <c r="T52" s="174">
        <v>-97712</v>
      </c>
      <c r="U52" s="175"/>
      <c r="V52" s="174">
        <v>374276</v>
      </c>
      <c r="W52" s="175"/>
      <c r="X52" s="174">
        <v>-665053</v>
      </c>
      <c r="Y52" s="175"/>
      <c r="Z52" s="174">
        <v>525647</v>
      </c>
      <c r="AA52" s="175"/>
      <c r="AB52" s="174">
        <v>-2662863</v>
      </c>
      <c r="AC52" s="175"/>
      <c r="AD52" s="174">
        <v>137864</v>
      </c>
      <c r="AE52" s="175"/>
      <c r="AF52" s="174">
        <v>248329</v>
      </c>
      <c r="AG52" s="175"/>
      <c r="AH52" s="174">
        <v>382454</v>
      </c>
      <c r="AI52" s="175"/>
      <c r="AJ52" s="174">
        <v>208124</v>
      </c>
      <c r="AK52" s="175"/>
      <c r="AL52" s="174">
        <v>288031</v>
      </c>
      <c r="AM52" s="175"/>
      <c r="AN52" s="174">
        <v>87358</v>
      </c>
      <c r="AO52" s="175"/>
      <c r="AP52" s="174"/>
      <c r="AQ52" s="175"/>
      <c r="AR52" s="174"/>
      <c r="AS52" s="175"/>
      <c r="AT52" s="174">
        <v>72488</v>
      </c>
      <c r="AU52" s="175"/>
      <c r="AV52" s="174">
        <f t="shared" si="0"/>
        <v>272042</v>
      </c>
    </row>
    <row r="53" spans="1:55" ht="21">
      <c r="A53" s="569"/>
      <c r="B53" s="176" t="s">
        <v>177</v>
      </c>
      <c r="D53" s="177">
        <v>0</v>
      </c>
      <c r="E53" s="172"/>
      <c r="F53" s="177">
        <v>0</v>
      </c>
      <c r="H53" s="177"/>
      <c r="I53" s="172"/>
      <c r="J53" s="177">
        <v>0</v>
      </c>
      <c r="K53" s="175"/>
      <c r="L53" s="177">
        <v>0</v>
      </c>
      <c r="M53" s="175"/>
      <c r="N53" s="177">
        <v>0</v>
      </c>
      <c r="O53" s="175"/>
      <c r="P53" s="177">
        <v>0</v>
      </c>
      <c r="Q53" s="175"/>
      <c r="R53" s="177">
        <v>0</v>
      </c>
      <c r="S53" s="175"/>
      <c r="T53" s="177">
        <v>0</v>
      </c>
      <c r="U53" s="175"/>
      <c r="V53" s="177">
        <v>0</v>
      </c>
      <c r="W53" s="175"/>
      <c r="X53" s="177">
        <v>0</v>
      </c>
      <c r="Y53" s="175"/>
      <c r="Z53" s="177">
        <v>0</v>
      </c>
      <c r="AA53" s="175"/>
      <c r="AB53" s="177">
        <v>0</v>
      </c>
      <c r="AC53" s="175"/>
      <c r="AD53" s="177">
        <v>0</v>
      </c>
      <c r="AE53" s="175"/>
      <c r="AF53" s="177">
        <v>0</v>
      </c>
      <c r="AG53" s="175"/>
      <c r="AH53" s="177">
        <v>0</v>
      </c>
      <c r="AI53" s="175"/>
      <c r="AJ53" s="177">
        <v>0</v>
      </c>
      <c r="AK53" s="175"/>
      <c r="AL53" s="177">
        <v>0</v>
      </c>
      <c r="AM53" s="175"/>
      <c r="AN53" s="177">
        <v>0</v>
      </c>
      <c r="AO53" s="175"/>
      <c r="AP53" s="177"/>
      <c r="AQ53" s="175"/>
      <c r="AR53" s="177"/>
      <c r="AS53" s="175"/>
      <c r="AT53" s="177">
        <v>0</v>
      </c>
      <c r="AU53" s="175"/>
      <c r="AV53" s="177">
        <f t="shared" si="0"/>
        <v>0</v>
      </c>
    </row>
    <row r="54" spans="1:55" ht="24">
      <c r="A54" s="569"/>
      <c r="B54" s="182" t="s">
        <v>35</v>
      </c>
      <c r="D54" s="183">
        <f>SUM(D47:D53)</f>
        <v>0</v>
      </c>
      <c r="E54" s="172"/>
      <c r="F54" s="183">
        <f>SUM(F47:F53)</f>
        <v>2525600</v>
      </c>
      <c r="H54" s="183">
        <f>SUM(H47:H53)</f>
        <v>1168815</v>
      </c>
      <c r="I54" s="172"/>
      <c r="J54" s="183">
        <f>SUM(J47:J53)</f>
        <v>4307365</v>
      </c>
      <c r="K54" s="180"/>
      <c r="L54" s="183">
        <f>SUM(L47:L53)</f>
        <v>1277960</v>
      </c>
      <c r="M54" s="180"/>
      <c r="N54" s="183">
        <f>SUM(N47:N53)</f>
        <v>0</v>
      </c>
      <c r="O54" s="180"/>
      <c r="P54" s="183">
        <f>SUM(P47:P53)</f>
        <v>3052493</v>
      </c>
      <c r="Q54" s="180"/>
      <c r="R54" s="183">
        <f>SUM(R47:R53)</f>
        <v>0</v>
      </c>
      <c r="S54" s="180"/>
      <c r="T54" s="183">
        <f>SUM(T47:T53)</f>
        <v>1899726</v>
      </c>
      <c r="U54" s="180"/>
      <c r="V54" s="183">
        <f>SUM(V47:V53)</f>
        <v>1733093</v>
      </c>
      <c r="W54" s="180"/>
      <c r="X54" s="183">
        <f>SUM(X47:X53)</f>
        <v>-179179</v>
      </c>
      <c r="Y54" s="180"/>
      <c r="Z54" s="183">
        <f>SUM(Z47:Z53)</f>
        <v>2934254</v>
      </c>
      <c r="AA54" s="180"/>
      <c r="AB54" s="183">
        <f>SUM(AB47:AB53)</f>
        <v>-1975018</v>
      </c>
      <c r="AC54" s="180"/>
      <c r="AD54" s="183">
        <f>SUM(AD47:AD53)</f>
        <v>634058</v>
      </c>
      <c r="AE54" s="180"/>
      <c r="AF54" s="183">
        <f>SUM(AF47:AF53)</f>
        <v>764987</v>
      </c>
      <c r="AG54" s="180"/>
      <c r="AH54" s="183">
        <f>SUM(AH47:AH53)</f>
        <v>1499451</v>
      </c>
      <c r="AI54" s="180"/>
      <c r="AJ54" s="183">
        <f>SUM(AJ47:AJ53)</f>
        <v>1246724</v>
      </c>
      <c r="AK54" s="180"/>
      <c r="AL54" s="183">
        <f>SUM(AL47:AL53)</f>
        <v>775916</v>
      </c>
      <c r="AM54" s="180"/>
      <c r="AN54" s="183">
        <f>SUM(AN47:AN53)</f>
        <v>525222</v>
      </c>
      <c r="AO54" s="180"/>
      <c r="AP54" s="183">
        <f>SUM(AP47:AP53)</f>
        <v>0</v>
      </c>
      <c r="AQ54" s="180"/>
      <c r="AR54" s="183">
        <f>SUM(AR47:AR53)</f>
        <v>0</v>
      </c>
      <c r="AS54" s="180"/>
      <c r="AT54" s="183">
        <f>SUM(AT47:AT53)</f>
        <v>485280</v>
      </c>
      <c r="AU54" s="180"/>
      <c r="AV54" s="183">
        <f t="shared" si="0"/>
        <v>22191467</v>
      </c>
    </row>
    <row r="55" spans="1:55" ht="24.75" thickBot="1">
      <c r="A55" s="570"/>
      <c r="B55" s="178" t="s">
        <v>33</v>
      </c>
      <c r="D55" s="179">
        <f>+D54+D45</f>
        <v>0</v>
      </c>
      <c r="E55" s="172"/>
      <c r="F55" s="179">
        <f>+F54+F45</f>
        <v>20239363</v>
      </c>
      <c r="H55" s="179">
        <f>+H54+H45</f>
        <v>2545662</v>
      </c>
      <c r="I55" s="172"/>
      <c r="J55" s="179">
        <f>+J54+J45</f>
        <v>13735620</v>
      </c>
      <c r="K55" s="180"/>
      <c r="L55" s="179">
        <f>+L54+L45</f>
        <v>12733577</v>
      </c>
      <c r="M55" s="180"/>
      <c r="N55" s="179">
        <f>+N54+N45</f>
        <v>0</v>
      </c>
      <c r="O55" s="180"/>
      <c r="P55" s="179">
        <f>+P54+P45</f>
        <v>14312022</v>
      </c>
      <c r="Q55" s="180"/>
      <c r="R55" s="179">
        <f>+R54+R45</f>
        <v>0</v>
      </c>
      <c r="S55" s="180"/>
      <c r="T55" s="179">
        <f>+T54+T45</f>
        <v>4616683</v>
      </c>
      <c r="U55" s="180"/>
      <c r="V55" s="179">
        <f>+V54+V45</f>
        <v>11025167</v>
      </c>
      <c r="W55" s="180"/>
      <c r="X55" s="179">
        <f>+X54+X45</f>
        <v>4982016</v>
      </c>
      <c r="Y55" s="180"/>
      <c r="Z55" s="179">
        <f>+Z54+Z45</f>
        <v>8973713</v>
      </c>
      <c r="AA55" s="180"/>
      <c r="AB55" s="179">
        <f>+AB54+AB45</f>
        <v>2200381</v>
      </c>
      <c r="AC55" s="180"/>
      <c r="AD55" s="179">
        <f>+AD54+AD45</f>
        <v>3239370</v>
      </c>
      <c r="AE55" s="180"/>
      <c r="AF55" s="179">
        <f>+AF54+AF45</f>
        <v>4391408</v>
      </c>
      <c r="AG55" s="180"/>
      <c r="AH55" s="179">
        <f>+AH54+AH45</f>
        <v>7481005</v>
      </c>
      <c r="AI55" s="180"/>
      <c r="AJ55" s="179">
        <f>+AJ54+AJ45</f>
        <v>2675092</v>
      </c>
      <c r="AK55" s="180"/>
      <c r="AL55" s="179">
        <f>+AL54+AL45</f>
        <v>5609024</v>
      </c>
      <c r="AM55" s="180"/>
      <c r="AN55" s="179">
        <f>+AN54+AN45</f>
        <v>2677206</v>
      </c>
      <c r="AO55" s="180"/>
      <c r="AP55" s="179">
        <f>+AP54+AP45</f>
        <v>0</v>
      </c>
      <c r="AQ55" s="180"/>
      <c r="AR55" s="179">
        <f>+AR54+AR45</f>
        <v>0</v>
      </c>
      <c r="AS55" s="180"/>
      <c r="AT55" s="179">
        <f>+AT54+AT45</f>
        <v>716524</v>
      </c>
      <c r="AU55" s="180"/>
      <c r="AV55" s="179">
        <f t="shared" si="0"/>
        <v>121437309</v>
      </c>
    </row>
    <row r="56" spans="1:55" ht="22.5" thickTop="1" thickBot="1">
      <c r="B56" s="6"/>
      <c r="D56" s="172"/>
      <c r="E56" s="172"/>
      <c r="F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J56" s="172"/>
      <c r="AL56" s="172"/>
      <c r="AN56" s="172"/>
      <c r="AP56" s="172"/>
      <c r="AR56" s="172"/>
      <c r="AT56" s="172"/>
      <c r="AV56" s="172">
        <f t="shared" si="0"/>
        <v>0</v>
      </c>
    </row>
    <row r="57" spans="1:55" ht="21.75" thickBot="1">
      <c r="B57" s="184" t="s">
        <v>141</v>
      </c>
      <c r="D57" s="185">
        <f>+D37+D38+D40-D17</f>
        <v>0</v>
      </c>
      <c r="E57" s="172"/>
      <c r="F57" s="185">
        <f>+F37+F38+F40-F17</f>
        <v>9282950</v>
      </c>
      <c r="H57" s="185"/>
      <c r="I57" s="172"/>
      <c r="J57" s="185">
        <f>+J37+J38+J40-J17</f>
        <v>5346455</v>
      </c>
      <c r="K57" s="172"/>
      <c r="L57" s="185">
        <f>+L37+L38+L40-L17</f>
        <v>5644955</v>
      </c>
      <c r="M57" s="172"/>
      <c r="N57" s="185">
        <f>+N37+N38+N40-N17</f>
        <v>0</v>
      </c>
      <c r="O57" s="172"/>
      <c r="P57" s="185">
        <f>+P37+P38+P40-P17</f>
        <v>4861008</v>
      </c>
      <c r="Q57" s="172"/>
      <c r="R57" s="185">
        <f>+R37+R38+R40-R17</f>
        <v>0</v>
      </c>
      <c r="S57" s="172"/>
      <c r="T57" s="185">
        <f>+T37+T38+T40-T17</f>
        <v>1326487</v>
      </c>
      <c r="U57" s="172"/>
      <c r="V57" s="185">
        <f>+V37+V38+V40-V17</f>
        <v>4789069</v>
      </c>
      <c r="W57" s="172"/>
      <c r="X57" s="185">
        <f>+X37+X38+X40-X17</f>
        <v>2285022</v>
      </c>
      <c r="Y57" s="172"/>
      <c r="Z57" s="185">
        <f>+Z37+Z38+Z40-Z17</f>
        <v>2558311</v>
      </c>
      <c r="AA57" s="172"/>
      <c r="AB57" s="185">
        <f>+AB37+AB38+AB40-AB17</f>
        <v>1026144</v>
      </c>
      <c r="AC57" s="172"/>
      <c r="AD57" s="185">
        <f>+AD37+AD38+AD40-AD17</f>
        <v>1328368</v>
      </c>
      <c r="AE57" s="172"/>
      <c r="AF57" s="185">
        <f>+AF37+AF38+AF40-AF17</f>
        <v>1872613</v>
      </c>
      <c r="AG57" s="172"/>
      <c r="AH57" s="185">
        <f>+AH37+AH38+AH40-AH17</f>
        <v>3190342</v>
      </c>
      <c r="AJ57" s="185">
        <f>+AJ37+AJ38+AJ40-AJ17</f>
        <v>555533</v>
      </c>
      <c r="AL57" s="185">
        <f>+AL37+AL38+AL40-AL17</f>
        <v>2402196</v>
      </c>
      <c r="AN57" s="185">
        <f>+AN37+AN38+AN40-AN17</f>
        <v>1062453</v>
      </c>
      <c r="AP57" s="185"/>
      <c r="AR57" s="185"/>
      <c r="AT57" s="185">
        <f>+AT37+AT38+AT40-AT17</f>
        <v>16493</v>
      </c>
      <c r="AV57" s="185">
        <f t="shared" si="0"/>
        <v>47531906</v>
      </c>
    </row>
    <row r="58" spans="1:55" ht="22.5">
      <c r="B58" s="8"/>
      <c r="D58" s="172">
        <f t="shared" ref="D58:AV58" si="1">+D55-D26</f>
        <v>0</v>
      </c>
      <c r="E58" s="172">
        <f t="shared" si="1"/>
        <v>0</v>
      </c>
      <c r="F58" s="172">
        <f t="shared" si="1"/>
        <v>0</v>
      </c>
      <c r="G58" s="172">
        <f t="shared" si="1"/>
        <v>0</v>
      </c>
      <c r="H58" s="172">
        <f t="shared" si="1"/>
        <v>0</v>
      </c>
      <c r="I58" s="172">
        <f t="shared" si="1"/>
        <v>0</v>
      </c>
      <c r="J58" s="172">
        <f t="shared" si="1"/>
        <v>0</v>
      </c>
      <c r="K58" s="172">
        <f t="shared" si="1"/>
        <v>0</v>
      </c>
      <c r="L58" s="172">
        <f t="shared" si="1"/>
        <v>0</v>
      </c>
      <c r="M58" s="172">
        <f t="shared" si="1"/>
        <v>0</v>
      </c>
      <c r="N58" s="172">
        <f t="shared" si="1"/>
        <v>0</v>
      </c>
      <c r="O58" s="172">
        <f t="shared" si="1"/>
        <v>0</v>
      </c>
      <c r="P58" s="172">
        <f t="shared" si="1"/>
        <v>0</v>
      </c>
      <c r="Q58" s="172">
        <f t="shared" si="1"/>
        <v>0</v>
      </c>
      <c r="R58" s="172">
        <f t="shared" si="1"/>
        <v>0</v>
      </c>
      <c r="S58" s="172">
        <f t="shared" si="1"/>
        <v>0</v>
      </c>
      <c r="T58" s="172">
        <f t="shared" si="1"/>
        <v>0</v>
      </c>
      <c r="U58" s="172">
        <f t="shared" si="1"/>
        <v>0</v>
      </c>
      <c r="V58" s="172">
        <f t="shared" si="1"/>
        <v>0</v>
      </c>
      <c r="W58" s="172">
        <f t="shared" si="1"/>
        <v>0</v>
      </c>
      <c r="X58" s="172">
        <f t="shared" si="1"/>
        <v>0</v>
      </c>
      <c r="Y58" s="172">
        <f t="shared" si="1"/>
        <v>0</v>
      </c>
      <c r="Z58" s="172">
        <f t="shared" si="1"/>
        <v>0</v>
      </c>
      <c r="AA58" s="172">
        <f t="shared" si="1"/>
        <v>0</v>
      </c>
      <c r="AB58" s="172">
        <f t="shared" si="1"/>
        <v>0</v>
      </c>
      <c r="AC58" s="172">
        <f t="shared" si="1"/>
        <v>0</v>
      </c>
      <c r="AD58" s="172">
        <f t="shared" si="1"/>
        <v>0</v>
      </c>
      <c r="AE58" s="172">
        <f t="shared" si="1"/>
        <v>0</v>
      </c>
      <c r="AF58" s="172">
        <f t="shared" si="1"/>
        <v>0</v>
      </c>
      <c r="AG58" s="172">
        <f t="shared" si="1"/>
        <v>0</v>
      </c>
      <c r="AH58" s="172">
        <f t="shared" si="1"/>
        <v>0</v>
      </c>
      <c r="AI58" s="158">
        <f t="shared" si="1"/>
        <v>0</v>
      </c>
      <c r="AJ58" s="172">
        <f t="shared" si="1"/>
        <v>0</v>
      </c>
      <c r="AK58" s="158">
        <f t="shared" si="1"/>
        <v>0</v>
      </c>
      <c r="AL58" s="172">
        <f t="shared" si="1"/>
        <v>0</v>
      </c>
      <c r="AM58" s="158">
        <f t="shared" si="1"/>
        <v>0</v>
      </c>
      <c r="AN58" s="172">
        <f t="shared" si="1"/>
        <v>0</v>
      </c>
      <c r="AO58" s="158">
        <f t="shared" si="1"/>
        <v>0</v>
      </c>
      <c r="AP58" s="172">
        <f t="shared" si="1"/>
        <v>0</v>
      </c>
      <c r="AQ58" s="158">
        <f t="shared" si="1"/>
        <v>0</v>
      </c>
      <c r="AR58" s="172">
        <f t="shared" si="1"/>
        <v>0</v>
      </c>
      <c r="AS58" s="158">
        <f t="shared" si="1"/>
        <v>0</v>
      </c>
      <c r="AT58" s="172">
        <f t="shared" si="1"/>
        <v>0</v>
      </c>
      <c r="AU58" s="158">
        <f t="shared" si="1"/>
        <v>0</v>
      </c>
      <c r="AV58" s="172">
        <f t="shared" si="1"/>
        <v>0</v>
      </c>
    </row>
    <row r="59" spans="1:55" ht="22.5">
      <c r="B59" s="8"/>
      <c r="D59" s="172"/>
      <c r="E59" s="172"/>
      <c r="F59" s="172">
        <v>1240860</v>
      </c>
      <c r="H59" s="172">
        <v>36062</v>
      </c>
      <c r="I59" s="172"/>
      <c r="J59" s="172">
        <v>32845</v>
      </c>
      <c r="K59" s="172"/>
      <c r="L59" s="172">
        <v>680667</v>
      </c>
      <c r="M59" s="172"/>
      <c r="N59" s="172"/>
      <c r="O59" s="172"/>
      <c r="P59" s="172">
        <v>1655191</v>
      </c>
      <c r="Q59" s="172"/>
      <c r="R59" s="172"/>
      <c r="S59" s="172"/>
      <c r="T59" s="172">
        <v>167248</v>
      </c>
      <c r="U59" s="172"/>
      <c r="V59" s="172">
        <v>0</v>
      </c>
      <c r="W59" s="172"/>
      <c r="X59" s="172">
        <v>0</v>
      </c>
      <c r="Y59" s="172"/>
      <c r="Z59" s="172">
        <v>191756</v>
      </c>
      <c r="AA59" s="172"/>
      <c r="AB59" s="172">
        <v>0</v>
      </c>
      <c r="AC59" s="172"/>
      <c r="AD59" s="172">
        <v>128327</v>
      </c>
      <c r="AE59" s="172"/>
      <c r="AF59" s="172">
        <v>0</v>
      </c>
      <c r="AG59" s="172"/>
      <c r="AH59" s="172">
        <v>30362</v>
      </c>
      <c r="AJ59" s="172">
        <v>0</v>
      </c>
      <c r="AL59" s="172">
        <v>45979</v>
      </c>
      <c r="AN59" s="172">
        <v>0</v>
      </c>
      <c r="AP59" s="172"/>
      <c r="AR59" s="172"/>
      <c r="AT59" s="172"/>
      <c r="AV59" s="172"/>
    </row>
    <row r="60" spans="1:55" ht="21">
      <c r="B60" s="265" t="s">
        <v>226</v>
      </c>
      <c r="D60" s="172"/>
      <c r="E60" s="172"/>
      <c r="F60" s="172">
        <v>2439</v>
      </c>
      <c r="H60" s="172">
        <v>321</v>
      </c>
      <c r="I60" s="172"/>
      <c r="J60" s="172">
        <v>1352</v>
      </c>
      <c r="K60" s="172"/>
      <c r="L60" s="172">
        <v>1616</v>
      </c>
      <c r="M60" s="172"/>
      <c r="N60" s="172"/>
      <c r="O60" s="172"/>
      <c r="P60" s="172">
        <v>804</v>
      </c>
      <c r="Q60" s="172"/>
      <c r="R60" s="172"/>
      <c r="S60" s="172"/>
      <c r="T60" s="172">
        <v>536</v>
      </c>
      <c r="U60" s="172"/>
      <c r="V60" s="172">
        <v>720</v>
      </c>
      <c r="W60" s="172"/>
      <c r="X60" s="172">
        <v>445</v>
      </c>
      <c r="Y60" s="172"/>
      <c r="Z60" s="172">
        <v>355</v>
      </c>
      <c r="AA60" s="172"/>
      <c r="AB60" s="172">
        <v>681</v>
      </c>
      <c r="AC60" s="172"/>
      <c r="AD60" s="172">
        <v>474</v>
      </c>
      <c r="AE60" s="172"/>
      <c r="AF60" s="172">
        <v>442</v>
      </c>
      <c r="AG60" s="172"/>
      <c r="AH60" s="172">
        <v>680</v>
      </c>
      <c r="AJ60" s="172">
        <v>280</v>
      </c>
      <c r="AL60" s="172">
        <v>429</v>
      </c>
      <c r="AN60" s="172">
        <v>321</v>
      </c>
      <c r="AP60" s="172"/>
      <c r="AR60" s="172"/>
      <c r="AT60" s="172">
        <v>68</v>
      </c>
      <c r="AV60" s="172">
        <f t="shared" ref="AV60:AV76" si="2">SUM(F60:AT60)</f>
        <v>11963</v>
      </c>
      <c r="AW60" s="571"/>
      <c r="AX60" s="572"/>
      <c r="AY60" s="573"/>
      <c r="AZ60" s="580">
        <f>AY52+AY54+AY56</f>
        <v>0</v>
      </c>
      <c r="BA60" s="580">
        <v>53419030</v>
      </c>
      <c r="BB60" s="580">
        <v>29302357</v>
      </c>
      <c r="BC60" s="580">
        <v>2245737</v>
      </c>
    </row>
    <row r="61" spans="1:55" ht="25.5">
      <c r="B61" s="266" t="s">
        <v>227</v>
      </c>
      <c r="D61" s="172"/>
      <c r="E61" s="172"/>
      <c r="F61" s="172">
        <v>952657</v>
      </c>
      <c r="H61" s="172">
        <v>0</v>
      </c>
      <c r="I61" s="172"/>
      <c r="J61" s="172">
        <v>629682</v>
      </c>
      <c r="K61" s="172"/>
      <c r="L61" s="267">
        <v>377782</v>
      </c>
      <c r="M61" s="172"/>
      <c r="N61" s="172"/>
      <c r="O61" s="172"/>
      <c r="P61" s="267">
        <v>560736</v>
      </c>
      <c r="Q61" s="172"/>
      <c r="R61" s="172"/>
      <c r="S61" s="172"/>
      <c r="T61" s="267">
        <v>713008</v>
      </c>
      <c r="U61" s="172"/>
      <c r="V61" s="267">
        <v>649693</v>
      </c>
      <c r="W61" s="172"/>
      <c r="X61" s="172">
        <v>141434</v>
      </c>
      <c r="Y61" s="172"/>
      <c r="Z61" s="172">
        <v>720677</v>
      </c>
      <c r="AA61" s="172"/>
      <c r="AB61" s="267">
        <v>0</v>
      </c>
      <c r="AC61" s="267"/>
      <c r="AD61" s="267">
        <v>392</v>
      </c>
      <c r="AE61" s="172"/>
      <c r="AF61" s="172">
        <v>35635</v>
      </c>
      <c r="AG61" s="172"/>
      <c r="AH61" s="267">
        <v>564016</v>
      </c>
      <c r="AJ61" s="172">
        <v>185274</v>
      </c>
      <c r="AL61" s="267">
        <v>0</v>
      </c>
      <c r="AN61" s="172">
        <v>598024</v>
      </c>
      <c r="AP61" s="172"/>
      <c r="AR61" s="172"/>
      <c r="AT61" s="172">
        <v>159146</v>
      </c>
      <c r="AV61" s="172">
        <f t="shared" si="2"/>
        <v>6288156</v>
      </c>
      <c r="AW61" s="574"/>
      <c r="AX61" s="575"/>
      <c r="AY61" s="576"/>
      <c r="AZ61" s="581"/>
      <c r="BA61" s="581"/>
      <c r="BB61" s="581"/>
      <c r="BC61" s="581"/>
    </row>
    <row r="62" spans="1:55" ht="21">
      <c r="B62" s="268" t="s">
        <v>228</v>
      </c>
      <c r="D62" s="172"/>
      <c r="E62" s="172"/>
      <c r="F62" s="172">
        <v>2883185</v>
      </c>
      <c r="H62" s="172">
        <v>306830</v>
      </c>
      <c r="I62" s="172"/>
      <c r="J62" s="172">
        <v>752048</v>
      </c>
      <c r="K62" s="172"/>
      <c r="L62" s="267">
        <v>1087506</v>
      </c>
      <c r="M62" s="172"/>
      <c r="N62" s="172"/>
      <c r="O62" s="172"/>
      <c r="P62" s="267">
        <v>1245906</v>
      </c>
      <c r="Q62" s="172"/>
      <c r="R62" s="172"/>
      <c r="S62" s="172"/>
      <c r="T62" s="267">
        <v>63994</v>
      </c>
      <c r="U62" s="172"/>
      <c r="V62" s="267">
        <v>1066596</v>
      </c>
      <c r="W62" s="172"/>
      <c r="X62" s="172">
        <v>37090</v>
      </c>
      <c r="Y62" s="172"/>
      <c r="Z62" s="172">
        <v>959328</v>
      </c>
      <c r="AA62" s="172"/>
      <c r="AB62" s="267">
        <v>115000</v>
      </c>
      <c r="AC62" s="267"/>
      <c r="AD62" s="267">
        <v>350963</v>
      </c>
      <c r="AE62" s="172"/>
      <c r="AF62" s="172">
        <v>1723525</v>
      </c>
      <c r="AG62" s="172"/>
      <c r="AH62" s="267">
        <v>2111400</v>
      </c>
      <c r="AJ62" s="172">
        <v>607403</v>
      </c>
      <c r="AL62" s="267">
        <v>482644</v>
      </c>
      <c r="AN62" s="172">
        <v>25256</v>
      </c>
      <c r="AP62" s="172"/>
      <c r="AR62" s="172"/>
      <c r="AT62" s="172">
        <v>180000</v>
      </c>
      <c r="AV62" s="172">
        <f t="shared" si="2"/>
        <v>13998674</v>
      </c>
      <c r="AW62" s="574"/>
      <c r="AX62" s="575"/>
      <c r="AY62" s="576"/>
      <c r="AZ62" s="581"/>
      <c r="BA62" s="581"/>
      <c r="BB62" s="581"/>
      <c r="BC62" s="581"/>
    </row>
    <row r="63" spans="1:55" ht="21">
      <c r="B63" s="269" t="s">
        <v>229</v>
      </c>
      <c r="D63" s="172"/>
      <c r="E63" s="172"/>
      <c r="F63" s="172">
        <v>0</v>
      </c>
      <c r="H63" s="172">
        <v>178477</v>
      </c>
      <c r="I63" s="172"/>
      <c r="J63" s="172">
        <v>2107775</v>
      </c>
      <c r="K63" s="172"/>
      <c r="L63" s="267">
        <v>261568</v>
      </c>
      <c r="M63" s="172"/>
      <c r="N63" s="172"/>
      <c r="O63" s="172"/>
      <c r="P63" s="267">
        <v>257071</v>
      </c>
      <c r="Q63" s="172"/>
      <c r="R63" s="172"/>
      <c r="S63" s="172"/>
      <c r="T63" s="267">
        <v>12668</v>
      </c>
      <c r="U63" s="172"/>
      <c r="V63" s="267">
        <v>248483</v>
      </c>
      <c r="W63" s="172"/>
      <c r="X63" s="172">
        <v>714</v>
      </c>
      <c r="Y63" s="172"/>
      <c r="Z63" s="172">
        <v>736966</v>
      </c>
      <c r="AA63" s="172"/>
      <c r="AB63" s="267">
        <v>104077</v>
      </c>
      <c r="AC63" s="267"/>
      <c r="AD63" s="267">
        <v>549734</v>
      </c>
      <c r="AE63" s="172"/>
      <c r="AF63" s="172">
        <v>390760</v>
      </c>
      <c r="AG63" s="172"/>
      <c r="AH63" s="267">
        <v>5254066</v>
      </c>
      <c r="AJ63" s="172">
        <v>217821</v>
      </c>
      <c r="AL63" s="267">
        <v>182930</v>
      </c>
      <c r="AN63" s="172">
        <v>0</v>
      </c>
      <c r="AP63" s="172"/>
      <c r="AR63" s="172"/>
      <c r="AT63" s="172">
        <v>0</v>
      </c>
      <c r="AV63" s="172">
        <f t="shared" si="2"/>
        <v>10503110</v>
      </c>
      <c r="AW63" s="574"/>
      <c r="AX63" s="575"/>
      <c r="AY63" s="576"/>
      <c r="AZ63" s="581"/>
      <c r="BA63" s="581"/>
      <c r="BB63" s="581"/>
      <c r="BC63" s="581"/>
    </row>
    <row r="64" spans="1:55" ht="21">
      <c r="B64" s="11" t="s">
        <v>230</v>
      </c>
      <c r="D64" s="172"/>
      <c r="E64" s="172"/>
      <c r="F64" s="172">
        <v>419544</v>
      </c>
      <c r="H64" s="172">
        <v>0</v>
      </c>
      <c r="I64" s="172"/>
      <c r="J64" s="172">
        <v>129253</v>
      </c>
      <c r="K64" s="172"/>
      <c r="L64" s="267">
        <v>0</v>
      </c>
      <c r="M64" s="172"/>
      <c r="N64" s="172"/>
      <c r="O64" s="172"/>
      <c r="P64" s="157">
        <v>0</v>
      </c>
      <c r="Q64" s="172"/>
      <c r="R64" s="172"/>
      <c r="S64" s="172"/>
      <c r="T64" s="267">
        <v>186173</v>
      </c>
      <c r="U64" s="172"/>
      <c r="V64" s="267">
        <v>1237601</v>
      </c>
      <c r="W64" s="172"/>
      <c r="X64" s="172">
        <v>0</v>
      </c>
      <c r="Y64" s="172"/>
      <c r="Z64" s="172">
        <v>1112650</v>
      </c>
      <c r="AA64" s="172"/>
      <c r="AB64" s="267">
        <v>4155</v>
      </c>
      <c r="AC64" s="267"/>
      <c r="AD64" s="267">
        <v>71806</v>
      </c>
      <c r="AE64" s="172"/>
      <c r="AF64" s="172">
        <v>72983</v>
      </c>
      <c r="AG64" s="172"/>
      <c r="AH64" s="157">
        <v>0</v>
      </c>
      <c r="AJ64" s="172">
        <v>0</v>
      </c>
      <c r="AL64" s="157">
        <v>49478</v>
      </c>
      <c r="AN64" s="172">
        <v>7500</v>
      </c>
      <c r="AP64" s="172"/>
      <c r="AR64" s="172"/>
      <c r="AT64" s="267">
        <v>0</v>
      </c>
      <c r="AV64" s="172">
        <f t="shared" si="2"/>
        <v>3291143</v>
      </c>
      <c r="AW64" s="574"/>
      <c r="AX64" s="575"/>
      <c r="AY64" s="576"/>
      <c r="AZ64" s="581"/>
      <c r="BA64" s="581"/>
      <c r="BB64" s="581"/>
      <c r="BC64" s="581"/>
    </row>
    <row r="65" spans="2:55" ht="21">
      <c r="B65" s="270" t="s">
        <v>231</v>
      </c>
      <c r="D65" s="172"/>
      <c r="E65" s="172"/>
      <c r="F65" s="172">
        <v>1214358</v>
      </c>
      <c r="H65" s="157">
        <v>0</v>
      </c>
      <c r="I65" s="172"/>
      <c r="J65" s="172">
        <v>0</v>
      </c>
      <c r="K65" s="172"/>
      <c r="L65" s="267">
        <v>0</v>
      </c>
      <c r="M65" s="172"/>
      <c r="N65" s="172"/>
      <c r="O65" s="172"/>
      <c r="P65" s="267">
        <v>199604</v>
      </c>
      <c r="Q65" s="172"/>
      <c r="R65" s="172"/>
      <c r="S65" s="172"/>
      <c r="T65" s="267">
        <v>0</v>
      </c>
      <c r="U65" s="172"/>
      <c r="V65" s="267">
        <v>0</v>
      </c>
      <c r="W65" s="172"/>
      <c r="X65" s="172">
        <v>747</v>
      </c>
      <c r="Y65" s="172"/>
      <c r="Z65" s="172">
        <v>0</v>
      </c>
      <c r="AA65" s="172"/>
      <c r="AB65" s="267">
        <v>0</v>
      </c>
      <c r="AC65" s="267"/>
      <c r="AD65" s="267">
        <v>0</v>
      </c>
      <c r="AE65" s="172"/>
      <c r="AF65" s="172">
        <v>0</v>
      </c>
      <c r="AG65" s="172"/>
      <c r="AH65" s="267">
        <v>0</v>
      </c>
      <c r="AJ65" s="172">
        <v>0</v>
      </c>
      <c r="AL65" s="267">
        <v>0</v>
      </c>
      <c r="AN65" s="172">
        <v>0</v>
      </c>
      <c r="AP65" s="172"/>
      <c r="AR65" s="172"/>
      <c r="AT65" s="267">
        <v>0</v>
      </c>
      <c r="AV65" s="172">
        <f t="shared" si="2"/>
        <v>1414709</v>
      </c>
      <c r="AW65" s="574"/>
      <c r="AX65" s="575"/>
      <c r="AY65" s="576"/>
      <c r="AZ65" s="581"/>
      <c r="BA65" s="581"/>
      <c r="BB65" s="581"/>
      <c r="BC65" s="581"/>
    </row>
    <row r="66" spans="2:55" ht="112.5">
      <c r="B66" s="270" t="s">
        <v>232</v>
      </c>
      <c r="D66" s="172"/>
      <c r="E66" s="172"/>
      <c r="F66" s="172">
        <v>0</v>
      </c>
      <c r="H66" s="172">
        <v>0</v>
      </c>
      <c r="I66" s="172"/>
      <c r="J66" s="172">
        <v>0</v>
      </c>
      <c r="K66" s="172"/>
      <c r="L66" s="267">
        <v>75220</v>
      </c>
      <c r="M66" s="172"/>
      <c r="N66" s="172"/>
      <c r="O66" s="172"/>
      <c r="P66" s="267">
        <v>773411</v>
      </c>
      <c r="Q66" s="172"/>
      <c r="R66" s="172"/>
      <c r="S66" s="172"/>
      <c r="T66" s="267">
        <v>0</v>
      </c>
      <c r="U66" s="172"/>
      <c r="V66" s="267">
        <v>0</v>
      </c>
      <c r="W66" s="172"/>
      <c r="X66" s="172">
        <v>0</v>
      </c>
      <c r="Y66" s="172"/>
      <c r="Z66" s="172">
        <v>0</v>
      </c>
      <c r="AA66" s="172"/>
      <c r="AB66" s="267">
        <v>16000</v>
      </c>
      <c r="AC66" s="267"/>
      <c r="AD66" s="267">
        <v>91223</v>
      </c>
      <c r="AE66" s="172"/>
      <c r="AF66" s="172">
        <v>6575</v>
      </c>
      <c r="AG66" s="172"/>
      <c r="AH66" s="267">
        <v>326147</v>
      </c>
      <c r="AJ66" s="172">
        <v>202</v>
      </c>
      <c r="AL66" s="267">
        <v>0</v>
      </c>
      <c r="AN66" s="172">
        <v>0</v>
      </c>
      <c r="AP66" s="172"/>
      <c r="AR66" s="172"/>
      <c r="AT66" s="267">
        <v>0</v>
      </c>
      <c r="AV66" s="172">
        <f t="shared" si="2"/>
        <v>1288778</v>
      </c>
      <c r="AW66" s="574"/>
      <c r="AX66" s="575"/>
      <c r="AY66" s="576"/>
      <c r="AZ66" s="259" t="s">
        <v>222</v>
      </c>
      <c r="BA66" s="260">
        <f>BA60/($AV$26-$AV$17)</f>
        <v>0.5381686579873054</v>
      </c>
      <c r="BB66" s="260">
        <f>BB60/($AV$26-$AV$17)</f>
        <v>0.29520584972349595</v>
      </c>
      <c r="BC66" s="261"/>
    </row>
    <row r="67" spans="2:55" ht="75">
      <c r="B67" s="271" t="s">
        <v>233</v>
      </c>
      <c r="D67" s="172"/>
      <c r="E67" s="172"/>
      <c r="F67" s="172">
        <v>0</v>
      </c>
      <c r="H67" s="172">
        <v>0</v>
      </c>
      <c r="I67" s="172"/>
      <c r="J67" s="172">
        <v>0</v>
      </c>
      <c r="K67" s="172"/>
      <c r="L67" s="267">
        <v>0</v>
      </c>
      <c r="M67" s="172"/>
      <c r="N67" s="172"/>
      <c r="O67" s="172"/>
      <c r="P67" s="267">
        <v>0</v>
      </c>
      <c r="Q67" s="172"/>
      <c r="R67" s="172"/>
      <c r="S67" s="172"/>
      <c r="T67" s="267">
        <v>0</v>
      </c>
      <c r="U67" s="172"/>
      <c r="V67" s="267">
        <v>0</v>
      </c>
      <c r="W67" s="172"/>
      <c r="X67" s="172">
        <v>0</v>
      </c>
      <c r="Y67" s="172"/>
      <c r="Z67" s="172">
        <v>0</v>
      </c>
      <c r="AA67" s="172"/>
      <c r="AB67" s="267">
        <v>0</v>
      </c>
      <c r="AC67" s="267"/>
      <c r="AD67" s="267">
        <v>0</v>
      </c>
      <c r="AE67" s="172"/>
      <c r="AF67" s="172">
        <v>0</v>
      </c>
      <c r="AG67" s="172"/>
      <c r="AH67" s="267">
        <v>0</v>
      </c>
      <c r="AJ67" s="172">
        <v>0</v>
      </c>
      <c r="AL67" s="267">
        <v>0</v>
      </c>
      <c r="AN67" s="172">
        <v>0</v>
      </c>
      <c r="AP67" s="172"/>
      <c r="AR67" s="172"/>
      <c r="AT67" s="267">
        <v>0</v>
      </c>
      <c r="AV67" s="172">
        <f t="shared" si="2"/>
        <v>0</v>
      </c>
      <c r="AW67" s="577"/>
      <c r="AX67" s="578"/>
      <c r="AY67" s="579"/>
      <c r="AZ67" s="262" t="s">
        <v>204</v>
      </c>
      <c r="BA67" s="263"/>
      <c r="BB67" s="264">
        <v>24116673</v>
      </c>
      <c r="BC67" s="263"/>
    </row>
    <row r="68" spans="2:55" ht="36">
      <c r="B68" s="271" t="s">
        <v>234</v>
      </c>
      <c r="D68" s="172"/>
      <c r="E68" s="172"/>
      <c r="F68" s="172">
        <v>0</v>
      </c>
      <c r="H68" s="172">
        <v>0</v>
      </c>
      <c r="I68" s="172"/>
      <c r="J68" s="172">
        <v>0</v>
      </c>
      <c r="K68" s="172"/>
      <c r="L68" s="267">
        <v>0</v>
      </c>
      <c r="M68" s="172"/>
      <c r="N68" s="172"/>
      <c r="O68" s="172"/>
      <c r="P68" s="267">
        <v>0</v>
      </c>
      <c r="Q68" s="172"/>
      <c r="R68" s="172"/>
      <c r="S68" s="172"/>
      <c r="T68" s="267">
        <v>0</v>
      </c>
      <c r="U68" s="172"/>
      <c r="V68" s="267">
        <v>0</v>
      </c>
      <c r="W68" s="172"/>
      <c r="X68" s="172">
        <v>0</v>
      </c>
      <c r="Y68" s="172"/>
      <c r="Z68" s="172">
        <v>0</v>
      </c>
      <c r="AA68" s="172"/>
      <c r="AB68" s="267"/>
      <c r="AC68" s="267"/>
      <c r="AD68" s="267">
        <v>205976</v>
      </c>
      <c r="AE68" s="172"/>
      <c r="AF68" s="172">
        <v>0</v>
      </c>
      <c r="AG68" s="172"/>
      <c r="AH68" s="267">
        <v>544998</v>
      </c>
      <c r="AJ68" s="172">
        <v>0</v>
      </c>
      <c r="AL68" s="267">
        <v>0</v>
      </c>
      <c r="AN68" s="172">
        <v>0</v>
      </c>
      <c r="AP68" s="172"/>
      <c r="AR68" s="172"/>
      <c r="AT68" s="267">
        <v>0</v>
      </c>
      <c r="AV68" s="172">
        <f t="shared" si="2"/>
        <v>750974</v>
      </c>
    </row>
    <row r="69" spans="2:55" ht="21">
      <c r="B69" s="271" t="s">
        <v>235</v>
      </c>
      <c r="D69" s="172"/>
      <c r="E69" s="172"/>
      <c r="F69" s="172">
        <v>3992</v>
      </c>
      <c r="H69" s="172">
        <v>0</v>
      </c>
      <c r="I69" s="172"/>
      <c r="J69" s="172">
        <v>30740</v>
      </c>
      <c r="K69" s="172"/>
      <c r="L69" s="267">
        <v>0</v>
      </c>
      <c r="M69" s="172"/>
      <c r="N69" s="172"/>
      <c r="O69" s="172"/>
      <c r="P69" s="267">
        <v>2785</v>
      </c>
      <c r="Q69" s="172"/>
      <c r="R69" s="172"/>
      <c r="S69" s="172"/>
      <c r="T69" s="267">
        <v>2512</v>
      </c>
      <c r="U69" s="172"/>
      <c r="V69" s="267">
        <v>0</v>
      </c>
      <c r="W69" s="172"/>
      <c r="X69" s="172">
        <v>0</v>
      </c>
      <c r="Y69" s="172"/>
      <c r="Z69" s="172">
        <v>0</v>
      </c>
      <c r="AA69" s="172"/>
      <c r="AB69" s="267">
        <v>0</v>
      </c>
      <c r="AC69" s="267"/>
      <c r="AD69" s="267">
        <v>1462</v>
      </c>
      <c r="AE69" s="172"/>
      <c r="AF69" s="172">
        <v>0</v>
      </c>
      <c r="AG69" s="172"/>
      <c r="AH69" s="267">
        <v>2812</v>
      </c>
      <c r="AJ69" s="172">
        <v>0</v>
      </c>
      <c r="AL69" s="267">
        <v>0</v>
      </c>
      <c r="AN69" s="172">
        <v>0</v>
      </c>
      <c r="AP69" s="172"/>
      <c r="AR69" s="172"/>
      <c r="AT69" s="267">
        <v>0</v>
      </c>
      <c r="AV69" s="172">
        <f t="shared" si="2"/>
        <v>44303</v>
      </c>
    </row>
    <row r="70" spans="2:55" ht="21">
      <c r="B70" s="271" t="s">
        <v>236</v>
      </c>
      <c r="C70" s="187"/>
      <c r="D70" s="172"/>
      <c r="E70" s="172"/>
      <c r="F70" s="172">
        <v>7876</v>
      </c>
      <c r="G70" s="187"/>
      <c r="H70" s="172">
        <v>0</v>
      </c>
      <c r="I70" s="172"/>
      <c r="J70" s="172">
        <v>9286</v>
      </c>
      <c r="K70" s="172"/>
      <c r="L70" s="267">
        <v>6875</v>
      </c>
      <c r="M70" s="172"/>
      <c r="N70" s="172"/>
      <c r="O70" s="172"/>
      <c r="P70" s="267">
        <v>26851</v>
      </c>
      <c r="Q70" s="172"/>
      <c r="R70" s="172"/>
      <c r="S70" s="172"/>
      <c r="T70" s="267">
        <v>0</v>
      </c>
      <c r="U70" s="172"/>
      <c r="V70" s="267">
        <v>51506</v>
      </c>
      <c r="W70" s="172"/>
      <c r="X70" s="172">
        <v>0</v>
      </c>
      <c r="Y70" s="172"/>
      <c r="Z70" s="172">
        <v>0</v>
      </c>
      <c r="AA70" s="172"/>
      <c r="AB70" s="169">
        <v>0</v>
      </c>
      <c r="AC70" s="267"/>
      <c r="AD70" s="267">
        <v>0</v>
      </c>
      <c r="AE70" s="172"/>
      <c r="AF70" s="172">
        <v>0</v>
      </c>
      <c r="AG70" s="172"/>
      <c r="AH70" s="267">
        <v>6957</v>
      </c>
      <c r="AJ70" s="172">
        <v>0</v>
      </c>
      <c r="AL70" s="172">
        <v>0</v>
      </c>
      <c r="AN70" s="172">
        <v>0</v>
      </c>
      <c r="AP70" s="172"/>
      <c r="AR70" s="172"/>
      <c r="AT70" s="267">
        <v>0</v>
      </c>
      <c r="AV70" s="172">
        <f t="shared" si="2"/>
        <v>109351</v>
      </c>
    </row>
    <row r="71" spans="2:55" ht="21">
      <c r="B71" s="271" t="s">
        <v>237</v>
      </c>
      <c r="C71" s="187"/>
      <c r="D71" s="172"/>
      <c r="E71" s="172"/>
      <c r="F71" s="172">
        <v>41848</v>
      </c>
      <c r="G71" s="187"/>
      <c r="H71" s="172">
        <v>0</v>
      </c>
      <c r="I71" s="172"/>
      <c r="J71" s="172">
        <v>331557</v>
      </c>
      <c r="K71" s="172"/>
      <c r="L71" s="267">
        <v>0</v>
      </c>
      <c r="M71" s="172"/>
      <c r="N71" s="172"/>
      <c r="O71" s="172"/>
      <c r="P71" s="267">
        <v>6990</v>
      </c>
      <c r="Q71" s="172"/>
      <c r="R71" s="172"/>
      <c r="S71" s="172"/>
      <c r="T71" s="267">
        <v>5176</v>
      </c>
      <c r="U71" s="172"/>
      <c r="V71" s="267">
        <v>0</v>
      </c>
      <c r="W71" s="172"/>
      <c r="X71" s="172">
        <v>0</v>
      </c>
      <c r="Y71" s="172"/>
      <c r="Z71" s="172">
        <v>15539</v>
      </c>
      <c r="AA71" s="172"/>
      <c r="AB71" s="267">
        <v>3787</v>
      </c>
      <c r="AC71" s="267"/>
      <c r="AD71" s="267">
        <v>77320</v>
      </c>
      <c r="AE71" s="172"/>
      <c r="AF71" s="172">
        <v>0</v>
      </c>
      <c r="AG71" s="172"/>
      <c r="AH71" s="267">
        <v>10754</v>
      </c>
      <c r="AJ71" s="267">
        <v>17299</v>
      </c>
      <c r="AL71" s="172">
        <v>431</v>
      </c>
      <c r="AN71" s="172">
        <v>0</v>
      </c>
      <c r="AP71" s="172"/>
      <c r="AR71" s="172"/>
      <c r="AT71" s="267">
        <v>0</v>
      </c>
      <c r="AV71" s="172">
        <f t="shared" si="2"/>
        <v>510701</v>
      </c>
    </row>
    <row r="72" spans="2:55" ht="21">
      <c r="B72" s="271" t="s">
        <v>238</v>
      </c>
      <c r="D72" s="172"/>
      <c r="E72" s="172"/>
      <c r="F72" s="172">
        <v>224999</v>
      </c>
      <c r="H72" s="172">
        <v>14451</v>
      </c>
      <c r="I72" s="172"/>
      <c r="J72" s="157">
        <v>204996</v>
      </c>
      <c r="K72" s="172"/>
      <c r="L72" s="267">
        <v>448663</v>
      </c>
      <c r="M72" s="172"/>
      <c r="N72" s="172"/>
      <c r="O72" s="172"/>
      <c r="P72" s="267">
        <v>31657</v>
      </c>
      <c r="Q72" s="172"/>
      <c r="R72" s="172"/>
      <c r="S72" s="172"/>
      <c r="T72" s="267">
        <v>0</v>
      </c>
      <c r="U72" s="172"/>
      <c r="V72" s="267">
        <v>40741</v>
      </c>
      <c r="W72" s="172"/>
      <c r="X72" s="172">
        <v>9333</v>
      </c>
      <c r="Y72" s="172"/>
      <c r="Z72" s="172">
        <v>0</v>
      </c>
      <c r="AA72" s="172"/>
      <c r="AB72" s="267">
        <v>3309</v>
      </c>
      <c r="AC72" s="267"/>
      <c r="AD72" s="267">
        <v>0</v>
      </c>
      <c r="AE72" s="172"/>
      <c r="AF72" s="172">
        <v>0</v>
      </c>
      <c r="AG72" s="172"/>
      <c r="AH72" s="267">
        <v>87421</v>
      </c>
      <c r="AJ72" s="172">
        <v>14279</v>
      </c>
      <c r="AL72" s="157">
        <v>24861</v>
      </c>
      <c r="AN72" s="172">
        <v>0</v>
      </c>
      <c r="AP72" s="172"/>
      <c r="AR72" s="172"/>
      <c r="AT72" s="267">
        <v>0</v>
      </c>
      <c r="AV72" s="172">
        <f t="shared" si="2"/>
        <v>1104710</v>
      </c>
    </row>
    <row r="73" spans="2:55" ht="21">
      <c r="B73" s="271" t="s">
        <v>239</v>
      </c>
      <c r="D73" s="172"/>
      <c r="E73" s="172"/>
      <c r="F73" s="172">
        <v>118030</v>
      </c>
      <c r="H73" s="172">
        <v>0</v>
      </c>
      <c r="I73" s="172"/>
      <c r="J73" s="172">
        <v>0</v>
      </c>
      <c r="K73" s="172"/>
      <c r="L73" s="267">
        <v>0</v>
      </c>
      <c r="M73" s="172"/>
      <c r="N73" s="172"/>
      <c r="O73" s="172"/>
      <c r="P73" s="267">
        <v>25979</v>
      </c>
      <c r="Q73" s="172"/>
      <c r="R73" s="172"/>
      <c r="S73" s="172"/>
      <c r="T73" s="267">
        <v>4606</v>
      </c>
      <c r="U73" s="172"/>
      <c r="V73" s="267">
        <v>0</v>
      </c>
      <c r="W73" s="172"/>
      <c r="X73" s="172">
        <v>0</v>
      </c>
      <c r="Y73" s="172"/>
      <c r="Z73" s="172">
        <v>0</v>
      </c>
      <c r="AA73" s="172"/>
      <c r="AB73" s="267">
        <v>0</v>
      </c>
      <c r="AC73" s="267"/>
      <c r="AD73" s="267">
        <v>52694</v>
      </c>
      <c r="AE73" s="172"/>
      <c r="AF73" s="172">
        <v>35259</v>
      </c>
      <c r="AG73" s="172"/>
      <c r="AH73" s="267">
        <v>27550</v>
      </c>
      <c r="AJ73" s="267">
        <v>280718</v>
      </c>
      <c r="AL73" s="158">
        <v>0</v>
      </c>
      <c r="AN73" s="172">
        <v>0</v>
      </c>
      <c r="AP73" s="172"/>
      <c r="AR73" s="172"/>
      <c r="AT73" s="172">
        <v>0</v>
      </c>
      <c r="AV73" s="172">
        <f t="shared" si="2"/>
        <v>544836</v>
      </c>
    </row>
    <row r="74" spans="2:55" ht="21">
      <c r="B74" s="271" t="s">
        <v>240</v>
      </c>
      <c r="D74" s="172"/>
      <c r="E74" s="172"/>
      <c r="F74" s="172">
        <v>27545</v>
      </c>
      <c r="H74" s="172">
        <v>0</v>
      </c>
      <c r="I74" s="172"/>
      <c r="J74" s="172">
        <v>110424</v>
      </c>
      <c r="K74" s="172"/>
      <c r="L74" s="267">
        <v>111684</v>
      </c>
      <c r="M74" s="172"/>
      <c r="N74" s="172"/>
      <c r="O74" s="172"/>
      <c r="P74" s="267">
        <v>16576</v>
      </c>
      <c r="Q74" s="172"/>
      <c r="R74" s="172"/>
      <c r="S74" s="172"/>
      <c r="T74" s="267">
        <v>0</v>
      </c>
      <c r="U74" s="172"/>
      <c r="V74" s="267">
        <v>333091</v>
      </c>
      <c r="W74" s="172"/>
      <c r="X74" s="172">
        <v>0</v>
      </c>
      <c r="Y74" s="172"/>
      <c r="Z74" s="172">
        <v>0</v>
      </c>
      <c r="AA74" s="172"/>
      <c r="AB74" s="267">
        <v>0</v>
      </c>
      <c r="AC74" s="267"/>
      <c r="AD74" s="267">
        <v>0</v>
      </c>
      <c r="AE74" s="172"/>
      <c r="AF74" s="172">
        <v>0</v>
      </c>
      <c r="AG74" s="172"/>
      <c r="AH74" s="267">
        <v>30081</v>
      </c>
      <c r="AJ74" s="267">
        <v>0</v>
      </c>
      <c r="AL74" s="157">
        <v>0</v>
      </c>
      <c r="AN74" s="172">
        <v>0</v>
      </c>
      <c r="AP74" s="172"/>
      <c r="AR74" s="172"/>
      <c r="AT74" s="267">
        <v>0</v>
      </c>
      <c r="AV74" s="172">
        <f t="shared" si="2"/>
        <v>629401</v>
      </c>
    </row>
    <row r="75" spans="2:55" ht="21">
      <c r="B75" s="271" t="s">
        <v>241</v>
      </c>
      <c r="D75" s="172"/>
      <c r="E75" s="172"/>
      <c r="F75" s="172">
        <v>2172168</v>
      </c>
      <c r="H75" s="267">
        <v>26632</v>
      </c>
      <c r="I75" s="172"/>
      <c r="J75" s="172">
        <v>433035</v>
      </c>
      <c r="K75" s="172"/>
      <c r="L75" s="267">
        <v>1008292</v>
      </c>
      <c r="M75" s="172"/>
      <c r="N75" s="172"/>
      <c r="O75" s="172"/>
      <c r="P75" s="267">
        <v>863579</v>
      </c>
      <c r="Q75" s="172"/>
      <c r="R75" s="172"/>
      <c r="S75" s="172"/>
      <c r="T75" s="267">
        <v>76892</v>
      </c>
      <c r="U75" s="172"/>
      <c r="V75" s="267">
        <v>2830307</v>
      </c>
      <c r="W75" s="172"/>
      <c r="X75" s="172">
        <v>1024750</v>
      </c>
      <c r="Y75" s="172"/>
      <c r="Z75" s="172">
        <v>304561</v>
      </c>
      <c r="AA75" s="172"/>
      <c r="AB75" s="267">
        <v>16903</v>
      </c>
      <c r="AC75" s="267"/>
      <c r="AD75" s="267">
        <v>521261</v>
      </c>
      <c r="AE75" s="172"/>
      <c r="AF75" s="172">
        <v>442112</v>
      </c>
      <c r="AG75" s="172"/>
      <c r="AH75" s="267">
        <v>1017935</v>
      </c>
      <c r="AJ75" s="172">
        <v>69662</v>
      </c>
      <c r="AL75" s="172">
        <v>352956</v>
      </c>
      <c r="AN75" s="172">
        <v>6697</v>
      </c>
      <c r="AP75" s="172"/>
      <c r="AR75" s="172"/>
      <c r="AT75" s="157">
        <v>259</v>
      </c>
      <c r="AV75" s="172">
        <f t="shared" si="2"/>
        <v>11168001</v>
      </c>
    </row>
    <row r="76" spans="2:55" ht="21">
      <c r="B76" s="271" t="s">
        <v>219</v>
      </c>
      <c r="D76" s="172"/>
      <c r="E76" s="172"/>
      <c r="F76" s="172">
        <v>2129281</v>
      </c>
      <c r="H76" s="267">
        <v>17755</v>
      </c>
      <c r="I76" s="172"/>
      <c r="J76" s="172">
        <v>381015</v>
      </c>
      <c r="K76" s="172"/>
      <c r="L76" s="267">
        <v>100957</v>
      </c>
      <c r="M76" s="172"/>
      <c r="N76" s="172"/>
      <c r="O76" s="172"/>
      <c r="P76" s="267">
        <v>700163</v>
      </c>
      <c r="Q76" s="172"/>
      <c r="R76" s="172"/>
      <c r="S76" s="172"/>
      <c r="T76" s="267">
        <v>70713</v>
      </c>
      <c r="U76" s="172"/>
      <c r="V76" s="267">
        <v>2711565</v>
      </c>
      <c r="W76" s="172"/>
      <c r="X76" s="172">
        <v>587870</v>
      </c>
      <c r="Y76" s="172"/>
      <c r="Z76" s="172">
        <v>284874</v>
      </c>
      <c r="AA76" s="172"/>
      <c r="AB76" s="172">
        <v>50832</v>
      </c>
      <c r="AC76" s="172"/>
      <c r="AD76" s="172">
        <v>385379</v>
      </c>
      <c r="AE76" s="172"/>
      <c r="AF76" s="172">
        <v>409103</v>
      </c>
      <c r="AG76" s="172"/>
      <c r="AH76" s="172">
        <v>924418</v>
      </c>
      <c r="AJ76" s="172">
        <v>52196</v>
      </c>
      <c r="AL76" s="172">
        <v>445202</v>
      </c>
      <c r="AN76" s="172">
        <v>5497</v>
      </c>
      <c r="AP76" s="172"/>
      <c r="AR76" s="172"/>
      <c r="AT76" s="172">
        <v>173</v>
      </c>
      <c r="AV76" s="172">
        <f t="shared" si="2"/>
        <v>9256993</v>
      </c>
    </row>
    <row r="77" spans="2:55" ht="21">
      <c r="D77" s="172"/>
      <c r="E77" s="172"/>
      <c r="F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J77" s="172"/>
      <c r="AL77" s="172"/>
      <c r="AN77" s="172"/>
      <c r="AP77" s="172"/>
      <c r="AR77" s="172"/>
      <c r="AT77" s="172"/>
      <c r="AV77" s="172"/>
    </row>
    <row r="78" spans="2:55" ht="21">
      <c r="D78" s="172"/>
      <c r="E78" s="172"/>
      <c r="F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J78" s="172"/>
      <c r="AL78" s="172"/>
      <c r="AN78" s="172"/>
      <c r="AP78" s="172"/>
      <c r="AR78" s="172"/>
      <c r="AT78" s="172"/>
      <c r="AV78" s="172"/>
    </row>
    <row r="79" spans="2:55" ht="21">
      <c r="D79" s="172"/>
      <c r="E79" s="172"/>
      <c r="F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J79" s="172"/>
      <c r="AL79" s="172"/>
      <c r="AN79" s="172"/>
      <c r="AP79" s="172"/>
      <c r="AR79" s="172"/>
      <c r="AT79" s="172"/>
      <c r="AV79" s="172"/>
    </row>
    <row r="80" spans="2:55" ht="21">
      <c r="D80" s="172"/>
      <c r="E80" s="172"/>
      <c r="F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J80" s="172"/>
      <c r="AL80" s="172"/>
      <c r="AN80" s="172"/>
      <c r="AP80" s="172"/>
      <c r="AR80" s="172"/>
      <c r="AT80" s="172"/>
      <c r="AV80" s="172"/>
    </row>
    <row r="81" spans="4:48" ht="21">
      <c r="D81" s="172"/>
      <c r="E81" s="172"/>
      <c r="F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J81" s="172"/>
      <c r="AL81" s="172"/>
      <c r="AN81" s="172"/>
      <c r="AP81" s="172"/>
      <c r="AR81" s="172"/>
      <c r="AT81" s="172"/>
      <c r="AV81" s="172"/>
    </row>
    <row r="82" spans="4:48" ht="21">
      <c r="D82" s="172"/>
      <c r="E82" s="172"/>
      <c r="F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J82" s="172"/>
      <c r="AL82" s="172"/>
      <c r="AN82" s="172"/>
      <c r="AP82" s="172"/>
      <c r="AR82" s="172"/>
      <c r="AT82" s="172"/>
      <c r="AV82" s="172"/>
    </row>
    <row r="83" spans="4:48" ht="21">
      <c r="D83" s="172"/>
      <c r="E83" s="172"/>
      <c r="F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J83" s="172"/>
      <c r="AL83" s="172"/>
      <c r="AN83" s="172"/>
      <c r="AP83" s="172"/>
      <c r="AR83" s="172"/>
      <c r="AT83" s="172"/>
      <c r="AV83" s="172"/>
    </row>
    <row r="84" spans="4:48" ht="27">
      <c r="D84" s="188"/>
      <c r="E84" s="189"/>
      <c r="F84" s="188"/>
      <c r="H84" s="188"/>
      <c r="I84" s="189"/>
    </row>
    <row r="85" spans="4:48" ht="27">
      <c r="D85" s="188"/>
      <c r="E85" s="189"/>
      <c r="F85" s="188"/>
      <c r="H85" s="188"/>
      <c r="I85" s="189"/>
    </row>
    <row r="86" spans="4:48" ht="27">
      <c r="D86" s="188"/>
      <c r="E86" s="189"/>
      <c r="F86" s="188"/>
      <c r="H86" s="188"/>
      <c r="I86" s="189"/>
    </row>
    <row r="87" spans="4:48" ht="27">
      <c r="D87" s="188"/>
      <c r="E87" s="189"/>
      <c r="F87" s="188"/>
      <c r="H87" s="188"/>
      <c r="I87" s="189"/>
    </row>
    <row r="88" spans="4:48" ht="27">
      <c r="D88" s="188"/>
      <c r="E88" s="189"/>
      <c r="F88" s="188"/>
      <c r="H88" s="188"/>
      <c r="I88" s="189"/>
    </row>
    <row r="89" spans="4:48" ht="27">
      <c r="D89" s="188"/>
      <c r="E89" s="189"/>
      <c r="F89" s="188"/>
      <c r="H89" s="188"/>
      <c r="I89" s="189"/>
    </row>
    <row r="90" spans="4:48" ht="27">
      <c r="D90" s="188"/>
      <c r="E90" s="189"/>
      <c r="F90" s="188"/>
      <c r="H90" s="188"/>
      <c r="I90" s="189"/>
    </row>
    <row r="91" spans="4:48" ht="27">
      <c r="D91" s="188"/>
      <c r="E91" s="189"/>
      <c r="F91" s="188"/>
      <c r="H91" s="188"/>
      <c r="I91" s="189"/>
    </row>
    <row r="92" spans="4:48" ht="27">
      <c r="D92" s="188"/>
      <c r="E92" s="189"/>
      <c r="F92" s="188"/>
      <c r="H92" s="188"/>
      <c r="I92" s="189"/>
    </row>
    <row r="93" spans="4:48" ht="27">
      <c r="D93" s="188"/>
      <c r="E93" s="189"/>
      <c r="F93" s="188"/>
      <c r="H93" s="188"/>
      <c r="I93" s="189"/>
    </row>
    <row r="94" spans="4:48" ht="27">
      <c r="D94" s="188"/>
      <c r="E94" s="189"/>
      <c r="F94" s="188"/>
      <c r="H94" s="188"/>
      <c r="I94" s="189"/>
    </row>
    <row r="95" spans="4:48" ht="27">
      <c r="D95" s="188"/>
      <c r="E95" s="189"/>
      <c r="F95" s="188"/>
      <c r="H95" s="188"/>
      <c r="I95" s="189"/>
    </row>
    <row r="96" spans="4:48" ht="27">
      <c r="D96" s="188"/>
      <c r="E96" s="189"/>
      <c r="F96" s="188"/>
      <c r="H96" s="188"/>
      <c r="I96" s="189"/>
    </row>
    <row r="97" spans="4:9" s="157" customFormat="1" ht="27">
      <c r="D97" s="188"/>
      <c r="E97" s="189"/>
      <c r="F97" s="188"/>
      <c r="G97" s="95"/>
      <c r="H97" s="188"/>
      <c r="I97" s="189"/>
    </row>
    <row r="98" spans="4:9" s="157" customFormat="1" ht="27">
      <c r="D98" s="188"/>
      <c r="E98" s="189"/>
      <c r="F98" s="188"/>
      <c r="G98" s="95"/>
      <c r="H98" s="188"/>
      <c r="I98" s="189"/>
    </row>
    <row r="99" spans="4:9" s="157" customFormat="1" ht="27">
      <c r="D99" s="188"/>
      <c r="E99" s="189"/>
      <c r="F99" s="188"/>
      <c r="G99" s="95"/>
      <c r="H99" s="188"/>
      <c r="I99" s="189"/>
    </row>
    <row r="100" spans="4:9" s="157" customFormat="1" ht="27">
      <c r="D100" s="188"/>
      <c r="E100" s="189"/>
      <c r="F100" s="188"/>
      <c r="G100" s="95"/>
      <c r="H100" s="188"/>
      <c r="I100" s="189"/>
    </row>
    <row r="101" spans="4:9" s="157" customFormat="1" ht="27">
      <c r="D101" s="188"/>
      <c r="E101" s="189"/>
      <c r="F101" s="188"/>
      <c r="G101" s="95"/>
      <c r="H101" s="188"/>
      <c r="I101" s="189"/>
    </row>
    <row r="102" spans="4:9" s="157" customFormat="1" ht="27">
      <c r="D102" s="188"/>
      <c r="E102" s="189"/>
      <c r="F102" s="188"/>
      <c r="G102" s="95"/>
      <c r="H102" s="188"/>
      <c r="I102" s="189"/>
    </row>
    <row r="103" spans="4:9" s="157" customFormat="1" ht="27">
      <c r="D103" s="188"/>
      <c r="E103" s="189"/>
      <c r="F103" s="188"/>
      <c r="G103" s="95"/>
      <c r="H103" s="188"/>
      <c r="I103" s="189"/>
    </row>
    <row r="104" spans="4:9" s="157" customFormat="1" ht="27">
      <c r="D104" s="188"/>
      <c r="E104" s="189"/>
      <c r="F104" s="188"/>
      <c r="G104" s="95"/>
      <c r="H104" s="188"/>
      <c r="I104" s="189"/>
    </row>
    <row r="105" spans="4:9" s="157" customFormat="1" ht="27">
      <c r="D105" s="188"/>
      <c r="E105" s="189"/>
      <c r="F105" s="188"/>
      <c r="G105" s="95"/>
      <c r="H105" s="188"/>
      <c r="I105" s="189"/>
    </row>
    <row r="106" spans="4:9" s="157" customFormat="1" ht="27">
      <c r="D106" s="188"/>
      <c r="E106" s="189"/>
      <c r="F106" s="188"/>
      <c r="G106" s="95"/>
      <c r="H106" s="188"/>
      <c r="I106" s="189"/>
    </row>
    <row r="107" spans="4:9" s="157" customFormat="1" ht="27">
      <c r="D107" s="188"/>
      <c r="E107" s="189"/>
      <c r="F107" s="188"/>
      <c r="G107" s="95"/>
      <c r="H107" s="188"/>
      <c r="I107" s="189"/>
    </row>
  </sheetData>
  <mergeCells count="29">
    <mergeCell ref="A9:A55"/>
    <mergeCell ref="AW10:AX10"/>
    <mergeCell ref="AW11:AX12"/>
    <mergeCell ref="AY11:AY12"/>
    <mergeCell ref="AW13:AX14"/>
    <mergeCell ref="AY13:AY14"/>
    <mergeCell ref="AW15:AX16"/>
    <mergeCell ref="AY15:AY16"/>
    <mergeCell ref="AW17:AX18"/>
    <mergeCell ref="AY17:AY18"/>
    <mergeCell ref="AW19:AX20"/>
    <mergeCell ref="AY19:AY20"/>
    <mergeCell ref="AW21:AX22"/>
    <mergeCell ref="AY21:AY22"/>
    <mergeCell ref="AW25:AX25"/>
    <mergeCell ref="AW26:AX26"/>
    <mergeCell ref="AW27:AY34"/>
    <mergeCell ref="AZ27:AZ32"/>
    <mergeCell ref="BA27:BA32"/>
    <mergeCell ref="AZ11:BC26"/>
    <mergeCell ref="BC27:BC32"/>
    <mergeCell ref="BB27:BB32"/>
    <mergeCell ref="AW23:AX24"/>
    <mergeCell ref="AY23:AY24"/>
    <mergeCell ref="AW60:AY67"/>
    <mergeCell ref="AZ60:AZ65"/>
    <mergeCell ref="BA60:BA65"/>
    <mergeCell ref="BB60:BB65"/>
    <mergeCell ref="BC60:BC65"/>
  </mergeCells>
  <conditionalFormatting sqref="D58:F58 AC58:AN58 J58:AA58">
    <cfRule type="cellIs" dxfId="57" priority="19" operator="equal">
      <formula>0</formula>
    </cfRule>
    <cfRule type="cellIs" dxfId="56" priority="20" operator="greaterThan">
      <formula>0</formula>
    </cfRule>
  </conditionalFormatting>
  <conditionalFormatting sqref="AB58">
    <cfRule type="cellIs" dxfId="55" priority="17" operator="equal">
      <formula>0</formula>
    </cfRule>
    <cfRule type="cellIs" dxfId="54" priority="18" operator="greaterThan">
      <formula>0</formula>
    </cfRule>
  </conditionalFormatting>
  <conditionalFormatting sqref="AV58">
    <cfRule type="cellIs" dxfId="53" priority="15" operator="equal">
      <formula>0</formula>
    </cfRule>
    <cfRule type="cellIs" dxfId="52" priority="16" operator="greaterThan">
      <formula>0</formula>
    </cfRule>
  </conditionalFormatting>
  <conditionalFormatting sqref="I58">
    <cfRule type="cellIs" dxfId="51" priority="13" operator="equal">
      <formula>0</formula>
    </cfRule>
    <cfRule type="cellIs" dxfId="50" priority="14" operator="greaterThan">
      <formula>0</formula>
    </cfRule>
  </conditionalFormatting>
  <conditionalFormatting sqref="AO58 AQ58 AS58 AU58">
    <cfRule type="cellIs" dxfId="49" priority="11" operator="equal">
      <formula>0</formula>
    </cfRule>
    <cfRule type="cellIs" dxfId="48" priority="12" operator="greaterThan">
      <formula>0</formula>
    </cfRule>
  </conditionalFormatting>
  <conditionalFormatting sqref="AP58">
    <cfRule type="cellIs" dxfId="47" priority="9" operator="equal">
      <formula>0</formula>
    </cfRule>
    <cfRule type="cellIs" dxfId="46" priority="10" operator="greaterThan">
      <formula>0</formula>
    </cfRule>
  </conditionalFormatting>
  <conditionalFormatting sqref="AR58">
    <cfRule type="cellIs" dxfId="45" priority="7" operator="equal">
      <formula>0</formula>
    </cfRule>
    <cfRule type="cellIs" dxfId="44" priority="8" operator="greaterThan">
      <formula>0</formula>
    </cfRule>
  </conditionalFormatting>
  <conditionalFormatting sqref="AT58">
    <cfRule type="cellIs" dxfId="43" priority="5" operator="equal">
      <formula>0</formula>
    </cfRule>
    <cfRule type="cellIs" dxfId="42" priority="6" operator="greaterThan">
      <formula>0</formula>
    </cfRule>
  </conditionalFormatting>
  <conditionalFormatting sqref="H58">
    <cfRule type="cellIs" dxfId="41" priority="3" operator="equal">
      <formula>0</formula>
    </cfRule>
    <cfRule type="cellIs" dxfId="40" priority="4" operator="greaterThan">
      <formula>0</formula>
    </cfRule>
  </conditionalFormatting>
  <conditionalFormatting sqref="G58">
    <cfRule type="cellIs" dxfId="39" priority="1" operator="equal">
      <formula>0</formula>
    </cfRule>
    <cfRule type="cellIs" dxfId="38" priority="2" operator="greaterThan">
      <formula>0</formula>
    </cfRule>
  </conditionalFormatting>
  <printOptions horizontalCentered="1" verticalCentered="1"/>
  <pageMargins left="0" right="0" top="0" bottom="0" header="0" footer="0"/>
  <pageSetup paperSize="9" scale="7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X114"/>
  <sheetViews>
    <sheetView rightToLeft="1" zoomScaleNormal="100" workbookViewId="0">
      <pane xSplit="2" ySplit="9" topLeftCell="Q10" activePane="bottomRight" state="frozen"/>
      <selection activeCell="F56" sqref="F56"/>
      <selection pane="topRight" activeCell="F56" sqref="F56"/>
      <selection pane="bottomLeft" activeCell="F56" sqref="F56"/>
      <selection pane="bottomRight" activeCell="F56" sqref="F56"/>
    </sheetView>
  </sheetViews>
  <sheetFormatPr defaultColWidth="9" defaultRowHeight="19.5"/>
  <cols>
    <col min="1" max="1" width="4.5703125" style="95" customWidth="1"/>
    <col min="2" max="2" width="30.7109375" style="95" customWidth="1"/>
    <col min="3" max="3" width="0.85546875" style="95" customWidth="1"/>
    <col min="4" max="4" width="8.28515625" style="190" customWidth="1"/>
    <col min="5" max="5" width="0.85546875" style="190" customWidth="1"/>
    <col min="6" max="6" width="9.28515625" style="191" customWidth="1"/>
    <col min="7" max="7" width="0.85546875" style="95" customWidth="1"/>
    <col min="8" max="8" width="9.28515625" style="191" customWidth="1"/>
    <col min="9" max="9" width="0.85546875" style="191" customWidth="1"/>
    <col min="10" max="10" width="9.28515625" style="191" customWidth="1"/>
    <col min="11" max="11" width="0.85546875" style="191" customWidth="1"/>
    <col min="12" max="12" width="9.28515625" style="191" customWidth="1"/>
    <col min="13" max="13" width="0.85546875" style="191" customWidth="1"/>
    <col min="14" max="14" width="9.28515625" style="191" customWidth="1"/>
    <col min="15" max="15" width="0.85546875" style="191" customWidth="1"/>
    <col min="16" max="16" width="9.28515625" style="191" customWidth="1"/>
    <col min="17" max="17" width="0.85546875" style="191" customWidth="1"/>
    <col min="18" max="18" width="9.28515625" style="191" customWidth="1"/>
    <col min="19" max="19" width="0.85546875" style="191" customWidth="1"/>
    <col min="20" max="20" width="9.28515625" style="191" customWidth="1"/>
    <col min="21" max="21" width="0.85546875" style="191" customWidth="1"/>
    <col min="22" max="22" width="9.28515625" style="191" customWidth="1"/>
    <col min="23" max="23" width="0.85546875" style="191" customWidth="1"/>
    <col min="24" max="24" width="9.28515625" style="191" customWidth="1"/>
    <col min="25" max="25" width="0.85546875" style="191" customWidth="1"/>
    <col min="26" max="26" width="9.28515625" style="191" customWidth="1"/>
    <col min="27" max="27" width="0.85546875" style="191" customWidth="1"/>
    <col min="28" max="28" width="9.28515625" style="191" customWidth="1"/>
    <col min="29" max="29" width="0.85546875" style="191" customWidth="1"/>
    <col min="30" max="30" width="9.28515625" style="191" customWidth="1"/>
    <col min="31" max="31" width="0.85546875" style="191" customWidth="1"/>
    <col min="32" max="32" width="9.28515625" style="191" customWidth="1"/>
    <col min="33" max="33" width="0.85546875" style="191" customWidth="1"/>
    <col min="34" max="34" width="9.28515625" style="191" customWidth="1"/>
    <col min="35" max="35" width="0.85546875" style="191" customWidth="1"/>
    <col min="36" max="36" width="9.28515625" style="191" customWidth="1"/>
    <col min="37" max="37" width="0.85546875" style="191" customWidth="1"/>
    <col min="38" max="38" width="9.28515625" style="191" customWidth="1"/>
    <col min="39" max="39" width="0.85546875" style="191" customWidth="1"/>
    <col min="40" max="40" width="7.7109375" style="191" customWidth="1"/>
    <col min="41" max="41" width="0.85546875" style="191" customWidth="1"/>
    <col min="42" max="42" width="7.7109375" style="191" customWidth="1"/>
    <col min="43" max="43" width="0.85546875" style="191" customWidth="1"/>
    <col min="44" max="44" width="7.7109375" style="191" customWidth="1"/>
    <col min="45" max="45" width="0.85546875" style="191" customWidth="1"/>
    <col min="46" max="46" width="7.7109375" style="191" customWidth="1"/>
    <col min="47" max="47" width="0.85546875" style="191" customWidth="1"/>
    <col min="48" max="48" width="9.85546875" style="191" customWidth="1"/>
    <col min="49" max="16384" width="9" style="95"/>
  </cols>
  <sheetData>
    <row r="1" spans="1:48" ht="21">
      <c r="B1" s="156" t="s">
        <v>135</v>
      </c>
      <c r="C1" s="156"/>
      <c r="G1" s="156"/>
    </row>
    <row r="2" spans="1:48" ht="21">
      <c r="B2" s="156" t="s">
        <v>242</v>
      </c>
      <c r="C2" s="156"/>
      <c r="G2" s="156"/>
      <c r="J2" s="192" t="s">
        <v>137</v>
      </c>
    </row>
    <row r="3" spans="1:48" ht="21">
      <c r="B3" s="6"/>
      <c r="C3" s="156"/>
      <c r="D3" s="193"/>
      <c r="F3" s="194"/>
      <c r="G3" s="156"/>
      <c r="H3" s="194"/>
      <c r="J3" s="194"/>
      <c r="L3" s="194"/>
      <c r="N3" s="194"/>
      <c r="P3" s="194"/>
      <c r="R3" s="194"/>
      <c r="T3" s="194"/>
      <c r="V3" s="194"/>
      <c r="X3" s="194"/>
      <c r="Z3" s="194"/>
      <c r="AB3" s="194"/>
      <c r="AD3" s="194"/>
      <c r="AF3" s="194"/>
      <c r="AH3" s="194"/>
      <c r="AJ3" s="194"/>
      <c r="AL3" s="194"/>
      <c r="AN3" s="194"/>
      <c r="AP3" s="194"/>
      <c r="AR3" s="194"/>
      <c r="AT3" s="194"/>
      <c r="AV3" s="194"/>
    </row>
    <row r="4" spans="1:48" ht="21">
      <c r="B4" s="272" t="s">
        <v>243</v>
      </c>
      <c r="C4" s="156"/>
      <c r="D4" s="195">
        <v>1633</v>
      </c>
      <c r="E4" s="156"/>
      <c r="F4" s="195">
        <v>550</v>
      </c>
      <c r="G4" s="156"/>
      <c r="H4" s="195">
        <v>257</v>
      </c>
      <c r="I4" s="156"/>
      <c r="J4" s="195">
        <v>392</v>
      </c>
      <c r="K4" s="156"/>
      <c r="L4" s="195">
        <v>714</v>
      </c>
      <c r="M4" s="156"/>
      <c r="N4" s="195">
        <v>518</v>
      </c>
      <c r="O4" s="156"/>
      <c r="P4" s="195">
        <v>804</v>
      </c>
      <c r="Q4" s="156"/>
      <c r="R4" s="195">
        <v>522</v>
      </c>
      <c r="S4" s="156"/>
      <c r="T4" s="195">
        <v>493</v>
      </c>
      <c r="U4" s="156"/>
      <c r="V4" s="195">
        <v>636</v>
      </c>
      <c r="W4" s="156"/>
      <c r="X4" s="195">
        <v>445</v>
      </c>
      <c r="Y4" s="156"/>
      <c r="Z4" s="195">
        <v>229</v>
      </c>
      <c r="AA4" s="156"/>
      <c r="AB4" s="195">
        <v>681</v>
      </c>
      <c r="AC4" s="156"/>
      <c r="AD4" s="195">
        <v>449</v>
      </c>
      <c r="AE4" s="156"/>
      <c r="AF4" s="195">
        <v>357</v>
      </c>
      <c r="AG4" s="156"/>
      <c r="AH4" s="195">
        <v>588</v>
      </c>
      <c r="AI4" s="156"/>
      <c r="AJ4" s="195">
        <v>157</v>
      </c>
      <c r="AK4" s="156"/>
      <c r="AL4" s="195">
        <v>323</v>
      </c>
      <c r="AM4" s="156"/>
      <c r="AN4" s="195">
        <v>184</v>
      </c>
      <c r="AO4" s="156"/>
      <c r="AP4" s="195">
        <v>28</v>
      </c>
      <c r="AQ4" s="156"/>
      <c r="AR4" s="195">
        <v>42</v>
      </c>
      <c r="AS4" s="156"/>
      <c r="AT4" s="195">
        <v>67</v>
      </c>
      <c r="AV4" s="194">
        <f t="shared" ref="AV4:AV67" si="0">SUM(D4:AT4)</f>
        <v>10069</v>
      </c>
    </row>
    <row r="5" spans="1:48" ht="21">
      <c r="B5" s="272" t="s">
        <v>244</v>
      </c>
      <c r="C5" s="156"/>
      <c r="D5" s="195">
        <f>D8-D4</f>
        <v>2929</v>
      </c>
      <c r="E5" s="156"/>
      <c r="F5" s="195">
        <f>F8-F4</f>
        <v>1890</v>
      </c>
      <c r="G5" s="156"/>
      <c r="H5" s="195">
        <f>H8-H4</f>
        <v>66</v>
      </c>
      <c r="I5" s="156"/>
      <c r="J5" s="195">
        <f>J8-J4</f>
        <v>850</v>
      </c>
      <c r="K5" s="156"/>
      <c r="L5" s="195">
        <f>L8-L4</f>
        <v>936</v>
      </c>
      <c r="M5" s="156"/>
      <c r="N5" s="195">
        <f>N8-N4</f>
        <v>32</v>
      </c>
      <c r="O5" s="156"/>
      <c r="P5" s="195">
        <f>P8-P4</f>
        <v>0</v>
      </c>
      <c r="Q5" s="156"/>
      <c r="R5" s="195">
        <f>R8-R4</f>
        <v>97</v>
      </c>
      <c r="S5" s="156"/>
      <c r="T5" s="195">
        <f>T8-T4</f>
        <v>25</v>
      </c>
      <c r="U5" s="156"/>
      <c r="V5" s="195">
        <f>V8-V4</f>
        <v>44</v>
      </c>
      <c r="W5" s="156"/>
      <c r="X5" s="195">
        <f>X8-X4</f>
        <v>0</v>
      </c>
      <c r="Y5" s="156"/>
      <c r="Z5" s="195">
        <f>Z8-Z4</f>
        <v>53</v>
      </c>
      <c r="AA5" s="156"/>
      <c r="AB5" s="195">
        <f>AB8-AB4</f>
        <v>0</v>
      </c>
      <c r="AC5" s="156"/>
      <c r="AD5" s="195">
        <f>AD8-AD4</f>
        <v>21</v>
      </c>
      <c r="AE5" s="156"/>
      <c r="AF5" s="195">
        <f>AF8-AF4</f>
        <v>85</v>
      </c>
      <c r="AG5" s="156"/>
      <c r="AH5" s="195">
        <f>AH8-AH4</f>
        <v>93</v>
      </c>
      <c r="AI5" s="156"/>
      <c r="AJ5" s="195">
        <f>AJ8-AJ4</f>
        <v>49</v>
      </c>
      <c r="AK5" s="156"/>
      <c r="AL5" s="195">
        <f>AL8-AL4</f>
        <v>92</v>
      </c>
      <c r="AM5" s="156"/>
      <c r="AN5" s="195">
        <f>AN8-AN4</f>
        <v>37</v>
      </c>
      <c r="AO5" s="156"/>
      <c r="AP5" s="195">
        <f>AP8-AP4</f>
        <v>3</v>
      </c>
      <c r="AQ5" s="156"/>
      <c r="AR5" s="195">
        <f>AR8-AR4</f>
        <v>5</v>
      </c>
      <c r="AS5" s="156"/>
      <c r="AT5" s="195">
        <f>AT8-AT4</f>
        <v>0</v>
      </c>
      <c r="AV5" s="194">
        <f t="shared" si="0"/>
        <v>7307</v>
      </c>
    </row>
    <row r="6" spans="1:48" ht="21">
      <c r="B6" s="272" t="s">
        <v>245</v>
      </c>
      <c r="C6" s="156"/>
      <c r="D6" s="195">
        <f>D8-D7</f>
        <v>2259</v>
      </c>
      <c r="E6" s="156"/>
      <c r="F6" s="195">
        <f>F8-F7</f>
        <v>1264</v>
      </c>
      <c r="G6" s="156"/>
      <c r="H6" s="195">
        <f>H8-H7</f>
        <v>110</v>
      </c>
      <c r="I6" s="156"/>
      <c r="J6" s="195">
        <f>J8-J7</f>
        <v>536</v>
      </c>
      <c r="K6" s="156"/>
      <c r="L6" s="195">
        <f>L8-L7</f>
        <v>670</v>
      </c>
      <c r="M6" s="156"/>
      <c r="N6" s="195">
        <f>N8-N7</f>
        <v>177</v>
      </c>
      <c r="O6" s="156"/>
      <c r="P6" s="195">
        <f>P8-P7</f>
        <v>236</v>
      </c>
      <c r="Q6" s="156"/>
      <c r="R6" s="195">
        <f>R8-R7</f>
        <v>261</v>
      </c>
      <c r="S6" s="156"/>
      <c r="T6" s="195">
        <f>T8-T7</f>
        <v>246</v>
      </c>
      <c r="U6" s="156"/>
      <c r="V6" s="195">
        <f>V8-V7</f>
        <v>250</v>
      </c>
      <c r="W6" s="156"/>
      <c r="X6" s="195">
        <f>X8-X7</f>
        <v>67</v>
      </c>
      <c r="Y6" s="156"/>
      <c r="Z6" s="195">
        <f>Z8-Z7</f>
        <v>61</v>
      </c>
      <c r="AA6" s="156"/>
      <c r="AB6" s="195">
        <f>AB8-AB7</f>
        <v>223</v>
      </c>
      <c r="AC6" s="156"/>
      <c r="AD6" s="195">
        <f>AD8-AD7</f>
        <v>158</v>
      </c>
      <c r="AE6" s="156"/>
      <c r="AF6" s="195">
        <f>AF8-AF7</f>
        <v>151</v>
      </c>
      <c r="AG6" s="156"/>
      <c r="AH6" s="195">
        <f>AH8-AH7</f>
        <v>152</v>
      </c>
      <c r="AI6" s="156"/>
      <c r="AJ6" s="195">
        <f>AJ8-AJ7</f>
        <v>23</v>
      </c>
      <c r="AK6" s="156"/>
      <c r="AL6" s="195">
        <f>AL8-AL7</f>
        <v>147</v>
      </c>
      <c r="AM6" s="156"/>
      <c r="AN6" s="195">
        <f>AN8-AN7</f>
        <v>41</v>
      </c>
      <c r="AO6" s="156"/>
      <c r="AP6" s="195">
        <f>AP8-AP7</f>
        <v>6</v>
      </c>
      <c r="AQ6" s="156"/>
      <c r="AR6" s="195">
        <f>AR8-AR7</f>
        <v>16</v>
      </c>
      <c r="AS6" s="156"/>
      <c r="AT6" s="195">
        <f>AT8-AT7</f>
        <v>22</v>
      </c>
      <c r="AV6" s="194">
        <f t="shared" si="0"/>
        <v>7076</v>
      </c>
    </row>
    <row r="7" spans="1:48" ht="21">
      <c r="B7" s="272" t="s">
        <v>246</v>
      </c>
      <c r="C7" s="156"/>
      <c r="D7" s="195">
        <v>2303</v>
      </c>
      <c r="E7" s="195"/>
      <c r="F7" s="196">
        <v>1176</v>
      </c>
      <c r="G7" s="156"/>
      <c r="H7" s="196">
        <v>213</v>
      </c>
      <c r="I7" s="196"/>
      <c r="J7" s="196">
        <v>706</v>
      </c>
      <c r="K7" s="196"/>
      <c r="L7" s="196">
        <v>980</v>
      </c>
      <c r="M7" s="196"/>
      <c r="N7" s="196">
        <v>373</v>
      </c>
      <c r="O7" s="196"/>
      <c r="P7" s="196">
        <v>568</v>
      </c>
      <c r="Q7" s="196"/>
      <c r="R7" s="196">
        <v>358</v>
      </c>
      <c r="S7" s="196"/>
      <c r="T7" s="196">
        <v>272</v>
      </c>
      <c r="U7" s="196"/>
      <c r="V7" s="196">
        <v>430</v>
      </c>
      <c r="W7" s="196"/>
      <c r="X7" s="196">
        <v>378</v>
      </c>
      <c r="Y7" s="196"/>
      <c r="Z7" s="196">
        <v>221</v>
      </c>
      <c r="AA7" s="196"/>
      <c r="AB7" s="196">
        <v>458</v>
      </c>
      <c r="AC7" s="196"/>
      <c r="AD7" s="196">
        <v>312</v>
      </c>
      <c r="AE7" s="196"/>
      <c r="AF7" s="196">
        <v>291</v>
      </c>
      <c r="AG7" s="196"/>
      <c r="AH7" s="196">
        <v>529</v>
      </c>
      <c r="AJ7" s="191">
        <v>183</v>
      </c>
      <c r="AL7" s="191">
        <v>268</v>
      </c>
      <c r="AN7" s="191">
        <v>180</v>
      </c>
      <c r="AP7" s="191">
        <v>25</v>
      </c>
      <c r="AR7" s="191">
        <v>31</v>
      </c>
      <c r="AT7" s="191">
        <v>45</v>
      </c>
      <c r="AV7" s="194">
        <f t="shared" si="0"/>
        <v>10300</v>
      </c>
    </row>
    <row r="8" spans="1:48" ht="21">
      <c r="B8" s="272" t="s">
        <v>247</v>
      </c>
      <c r="C8" s="156"/>
      <c r="D8" s="190">
        <v>4562</v>
      </c>
      <c r="F8" s="191">
        <v>2440</v>
      </c>
      <c r="G8" s="156"/>
      <c r="H8" s="191">
        <v>323</v>
      </c>
      <c r="J8" s="191">
        <v>1242</v>
      </c>
      <c r="L8" s="191">
        <v>1650</v>
      </c>
      <c r="N8" s="191">
        <v>550</v>
      </c>
      <c r="P8" s="191">
        <v>804</v>
      </c>
      <c r="R8" s="191">
        <v>619</v>
      </c>
      <c r="T8" s="191">
        <v>518</v>
      </c>
      <c r="V8" s="191">
        <v>680</v>
      </c>
      <c r="X8" s="191">
        <v>445</v>
      </c>
      <c r="Z8" s="191">
        <v>282</v>
      </c>
      <c r="AB8" s="191">
        <v>681</v>
      </c>
      <c r="AD8" s="191">
        <v>470</v>
      </c>
      <c r="AF8" s="191">
        <v>442</v>
      </c>
      <c r="AH8" s="191">
        <v>681</v>
      </c>
      <c r="AJ8" s="191">
        <v>206</v>
      </c>
      <c r="AK8" s="197"/>
      <c r="AL8" s="191">
        <v>415</v>
      </c>
      <c r="AN8" s="191">
        <v>221</v>
      </c>
      <c r="AP8" s="191">
        <v>31</v>
      </c>
      <c r="AR8" s="191">
        <v>47</v>
      </c>
      <c r="AT8" s="191">
        <v>67</v>
      </c>
      <c r="AV8" s="194">
        <f t="shared" si="0"/>
        <v>17376</v>
      </c>
    </row>
    <row r="9" spans="1:48" ht="23.25">
      <c r="A9" s="568" t="s">
        <v>248</v>
      </c>
      <c r="B9" s="170" t="s">
        <v>29</v>
      </c>
      <c r="C9" s="156"/>
      <c r="D9" s="273" t="s">
        <v>143</v>
      </c>
      <c r="E9" s="274"/>
      <c r="F9" s="275" t="s">
        <v>144</v>
      </c>
      <c r="G9" s="156"/>
      <c r="H9" s="275" t="s">
        <v>145</v>
      </c>
      <c r="I9" s="197"/>
      <c r="J9" s="275" t="s">
        <v>146</v>
      </c>
      <c r="K9" s="197"/>
      <c r="L9" s="275" t="s">
        <v>147</v>
      </c>
      <c r="M9" s="197"/>
      <c r="N9" s="276" t="s">
        <v>148</v>
      </c>
      <c r="O9" s="197"/>
      <c r="P9" s="277" t="s">
        <v>149</v>
      </c>
      <c r="Q9" s="197"/>
      <c r="R9" s="276" t="s">
        <v>150</v>
      </c>
      <c r="S9" s="197"/>
      <c r="T9" s="275" t="s">
        <v>151</v>
      </c>
      <c r="U9" s="197"/>
      <c r="V9" s="275" t="s">
        <v>152</v>
      </c>
      <c r="W9" s="197"/>
      <c r="X9" s="275" t="s">
        <v>153</v>
      </c>
      <c r="Y9" s="197"/>
      <c r="Z9" s="275" t="s">
        <v>154</v>
      </c>
      <c r="AA9" s="197"/>
      <c r="AB9" s="276" t="s">
        <v>155</v>
      </c>
      <c r="AC9" s="197"/>
      <c r="AD9" s="275" t="s">
        <v>156</v>
      </c>
      <c r="AE9" s="197"/>
      <c r="AF9" s="275" t="s">
        <v>157</v>
      </c>
      <c r="AG9" s="197"/>
      <c r="AH9" s="275" t="s">
        <v>158</v>
      </c>
      <c r="AI9" s="197"/>
      <c r="AJ9" s="275" t="s">
        <v>159</v>
      </c>
      <c r="AK9" s="197"/>
      <c r="AL9" s="275" t="s">
        <v>160</v>
      </c>
      <c r="AM9" s="197"/>
      <c r="AN9" s="275" t="s">
        <v>161</v>
      </c>
      <c r="AO9" s="95"/>
      <c r="AP9" s="252" t="s">
        <v>162</v>
      </c>
      <c r="AQ9" s="95"/>
      <c r="AR9" s="252" t="s">
        <v>163</v>
      </c>
      <c r="AS9" s="95"/>
      <c r="AT9" s="252" t="s">
        <v>164</v>
      </c>
      <c r="AU9" s="95"/>
      <c r="AV9" s="278" t="s">
        <v>165</v>
      </c>
    </row>
    <row r="10" spans="1:48" ht="18.75" customHeight="1">
      <c r="A10" s="569"/>
      <c r="B10" s="200" t="s">
        <v>132</v>
      </c>
      <c r="C10" s="156"/>
      <c r="D10" s="201">
        <v>0</v>
      </c>
      <c r="E10" s="195"/>
      <c r="F10" s="194">
        <v>16013873</v>
      </c>
      <c r="G10" s="156"/>
      <c r="H10" s="194">
        <v>1596082</v>
      </c>
      <c r="I10" s="202"/>
      <c r="J10" s="194">
        <v>8836888</v>
      </c>
      <c r="K10" s="202"/>
      <c r="L10" s="194">
        <v>10799107</v>
      </c>
      <c r="M10" s="202"/>
      <c r="N10" s="194">
        <v>0</v>
      </c>
      <c r="O10" s="202"/>
      <c r="P10" s="194">
        <v>7985007</v>
      </c>
      <c r="Q10" s="202"/>
      <c r="R10" s="194">
        <v>0</v>
      </c>
      <c r="S10" s="202"/>
      <c r="T10" s="194">
        <v>2455034</v>
      </c>
      <c r="U10" s="202"/>
      <c r="V10" s="194">
        <v>5120862</v>
      </c>
      <c r="W10" s="202"/>
      <c r="X10" s="194">
        <v>5087998</v>
      </c>
      <c r="Y10" s="202"/>
      <c r="Z10" s="194">
        <v>3180435</v>
      </c>
      <c r="AA10" s="202"/>
      <c r="AB10" s="194">
        <v>1132561</v>
      </c>
      <c r="AC10" s="202"/>
      <c r="AD10" s="194">
        <v>2152318</v>
      </c>
      <c r="AE10" s="202"/>
      <c r="AF10" s="194">
        <v>2941462</v>
      </c>
      <c r="AG10" s="202"/>
      <c r="AH10" s="194">
        <v>5068093</v>
      </c>
      <c r="AJ10" s="194">
        <v>1093226</v>
      </c>
      <c r="AL10" s="194">
        <v>4791674</v>
      </c>
      <c r="AN10" s="194">
        <v>2782107</v>
      </c>
      <c r="AP10" s="194">
        <v>0</v>
      </c>
      <c r="AR10" s="194">
        <v>0</v>
      </c>
      <c r="AT10" s="194">
        <v>0</v>
      </c>
      <c r="AV10" s="194">
        <f t="shared" si="0"/>
        <v>81036727</v>
      </c>
    </row>
    <row r="11" spans="1:48" ht="21">
      <c r="A11" s="569"/>
      <c r="B11" s="200" t="s">
        <v>131</v>
      </c>
      <c r="C11" s="156"/>
      <c r="D11" s="201">
        <v>0</v>
      </c>
      <c r="E11" s="195"/>
      <c r="F11" s="194">
        <v>-2200500</v>
      </c>
      <c r="G11" s="156"/>
      <c r="H11" s="194">
        <v>-483654</v>
      </c>
      <c r="I11" s="202"/>
      <c r="J11" s="194">
        <v>-833466</v>
      </c>
      <c r="K11" s="202"/>
      <c r="L11" s="194">
        <v>-2106505</v>
      </c>
      <c r="M11" s="202"/>
      <c r="N11" s="194">
        <v>0</v>
      </c>
      <c r="O11" s="202"/>
      <c r="P11" s="194">
        <v>-2036200</v>
      </c>
      <c r="Q11" s="202"/>
      <c r="R11" s="194">
        <v>0</v>
      </c>
      <c r="S11" s="202"/>
      <c r="T11" s="194">
        <v>-615551</v>
      </c>
      <c r="U11" s="202"/>
      <c r="V11" s="194">
        <v>-2532399</v>
      </c>
      <c r="W11" s="202"/>
      <c r="X11" s="194">
        <v>-412662</v>
      </c>
      <c r="Y11" s="202"/>
      <c r="Z11" s="194">
        <v>-627036</v>
      </c>
      <c r="AA11" s="202"/>
      <c r="AB11" s="194">
        <v>2237699</v>
      </c>
      <c r="AC11" s="202"/>
      <c r="AD11" s="194">
        <v>-560806</v>
      </c>
      <c r="AE11" s="202"/>
      <c r="AF11" s="194">
        <v>-412124</v>
      </c>
      <c r="AG11" s="202"/>
      <c r="AH11" s="194">
        <v>-1354859</v>
      </c>
      <c r="AJ11" s="194">
        <v>-155185</v>
      </c>
      <c r="AL11" s="194">
        <v>-1544363</v>
      </c>
      <c r="AN11" s="194">
        <v>-337880</v>
      </c>
      <c r="AP11" s="194">
        <v>0</v>
      </c>
      <c r="AR11" s="194">
        <v>0</v>
      </c>
      <c r="AT11" s="194">
        <v>0</v>
      </c>
      <c r="AV11" s="194">
        <f t="shared" si="0"/>
        <v>-13975491</v>
      </c>
    </row>
    <row r="12" spans="1:48" ht="21">
      <c r="A12" s="569"/>
      <c r="B12" s="200" t="s">
        <v>249</v>
      </c>
      <c r="C12" s="156"/>
      <c r="D12" s="201">
        <v>0</v>
      </c>
      <c r="E12" s="195"/>
      <c r="F12" s="194">
        <v>0</v>
      </c>
      <c r="G12" s="156"/>
      <c r="H12" s="194">
        <v>0</v>
      </c>
      <c r="I12" s="202"/>
      <c r="J12" s="194">
        <v>0</v>
      </c>
      <c r="K12" s="202"/>
      <c r="L12" s="194">
        <v>0</v>
      </c>
      <c r="M12" s="202"/>
      <c r="N12" s="194">
        <v>0</v>
      </c>
      <c r="O12" s="202"/>
      <c r="P12" s="194">
        <v>0</v>
      </c>
      <c r="Q12" s="202"/>
      <c r="R12" s="194">
        <v>0</v>
      </c>
      <c r="S12" s="202"/>
      <c r="T12" s="194">
        <v>0</v>
      </c>
      <c r="U12" s="202"/>
      <c r="V12" s="194">
        <v>0</v>
      </c>
      <c r="W12" s="202"/>
      <c r="X12" s="194">
        <v>0</v>
      </c>
      <c r="Y12" s="202"/>
      <c r="Z12" s="194">
        <v>0</v>
      </c>
      <c r="AA12" s="202"/>
      <c r="AB12" s="194">
        <v>0</v>
      </c>
      <c r="AC12" s="202"/>
      <c r="AD12" s="194">
        <v>0</v>
      </c>
      <c r="AE12" s="202"/>
      <c r="AF12" s="194">
        <v>0</v>
      </c>
      <c r="AG12" s="202"/>
      <c r="AH12" s="194">
        <v>-36919</v>
      </c>
      <c r="AJ12" s="194">
        <v>0</v>
      </c>
      <c r="AL12" s="194">
        <v>0</v>
      </c>
      <c r="AN12" s="194">
        <v>0</v>
      </c>
      <c r="AP12" s="194">
        <v>0</v>
      </c>
      <c r="AR12" s="194">
        <v>0</v>
      </c>
      <c r="AT12" s="194">
        <v>0</v>
      </c>
      <c r="AV12" s="194">
        <f t="shared" si="0"/>
        <v>-36919</v>
      </c>
    </row>
    <row r="13" spans="1:48" ht="21">
      <c r="A13" s="569"/>
      <c r="B13" s="203" t="s">
        <v>130</v>
      </c>
      <c r="C13" s="156"/>
      <c r="D13" s="204">
        <f>SUM(D10:D12)</f>
        <v>0</v>
      </c>
      <c r="E13" s="195"/>
      <c r="F13" s="204">
        <f>SUM(F10:F12)</f>
        <v>13813373</v>
      </c>
      <c r="G13" s="156"/>
      <c r="H13" s="204">
        <f>SUM(H10:H12)</f>
        <v>1112428</v>
      </c>
      <c r="I13" s="202"/>
      <c r="J13" s="204">
        <f>SUM(J10:J12)</f>
        <v>8003422</v>
      </c>
      <c r="K13" s="202"/>
      <c r="L13" s="204">
        <f>SUM(L10:L12)</f>
        <v>8692602</v>
      </c>
      <c r="M13" s="202"/>
      <c r="N13" s="204">
        <f>SUM(N10:N12)</f>
        <v>0</v>
      </c>
      <c r="O13" s="202"/>
      <c r="P13" s="204">
        <f>SUM(P10:P12)</f>
        <v>5948807</v>
      </c>
      <c r="Q13" s="202"/>
      <c r="R13" s="204">
        <f>SUM(R10:R12)</f>
        <v>0</v>
      </c>
      <c r="S13" s="202"/>
      <c r="T13" s="204">
        <f>SUM(T10:T12)</f>
        <v>1839483</v>
      </c>
      <c r="U13" s="202"/>
      <c r="V13" s="204">
        <f>SUM(V10:V12)</f>
        <v>2588463</v>
      </c>
      <c r="W13" s="202"/>
      <c r="X13" s="204">
        <f>SUM(X10:X12)</f>
        <v>4675336</v>
      </c>
      <c r="Y13" s="202"/>
      <c r="Z13" s="204">
        <f>SUM(Z10:Z12)</f>
        <v>2553399</v>
      </c>
      <c r="AA13" s="202"/>
      <c r="AB13" s="204">
        <f>SUM(AB10:AB12)</f>
        <v>3370260</v>
      </c>
      <c r="AC13" s="202"/>
      <c r="AD13" s="204">
        <f>SUM(AD10:AD12)</f>
        <v>1591512</v>
      </c>
      <c r="AE13" s="202"/>
      <c r="AF13" s="204">
        <f>SUM(AF10:AF12)</f>
        <v>2529338</v>
      </c>
      <c r="AG13" s="202"/>
      <c r="AH13" s="204">
        <f>SUM(AH10:AH12)</f>
        <v>3676315</v>
      </c>
      <c r="AJ13" s="204">
        <f>SUM(AJ10:AJ12)</f>
        <v>938041</v>
      </c>
      <c r="AL13" s="204">
        <f>SUM(AL10:AL12)</f>
        <v>3247311</v>
      </c>
      <c r="AN13" s="204">
        <f>SUM(AN10:AN12)</f>
        <v>2444227</v>
      </c>
      <c r="AP13" s="204">
        <f>SUM(AP10:AP12)</f>
        <v>0</v>
      </c>
      <c r="AR13" s="204">
        <f>SUM(AR10:AR12)</f>
        <v>0</v>
      </c>
      <c r="AT13" s="204">
        <f>SUM(AT10:AT12)</f>
        <v>0</v>
      </c>
      <c r="AV13" s="204">
        <f t="shared" si="0"/>
        <v>67024317</v>
      </c>
    </row>
    <row r="14" spans="1:48" ht="10.5" customHeight="1">
      <c r="A14" s="569"/>
      <c r="B14" s="200"/>
      <c r="C14" s="156"/>
      <c r="D14" s="201"/>
      <c r="E14" s="195"/>
      <c r="F14" s="194"/>
      <c r="G14" s="156"/>
      <c r="H14" s="194"/>
      <c r="I14" s="202"/>
      <c r="J14" s="194"/>
      <c r="K14" s="202"/>
      <c r="L14" s="194"/>
      <c r="M14" s="202"/>
      <c r="N14" s="194"/>
      <c r="O14" s="202"/>
      <c r="P14" s="194"/>
      <c r="Q14" s="202"/>
      <c r="R14" s="194"/>
      <c r="S14" s="202"/>
      <c r="T14" s="194"/>
      <c r="U14" s="202"/>
      <c r="V14" s="194"/>
      <c r="W14" s="202"/>
      <c r="X14" s="194"/>
      <c r="Y14" s="202"/>
      <c r="Z14" s="194"/>
      <c r="AA14" s="202"/>
      <c r="AB14" s="194"/>
      <c r="AC14" s="202"/>
      <c r="AD14" s="194"/>
      <c r="AE14" s="202"/>
      <c r="AF14" s="194"/>
      <c r="AG14" s="202"/>
      <c r="AH14" s="194"/>
      <c r="AJ14" s="194"/>
      <c r="AL14" s="194"/>
      <c r="AN14" s="194"/>
      <c r="AP14" s="194"/>
      <c r="AR14" s="194"/>
      <c r="AT14" s="194"/>
      <c r="AV14" s="194">
        <f t="shared" si="0"/>
        <v>0</v>
      </c>
    </row>
    <row r="15" spans="1:48" ht="21">
      <c r="A15" s="569"/>
      <c r="B15" s="200" t="s">
        <v>129</v>
      </c>
      <c r="C15" s="156"/>
      <c r="D15" s="205">
        <v>0</v>
      </c>
      <c r="E15" s="195"/>
      <c r="F15" s="205">
        <v>-3631841</v>
      </c>
      <c r="G15" s="156"/>
      <c r="H15" s="205">
        <v>-482190</v>
      </c>
      <c r="I15" s="202"/>
      <c r="J15" s="205">
        <v>-2056975</v>
      </c>
      <c r="K15" s="202"/>
      <c r="L15" s="205">
        <v>-2502178</v>
      </c>
      <c r="M15" s="202"/>
      <c r="N15" s="205">
        <v>0</v>
      </c>
      <c r="O15" s="202"/>
      <c r="P15" s="205">
        <v>-2201810</v>
      </c>
      <c r="Q15" s="202"/>
      <c r="R15" s="205">
        <v>0</v>
      </c>
      <c r="S15" s="202"/>
      <c r="T15" s="205">
        <v>-600063</v>
      </c>
      <c r="U15" s="202"/>
      <c r="V15" s="205">
        <v>-1805471</v>
      </c>
      <c r="W15" s="202"/>
      <c r="X15" s="205">
        <v>-1410977</v>
      </c>
      <c r="Y15" s="202"/>
      <c r="Z15" s="205">
        <v>-675515</v>
      </c>
      <c r="AA15" s="202"/>
      <c r="AB15" s="205">
        <v>-341537</v>
      </c>
      <c r="AC15" s="202"/>
      <c r="AD15" s="205">
        <v>-624277</v>
      </c>
      <c r="AE15" s="202"/>
      <c r="AF15" s="205">
        <v>-813858</v>
      </c>
      <c r="AG15" s="202"/>
      <c r="AH15" s="205">
        <v>-1447668</v>
      </c>
      <c r="AJ15" s="205">
        <v>-407161</v>
      </c>
      <c r="AL15" s="205">
        <v>-1328808</v>
      </c>
      <c r="AN15" s="205">
        <v>-651848</v>
      </c>
      <c r="AP15" s="205">
        <v>0</v>
      </c>
      <c r="AR15" s="205">
        <v>0</v>
      </c>
      <c r="AT15" s="205">
        <v>0</v>
      </c>
      <c r="AV15" s="205">
        <f t="shared" si="0"/>
        <v>-20982177</v>
      </c>
    </row>
    <row r="16" spans="1:48" ht="21">
      <c r="A16" s="569"/>
      <c r="B16" s="200" t="s">
        <v>128</v>
      </c>
      <c r="C16" s="156"/>
      <c r="D16" s="224">
        <v>0</v>
      </c>
      <c r="E16" s="195"/>
      <c r="F16" s="224">
        <v>465261</v>
      </c>
      <c r="G16" s="156"/>
      <c r="H16" s="224">
        <v>46670</v>
      </c>
      <c r="I16" s="202"/>
      <c r="J16" s="224">
        <v>51691</v>
      </c>
      <c r="K16" s="202"/>
      <c r="L16" s="224">
        <v>405339</v>
      </c>
      <c r="M16" s="202"/>
      <c r="N16" s="224">
        <v>0</v>
      </c>
      <c r="O16" s="202"/>
      <c r="P16" s="224">
        <v>788493</v>
      </c>
      <c r="Q16" s="202"/>
      <c r="R16" s="224">
        <v>0</v>
      </c>
      <c r="S16" s="202"/>
      <c r="T16" s="224">
        <v>125179</v>
      </c>
      <c r="U16" s="202"/>
      <c r="V16" s="224">
        <v>1086912</v>
      </c>
      <c r="W16" s="202"/>
      <c r="X16" s="224">
        <v>-12664</v>
      </c>
      <c r="Y16" s="202"/>
      <c r="Z16" s="224">
        <v>87467</v>
      </c>
      <c r="AA16" s="202"/>
      <c r="AB16" s="224">
        <v>-712963</v>
      </c>
      <c r="AC16" s="202"/>
      <c r="AD16" s="224">
        <v>231434</v>
      </c>
      <c r="AE16" s="202"/>
      <c r="AF16" s="224">
        <v>143254</v>
      </c>
      <c r="AG16" s="202"/>
      <c r="AH16" s="224">
        <v>483711</v>
      </c>
      <c r="AJ16" s="224">
        <v>86306</v>
      </c>
      <c r="AL16" s="224">
        <v>555807</v>
      </c>
      <c r="AN16" s="224">
        <v>43105</v>
      </c>
      <c r="AP16" s="224">
        <v>0</v>
      </c>
      <c r="AR16" s="224">
        <v>0</v>
      </c>
      <c r="AT16" s="224">
        <v>0</v>
      </c>
      <c r="AV16" s="224">
        <f t="shared" si="0"/>
        <v>3875002</v>
      </c>
    </row>
    <row r="17" spans="1:50" ht="21">
      <c r="A17" s="569"/>
      <c r="B17" s="200" t="s">
        <v>250</v>
      </c>
      <c r="C17" s="156"/>
      <c r="D17" s="206">
        <v>0</v>
      </c>
      <c r="E17" s="195"/>
      <c r="F17" s="206">
        <v>0</v>
      </c>
      <c r="G17" s="156"/>
      <c r="H17" s="206">
        <v>0</v>
      </c>
      <c r="I17" s="202"/>
      <c r="J17" s="206">
        <v>0</v>
      </c>
      <c r="K17" s="202"/>
      <c r="L17" s="206">
        <v>0</v>
      </c>
      <c r="M17" s="202"/>
      <c r="N17" s="206">
        <v>0</v>
      </c>
      <c r="O17" s="202"/>
      <c r="P17" s="206">
        <v>0</v>
      </c>
      <c r="Q17" s="202"/>
      <c r="R17" s="206">
        <v>0</v>
      </c>
      <c r="S17" s="202"/>
      <c r="T17" s="206">
        <v>0</v>
      </c>
      <c r="U17" s="202"/>
      <c r="V17" s="206">
        <v>0</v>
      </c>
      <c r="W17" s="202"/>
      <c r="X17" s="206">
        <v>0</v>
      </c>
      <c r="Y17" s="202"/>
      <c r="Z17" s="206">
        <v>0</v>
      </c>
      <c r="AA17" s="202"/>
      <c r="AB17" s="206">
        <v>0</v>
      </c>
      <c r="AC17" s="202"/>
      <c r="AD17" s="206">
        <v>0</v>
      </c>
      <c r="AE17" s="202"/>
      <c r="AF17" s="206">
        <v>0</v>
      </c>
      <c r="AG17" s="202"/>
      <c r="AH17" s="206">
        <v>8109</v>
      </c>
      <c r="AJ17" s="206">
        <v>0</v>
      </c>
      <c r="AL17" s="206">
        <v>0</v>
      </c>
      <c r="AN17" s="206">
        <v>0</v>
      </c>
      <c r="AP17" s="206">
        <v>0</v>
      </c>
      <c r="AR17" s="206">
        <v>0</v>
      </c>
      <c r="AT17" s="206">
        <v>0</v>
      </c>
      <c r="AV17" s="206">
        <f t="shared" si="0"/>
        <v>8109</v>
      </c>
    </row>
    <row r="18" spans="1:50" ht="21">
      <c r="A18" s="569"/>
      <c r="B18" s="207" t="s">
        <v>127</v>
      </c>
      <c r="C18" s="156"/>
      <c r="D18" s="194">
        <f>SUM(D15:D17)</f>
        <v>0</v>
      </c>
      <c r="E18" s="195"/>
      <c r="F18" s="194">
        <f>SUM(F15:F17)</f>
        <v>-3166580</v>
      </c>
      <c r="G18" s="156"/>
      <c r="H18" s="194">
        <f>SUM(H15:H17)</f>
        <v>-435520</v>
      </c>
      <c r="I18" s="202"/>
      <c r="J18" s="194">
        <f>SUM(J15:J17)</f>
        <v>-2005284</v>
      </c>
      <c r="K18" s="202"/>
      <c r="L18" s="194">
        <f>SUM(L15:L17)</f>
        <v>-2096839</v>
      </c>
      <c r="M18" s="202"/>
      <c r="N18" s="194">
        <f>SUM(N15:N17)</f>
        <v>0</v>
      </c>
      <c r="O18" s="202"/>
      <c r="P18" s="194">
        <f>SUM(P15:P17)</f>
        <v>-1413317</v>
      </c>
      <c r="Q18" s="202"/>
      <c r="R18" s="194">
        <f>SUM(R15:R17)</f>
        <v>0</v>
      </c>
      <c r="S18" s="202"/>
      <c r="T18" s="194">
        <f>SUM(T15:T17)</f>
        <v>-474884</v>
      </c>
      <c r="U18" s="202"/>
      <c r="V18" s="194">
        <f>SUM(V15:V17)</f>
        <v>-718559</v>
      </c>
      <c r="W18" s="202"/>
      <c r="X18" s="194">
        <f>SUM(X15:X17)</f>
        <v>-1423641</v>
      </c>
      <c r="Y18" s="202"/>
      <c r="Z18" s="194">
        <f>SUM(Z15:Z17)</f>
        <v>-588048</v>
      </c>
      <c r="AA18" s="202"/>
      <c r="AB18" s="194">
        <f>SUM(AB15:AB17)</f>
        <v>-1054500</v>
      </c>
      <c r="AC18" s="202"/>
      <c r="AD18" s="194">
        <f>SUM(AD15:AD17)</f>
        <v>-392843</v>
      </c>
      <c r="AE18" s="202"/>
      <c r="AF18" s="194">
        <f>SUM(AF15:AF17)</f>
        <v>-670604</v>
      </c>
      <c r="AG18" s="202"/>
      <c r="AH18" s="194">
        <f>SUM(AH15:AH17)</f>
        <v>-955848</v>
      </c>
      <c r="AJ18" s="194">
        <f>SUM(AJ15:AJ17)</f>
        <v>-320855</v>
      </c>
      <c r="AL18" s="194">
        <f>SUM(AL15:AL17)</f>
        <v>-773001</v>
      </c>
      <c r="AN18" s="194">
        <f>SUM(AN15:AN17)</f>
        <v>-608743</v>
      </c>
      <c r="AP18" s="194">
        <f>SUM(AP15:AP17)</f>
        <v>0</v>
      </c>
      <c r="AR18" s="194">
        <f>SUM(AR15:AR17)</f>
        <v>0</v>
      </c>
      <c r="AT18" s="194">
        <f>SUM(AT15:AT17)</f>
        <v>0</v>
      </c>
      <c r="AV18" s="194">
        <f t="shared" si="0"/>
        <v>-17099066</v>
      </c>
    </row>
    <row r="19" spans="1:50" ht="21">
      <c r="A19" s="569"/>
      <c r="B19" s="208" t="s">
        <v>126</v>
      </c>
      <c r="C19" s="156"/>
      <c r="D19" s="209">
        <f>+D18+D13</f>
        <v>0</v>
      </c>
      <c r="E19" s="195"/>
      <c r="F19" s="225">
        <f>+F18+F13</f>
        <v>10646793</v>
      </c>
      <c r="G19" s="156"/>
      <c r="H19" s="225">
        <f>+H18+H13</f>
        <v>676908</v>
      </c>
      <c r="I19" s="202"/>
      <c r="J19" s="225">
        <f>+J18+J13</f>
        <v>5998138</v>
      </c>
      <c r="K19" s="202"/>
      <c r="L19" s="225">
        <f>+L18+L13</f>
        <v>6595763</v>
      </c>
      <c r="M19" s="202"/>
      <c r="N19" s="225">
        <f>+N18+N13</f>
        <v>0</v>
      </c>
      <c r="O19" s="202"/>
      <c r="P19" s="225">
        <f>+P18+P13</f>
        <v>4535490</v>
      </c>
      <c r="Q19" s="202"/>
      <c r="R19" s="225">
        <f>+R18+R13</f>
        <v>0</v>
      </c>
      <c r="S19" s="202"/>
      <c r="T19" s="225">
        <f>+T18+T13</f>
        <v>1364599</v>
      </c>
      <c r="U19" s="202"/>
      <c r="V19" s="225">
        <f>+V18+V13</f>
        <v>1869904</v>
      </c>
      <c r="W19" s="202"/>
      <c r="X19" s="225">
        <f>+X18+X13</f>
        <v>3251695</v>
      </c>
      <c r="Y19" s="202"/>
      <c r="Z19" s="225">
        <f>+Z18+Z13</f>
        <v>1965351</v>
      </c>
      <c r="AA19" s="202"/>
      <c r="AB19" s="225">
        <f>+AB18+AB13</f>
        <v>2315760</v>
      </c>
      <c r="AC19" s="202"/>
      <c r="AD19" s="225">
        <f>+AD18+AD13</f>
        <v>1198669</v>
      </c>
      <c r="AE19" s="202"/>
      <c r="AF19" s="225">
        <f>+AF18+AF13</f>
        <v>1858734</v>
      </c>
      <c r="AG19" s="202"/>
      <c r="AH19" s="225">
        <f>+AH18+AH13</f>
        <v>2720467</v>
      </c>
      <c r="AJ19" s="225">
        <f>+AJ18+AJ13</f>
        <v>617186</v>
      </c>
      <c r="AL19" s="225">
        <f>+AL18+AL13</f>
        <v>2474310</v>
      </c>
      <c r="AN19" s="225">
        <f>+AN18+AN13</f>
        <v>1835484</v>
      </c>
      <c r="AP19" s="225">
        <f>+AP18+AP13</f>
        <v>0</v>
      </c>
      <c r="AR19" s="225">
        <f>+AR18+AR13</f>
        <v>0</v>
      </c>
      <c r="AT19" s="225">
        <f>+AT18+AT13</f>
        <v>0</v>
      </c>
      <c r="AV19" s="225">
        <f t="shared" si="0"/>
        <v>49925251</v>
      </c>
    </row>
    <row r="20" spans="1:50" ht="12" customHeight="1">
      <c r="A20" s="569"/>
      <c r="B20" s="200"/>
      <c r="C20" s="156"/>
      <c r="D20" s="201"/>
      <c r="E20" s="195"/>
      <c r="F20" s="194"/>
      <c r="G20" s="156"/>
      <c r="H20" s="194"/>
      <c r="I20" s="202"/>
      <c r="J20" s="194"/>
      <c r="K20" s="202"/>
      <c r="L20" s="194"/>
      <c r="M20" s="202"/>
      <c r="N20" s="194"/>
      <c r="O20" s="202"/>
      <c r="P20" s="194"/>
      <c r="Q20" s="202"/>
      <c r="R20" s="194"/>
      <c r="S20" s="202"/>
      <c r="T20" s="194"/>
      <c r="U20" s="202"/>
      <c r="V20" s="194"/>
      <c r="W20" s="202"/>
      <c r="X20" s="194"/>
      <c r="Y20" s="202"/>
      <c r="Z20" s="194"/>
      <c r="AA20" s="202"/>
      <c r="AB20" s="194"/>
      <c r="AC20" s="202"/>
      <c r="AD20" s="194"/>
      <c r="AE20" s="202"/>
      <c r="AF20" s="194"/>
      <c r="AG20" s="202"/>
      <c r="AH20" s="194"/>
      <c r="AJ20" s="194"/>
      <c r="AL20" s="194"/>
      <c r="AN20" s="194"/>
      <c r="AP20" s="194"/>
      <c r="AR20" s="194"/>
      <c r="AT20" s="194"/>
      <c r="AV20" s="194">
        <f t="shared" si="0"/>
        <v>0</v>
      </c>
    </row>
    <row r="21" spans="1:50" ht="21">
      <c r="A21" s="569"/>
      <c r="B21" s="210" t="s">
        <v>125</v>
      </c>
      <c r="C21" s="156"/>
      <c r="D21" s="205">
        <v>0</v>
      </c>
      <c r="E21" s="195"/>
      <c r="F21" s="205">
        <v>-10487367</v>
      </c>
      <c r="G21" s="156"/>
      <c r="H21" s="205">
        <v>-335942</v>
      </c>
      <c r="I21" s="202"/>
      <c r="J21" s="205">
        <v>-5601785</v>
      </c>
      <c r="K21" s="202"/>
      <c r="L21" s="205">
        <v>-5914771</v>
      </c>
      <c r="M21" s="202"/>
      <c r="N21" s="205">
        <v>0</v>
      </c>
      <c r="O21" s="202"/>
      <c r="P21" s="205">
        <v>-4000574</v>
      </c>
      <c r="Q21" s="202"/>
      <c r="R21" s="205">
        <v>0</v>
      </c>
      <c r="S21" s="202"/>
      <c r="T21" s="205">
        <v>-1383881</v>
      </c>
      <c r="U21" s="202"/>
      <c r="V21" s="205">
        <v>-1545430</v>
      </c>
      <c r="W21" s="202"/>
      <c r="X21" s="205">
        <v>-3616502</v>
      </c>
      <c r="Y21" s="202"/>
      <c r="Z21" s="205">
        <v>-1769111</v>
      </c>
      <c r="AA21" s="202"/>
      <c r="AB21" s="205">
        <v>-4932393</v>
      </c>
      <c r="AC21" s="202"/>
      <c r="AD21" s="205">
        <v>-1141109</v>
      </c>
      <c r="AE21" s="202"/>
      <c r="AF21" s="205">
        <v>-1603299</v>
      </c>
      <c r="AG21" s="202"/>
      <c r="AH21" s="205">
        <v>-1888616</v>
      </c>
      <c r="AJ21" s="205">
        <v>-310471</v>
      </c>
      <c r="AL21" s="205">
        <v>-1700524</v>
      </c>
      <c r="AN21" s="205">
        <v>-1487838</v>
      </c>
      <c r="AP21" s="205">
        <v>0</v>
      </c>
      <c r="AR21" s="205">
        <v>0</v>
      </c>
      <c r="AT21" s="205">
        <v>0</v>
      </c>
      <c r="AV21" s="205">
        <f t="shared" si="0"/>
        <v>-47719613</v>
      </c>
      <c r="AX21" s="95">
        <f>F21/AV21</f>
        <v>0.21977057944707137</v>
      </c>
    </row>
    <row r="22" spans="1:50" ht="21">
      <c r="A22" s="569"/>
      <c r="B22" s="211" t="s">
        <v>124</v>
      </c>
      <c r="C22" s="156"/>
      <c r="D22" s="206">
        <v>0</v>
      </c>
      <c r="E22" s="195"/>
      <c r="F22" s="206">
        <v>-566843</v>
      </c>
      <c r="G22" s="156"/>
      <c r="H22" s="206">
        <v>-105196</v>
      </c>
      <c r="I22" s="202"/>
      <c r="J22" s="206">
        <v>-1058076</v>
      </c>
      <c r="K22" s="202"/>
      <c r="L22" s="206">
        <v>-638906</v>
      </c>
      <c r="M22" s="202"/>
      <c r="N22" s="206">
        <v>0</v>
      </c>
      <c r="O22" s="202"/>
      <c r="P22" s="206">
        <v>-75065</v>
      </c>
      <c r="Q22" s="202"/>
      <c r="R22" s="206">
        <v>0</v>
      </c>
      <c r="S22" s="202"/>
      <c r="T22" s="206">
        <v>-63974</v>
      </c>
      <c r="U22" s="202"/>
      <c r="V22" s="206">
        <v>-232330</v>
      </c>
      <c r="W22" s="202"/>
      <c r="X22" s="206">
        <v>-336831</v>
      </c>
      <c r="Y22" s="202"/>
      <c r="Z22" s="206">
        <v>-849918</v>
      </c>
      <c r="AA22" s="202"/>
      <c r="AB22" s="206">
        <v>88794</v>
      </c>
      <c r="AC22" s="202"/>
      <c r="AD22" s="206">
        <v>-9497</v>
      </c>
      <c r="AE22" s="202"/>
      <c r="AF22" s="206">
        <v>-309567</v>
      </c>
      <c r="AG22" s="202"/>
      <c r="AH22" s="206">
        <v>-683448</v>
      </c>
      <c r="AJ22" s="206">
        <v>-197439</v>
      </c>
      <c r="AL22" s="206">
        <v>-347132</v>
      </c>
      <c r="AN22" s="206">
        <v>-219765</v>
      </c>
      <c r="AP22" s="206">
        <v>0</v>
      </c>
      <c r="AR22" s="206">
        <v>0</v>
      </c>
      <c r="AT22" s="206">
        <v>0</v>
      </c>
      <c r="AV22" s="206">
        <f t="shared" si="0"/>
        <v>-5605193</v>
      </c>
    </row>
    <row r="23" spans="1:50" ht="21">
      <c r="A23" s="569"/>
      <c r="B23" s="203" t="s">
        <v>123</v>
      </c>
      <c r="C23" s="156"/>
      <c r="D23" s="204">
        <f>-D22-D21</f>
        <v>0</v>
      </c>
      <c r="E23" s="195"/>
      <c r="F23" s="217">
        <f>SUM(F21:F22)</f>
        <v>-11054210</v>
      </c>
      <c r="G23" s="156"/>
      <c r="H23" s="217">
        <f>SUM(H21:H22)</f>
        <v>-441138</v>
      </c>
      <c r="I23" s="202"/>
      <c r="J23" s="217">
        <f>SUM(J21:J22)</f>
        <v>-6659861</v>
      </c>
      <c r="K23" s="202"/>
      <c r="L23" s="217">
        <f>SUM(L21:L22)</f>
        <v>-6553677</v>
      </c>
      <c r="M23" s="202"/>
      <c r="N23" s="217">
        <f>SUM(N21:N22)</f>
        <v>0</v>
      </c>
      <c r="O23" s="202"/>
      <c r="P23" s="217">
        <f>SUM(P21:P22)</f>
        <v>-4075639</v>
      </c>
      <c r="Q23" s="202"/>
      <c r="R23" s="217">
        <f>SUM(R21:R22)</f>
        <v>0</v>
      </c>
      <c r="S23" s="202"/>
      <c r="T23" s="217">
        <f>SUM(T21:T22)</f>
        <v>-1447855</v>
      </c>
      <c r="U23" s="202"/>
      <c r="V23" s="217">
        <f>SUM(V21:V22)</f>
        <v>-1777760</v>
      </c>
      <c r="W23" s="202"/>
      <c r="X23" s="217">
        <f>SUM(X21:X22)</f>
        <v>-3953333</v>
      </c>
      <c r="Y23" s="202"/>
      <c r="Z23" s="217">
        <f>SUM(Z21:Z22)</f>
        <v>-2619029</v>
      </c>
      <c r="AA23" s="202"/>
      <c r="AB23" s="217">
        <f>SUM(AB21:AB22)</f>
        <v>-4843599</v>
      </c>
      <c r="AC23" s="202"/>
      <c r="AD23" s="217">
        <f>SUM(AD21:AD22)</f>
        <v>-1150606</v>
      </c>
      <c r="AE23" s="202"/>
      <c r="AF23" s="217">
        <f>SUM(AF21:AF22)</f>
        <v>-1912866</v>
      </c>
      <c r="AG23" s="202"/>
      <c r="AH23" s="217">
        <f>SUM(AH21:AH22)</f>
        <v>-2572064</v>
      </c>
      <c r="AJ23" s="217">
        <f>SUM(AJ21:AJ22)</f>
        <v>-507910</v>
      </c>
      <c r="AL23" s="217">
        <f>SUM(AL21:AL22)</f>
        <v>-2047656</v>
      </c>
      <c r="AN23" s="217">
        <f>SUM(AN21:AN22)</f>
        <v>-1707603</v>
      </c>
      <c r="AP23" s="217">
        <f>SUM(AP21:AP22)</f>
        <v>0</v>
      </c>
      <c r="AR23" s="217">
        <f>SUM(AR21:AR22)</f>
        <v>0</v>
      </c>
      <c r="AT23" s="217">
        <f>SUM(AT21:AT22)</f>
        <v>0</v>
      </c>
      <c r="AV23" s="217">
        <f t="shared" si="0"/>
        <v>-53324806</v>
      </c>
    </row>
    <row r="24" spans="1:50" ht="12" customHeight="1">
      <c r="A24" s="569"/>
      <c r="B24" s="200"/>
      <c r="C24" s="156"/>
      <c r="D24" s="201"/>
      <c r="E24" s="195"/>
      <c r="F24" s="194"/>
      <c r="G24" s="156"/>
      <c r="H24" s="194"/>
      <c r="I24" s="202"/>
      <c r="J24" s="194"/>
      <c r="K24" s="202"/>
      <c r="L24" s="194"/>
      <c r="M24" s="202"/>
      <c r="N24" s="194"/>
      <c r="O24" s="202"/>
      <c r="P24" s="194"/>
      <c r="Q24" s="202"/>
      <c r="R24" s="194"/>
      <c r="S24" s="202"/>
      <c r="T24" s="194"/>
      <c r="U24" s="202"/>
      <c r="V24" s="194"/>
      <c r="W24" s="202"/>
      <c r="X24" s="194"/>
      <c r="Y24" s="202"/>
      <c r="Z24" s="194"/>
      <c r="AA24" s="202"/>
      <c r="AB24" s="194"/>
      <c r="AC24" s="202"/>
      <c r="AD24" s="194"/>
      <c r="AE24" s="202"/>
      <c r="AF24" s="194"/>
      <c r="AG24" s="202"/>
      <c r="AH24" s="194"/>
      <c r="AJ24" s="194"/>
      <c r="AL24" s="194"/>
      <c r="AN24" s="194"/>
      <c r="AP24" s="194"/>
      <c r="AR24" s="194"/>
      <c r="AT24" s="194"/>
      <c r="AV24" s="194">
        <f t="shared" si="0"/>
        <v>0</v>
      </c>
    </row>
    <row r="25" spans="1:50" ht="21">
      <c r="A25" s="569"/>
      <c r="B25" s="210" t="s">
        <v>122</v>
      </c>
      <c r="C25" s="156"/>
      <c r="D25" s="214">
        <v>0</v>
      </c>
      <c r="E25" s="195"/>
      <c r="F25" s="205">
        <v>2597544</v>
      </c>
      <c r="G25" s="156"/>
      <c r="H25" s="205">
        <v>82611</v>
      </c>
      <c r="I25" s="202"/>
      <c r="J25" s="205">
        <v>1312330</v>
      </c>
      <c r="K25" s="202"/>
      <c r="L25" s="205">
        <v>1464990</v>
      </c>
      <c r="M25" s="202"/>
      <c r="N25" s="205">
        <v>0</v>
      </c>
      <c r="O25" s="202"/>
      <c r="P25" s="205">
        <v>809040</v>
      </c>
      <c r="Q25" s="202"/>
      <c r="R25" s="205">
        <v>0</v>
      </c>
      <c r="S25" s="202"/>
      <c r="T25" s="205">
        <v>296355</v>
      </c>
      <c r="U25" s="202"/>
      <c r="V25" s="205">
        <v>402006</v>
      </c>
      <c r="W25" s="202"/>
      <c r="X25" s="205">
        <v>1191519</v>
      </c>
      <c r="Y25" s="202"/>
      <c r="Z25" s="205">
        <v>419832</v>
      </c>
      <c r="AA25" s="202"/>
      <c r="AB25" s="205">
        <v>1405685</v>
      </c>
      <c r="AC25" s="202"/>
      <c r="AD25" s="205">
        <v>286977</v>
      </c>
      <c r="AE25" s="202"/>
      <c r="AF25" s="205">
        <v>410109</v>
      </c>
      <c r="AG25" s="202"/>
      <c r="AH25" s="205">
        <v>475977</v>
      </c>
      <c r="AJ25" s="205">
        <v>112552</v>
      </c>
      <c r="AL25" s="205">
        <v>456973</v>
      </c>
      <c r="AN25" s="205">
        <v>366599</v>
      </c>
      <c r="AP25" s="205">
        <v>0</v>
      </c>
      <c r="AR25" s="205">
        <v>0</v>
      </c>
      <c r="AT25" s="205">
        <v>0</v>
      </c>
      <c r="AV25" s="205">
        <f t="shared" si="0"/>
        <v>12091099</v>
      </c>
    </row>
    <row r="26" spans="1:50" ht="21">
      <c r="A26" s="569"/>
      <c r="B26" s="215" t="s">
        <v>121</v>
      </c>
      <c r="C26" s="156"/>
      <c r="D26" s="216">
        <v>0</v>
      </c>
      <c r="E26" s="195"/>
      <c r="F26" s="206">
        <v>261247</v>
      </c>
      <c r="G26" s="156"/>
      <c r="H26" s="206">
        <v>24450</v>
      </c>
      <c r="I26" s="202"/>
      <c r="J26" s="206">
        <v>131360</v>
      </c>
      <c r="K26" s="202"/>
      <c r="L26" s="206">
        <v>124276</v>
      </c>
      <c r="M26" s="202"/>
      <c r="N26" s="206">
        <v>0</v>
      </c>
      <c r="O26" s="202"/>
      <c r="P26" s="206">
        <v>-16418</v>
      </c>
      <c r="Q26" s="202"/>
      <c r="R26" s="206">
        <v>0</v>
      </c>
      <c r="S26" s="202"/>
      <c r="T26" s="206">
        <v>-13917</v>
      </c>
      <c r="U26" s="202"/>
      <c r="V26" s="206">
        <v>1477</v>
      </c>
      <c r="W26" s="202"/>
      <c r="X26" s="206">
        <v>-39439</v>
      </c>
      <c r="Y26" s="202"/>
      <c r="Z26" s="206">
        <v>88843</v>
      </c>
      <c r="AA26" s="202"/>
      <c r="AB26" s="206">
        <v>-66317</v>
      </c>
      <c r="AC26" s="202"/>
      <c r="AD26" s="206">
        <v>-14063</v>
      </c>
      <c r="AE26" s="202"/>
      <c r="AF26" s="206">
        <v>91997</v>
      </c>
      <c r="AG26" s="202"/>
      <c r="AH26" s="206">
        <v>143621</v>
      </c>
      <c r="AJ26" s="206">
        <v>79143</v>
      </c>
      <c r="AL26" s="206">
        <v>63116</v>
      </c>
      <c r="AN26" s="206">
        <v>59243</v>
      </c>
      <c r="AP26" s="206">
        <v>0</v>
      </c>
      <c r="AR26" s="206">
        <v>0</v>
      </c>
      <c r="AT26" s="206">
        <v>0</v>
      </c>
      <c r="AV26" s="206">
        <f t="shared" si="0"/>
        <v>918619</v>
      </c>
    </row>
    <row r="27" spans="1:50" ht="21">
      <c r="A27" s="569"/>
      <c r="B27" s="203" t="s">
        <v>120</v>
      </c>
      <c r="C27" s="156"/>
      <c r="D27" s="204">
        <f>+D25+D26</f>
        <v>0</v>
      </c>
      <c r="E27" s="195"/>
      <c r="F27" s="217">
        <f>+F25+F26</f>
        <v>2858791</v>
      </c>
      <c r="G27" s="156"/>
      <c r="H27" s="217">
        <f>+H25+H26</f>
        <v>107061</v>
      </c>
      <c r="I27" s="202"/>
      <c r="J27" s="217">
        <f>+J25+J26</f>
        <v>1443690</v>
      </c>
      <c r="K27" s="202"/>
      <c r="L27" s="217">
        <f>+L25+L26</f>
        <v>1589266</v>
      </c>
      <c r="M27" s="202"/>
      <c r="N27" s="217">
        <f>+N25+N26</f>
        <v>0</v>
      </c>
      <c r="O27" s="202"/>
      <c r="P27" s="217">
        <f>+P25+P26</f>
        <v>792622</v>
      </c>
      <c r="Q27" s="202"/>
      <c r="R27" s="217">
        <f>+R25+R26</f>
        <v>0</v>
      </c>
      <c r="S27" s="202"/>
      <c r="T27" s="217">
        <f>+T25+T26</f>
        <v>282438</v>
      </c>
      <c r="U27" s="202"/>
      <c r="V27" s="217">
        <f>+V25+V26</f>
        <v>403483</v>
      </c>
      <c r="W27" s="202"/>
      <c r="X27" s="217">
        <f>+X25+X26</f>
        <v>1152080</v>
      </c>
      <c r="Y27" s="202"/>
      <c r="Z27" s="217">
        <f>+Z25+Z26</f>
        <v>508675</v>
      </c>
      <c r="AA27" s="202"/>
      <c r="AB27" s="217">
        <f>+AB25+AB26</f>
        <v>1339368</v>
      </c>
      <c r="AC27" s="202"/>
      <c r="AD27" s="217">
        <f>+AD25+AD26</f>
        <v>272914</v>
      </c>
      <c r="AE27" s="202"/>
      <c r="AF27" s="217">
        <f>+AF25+AF26</f>
        <v>502106</v>
      </c>
      <c r="AG27" s="202"/>
      <c r="AH27" s="217">
        <f>+AH25+AH26</f>
        <v>619598</v>
      </c>
      <c r="AJ27" s="217">
        <f>+AJ25+AJ26</f>
        <v>191695</v>
      </c>
      <c r="AL27" s="217">
        <f>+AL25+AL26</f>
        <v>520089</v>
      </c>
      <c r="AN27" s="217">
        <f>+AN25+AN26</f>
        <v>425842</v>
      </c>
      <c r="AP27" s="217">
        <f>+AP25+AP26</f>
        <v>0</v>
      </c>
      <c r="AR27" s="217">
        <f>+AR25+AR26</f>
        <v>0</v>
      </c>
      <c r="AT27" s="217">
        <f>+AT25+AT26</f>
        <v>0</v>
      </c>
      <c r="AV27" s="217">
        <f t="shared" si="0"/>
        <v>13009718</v>
      </c>
    </row>
    <row r="28" spans="1:50" ht="21">
      <c r="A28" s="569"/>
      <c r="B28" s="212" t="s">
        <v>119</v>
      </c>
      <c r="C28" s="156"/>
      <c r="D28" s="279">
        <f>+D27+D23</f>
        <v>0</v>
      </c>
      <c r="E28" s="195"/>
      <c r="F28" s="213">
        <f>+F27+F23</f>
        <v>-8195419</v>
      </c>
      <c r="G28" s="156"/>
      <c r="H28" s="213">
        <f>+H27+H23</f>
        <v>-334077</v>
      </c>
      <c r="I28" s="202"/>
      <c r="J28" s="213">
        <f>+J27+J23</f>
        <v>-5216171</v>
      </c>
      <c r="K28" s="202"/>
      <c r="L28" s="213">
        <f>+L27+L23</f>
        <v>-4964411</v>
      </c>
      <c r="M28" s="202"/>
      <c r="N28" s="213">
        <f>+N27+N23</f>
        <v>0</v>
      </c>
      <c r="O28" s="202"/>
      <c r="P28" s="213">
        <f>+P27+P23</f>
        <v>-3283017</v>
      </c>
      <c r="Q28" s="202"/>
      <c r="R28" s="213">
        <f>+R27+R23</f>
        <v>0</v>
      </c>
      <c r="S28" s="202"/>
      <c r="T28" s="213">
        <f>+T27+T23</f>
        <v>-1165417</v>
      </c>
      <c r="U28" s="202"/>
      <c r="V28" s="213">
        <f>+V27+V23</f>
        <v>-1374277</v>
      </c>
      <c r="W28" s="202"/>
      <c r="X28" s="213">
        <f>+X27+X23</f>
        <v>-2801253</v>
      </c>
      <c r="Y28" s="202"/>
      <c r="Z28" s="213">
        <f>+Z27+Z23</f>
        <v>-2110354</v>
      </c>
      <c r="AA28" s="202"/>
      <c r="AB28" s="213">
        <f>+AB27+AB23</f>
        <v>-3504231</v>
      </c>
      <c r="AC28" s="202"/>
      <c r="AD28" s="213">
        <f>+AD27+AD23</f>
        <v>-877692</v>
      </c>
      <c r="AE28" s="202"/>
      <c r="AF28" s="213">
        <f>+AF27+AF23</f>
        <v>-1410760</v>
      </c>
      <c r="AG28" s="202"/>
      <c r="AH28" s="213">
        <f>+AH27+AH23</f>
        <v>-1952466</v>
      </c>
      <c r="AJ28" s="213">
        <f>+AJ27+AJ23</f>
        <v>-316215</v>
      </c>
      <c r="AL28" s="213">
        <f>+AL27+AL23</f>
        <v>-1527567</v>
      </c>
      <c r="AN28" s="213">
        <f>+AN27+AN23</f>
        <v>-1281761</v>
      </c>
      <c r="AP28" s="213">
        <f>+AP27+AP23</f>
        <v>0</v>
      </c>
      <c r="AR28" s="213">
        <f>+AR27+AR23</f>
        <v>0</v>
      </c>
      <c r="AT28" s="213">
        <f>+AT27+AT23</f>
        <v>0</v>
      </c>
      <c r="AV28" s="213">
        <f t="shared" si="0"/>
        <v>-40315088</v>
      </c>
    </row>
    <row r="29" spans="1:50" ht="8.25" customHeight="1">
      <c r="A29" s="569"/>
      <c r="B29" s="200"/>
      <c r="C29" s="156"/>
      <c r="D29" s="201"/>
      <c r="E29" s="195"/>
      <c r="F29" s="194"/>
      <c r="G29" s="156"/>
      <c r="H29" s="194"/>
      <c r="I29" s="202"/>
      <c r="J29" s="194"/>
      <c r="K29" s="202"/>
      <c r="L29" s="194"/>
      <c r="M29" s="202"/>
      <c r="N29" s="194"/>
      <c r="O29" s="202"/>
      <c r="P29" s="194"/>
      <c r="Q29" s="202"/>
      <c r="R29" s="194"/>
      <c r="S29" s="202"/>
      <c r="T29" s="194"/>
      <c r="U29" s="202"/>
      <c r="V29" s="194"/>
      <c r="W29" s="202"/>
      <c r="X29" s="194"/>
      <c r="Y29" s="202"/>
      <c r="Z29" s="194"/>
      <c r="AA29" s="202"/>
      <c r="AB29" s="194"/>
      <c r="AC29" s="202"/>
      <c r="AD29" s="194"/>
      <c r="AE29" s="202"/>
      <c r="AF29" s="194"/>
      <c r="AG29" s="202"/>
      <c r="AH29" s="194"/>
      <c r="AJ29" s="194"/>
      <c r="AL29" s="194"/>
      <c r="AN29" s="194"/>
      <c r="AP29" s="194"/>
      <c r="AR29" s="194"/>
      <c r="AT29" s="194"/>
      <c r="AV29" s="194">
        <f t="shared" si="0"/>
        <v>0</v>
      </c>
    </row>
    <row r="30" spans="1:50" ht="21">
      <c r="A30" s="569"/>
      <c r="B30" s="210" t="s">
        <v>118</v>
      </c>
      <c r="C30" s="156"/>
      <c r="D30" s="214">
        <v>0</v>
      </c>
      <c r="E30" s="195"/>
      <c r="F30" s="205">
        <v>-1571399</v>
      </c>
      <c r="G30" s="156"/>
      <c r="H30" s="205">
        <v>-119962</v>
      </c>
      <c r="I30" s="202"/>
      <c r="J30" s="205">
        <v>-801478</v>
      </c>
      <c r="K30" s="202"/>
      <c r="L30" s="205">
        <v>-659112</v>
      </c>
      <c r="M30" s="202"/>
      <c r="N30" s="205">
        <v>0</v>
      </c>
      <c r="O30" s="202"/>
      <c r="P30" s="205">
        <v>-611790</v>
      </c>
      <c r="Q30" s="202"/>
      <c r="R30" s="205">
        <v>0</v>
      </c>
      <c r="S30" s="202"/>
      <c r="T30" s="205">
        <v>-153693</v>
      </c>
      <c r="U30" s="202"/>
      <c r="V30" s="205">
        <v>-644425</v>
      </c>
      <c r="W30" s="202"/>
      <c r="X30" s="205">
        <v>-394010</v>
      </c>
      <c r="Y30" s="202"/>
      <c r="Z30" s="205">
        <v>-269353</v>
      </c>
      <c r="AA30" s="202"/>
      <c r="AB30" s="205">
        <v>-93373</v>
      </c>
      <c r="AC30" s="202"/>
      <c r="AD30" s="205">
        <v>-321753</v>
      </c>
      <c r="AE30" s="202"/>
      <c r="AF30" s="205">
        <v>-336908</v>
      </c>
      <c r="AG30" s="202"/>
      <c r="AH30" s="205">
        <v>-608092</v>
      </c>
      <c r="AJ30" s="205">
        <v>-102193</v>
      </c>
      <c r="AL30" s="205">
        <v>-310575</v>
      </c>
      <c r="AN30" s="205">
        <v>-198034</v>
      </c>
      <c r="AP30" s="205">
        <v>0</v>
      </c>
      <c r="AR30" s="205">
        <v>0</v>
      </c>
      <c r="AT30" s="205">
        <v>0</v>
      </c>
      <c r="AV30" s="205">
        <f t="shared" si="0"/>
        <v>-7196150</v>
      </c>
    </row>
    <row r="31" spans="1:50" ht="21">
      <c r="A31" s="569"/>
      <c r="B31" s="211" t="s">
        <v>117</v>
      </c>
      <c r="C31" s="156"/>
      <c r="D31" s="216">
        <v>0</v>
      </c>
      <c r="E31" s="195"/>
      <c r="F31" s="206">
        <v>411272</v>
      </c>
      <c r="G31" s="156"/>
      <c r="H31" s="206">
        <v>102669</v>
      </c>
      <c r="I31" s="202"/>
      <c r="J31" s="206">
        <v>283352</v>
      </c>
      <c r="K31" s="202"/>
      <c r="L31" s="206">
        <v>279569</v>
      </c>
      <c r="M31" s="202"/>
      <c r="N31" s="206">
        <v>0</v>
      </c>
      <c r="O31" s="202"/>
      <c r="P31" s="206">
        <v>311703</v>
      </c>
      <c r="Q31" s="202"/>
      <c r="R31" s="206">
        <v>0</v>
      </c>
      <c r="S31" s="202"/>
      <c r="T31" s="206">
        <v>74239</v>
      </c>
      <c r="U31" s="202"/>
      <c r="V31" s="206">
        <v>296037</v>
      </c>
      <c r="W31" s="202"/>
      <c r="X31" s="206">
        <v>288922</v>
      </c>
      <c r="Y31" s="202"/>
      <c r="Z31" s="206">
        <v>72879</v>
      </c>
      <c r="AA31" s="202"/>
      <c r="AB31" s="206">
        <v>35877</v>
      </c>
      <c r="AC31" s="202"/>
      <c r="AD31" s="206">
        <v>137206</v>
      </c>
      <c r="AE31" s="202"/>
      <c r="AF31" s="206">
        <v>121716</v>
      </c>
      <c r="AG31" s="202"/>
      <c r="AH31" s="206">
        <v>252735</v>
      </c>
      <c r="AJ31" s="206">
        <v>94630</v>
      </c>
      <c r="AL31" s="206">
        <v>151251</v>
      </c>
      <c r="AN31" s="206">
        <v>90537</v>
      </c>
      <c r="AP31" s="206">
        <v>0</v>
      </c>
      <c r="AR31" s="206">
        <v>0</v>
      </c>
      <c r="AT31" s="206">
        <v>0</v>
      </c>
      <c r="AV31" s="206">
        <f t="shared" si="0"/>
        <v>3004594</v>
      </c>
    </row>
    <row r="32" spans="1:50" ht="21">
      <c r="A32" s="569"/>
      <c r="B32" s="212" t="s">
        <v>116</v>
      </c>
      <c r="C32" s="156"/>
      <c r="D32" s="213">
        <f>SUM(D30:D31)</f>
        <v>0</v>
      </c>
      <c r="E32" s="195"/>
      <c r="F32" s="213">
        <f>SUM(F30:F31)</f>
        <v>-1160127</v>
      </c>
      <c r="G32" s="156"/>
      <c r="H32" s="213">
        <f>SUM(H30:H31)</f>
        <v>-17293</v>
      </c>
      <c r="I32" s="202"/>
      <c r="J32" s="213">
        <f>SUM(J30:J31)</f>
        <v>-518126</v>
      </c>
      <c r="K32" s="202"/>
      <c r="L32" s="213">
        <f>SUM(L30:L31)</f>
        <v>-379543</v>
      </c>
      <c r="M32" s="202"/>
      <c r="N32" s="213">
        <f>SUM(N30:N31)</f>
        <v>0</v>
      </c>
      <c r="O32" s="202"/>
      <c r="P32" s="213">
        <f>SUM(P30:P31)</f>
        <v>-300087</v>
      </c>
      <c r="Q32" s="202"/>
      <c r="R32" s="213">
        <f>SUM(R30:R31)</f>
        <v>0</v>
      </c>
      <c r="S32" s="202"/>
      <c r="T32" s="213">
        <f>SUM(T30:T31)</f>
        <v>-79454</v>
      </c>
      <c r="U32" s="202"/>
      <c r="V32" s="213">
        <f>SUM(V30:V31)</f>
        <v>-348388</v>
      </c>
      <c r="W32" s="202"/>
      <c r="X32" s="213">
        <f>SUM(X30:X31)</f>
        <v>-105088</v>
      </c>
      <c r="Y32" s="202"/>
      <c r="Z32" s="213">
        <f>SUM(Z30:Z31)</f>
        <v>-196474</v>
      </c>
      <c r="AA32" s="202"/>
      <c r="AB32" s="213">
        <f>SUM(AB30:AB31)</f>
        <v>-57496</v>
      </c>
      <c r="AC32" s="202"/>
      <c r="AD32" s="213">
        <f>SUM(AD30:AD31)</f>
        <v>-184547</v>
      </c>
      <c r="AE32" s="202"/>
      <c r="AF32" s="213">
        <f>SUM(AF30:AF31)</f>
        <v>-215192</v>
      </c>
      <c r="AG32" s="202"/>
      <c r="AH32" s="213">
        <f>SUM(AH30:AH31)</f>
        <v>-355357</v>
      </c>
      <c r="AJ32" s="213">
        <f>SUM(AJ30:AJ31)</f>
        <v>-7563</v>
      </c>
      <c r="AL32" s="213">
        <f>SUM(AL30:AL31)</f>
        <v>-159324</v>
      </c>
      <c r="AN32" s="213">
        <f>SUM(AN30:AN31)</f>
        <v>-107497</v>
      </c>
      <c r="AP32" s="213">
        <f>SUM(AP30:AP31)</f>
        <v>0</v>
      </c>
      <c r="AR32" s="213">
        <f>SUM(AR30:AR31)</f>
        <v>0</v>
      </c>
      <c r="AT32" s="213">
        <f>SUM(AT30:AT31)</f>
        <v>0</v>
      </c>
      <c r="AV32" s="213">
        <f t="shared" si="0"/>
        <v>-4191556</v>
      </c>
    </row>
    <row r="33" spans="1:48" ht="10.5" customHeight="1">
      <c r="A33" s="569"/>
      <c r="B33" s="219"/>
      <c r="C33" s="156"/>
      <c r="D33" s="220"/>
      <c r="E33" s="195"/>
      <c r="F33" s="221"/>
      <c r="G33" s="156"/>
      <c r="H33" s="221"/>
      <c r="I33" s="202"/>
      <c r="J33" s="221"/>
      <c r="K33" s="202"/>
      <c r="L33" s="221"/>
      <c r="M33" s="202"/>
      <c r="N33" s="221"/>
      <c r="O33" s="202"/>
      <c r="P33" s="221"/>
      <c r="Q33" s="202"/>
      <c r="R33" s="221"/>
      <c r="S33" s="202"/>
      <c r="T33" s="221"/>
      <c r="U33" s="202"/>
      <c r="V33" s="221"/>
      <c r="W33" s="202"/>
      <c r="X33" s="221"/>
      <c r="Y33" s="202"/>
      <c r="Z33" s="221"/>
      <c r="AA33" s="202"/>
      <c r="AB33" s="221"/>
      <c r="AC33" s="202"/>
      <c r="AD33" s="221"/>
      <c r="AE33" s="202"/>
      <c r="AF33" s="221"/>
      <c r="AG33" s="202"/>
      <c r="AH33" s="221"/>
      <c r="AJ33" s="221"/>
      <c r="AL33" s="221"/>
      <c r="AN33" s="221"/>
      <c r="AP33" s="221"/>
      <c r="AR33" s="221"/>
      <c r="AT33" s="221"/>
      <c r="AV33" s="221">
        <f t="shared" si="0"/>
        <v>0</v>
      </c>
    </row>
    <row r="34" spans="1:48" ht="21">
      <c r="A34" s="569"/>
      <c r="B34" s="210" t="s">
        <v>115</v>
      </c>
      <c r="C34" s="156"/>
      <c r="D34" s="214">
        <v>0</v>
      </c>
      <c r="E34" s="195"/>
      <c r="F34" s="205">
        <v>-420390</v>
      </c>
      <c r="G34" s="156"/>
      <c r="H34" s="205">
        <v>-7760</v>
      </c>
      <c r="I34" s="202"/>
      <c r="J34" s="205">
        <v>-55938</v>
      </c>
      <c r="K34" s="202"/>
      <c r="L34" s="205">
        <v>-303748</v>
      </c>
      <c r="M34" s="202"/>
      <c r="N34" s="205">
        <v>0</v>
      </c>
      <c r="O34" s="202"/>
      <c r="P34" s="205">
        <v>-159134</v>
      </c>
      <c r="Q34" s="202"/>
      <c r="R34" s="205">
        <v>0</v>
      </c>
      <c r="S34" s="202"/>
      <c r="T34" s="205">
        <v>-21520</v>
      </c>
      <c r="U34" s="202"/>
      <c r="V34" s="205">
        <v>-137716</v>
      </c>
      <c r="W34" s="202"/>
      <c r="X34" s="205">
        <v>-160212</v>
      </c>
      <c r="Y34" s="202"/>
      <c r="Z34" s="205">
        <v>-17144</v>
      </c>
      <c r="AA34" s="202"/>
      <c r="AB34" s="205">
        <v>-23579</v>
      </c>
      <c r="AC34" s="202"/>
      <c r="AD34" s="205">
        <v>-35224</v>
      </c>
      <c r="AE34" s="202"/>
      <c r="AF34" s="205">
        <v>-63841</v>
      </c>
      <c r="AG34" s="202"/>
      <c r="AH34" s="205">
        <v>-125907</v>
      </c>
      <c r="AJ34" s="205">
        <v>-19933</v>
      </c>
      <c r="AL34" s="205">
        <v>-96919</v>
      </c>
      <c r="AN34" s="205">
        <v>-50352</v>
      </c>
      <c r="AP34" s="205">
        <v>0</v>
      </c>
      <c r="AR34" s="205">
        <v>0</v>
      </c>
      <c r="AT34" s="205">
        <v>0</v>
      </c>
      <c r="AV34" s="205">
        <f t="shared" si="0"/>
        <v>-1699317</v>
      </c>
    </row>
    <row r="35" spans="1:48" ht="21">
      <c r="A35" s="569"/>
      <c r="B35" s="223" t="s">
        <v>183</v>
      </c>
      <c r="C35" s="156"/>
      <c r="D35" s="280">
        <v>0</v>
      </c>
      <c r="E35" s="195"/>
      <c r="F35" s="224">
        <v>-273972</v>
      </c>
      <c r="G35" s="156"/>
      <c r="H35" s="224">
        <v>-24700</v>
      </c>
      <c r="I35" s="202"/>
      <c r="J35" s="224">
        <v>-134295</v>
      </c>
      <c r="K35" s="202"/>
      <c r="L35" s="224">
        <v>-128077</v>
      </c>
      <c r="M35" s="202"/>
      <c r="N35" s="224">
        <v>0</v>
      </c>
      <c r="O35" s="202"/>
      <c r="P35" s="224">
        <v>-126104</v>
      </c>
      <c r="Q35" s="202"/>
      <c r="R35" s="224">
        <v>0</v>
      </c>
      <c r="S35" s="202"/>
      <c r="T35" s="224">
        <v>-45304</v>
      </c>
      <c r="U35" s="202"/>
      <c r="V35" s="224">
        <v>0</v>
      </c>
      <c r="W35" s="202"/>
      <c r="X35" s="224">
        <v>-36741</v>
      </c>
      <c r="Y35" s="202"/>
      <c r="Z35" s="224">
        <v>-75335</v>
      </c>
      <c r="AA35" s="202"/>
      <c r="AB35" s="224">
        <v>-105876</v>
      </c>
      <c r="AC35" s="202"/>
      <c r="AD35" s="224">
        <v>-15273</v>
      </c>
      <c r="AE35" s="202"/>
      <c r="AF35" s="224">
        <v>-49882</v>
      </c>
      <c r="AG35" s="202"/>
      <c r="AH35" s="224">
        <v>-68440</v>
      </c>
      <c r="AJ35" s="224">
        <v>-9704</v>
      </c>
      <c r="AL35" s="224">
        <v>-84253</v>
      </c>
      <c r="AN35" s="224">
        <v>-54245</v>
      </c>
      <c r="AP35" s="224">
        <v>0</v>
      </c>
      <c r="AR35" s="224">
        <v>0</v>
      </c>
      <c r="AT35" s="224">
        <v>0</v>
      </c>
      <c r="AV35" s="224">
        <f t="shared" si="0"/>
        <v>-1232201</v>
      </c>
    </row>
    <row r="36" spans="1:48" ht="21">
      <c r="A36" s="569"/>
      <c r="B36" s="223" t="s">
        <v>251</v>
      </c>
      <c r="C36" s="156"/>
      <c r="D36" s="280"/>
      <c r="E36" s="195"/>
      <c r="F36" s="224">
        <v>-162943</v>
      </c>
      <c r="G36" s="156"/>
      <c r="H36" s="224"/>
      <c r="I36" s="202"/>
      <c r="J36" s="224">
        <v>0</v>
      </c>
      <c r="K36" s="202"/>
      <c r="L36" s="224">
        <v>0</v>
      </c>
      <c r="M36" s="202"/>
      <c r="N36" s="224">
        <v>0</v>
      </c>
      <c r="O36" s="202"/>
      <c r="P36" s="224">
        <v>0</v>
      </c>
      <c r="Q36" s="202"/>
      <c r="R36" s="224">
        <v>0</v>
      </c>
      <c r="S36" s="202"/>
      <c r="T36" s="224">
        <v>-36354</v>
      </c>
      <c r="U36" s="202"/>
      <c r="V36" s="224">
        <v>-165994</v>
      </c>
      <c r="W36" s="202"/>
      <c r="X36" s="224">
        <v>0</v>
      </c>
      <c r="Y36" s="202"/>
      <c r="Z36" s="224">
        <v>0</v>
      </c>
      <c r="AA36" s="202"/>
      <c r="AB36" s="224">
        <v>0</v>
      </c>
      <c r="AC36" s="202"/>
      <c r="AD36" s="224">
        <v>0</v>
      </c>
      <c r="AE36" s="202"/>
      <c r="AF36" s="224">
        <v>0</v>
      </c>
      <c r="AG36" s="202"/>
      <c r="AH36" s="224">
        <v>0</v>
      </c>
      <c r="AJ36" s="224">
        <v>0</v>
      </c>
      <c r="AL36" s="224">
        <v>0</v>
      </c>
      <c r="AN36" s="224">
        <v>-34868</v>
      </c>
      <c r="AP36" s="224">
        <v>0</v>
      </c>
      <c r="AR36" s="224">
        <v>0</v>
      </c>
      <c r="AT36" s="224">
        <v>0</v>
      </c>
      <c r="AV36" s="224">
        <f t="shared" si="0"/>
        <v>-400159</v>
      </c>
    </row>
    <row r="37" spans="1:48" ht="21">
      <c r="A37" s="569"/>
      <c r="B37" s="223" t="s">
        <v>252</v>
      </c>
      <c r="C37" s="156"/>
      <c r="D37" s="280">
        <v>0</v>
      </c>
      <c r="E37" s="195"/>
      <c r="F37" s="224">
        <v>0</v>
      </c>
      <c r="G37" s="156"/>
      <c r="H37" s="224">
        <v>0</v>
      </c>
      <c r="I37" s="202"/>
      <c r="J37" s="224">
        <v>0</v>
      </c>
      <c r="K37" s="202"/>
      <c r="L37" s="224">
        <v>0</v>
      </c>
      <c r="M37" s="202"/>
      <c r="N37" s="224">
        <v>0</v>
      </c>
      <c r="O37" s="202"/>
      <c r="P37" s="224">
        <v>0</v>
      </c>
      <c r="Q37" s="202"/>
      <c r="R37" s="224">
        <v>0</v>
      </c>
      <c r="S37" s="202"/>
      <c r="T37" s="224">
        <v>0</v>
      </c>
      <c r="U37" s="202"/>
      <c r="V37" s="224">
        <v>0</v>
      </c>
      <c r="W37" s="202"/>
      <c r="X37" s="224">
        <v>0</v>
      </c>
      <c r="Y37" s="202"/>
      <c r="Z37" s="224">
        <v>-41077</v>
      </c>
      <c r="AA37" s="202"/>
      <c r="AB37" s="224">
        <v>0</v>
      </c>
      <c r="AC37" s="202"/>
      <c r="AD37" s="224">
        <v>0</v>
      </c>
      <c r="AE37" s="202"/>
      <c r="AF37" s="224">
        <v>0</v>
      </c>
      <c r="AG37" s="202"/>
      <c r="AH37" s="224">
        <v>0</v>
      </c>
      <c r="AJ37" s="224">
        <v>0</v>
      </c>
      <c r="AL37" s="224">
        <v>-191762</v>
      </c>
      <c r="AN37" s="224">
        <v>0</v>
      </c>
      <c r="AP37" s="224">
        <v>0</v>
      </c>
      <c r="AR37" s="224">
        <v>0</v>
      </c>
      <c r="AT37" s="224">
        <v>0</v>
      </c>
      <c r="AV37" s="224">
        <f t="shared" si="0"/>
        <v>-232839</v>
      </c>
    </row>
    <row r="38" spans="1:48" ht="21">
      <c r="A38" s="569"/>
      <c r="B38" s="223" t="s">
        <v>253</v>
      </c>
      <c r="C38" s="156"/>
      <c r="D38" s="280">
        <v>0</v>
      </c>
      <c r="E38" s="195"/>
      <c r="F38" s="224">
        <v>0</v>
      </c>
      <c r="G38" s="156"/>
      <c r="H38" s="224">
        <v>0</v>
      </c>
      <c r="I38" s="202"/>
      <c r="J38" s="224">
        <v>0</v>
      </c>
      <c r="K38" s="202"/>
      <c r="L38" s="224">
        <v>0</v>
      </c>
      <c r="M38" s="202"/>
      <c r="N38" s="224">
        <v>0</v>
      </c>
      <c r="O38" s="202"/>
      <c r="P38" s="224">
        <v>0</v>
      </c>
      <c r="Q38" s="202"/>
      <c r="R38" s="224">
        <v>0</v>
      </c>
      <c r="S38" s="202"/>
      <c r="T38" s="224">
        <v>0</v>
      </c>
      <c r="U38" s="202"/>
      <c r="V38" s="224">
        <v>0</v>
      </c>
      <c r="W38" s="202"/>
      <c r="X38" s="224">
        <v>0</v>
      </c>
      <c r="Y38" s="202"/>
      <c r="Z38" s="224">
        <v>0</v>
      </c>
      <c r="AA38" s="202"/>
      <c r="AB38" s="224">
        <v>0</v>
      </c>
      <c r="AC38" s="202"/>
      <c r="AD38" s="224">
        <v>0</v>
      </c>
      <c r="AE38" s="202"/>
      <c r="AF38" s="224">
        <v>-152824</v>
      </c>
      <c r="AG38" s="202"/>
      <c r="AH38" s="224">
        <v>0</v>
      </c>
      <c r="AJ38" s="224">
        <v>0</v>
      </c>
      <c r="AL38" s="224">
        <v>0</v>
      </c>
      <c r="AN38" s="224">
        <v>0</v>
      </c>
      <c r="AP38" s="224">
        <v>0</v>
      </c>
      <c r="AR38" s="224">
        <v>0</v>
      </c>
      <c r="AT38" s="224">
        <v>0</v>
      </c>
      <c r="AV38" s="224">
        <f t="shared" si="0"/>
        <v>-152824</v>
      </c>
    </row>
    <row r="39" spans="1:48" ht="21">
      <c r="A39" s="569"/>
      <c r="B39" s="223" t="s">
        <v>254</v>
      </c>
      <c r="C39" s="156"/>
      <c r="D39" s="280"/>
      <c r="E39" s="195"/>
      <c r="F39" s="224">
        <v>-649362</v>
      </c>
      <c r="G39" s="156"/>
      <c r="H39" s="224"/>
      <c r="I39" s="202"/>
      <c r="J39" s="224">
        <v>0</v>
      </c>
      <c r="K39" s="202"/>
      <c r="L39" s="224">
        <v>0</v>
      </c>
      <c r="M39" s="202"/>
      <c r="N39" s="224">
        <v>0</v>
      </c>
      <c r="O39" s="202"/>
      <c r="P39" s="224">
        <v>0</v>
      </c>
      <c r="Q39" s="202"/>
      <c r="R39" s="224">
        <v>0</v>
      </c>
      <c r="S39" s="202"/>
      <c r="T39" s="224">
        <v>-102761</v>
      </c>
      <c r="U39" s="202"/>
      <c r="V39" s="224">
        <v>0</v>
      </c>
      <c r="W39" s="202"/>
      <c r="X39" s="224">
        <v>0</v>
      </c>
      <c r="Y39" s="202"/>
      <c r="Z39" s="224">
        <v>-136705</v>
      </c>
      <c r="AA39" s="202"/>
      <c r="AB39" s="224">
        <v>0</v>
      </c>
      <c r="AC39" s="202"/>
      <c r="AD39" s="224">
        <v>0</v>
      </c>
      <c r="AE39" s="202"/>
      <c r="AF39" s="224">
        <v>0</v>
      </c>
      <c r="AG39" s="202"/>
      <c r="AH39" s="224">
        <v>0</v>
      </c>
      <c r="AJ39" s="224">
        <v>0</v>
      </c>
      <c r="AL39" s="224">
        <v>-56772</v>
      </c>
      <c r="AN39" s="224">
        <v>-121093</v>
      </c>
      <c r="AP39" s="224">
        <v>0</v>
      </c>
      <c r="AR39" s="224">
        <v>0</v>
      </c>
      <c r="AT39" s="224">
        <v>0</v>
      </c>
      <c r="AV39" s="224">
        <f t="shared" si="0"/>
        <v>-1066693</v>
      </c>
    </row>
    <row r="40" spans="1:48" ht="21">
      <c r="A40" s="569"/>
      <c r="B40" s="211" t="s">
        <v>111</v>
      </c>
      <c r="C40" s="156"/>
      <c r="D40" s="216">
        <v>0</v>
      </c>
      <c r="E40" s="195"/>
      <c r="F40" s="206">
        <v>130364</v>
      </c>
      <c r="G40" s="156"/>
      <c r="H40" s="206">
        <v>-86622</v>
      </c>
      <c r="I40" s="202"/>
      <c r="J40" s="206">
        <v>123833</v>
      </c>
      <c r="K40" s="202"/>
      <c r="L40" s="206">
        <v>-457039</v>
      </c>
      <c r="M40" s="202"/>
      <c r="N40" s="206">
        <v>0</v>
      </c>
      <c r="O40" s="202"/>
      <c r="P40" s="206">
        <v>-283692</v>
      </c>
      <c r="Q40" s="202"/>
      <c r="R40" s="206">
        <v>0</v>
      </c>
      <c r="S40" s="202"/>
      <c r="T40" s="206">
        <v>-37763</v>
      </c>
      <c r="U40" s="202"/>
      <c r="V40" s="206">
        <v>-9015</v>
      </c>
      <c r="W40" s="202"/>
      <c r="X40" s="206">
        <v>-115333</v>
      </c>
      <c r="Y40" s="202"/>
      <c r="Z40" s="206">
        <v>353575</v>
      </c>
      <c r="AA40" s="202"/>
      <c r="AB40" s="206">
        <v>-110278</v>
      </c>
      <c r="AC40" s="202"/>
      <c r="AD40" s="206">
        <v>-66218</v>
      </c>
      <c r="AE40" s="202"/>
      <c r="AF40" s="206">
        <v>2923</v>
      </c>
      <c r="AG40" s="202"/>
      <c r="AH40" s="206">
        <v>-294912</v>
      </c>
      <c r="AJ40" s="206">
        <v>-43021</v>
      </c>
      <c r="AL40" s="206">
        <v>-29732</v>
      </c>
      <c r="AN40" s="206">
        <v>-46711</v>
      </c>
      <c r="AP40" s="206">
        <v>0</v>
      </c>
      <c r="AR40" s="206">
        <v>0</v>
      </c>
      <c r="AT40" s="206">
        <v>0</v>
      </c>
      <c r="AV40" s="206">
        <f t="shared" si="0"/>
        <v>-969641</v>
      </c>
    </row>
    <row r="41" spans="1:48" ht="21">
      <c r="A41" s="569"/>
      <c r="B41" s="212" t="s">
        <v>184</v>
      </c>
      <c r="C41" s="156"/>
      <c r="D41" s="279">
        <f>SUM(D34:D40)</f>
        <v>0</v>
      </c>
      <c r="E41" s="195"/>
      <c r="F41" s="213">
        <f>SUM(F34:F40)</f>
        <v>-1376303</v>
      </c>
      <c r="G41" s="156"/>
      <c r="H41" s="213">
        <f>SUM(H34:H40)</f>
        <v>-119082</v>
      </c>
      <c r="I41" s="202"/>
      <c r="J41" s="213">
        <f>SUM(J34:J40)</f>
        <v>-66400</v>
      </c>
      <c r="K41" s="202"/>
      <c r="L41" s="213">
        <f>SUM(L34:L40)</f>
        <v>-888864</v>
      </c>
      <c r="M41" s="202"/>
      <c r="N41" s="213">
        <f>SUM(N34:N40)</f>
        <v>0</v>
      </c>
      <c r="O41" s="202"/>
      <c r="P41" s="213">
        <f>SUM(P34:P40)</f>
        <v>-568930</v>
      </c>
      <c r="Q41" s="202"/>
      <c r="R41" s="213">
        <f>SUM(R34:R40)</f>
        <v>0</v>
      </c>
      <c r="S41" s="202"/>
      <c r="T41" s="213">
        <f>SUM(T34:T40)</f>
        <v>-243702</v>
      </c>
      <c r="U41" s="202"/>
      <c r="V41" s="213">
        <f>SUM(V34:V40)</f>
        <v>-312725</v>
      </c>
      <c r="W41" s="202"/>
      <c r="X41" s="213">
        <f>SUM(X34:X40)</f>
        <v>-312286</v>
      </c>
      <c r="Y41" s="202"/>
      <c r="Z41" s="213">
        <f>SUM(Z34:Z40)</f>
        <v>83314</v>
      </c>
      <c r="AA41" s="202"/>
      <c r="AB41" s="213">
        <f>SUM(AB34:AB40)</f>
        <v>-239733</v>
      </c>
      <c r="AC41" s="202"/>
      <c r="AD41" s="213">
        <f>SUM(AD34:AD40)</f>
        <v>-116715</v>
      </c>
      <c r="AE41" s="202"/>
      <c r="AF41" s="213">
        <f>SUM(AF34:AF40)</f>
        <v>-263624</v>
      </c>
      <c r="AG41" s="202"/>
      <c r="AH41" s="213">
        <f>SUM(AH34:AH40)</f>
        <v>-489259</v>
      </c>
      <c r="AJ41" s="213">
        <f>SUM(AJ34:AJ40)</f>
        <v>-72658</v>
      </c>
      <c r="AL41" s="213">
        <f>SUM(AL34:AL40)</f>
        <v>-459438</v>
      </c>
      <c r="AN41" s="213">
        <f>SUM(AN34:AN40)</f>
        <v>-307269</v>
      </c>
      <c r="AP41" s="213">
        <f>SUM(AP34:AP40)</f>
        <v>0</v>
      </c>
      <c r="AR41" s="213">
        <f>SUM(AR34:AR40)</f>
        <v>0</v>
      </c>
      <c r="AT41" s="213">
        <f>SUM(AT34:AT40)</f>
        <v>0</v>
      </c>
      <c r="AV41" s="213">
        <f t="shared" si="0"/>
        <v>-5753674</v>
      </c>
    </row>
    <row r="42" spans="1:48" ht="21">
      <c r="A42" s="569"/>
      <c r="B42" s="200" t="s">
        <v>109</v>
      </c>
      <c r="C42" s="156"/>
      <c r="D42" s="201">
        <v>0</v>
      </c>
      <c r="E42" s="195"/>
      <c r="F42" s="194">
        <v>919989</v>
      </c>
      <c r="G42" s="156"/>
      <c r="H42" s="194">
        <v>7620</v>
      </c>
      <c r="I42" s="202"/>
      <c r="J42" s="194">
        <v>721135</v>
      </c>
      <c r="K42" s="202"/>
      <c r="L42" s="194">
        <v>230438.2</v>
      </c>
      <c r="M42" s="202"/>
      <c r="N42" s="194">
        <v>0</v>
      </c>
      <c r="O42" s="202"/>
      <c r="P42" s="194">
        <v>279078</v>
      </c>
      <c r="Q42" s="202"/>
      <c r="R42" s="194">
        <v>0</v>
      </c>
      <c r="S42" s="202"/>
      <c r="T42" s="194">
        <v>32590</v>
      </c>
      <c r="U42" s="202"/>
      <c r="V42" s="194">
        <v>646440</v>
      </c>
      <c r="W42" s="202"/>
      <c r="X42" s="194">
        <v>18727</v>
      </c>
      <c r="Y42" s="202"/>
      <c r="Z42" s="194">
        <v>351141</v>
      </c>
      <c r="AA42" s="202"/>
      <c r="AB42" s="194">
        <v>124057</v>
      </c>
      <c r="AC42" s="202"/>
      <c r="AD42" s="194">
        <v>196409</v>
      </c>
      <c r="AE42" s="202"/>
      <c r="AF42" s="194">
        <v>409489</v>
      </c>
      <c r="AG42" s="202"/>
      <c r="AH42" s="194">
        <v>387231</v>
      </c>
      <c r="AJ42" s="194">
        <v>84198</v>
      </c>
      <c r="AL42" s="194">
        <v>106488</v>
      </c>
      <c r="AN42" s="194">
        <v>60353</v>
      </c>
      <c r="AP42" s="194">
        <v>0</v>
      </c>
      <c r="AR42" s="194">
        <v>0</v>
      </c>
      <c r="AT42" s="194">
        <v>0</v>
      </c>
      <c r="AV42" s="194">
        <f t="shared" si="0"/>
        <v>4575383.2</v>
      </c>
    </row>
    <row r="43" spans="1:48" ht="21">
      <c r="A43" s="569"/>
      <c r="B43" s="208" t="s">
        <v>108</v>
      </c>
      <c r="C43" s="156"/>
      <c r="D43" s="209">
        <f>D42+D41+D32+D28+D19</f>
        <v>0</v>
      </c>
      <c r="E43" s="195"/>
      <c r="F43" s="225">
        <f>F42+F41+F32+F28+F19</f>
        <v>834933</v>
      </c>
      <c r="G43" s="156"/>
      <c r="H43" s="225">
        <f>H42+H41+H32+H28+H19</f>
        <v>214076</v>
      </c>
      <c r="I43" s="202"/>
      <c r="J43" s="225">
        <f>J42+J41+J32+J28+J19</f>
        <v>918576</v>
      </c>
      <c r="K43" s="202"/>
      <c r="L43" s="225">
        <f>L42+L41+L32+L28+L19</f>
        <v>593383.20000000019</v>
      </c>
      <c r="M43" s="202"/>
      <c r="N43" s="225">
        <f>N42+N41+N32+N28+N19</f>
        <v>0</v>
      </c>
      <c r="O43" s="202"/>
      <c r="P43" s="225">
        <f>P42+P41+P32+P28+P19</f>
        <v>662534</v>
      </c>
      <c r="Q43" s="202"/>
      <c r="R43" s="225">
        <f>R42+R41+R32+R28+R19</f>
        <v>0</v>
      </c>
      <c r="S43" s="202"/>
      <c r="T43" s="225">
        <f>T42+T41+T32+T28+T19</f>
        <v>-91384</v>
      </c>
      <c r="U43" s="202"/>
      <c r="V43" s="225">
        <f>V42+V41+V32+V28+V19</f>
        <v>480954</v>
      </c>
      <c r="W43" s="202"/>
      <c r="X43" s="225">
        <f>X42+X41+X32+X28+X19</f>
        <v>51795</v>
      </c>
      <c r="Y43" s="202"/>
      <c r="Z43" s="225">
        <f>Z42+Z41+Z32+Z28+Z19</f>
        <v>92978</v>
      </c>
      <c r="AA43" s="202"/>
      <c r="AB43" s="225">
        <f>AB42+AB41+AB32+AB28+AB19</f>
        <v>-1361643</v>
      </c>
      <c r="AC43" s="202"/>
      <c r="AD43" s="225">
        <f>AD42+AD41+AD32+AD28+AD19</f>
        <v>216124</v>
      </c>
      <c r="AE43" s="202"/>
      <c r="AF43" s="225">
        <f>AF42+AF41+AF32+AF28+AF19</f>
        <v>378647</v>
      </c>
      <c r="AG43" s="202"/>
      <c r="AH43" s="225">
        <f>AH42+AH41+AH32+AH28+AH19</f>
        <v>310616</v>
      </c>
      <c r="AJ43" s="225">
        <f>AJ42+AJ41+AJ32+AJ28+AJ19</f>
        <v>304948</v>
      </c>
      <c r="AL43" s="225">
        <f>AL42+AL41+AL32+AL28+AL19</f>
        <v>434469</v>
      </c>
      <c r="AN43" s="225">
        <f>AN42+AN41+AN32+AN28+AN19</f>
        <v>199310</v>
      </c>
      <c r="AP43" s="225">
        <f>AP42+AP41+AP32+AP28+AP19</f>
        <v>0</v>
      </c>
      <c r="AR43" s="225">
        <f>AR42+AR41+AR32+AR28+AR19</f>
        <v>0</v>
      </c>
      <c r="AT43" s="225">
        <f>AT42+AT41+AT32+AT28+AT19</f>
        <v>0</v>
      </c>
      <c r="AV43" s="225">
        <f t="shared" si="0"/>
        <v>4240316.2</v>
      </c>
    </row>
    <row r="44" spans="1:48" ht="21">
      <c r="A44" s="569"/>
      <c r="B44" s="200" t="s">
        <v>107</v>
      </c>
      <c r="C44" s="156"/>
      <c r="D44" s="201">
        <v>0</v>
      </c>
      <c r="E44" s="195"/>
      <c r="F44" s="194">
        <v>330252</v>
      </c>
      <c r="G44" s="156"/>
      <c r="H44" s="194">
        <v>90834</v>
      </c>
      <c r="I44" s="202"/>
      <c r="J44" s="194">
        <v>241264</v>
      </c>
      <c r="K44" s="202"/>
      <c r="L44" s="194">
        <v>22791</v>
      </c>
      <c r="M44" s="202"/>
      <c r="N44" s="194">
        <v>0</v>
      </c>
      <c r="O44" s="202"/>
      <c r="P44" s="194">
        <v>181374</v>
      </c>
      <c r="Q44" s="202"/>
      <c r="R44" s="194">
        <v>0</v>
      </c>
      <c r="S44" s="202"/>
      <c r="T44" s="194">
        <v>31001</v>
      </c>
      <c r="U44" s="202"/>
      <c r="V44" s="194">
        <v>111350</v>
      </c>
      <c r="W44" s="202"/>
      <c r="X44" s="194">
        <v>6023</v>
      </c>
      <c r="Y44" s="202"/>
      <c r="Z44" s="194">
        <v>459358</v>
      </c>
      <c r="AA44" s="202"/>
      <c r="AB44" s="194">
        <v>0</v>
      </c>
      <c r="AC44" s="202"/>
      <c r="AD44" s="194">
        <v>96014</v>
      </c>
      <c r="AE44" s="202"/>
      <c r="AF44" s="194">
        <v>136790</v>
      </c>
      <c r="AG44" s="202"/>
      <c r="AH44" s="194">
        <v>240493</v>
      </c>
      <c r="AJ44" s="194">
        <v>135291</v>
      </c>
      <c r="AL44" s="194">
        <v>68354</v>
      </c>
      <c r="AN44" s="194">
        <v>51412</v>
      </c>
      <c r="AP44" s="194">
        <v>0</v>
      </c>
      <c r="AR44" s="194">
        <v>0</v>
      </c>
      <c r="AT44" s="194">
        <v>0</v>
      </c>
      <c r="AV44" s="194">
        <f t="shared" si="0"/>
        <v>2202601</v>
      </c>
    </row>
    <row r="45" spans="1:48" ht="21">
      <c r="A45" s="569"/>
      <c r="B45" s="200" t="s">
        <v>255</v>
      </c>
      <c r="C45" s="156"/>
      <c r="D45" s="201">
        <v>0</v>
      </c>
      <c r="E45" s="195"/>
      <c r="F45" s="194">
        <v>0</v>
      </c>
      <c r="G45" s="156"/>
      <c r="H45" s="194">
        <v>0</v>
      </c>
      <c r="I45" s="202"/>
      <c r="J45" s="194">
        <v>0</v>
      </c>
      <c r="K45" s="202"/>
      <c r="L45" s="194">
        <v>0</v>
      </c>
      <c r="M45" s="202"/>
      <c r="N45" s="194">
        <v>0</v>
      </c>
      <c r="O45" s="202"/>
      <c r="P45" s="194">
        <v>0</v>
      </c>
      <c r="Q45" s="202"/>
      <c r="R45" s="194">
        <v>0</v>
      </c>
      <c r="S45" s="202"/>
      <c r="T45" s="194">
        <v>0</v>
      </c>
      <c r="U45" s="202"/>
      <c r="V45" s="194">
        <v>0</v>
      </c>
      <c r="W45" s="202"/>
      <c r="X45" s="194">
        <v>0</v>
      </c>
      <c r="Y45" s="202"/>
      <c r="Z45" s="194">
        <v>0</v>
      </c>
      <c r="AA45" s="202"/>
      <c r="AB45" s="194">
        <v>0</v>
      </c>
      <c r="AC45" s="202"/>
      <c r="AD45" s="194">
        <v>0</v>
      </c>
      <c r="AE45" s="202"/>
      <c r="AF45" s="194">
        <v>0</v>
      </c>
      <c r="AG45" s="202"/>
      <c r="AH45" s="194">
        <v>0</v>
      </c>
      <c r="AJ45" s="194">
        <v>0</v>
      </c>
      <c r="AL45" s="194">
        <v>0</v>
      </c>
      <c r="AN45" s="194">
        <v>0</v>
      </c>
      <c r="AP45" s="194">
        <v>0</v>
      </c>
      <c r="AR45" s="194">
        <v>0</v>
      </c>
      <c r="AT45" s="194">
        <v>0</v>
      </c>
      <c r="AV45" s="194">
        <f t="shared" si="0"/>
        <v>0</v>
      </c>
    </row>
    <row r="46" spans="1:48" ht="21">
      <c r="A46" s="569"/>
      <c r="B46" s="200" t="s">
        <v>256</v>
      </c>
      <c r="C46" s="156"/>
      <c r="D46" s="201">
        <v>0</v>
      </c>
      <c r="E46" s="195"/>
      <c r="F46" s="194">
        <v>0</v>
      </c>
      <c r="G46" s="156"/>
      <c r="H46" s="194">
        <v>0</v>
      </c>
      <c r="I46" s="202"/>
      <c r="J46" s="194">
        <v>0</v>
      </c>
      <c r="K46" s="202"/>
      <c r="L46" s="194">
        <v>0</v>
      </c>
      <c r="M46" s="202"/>
      <c r="N46" s="194">
        <v>0</v>
      </c>
      <c r="O46" s="202"/>
      <c r="P46" s="194">
        <v>0</v>
      </c>
      <c r="Q46" s="202"/>
      <c r="R46" s="194">
        <v>0</v>
      </c>
      <c r="S46" s="202"/>
      <c r="T46" s="194">
        <v>0</v>
      </c>
      <c r="U46" s="202"/>
      <c r="V46" s="194">
        <v>0</v>
      </c>
      <c r="W46" s="202"/>
      <c r="X46" s="194">
        <v>0</v>
      </c>
      <c r="Y46" s="202"/>
      <c r="Z46" s="194">
        <v>25576</v>
      </c>
      <c r="AA46" s="202"/>
      <c r="AB46" s="194">
        <v>0</v>
      </c>
      <c r="AC46" s="202"/>
      <c r="AD46" s="194">
        <v>0</v>
      </c>
      <c r="AE46" s="202"/>
      <c r="AF46" s="194">
        <v>0</v>
      </c>
      <c r="AG46" s="202"/>
      <c r="AH46" s="194">
        <v>0</v>
      </c>
      <c r="AJ46" s="194">
        <v>0</v>
      </c>
      <c r="AL46" s="194">
        <v>0</v>
      </c>
      <c r="AN46" s="194">
        <v>0</v>
      </c>
      <c r="AP46" s="194">
        <v>0</v>
      </c>
      <c r="AR46" s="194">
        <v>0</v>
      </c>
      <c r="AT46" s="194">
        <v>0</v>
      </c>
      <c r="AV46" s="194">
        <f t="shared" si="0"/>
        <v>25576</v>
      </c>
    </row>
    <row r="47" spans="1:48" ht="21">
      <c r="A47" s="569"/>
      <c r="B47" s="200" t="s">
        <v>106</v>
      </c>
      <c r="C47" s="156"/>
      <c r="D47" s="201">
        <v>0</v>
      </c>
      <c r="E47" s="195"/>
      <c r="F47" s="194">
        <v>-1096588</v>
      </c>
      <c r="G47" s="156"/>
      <c r="H47" s="194">
        <v>-201206</v>
      </c>
      <c r="I47" s="202"/>
      <c r="J47" s="194">
        <v>-782484</v>
      </c>
      <c r="K47" s="202"/>
      <c r="L47" s="194">
        <v>-840374</v>
      </c>
      <c r="M47" s="202"/>
      <c r="N47" s="194">
        <v>0</v>
      </c>
      <c r="O47" s="202"/>
      <c r="P47" s="194">
        <v>-473791</v>
      </c>
      <c r="Q47" s="202"/>
      <c r="R47" s="194">
        <v>0</v>
      </c>
      <c r="S47" s="202"/>
      <c r="T47" s="194">
        <v>-220685</v>
      </c>
      <c r="U47" s="202"/>
      <c r="V47" s="194">
        <v>-313391</v>
      </c>
      <c r="W47" s="202"/>
      <c r="X47" s="194">
        <v>-267905</v>
      </c>
      <c r="Y47" s="202"/>
      <c r="Z47" s="194">
        <v>-239704</v>
      </c>
      <c r="AA47" s="202"/>
      <c r="AB47" s="194">
        <v>-259543</v>
      </c>
      <c r="AC47" s="202"/>
      <c r="AD47" s="194">
        <v>-223507</v>
      </c>
      <c r="AE47" s="202"/>
      <c r="AF47" s="194">
        <v>-241323</v>
      </c>
      <c r="AG47" s="202"/>
      <c r="AH47" s="194">
        <v>-365967</v>
      </c>
      <c r="AJ47" s="194">
        <v>-206413</v>
      </c>
      <c r="AL47" s="194">
        <v>-185587</v>
      </c>
      <c r="AN47" s="194">
        <v>-144211</v>
      </c>
      <c r="AP47" s="194">
        <v>0</v>
      </c>
      <c r="AR47" s="194">
        <v>0</v>
      </c>
      <c r="AT47" s="194">
        <v>0</v>
      </c>
      <c r="AV47" s="194">
        <f t="shared" si="0"/>
        <v>-6062679</v>
      </c>
    </row>
    <row r="48" spans="1:48" ht="21">
      <c r="A48" s="569"/>
      <c r="B48" s="226" t="s">
        <v>105</v>
      </c>
      <c r="C48" s="156"/>
      <c r="D48" s="281">
        <f>SUM(D43:D47)</f>
        <v>0</v>
      </c>
      <c r="E48" s="195"/>
      <c r="F48" s="227">
        <f>SUM(F43:F47)</f>
        <v>68597</v>
      </c>
      <c r="G48" s="156"/>
      <c r="H48" s="227">
        <f>SUM(H43:H47)</f>
        <v>103704</v>
      </c>
      <c r="I48" s="202"/>
      <c r="J48" s="227">
        <f>SUM(J43:J47)</f>
        <v>377356</v>
      </c>
      <c r="K48" s="202"/>
      <c r="L48" s="227">
        <f>SUM(L43:L47)</f>
        <v>-224199.79999999981</v>
      </c>
      <c r="M48" s="202"/>
      <c r="N48" s="227">
        <f>SUM(N43:N47)</f>
        <v>0</v>
      </c>
      <c r="O48" s="202"/>
      <c r="P48" s="227">
        <f>SUM(P43:P47)</f>
        <v>370117</v>
      </c>
      <c r="Q48" s="202"/>
      <c r="R48" s="227">
        <f>SUM(R43:R47)</f>
        <v>0</v>
      </c>
      <c r="S48" s="202"/>
      <c r="T48" s="227">
        <f>SUM(T43:T47)</f>
        <v>-281068</v>
      </c>
      <c r="U48" s="202"/>
      <c r="V48" s="227">
        <f>SUM(V43:V47)</f>
        <v>278913</v>
      </c>
      <c r="W48" s="202"/>
      <c r="X48" s="227">
        <f>SUM(X43:X47)</f>
        <v>-210087</v>
      </c>
      <c r="Y48" s="202"/>
      <c r="Z48" s="227">
        <f>SUM(Z43:Z47)</f>
        <v>338208</v>
      </c>
      <c r="AA48" s="202"/>
      <c r="AB48" s="227">
        <f>SUM(AB43:AB47)</f>
        <v>-1621186</v>
      </c>
      <c r="AC48" s="202"/>
      <c r="AD48" s="227">
        <f>SUM(AD43:AD47)</f>
        <v>88631</v>
      </c>
      <c r="AE48" s="202"/>
      <c r="AF48" s="227">
        <f>SUM(AF43:AF47)</f>
        <v>274114</v>
      </c>
      <c r="AG48" s="202"/>
      <c r="AH48" s="227">
        <f>SUM(AH43:AH47)</f>
        <v>185142</v>
      </c>
      <c r="AJ48" s="227">
        <f>SUM(AJ43:AJ47)</f>
        <v>233826</v>
      </c>
      <c r="AL48" s="227">
        <f>SUM(AL43:AL47)</f>
        <v>317236</v>
      </c>
      <c r="AN48" s="227">
        <f>SUM(AN43:AN47)</f>
        <v>106511</v>
      </c>
      <c r="AP48" s="227">
        <f>SUM(AP43:AP47)</f>
        <v>0</v>
      </c>
      <c r="AR48" s="227">
        <f>SUM(AR43:AR47)</f>
        <v>0</v>
      </c>
      <c r="AT48" s="227">
        <f>SUM(AT43:AT47)</f>
        <v>0</v>
      </c>
      <c r="AV48" s="227">
        <f t="shared" si="0"/>
        <v>405814.20000000019</v>
      </c>
    </row>
    <row r="49" spans="1:48" ht="21">
      <c r="A49" s="569"/>
      <c r="B49" s="230" t="s">
        <v>257</v>
      </c>
      <c r="C49" s="156"/>
      <c r="D49" s="220">
        <v>0</v>
      </c>
      <c r="E49" s="195"/>
      <c r="F49" s="221">
        <v>0</v>
      </c>
      <c r="G49" s="156"/>
      <c r="H49" s="221">
        <v>0</v>
      </c>
      <c r="I49" s="202"/>
      <c r="J49" s="221">
        <v>0</v>
      </c>
      <c r="K49" s="202"/>
      <c r="L49" s="221">
        <v>0</v>
      </c>
      <c r="M49" s="202"/>
      <c r="N49" s="221">
        <v>0</v>
      </c>
      <c r="O49" s="202"/>
      <c r="P49" s="221">
        <v>0</v>
      </c>
      <c r="Q49" s="202"/>
      <c r="R49" s="221">
        <v>0</v>
      </c>
      <c r="S49" s="202"/>
      <c r="T49" s="221">
        <v>-28886</v>
      </c>
      <c r="U49" s="202"/>
      <c r="V49" s="221">
        <v>0</v>
      </c>
      <c r="W49" s="202"/>
      <c r="X49" s="221">
        <v>0</v>
      </c>
      <c r="Y49" s="202"/>
      <c r="Z49" s="221">
        <v>-4644</v>
      </c>
      <c r="AA49" s="202"/>
      <c r="AB49" s="221">
        <v>-36581</v>
      </c>
      <c r="AC49" s="202"/>
      <c r="AD49" s="221">
        <v>-136</v>
      </c>
      <c r="AE49" s="202"/>
      <c r="AF49" s="221">
        <v>-4646</v>
      </c>
      <c r="AG49" s="202"/>
      <c r="AH49" s="221">
        <v>0</v>
      </c>
      <c r="AJ49" s="221">
        <v>-16379</v>
      </c>
      <c r="AL49" s="221">
        <v>0</v>
      </c>
      <c r="AN49" s="221">
        <v>0</v>
      </c>
      <c r="AP49" s="221">
        <v>0</v>
      </c>
      <c r="AR49" s="221">
        <v>0</v>
      </c>
      <c r="AT49" s="221">
        <v>0</v>
      </c>
      <c r="AV49" s="221">
        <f t="shared" si="0"/>
        <v>-91272</v>
      </c>
    </row>
    <row r="50" spans="1:48" ht="21">
      <c r="A50" s="569"/>
      <c r="B50" s="211" t="s">
        <v>185</v>
      </c>
      <c r="C50" s="156"/>
      <c r="D50" s="282">
        <v>0</v>
      </c>
      <c r="E50" s="195"/>
      <c r="F50" s="229">
        <v>139240</v>
      </c>
      <c r="G50" s="156"/>
      <c r="H50" s="229">
        <v>2267</v>
      </c>
      <c r="I50" s="202"/>
      <c r="J50" s="229">
        <v>6886</v>
      </c>
      <c r="K50" s="202"/>
      <c r="L50" s="229">
        <v>512696</v>
      </c>
      <c r="M50" s="202"/>
      <c r="N50" s="229">
        <v>0</v>
      </c>
      <c r="O50" s="202"/>
      <c r="P50" s="229">
        <v>578112</v>
      </c>
      <c r="Q50" s="202"/>
      <c r="R50" s="229">
        <v>0</v>
      </c>
      <c r="S50" s="202"/>
      <c r="T50" s="229">
        <v>262672</v>
      </c>
      <c r="U50" s="202"/>
      <c r="V50" s="229">
        <v>92649</v>
      </c>
      <c r="W50" s="202"/>
      <c r="X50" s="229">
        <v>-68651</v>
      </c>
      <c r="Y50" s="202"/>
      <c r="Z50" s="229">
        <v>22998</v>
      </c>
      <c r="AA50" s="202"/>
      <c r="AB50" s="229">
        <v>5329</v>
      </c>
      <c r="AC50" s="202"/>
      <c r="AD50" s="229">
        <v>26526</v>
      </c>
      <c r="AE50" s="202"/>
      <c r="AF50" s="229">
        <v>9392</v>
      </c>
      <c r="AG50" s="202"/>
      <c r="AH50" s="229">
        <v>257880</v>
      </c>
      <c r="AJ50" s="229">
        <v>9574</v>
      </c>
      <c r="AL50" s="229">
        <v>5635</v>
      </c>
      <c r="AN50" s="229">
        <v>711</v>
      </c>
      <c r="AP50" s="229">
        <v>0</v>
      </c>
      <c r="AR50" s="229">
        <v>0</v>
      </c>
      <c r="AT50" s="229">
        <v>0</v>
      </c>
      <c r="AV50" s="229">
        <f t="shared" si="0"/>
        <v>1863916</v>
      </c>
    </row>
    <row r="51" spans="1:48" ht="21">
      <c r="A51" s="569"/>
      <c r="B51" s="230" t="s">
        <v>103</v>
      </c>
      <c r="C51" s="156"/>
      <c r="D51" s="220">
        <f>D48+D50</f>
        <v>0</v>
      </c>
      <c r="E51" s="195"/>
      <c r="F51" s="221">
        <f>SUM(F48:F50)</f>
        <v>207837</v>
      </c>
      <c r="G51" s="156"/>
      <c r="H51" s="221">
        <f>H48+H50</f>
        <v>105971</v>
      </c>
      <c r="I51" s="202"/>
      <c r="J51" s="221">
        <f>SUM(J48:J50)</f>
        <v>384242</v>
      </c>
      <c r="K51" s="202"/>
      <c r="L51" s="221">
        <f>SUM(L48:L50)</f>
        <v>288496.20000000019</v>
      </c>
      <c r="M51" s="202"/>
      <c r="N51" s="221">
        <f>SUM(N48:N50)</f>
        <v>0</v>
      </c>
      <c r="O51" s="202"/>
      <c r="P51" s="221">
        <f>SUM(P48:P50)</f>
        <v>948229</v>
      </c>
      <c r="Q51" s="202"/>
      <c r="R51" s="221">
        <f>SUM(R48:R50)</f>
        <v>0</v>
      </c>
      <c r="S51" s="202"/>
      <c r="T51" s="221">
        <f>SUM(T48:T50)</f>
        <v>-47282</v>
      </c>
      <c r="U51" s="202"/>
      <c r="V51" s="221">
        <f>SUM(V48:V50)</f>
        <v>371562</v>
      </c>
      <c r="W51" s="202"/>
      <c r="X51" s="221">
        <f>SUM(X48:X50)</f>
        <v>-278738</v>
      </c>
      <c r="Y51" s="202"/>
      <c r="Z51" s="221">
        <f>SUM(Z48:Z50)</f>
        <v>356562</v>
      </c>
      <c r="AA51" s="202"/>
      <c r="AB51" s="221">
        <f>SUM(AB48:AB50)</f>
        <v>-1652438</v>
      </c>
      <c r="AC51" s="202"/>
      <c r="AD51" s="221">
        <f>SUM(AD48:AD50)</f>
        <v>115021</v>
      </c>
      <c r="AE51" s="202"/>
      <c r="AF51" s="221">
        <f>SUM(AF48:AF50)</f>
        <v>278860</v>
      </c>
      <c r="AG51" s="202"/>
      <c r="AH51" s="221">
        <f>SUM(AH48:AH50)</f>
        <v>443022</v>
      </c>
      <c r="AJ51" s="221">
        <f>SUM(AJ48:AJ50)</f>
        <v>227021</v>
      </c>
      <c r="AL51" s="221">
        <f>SUM(AL48:AL50)</f>
        <v>322871</v>
      </c>
      <c r="AN51" s="221">
        <f>SUM(AN48:AN50)</f>
        <v>107222</v>
      </c>
      <c r="AP51" s="221">
        <f>SUM(AP48:AP50)</f>
        <v>0</v>
      </c>
      <c r="AR51" s="221">
        <f>SUM(AR48:AR50)</f>
        <v>0</v>
      </c>
      <c r="AT51" s="221">
        <f>SUM(AT48:AT50)</f>
        <v>0</v>
      </c>
      <c r="AV51" s="221">
        <f t="shared" si="0"/>
        <v>2178458.2000000002</v>
      </c>
    </row>
    <row r="52" spans="1:48" ht="21">
      <c r="A52" s="569"/>
      <c r="B52" s="231" t="s">
        <v>102</v>
      </c>
      <c r="C52" s="156"/>
      <c r="D52" s="232">
        <v>0</v>
      </c>
      <c r="E52" s="195"/>
      <c r="F52" s="233">
        <v>0</v>
      </c>
      <c r="G52" s="156"/>
      <c r="H52" s="233">
        <v>0</v>
      </c>
      <c r="I52" s="202"/>
      <c r="J52" s="233">
        <v>0</v>
      </c>
      <c r="K52" s="202"/>
      <c r="L52" s="233">
        <v>-21769</v>
      </c>
      <c r="M52" s="202"/>
      <c r="N52" s="233">
        <v>0</v>
      </c>
      <c r="O52" s="202"/>
      <c r="P52" s="233">
        <v>-29180</v>
      </c>
      <c r="Q52" s="202"/>
      <c r="R52" s="233">
        <v>0</v>
      </c>
      <c r="S52" s="202"/>
      <c r="T52" s="233">
        <v>0</v>
      </c>
      <c r="U52" s="202"/>
      <c r="V52" s="233">
        <v>0</v>
      </c>
      <c r="W52" s="202"/>
      <c r="X52" s="233">
        <v>-1446</v>
      </c>
      <c r="Y52" s="202"/>
      <c r="Z52" s="233">
        <v>0</v>
      </c>
      <c r="AA52" s="202"/>
      <c r="AB52" s="233">
        <v>0</v>
      </c>
      <c r="AC52" s="202"/>
      <c r="AD52" s="233"/>
      <c r="AE52" s="202"/>
      <c r="AF52" s="233">
        <v>0</v>
      </c>
      <c r="AG52" s="202"/>
      <c r="AH52" s="233">
        <v>0</v>
      </c>
      <c r="AJ52" s="233">
        <v>0</v>
      </c>
      <c r="AL52" s="233">
        <v>-40731</v>
      </c>
      <c r="AN52" s="233">
        <v>-3758</v>
      </c>
      <c r="AP52" s="233">
        <v>0</v>
      </c>
      <c r="AR52" s="233">
        <v>0</v>
      </c>
      <c r="AT52" s="233">
        <v>0</v>
      </c>
      <c r="AV52" s="233">
        <f t="shared" si="0"/>
        <v>-96884</v>
      </c>
    </row>
    <row r="53" spans="1:48" ht="21.75" thickBot="1">
      <c r="A53" s="569"/>
      <c r="B53" s="234" t="s">
        <v>186</v>
      </c>
      <c r="C53" s="156"/>
      <c r="D53" s="235">
        <f>SUM(D51:D52)</f>
        <v>0</v>
      </c>
      <c r="E53" s="195"/>
      <c r="F53" s="236">
        <f>SUM(F51:F52)</f>
        <v>207837</v>
      </c>
      <c r="G53" s="156"/>
      <c r="H53" s="236">
        <f>SUM(H51:H52)</f>
        <v>105971</v>
      </c>
      <c r="I53" s="202"/>
      <c r="J53" s="236">
        <f>SUM(J51:J52)</f>
        <v>384242</v>
      </c>
      <c r="K53" s="202"/>
      <c r="L53" s="236">
        <f>SUM(L51:L52)</f>
        <v>266727.20000000019</v>
      </c>
      <c r="M53" s="202"/>
      <c r="N53" s="236">
        <f>SUM(N51:N52)</f>
        <v>0</v>
      </c>
      <c r="O53" s="202"/>
      <c r="P53" s="236">
        <f>SUM(P51:P52)</f>
        <v>919049</v>
      </c>
      <c r="Q53" s="202"/>
      <c r="R53" s="236">
        <f>SUM(R51:R52)</f>
        <v>0</v>
      </c>
      <c r="S53" s="202"/>
      <c r="T53" s="236">
        <f>SUM(T51:T52)</f>
        <v>-47282</v>
      </c>
      <c r="U53" s="202"/>
      <c r="V53" s="236">
        <f>SUM(V51:V52)</f>
        <v>371562</v>
      </c>
      <c r="W53" s="202"/>
      <c r="X53" s="236">
        <f>SUM(X51:X52)</f>
        <v>-280184</v>
      </c>
      <c r="Y53" s="202"/>
      <c r="Z53" s="236">
        <f>SUM(Z51:Z52)</f>
        <v>356562</v>
      </c>
      <c r="AA53" s="202"/>
      <c r="AB53" s="236">
        <f>SUM(AB51:AB52)</f>
        <v>-1652438</v>
      </c>
      <c r="AC53" s="202"/>
      <c r="AD53" s="236">
        <f>SUM(AD51:AD52)</f>
        <v>115021</v>
      </c>
      <c r="AE53" s="202"/>
      <c r="AF53" s="236">
        <f>SUM(AF51:AF52)</f>
        <v>278860</v>
      </c>
      <c r="AG53" s="202"/>
      <c r="AH53" s="236">
        <f>SUM(AH51:AH52)</f>
        <v>443022</v>
      </c>
      <c r="AJ53" s="236">
        <f>SUM(AJ51:AJ52)</f>
        <v>227021</v>
      </c>
      <c r="AL53" s="236">
        <f>SUM(AL51:AL52)</f>
        <v>282140</v>
      </c>
      <c r="AN53" s="236">
        <f>SUM(AN51:AN52)</f>
        <v>103464</v>
      </c>
      <c r="AP53" s="236">
        <f>SUM(AP51:AP52)</f>
        <v>0</v>
      </c>
      <c r="AR53" s="236">
        <f>SUM(AR51:AR52)</f>
        <v>0</v>
      </c>
      <c r="AT53" s="236">
        <f>SUM(AT51:AT52)</f>
        <v>0</v>
      </c>
      <c r="AV53" s="236">
        <f t="shared" si="0"/>
        <v>2081574.2000000002</v>
      </c>
    </row>
    <row r="54" spans="1:48" ht="22.5" thickTop="1" thickBot="1">
      <c r="A54" s="569"/>
      <c r="B54" s="237"/>
      <c r="C54" s="156"/>
      <c r="D54" s="238"/>
      <c r="E54" s="195"/>
      <c r="F54" s="202"/>
      <c r="G54" s="156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J54" s="202"/>
      <c r="AL54" s="202"/>
      <c r="AN54" s="202"/>
      <c r="AP54" s="202"/>
      <c r="AR54" s="202"/>
      <c r="AT54" s="202"/>
      <c r="AV54" s="202">
        <f t="shared" si="0"/>
        <v>0</v>
      </c>
    </row>
    <row r="55" spans="1:48" ht="21.75" thickBot="1">
      <c r="A55" s="570"/>
      <c r="B55" s="184" t="s">
        <v>187</v>
      </c>
      <c r="C55" s="156"/>
      <c r="D55" s="239"/>
      <c r="E55" s="238"/>
      <c r="F55" s="239"/>
      <c r="G55" s="156"/>
      <c r="H55" s="239"/>
      <c r="I55" s="202"/>
      <c r="J55" s="239"/>
      <c r="K55" s="202"/>
      <c r="L55" s="239"/>
      <c r="M55" s="202"/>
      <c r="N55" s="239"/>
      <c r="O55" s="202"/>
      <c r="P55" s="239"/>
      <c r="Q55" s="202"/>
      <c r="R55" s="239"/>
      <c r="S55" s="202"/>
      <c r="T55" s="239"/>
      <c r="U55" s="202"/>
      <c r="V55" s="239"/>
      <c r="W55" s="202"/>
      <c r="X55" s="239"/>
      <c r="Y55" s="202"/>
      <c r="Z55" s="239"/>
      <c r="AA55" s="202"/>
      <c r="AB55" s="239"/>
      <c r="AC55" s="202"/>
      <c r="AD55" s="239"/>
      <c r="AE55" s="202"/>
      <c r="AF55" s="239"/>
      <c r="AG55" s="202"/>
      <c r="AH55" s="239"/>
      <c r="AJ55" s="239"/>
      <c r="AL55" s="239"/>
      <c r="AN55" s="239"/>
      <c r="AP55" s="239"/>
      <c r="AR55" s="239"/>
      <c r="AT55" s="239"/>
      <c r="AV55" s="239">
        <f t="shared" si="0"/>
        <v>0</v>
      </c>
    </row>
    <row r="56" spans="1:48" ht="22.5">
      <c r="B56" s="8"/>
      <c r="C56" s="156"/>
      <c r="D56" s="283">
        <f>D53</f>
        <v>0</v>
      </c>
      <c r="E56" s="195"/>
      <c r="F56" s="284">
        <f>F53</f>
        <v>207837</v>
      </c>
      <c r="G56" s="156"/>
      <c r="H56" s="284">
        <f>H53</f>
        <v>105971</v>
      </c>
      <c r="I56" s="202"/>
      <c r="J56" s="284">
        <f>J53</f>
        <v>384242</v>
      </c>
      <c r="K56" s="202"/>
      <c r="L56" s="284">
        <f>L53</f>
        <v>266727.20000000019</v>
      </c>
      <c r="M56" s="202"/>
      <c r="N56" s="284">
        <f>N53</f>
        <v>0</v>
      </c>
      <c r="O56" s="202"/>
      <c r="P56" s="284">
        <f>P53</f>
        <v>919049</v>
      </c>
      <c r="Q56" s="202"/>
      <c r="R56" s="284">
        <f>R53</f>
        <v>0</v>
      </c>
      <c r="S56" s="202"/>
      <c r="T56" s="284">
        <f>T53</f>
        <v>-47282</v>
      </c>
      <c r="U56" s="202"/>
      <c r="V56" s="284">
        <f>V53</f>
        <v>371562</v>
      </c>
      <c r="W56" s="202"/>
      <c r="X56" s="284">
        <f>X53</f>
        <v>-280184</v>
      </c>
      <c r="Y56" s="202"/>
      <c r="Z56" s="284">
        <f>Z53</f>
        <v>356562</v>
      </c>
      <c r="AA56" s="202"/>
      <c r="AB56" s="284">
        <f>AB53</f>
        <v>-1652438</v>
      </c>
      <c r="AC56" s="202"/>
      <c r="AD56" s="284">
        <f>AD53</f>
        <v>115021</v>
      </c>
      <c r="AE56" s="202"/>
      <c r="AF56" s="284">
        <f>AF53</f>
        <v>278860</v>
      </c>
      <c r="AG56" s="202"/>
      <c r="AH56" s="284">
        <f>AH53</f>
        <v>443022</v>
      </c>
      <c r="AJ56" s="284">
        <f>AJ53</f>
        <v>227021</v>
      </c>
      <c r="AL56" s="284">
        <f>AL53</f>
        <v>282140</v>
      </c>
      <c r="AN56" s="284">
        <f>AN53</f>
        <v>103464</v>
      </c>
      <c r="AP56" s="284">
        <f>AP53</f>
        <v>0</v>
      </c>
      <c r="AR56" s="284">
        <f>AR53</f>
        <v>0</v>
      </c>
      <c r="AT56" s="284">
        <f>AT53</f>
        <v>0</v>
      </c>
      <c r="AV56" s="284">
        <f t="shared" si="0"/>
        <v>2081574.2000000002</v>
      </c>
    </row>
    <row r="57" spans="1:48" ht="2.25" customHeight="1">
      <c r="B57" s="8"/>
      <c r="C57" s="156"/>
      <c r="D57" s="238"/>
      <c r="E57" s="195"/>
      <c r="F57" s="202"/>
      <c r="G57" s="156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J57" s="202"/>
      <c r="AL57" s="202"/>
      <c r="AN57" s="202"/>
      <c r="AP57" s="202"/>
      <c r="AR57" s="202"/>
      <c r="AT57" s="202"/>
      <c r="AV57" s="202">
        <f t="shared" si="0"/>
        <v>0</v>
      </c>
    </row>
    <row r="58" spans="1:48" ht="22.5">
      <c r="B58" s="8"/>
      <c r="C58" s="156"/>
      <c r="D58" s="285">
        <f>D59-D57</f>
        <v>0</v>
      </c>
      <c r="E58" s="195"/>
      <c r="F58" s="286">
        <f>F59-F57</f>
        <v>0</v>
      </c>
      <c r="G58" s="156"/>
      <c r="H58" s="286">
        <f>H59-H57</f>
        <v>0</v>
      </c>
      <c r="I58" s="202"/>
      <c r="J58" s="286">
        <f>J59-J57</f>
        <v>0</v>
      </c>
      <c r="K58" s="202"/>
      <c r="L58" s="286">
        <f>L59-L57</f>
        <v>0</v>
      </c>
      <c r="M58" s="202"/>
      <c r="N58" s="286">
        <f>N59-N57</f>
        <v>0</v>
      </c>
      <c r="O58" s="202"/>
      <c r="P58" s="286">
        <f>P59-P57</f>
        <v>0</v>
      </c>
      <c r="Q58" s="202"/>
      <c r="R58" s="286">
        <f>R59-R57</f>
        <v>0</v>
      </c>
      <c r="S58" s="202"/>
      <c r="T58" s="286">
        <f>T59-T57</f>
        <v>0</v>
      </c>
      <c r="U58" s="202"/>
      <c r="V58" s="286">
        <f>V59-V57</f>
        <v>0</v>
      </c>
      <c r="W58" s="202"/>
      <c r="X58" s="286">
        <f>X59-X57</f>
        <v>0</v>
      </c>
      <c r="Y58" s="202"/>
      <c r="Z58" s="286">
        <f>Z59-Z57</f>
        <v>0</v>
      </c>
      <c r="AA58" s="202"/>
      <c r="AB58" s="286">
        <f>AB59-AB57</f>
        <v>0</v>
      </c>
      <c r="AC58" s="202"/>
      <c r="AD58" s="286">
        <f>AD59-AD57</f>
        <v>0</v>
      </c>
      <c r="AE58" s="202"/>
      <c r="AF58" s="286">
        <f>AF59-AF57</f>
        <v>0</v>
      </c>
      <c r="AG58" s="202"/>
      <c r="AH58" s="286">
        <f>AH59-AH57</f>
        <v>0</v>
      </c>
      <c r="AJ58" s="286">
        <f>AJ59-AJ57</f>
        <v>0</v>
      </c>
      <c r="AL58" s="286">
        <f>AL59-AL57</f>
        <v>0</v>
      </c>
      <c r="AN58" s="286">
        <f>AN59-AN57</f>
        <v>0</v>
      </c>
      <c r="AP58" s="286">
        <f>AP59-AP57</f>
        <v>0</v>
      </c>
      <c r="AR58" s="286">
        <f>AR59-AR57</f>
        <v>0</v>
      </c>
      <c r="AT58" s="286">
        <f>AT59-AT57</f>
        <v>0</v>
      </c>
      <c r="AV58" s="286">
        <f t="shared" si="0"/>
        <v>0</v>
      </c>
    </row>
    <row r="59" spans="1:48" ht="22.5">
      <c r="B59" s="8"/>
      <c r="C59" s="156"/>
      <c r="D59" s="238"/>
      <c r="E59" s="195"/>
      <c r="F59" s="202"/>
      <c r="G59" s="156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J59" s="202"/>
      <c r="AL59" s="202"/>
      <c r="AN59" s="202"/>
      <c r="AP59" s="202"/>
      <c r="AR59" s="202"/>
      <c r="AT59" s="202"/>
      <c r="AV59" s="202">
        <f t="shared" si="0"/>
        <v>0</v>
      </c>
    </row>
    <row r="60" spans="1:48" ht="22.5">
      <c r="B60" s="8"/>
      <c r="C60" s="156"/>
      <c r="D60" s="287"/>
      <c r="E60" s="195"/>
      <c r="F60" s="288"/>
      <c r="G60" s="156"/>
      <c r="H60" s="288"/>
      <c r="I60" s="202"/>
      <c r="J60" s="288"/>
      <c r="K60" s="202"/>
      <c r="L60" s="288"/>
      <c r="M60" s="202"/>
      <c r="N60" s="288"/>
      <c r="O60" s="202"/>
      <c r="P60" s="288"/>
      <c r="Q60" s="202"/>
      <c r="R60" s="288"/>
      <c r="S60" s="202"/>
      <c r="T60" s="288"/>
      <c r="U60" s="202"/>
      <c r="V60" s="288"/>
      <c r="W60" s="202"/>
      <c r="X60" s="288"/>
      <c r="Y60" s="202"/>
      <c r="Z60" s="288"/>
      <c r="AA60" s="202"/>
      <c r="AB60" s="288"/>
      <c r="AC60" s="202"/>
      <c r="AD60" s="288"/>
      <c r="AE60" s="202"/>
      <c r="AF60" s="288"/>
      <c r="AG60" s="202"/>
      <c r="AH60" s="288"/>
      <c r="AJ60" s="288"/>
      <c r="AL60" s="288"/>
      <c r="AN60" s="288"/>
      <c r="AP60" s="288"/>
      <c r="AR60" s="288"/>
      <c r="AT60" s="288"/>
      <c r="AV60" s="288">
        <f t="shared" si="0"/>
        <v>0</v>
      </c>
    </row>
    <row r="61" spans="1:48" ht="21">
      <c r="B61" s="107"/>
      <c r="C61" s="156"/>
      <c r="D61" s="195"/>
      <c r="E61" s="195"/>
      <c r="F61" s="196"/>
      <c r="G61" s="156"/>
      <c r="H61" s="196"/>
      <c r="I61" s="202"/>
      <c r="J61" s="196"/>
      <c r="K61" s="202"/>
      <c r="L61" s="196"/>
      <c r="M61" s="202"/>
      <c r="N61" s="196"/>
      <c r="O61" s="202"/>
      <c r="P61" s="196"/>
      <c r="Q61" s="202"/>
      <c r="R61" s="196"/>
      <c r="S61" s="202"/>
      <c r="T61" s="196"/>
      <c r="U61" s="202"/>
      <c r="V61" s="196"/>
      <c r="W61" s="202"/>
      <c r="X61" s="196"/>
      <c r="Y61" s="202"/>
      <c r="Z61" s="196"/>
      <c r="AA61" s="202"/>
      <c r="AB61" s="196"/>
      <c r="AC61" s="202"/>
      <c r="AD61" s="196"/>
      <c r="AE61" s="202"/>
      <c r="AF61" s="196"/>
      <c r="AG61" s="202"/>
      <c r="AH61" s="196"/>
      <c r="AJ61" s="196"/>
      <c r="AL61" s="196"/>
      <c r="AN61" s="196"/>
      <c r="AP61" s="196"/>
      <c r="AR61" s="196"/>
      <c r="AT61" s="196"/>
      <c r="AV61" s="196">
        <f t="shared" si="0"/>
        <v>0</v>
      </c>
    </row>
    <row r="62" spans="1:48" ht="22.5">
      <c r="B62" s="8"/>
      <c r="C62" s="156"/>
      <c r="D62" s="289"/>
      <c r="E62" s="195"/>
      <c r="F62" s="290"/>
      <c r="G62" s="156"/>
      <c r="H62" s="290"/>
      <c r="I62" s="202"/>
      <c r="J62" s="290"/>
      <c r="K62" s="202"/>
      <c r="L62" s="290"/>
      <c r="M62" s="202"/>
      <c r="N62" s="290"/>
      <c r="O62" s="202"/>
      <c r="P62" s="290"/>
      <c r="Q62" s="202"/>
      <c r="R62" s="290"/>
      <c r="S62" s="202"/>
      <c r="T62" s="290"/>
      <c r="U62" s="202"/>
      <c r="V62" s="290"/>
      <c r="W62" s="202"/>
      <c r="X62" s="290"/>
      <c r="Y62" s="202"/>
      <c r="Z62" s="290"/>
      <c r="AA62" s="202"/>
      <c r="AB62" s="290"/>
      <c r="AC62" s="202"/>
      <c r="AD62" s="290"/>
      <c r="AE62" s="202"/>
      <c r="AF62" s="290"/>
      <c r="AG62" s="202"/>
      <c r="AH62" s="290"/>
      <c r="AJ62" s="290"/>
      <c r="AL62" s="290"/>
      <c r="AN62" s="290"/>
      <c r="AP62" s="290"/>
      <c r="AR62" s="290"/>
      <c r="AT62" s="290"/>
      <c r="AV62" s="290">
        <f t="shared" si="0"/>
        <v>0</v>
      </c>
    </row>
    <row r="63" spans="1:48" ht="22.5">
      <c r="B63" s="8"/>
      <c r="C63" s="156"/>
      <c r="D63" s="291"/>
      <c r="E63" s="195"/>
      <c r="F63" s="292"/>
      <c r="G63" s="156"/>
      <c r="H63" s="292"/>
      <c r="I63" s="202"/>
      <c r="J63" s="292"/>
      <c r="K63" s="202"/>
      <c r="L63" s="292"/>
      <c r="M63" s="202"/>
      <c r="N63" s="292"/>
      <c r="O63" s="202"/>
      <c r="P63" s="292"/>
      <c r="Q63" s="202"/>
      <c r="R63" s="292"/>
      <c r="S63" s="202"/>
      <c r="T63" s="292"/>
      <c r="U63" s="202"/>
      <c r="V63" s="292"/>
      <c r="W63" s="202"/>
      <c r="X63" s="292"/>
      <c r="Y63" s="202"/>
      <c r="Z63" s="292"/>
      <c r="AA63" s="202"/>
      <c r="AB63" s="292"/>
      <c r="AC63" s="202"/>
      <c r="AD63" s="292"/>
      <c r="AE63" s="202"/>
      <c r="AF63" s="292"/>
      <c r="AG63" s="202"/>
      <c r="AH63" s="292"/>
      <c r="AJ63" s="292"/>
      <c r="AL63" s="292"/>
      <c r="AN63" s="292"/>
      <c r="AP63" s="292"/>
      <c r="AR63" s="292"/>
      <c r="AT63" s="292"/>
      <c r="AV63" s="292">
        <f t="shared" si="0"/>
        <v>0</v>
      </c>
    </row>
    <row r="64" spans="1:48" ht="22.5">
      <c r="B64" s="8"/>
      <c r="C64" s="156"/>
      <c r="D64" s="293"/>
      <c r="E64" s="195"/>
      <c r="F64" s="294"/>
      <c r="G64" s="156"/>
      <c r="H64" s="294"/>
      <c r="I64" s="202"/>
      <c r="J64" s="294"/>
      <c r="K64" s="202"/>
      <c r="L64" s="294"/>
      <c r="M64" s="202"/>
      <c r="N64" s="294"/>
      <c r="O64" s="202"/>
      <c r="P64" s="294"/>
      <c r="Q64" s="202"/>
      <c r="R64" s="294"/>
      <c r="S64" s="202"/>
      <c r="T64" s="294"/>
      <c r="U64" s="202"/>
      <c r="V64" s="294"/>
      <c r="W64" s="202"/>
      <c r="X64" s="294"/>
      <c r="Y64" s="202"/>
      <c r="Z64" s="294"/>
      <c r="AA64" s="202"/>
      <c r="AB64" s="294"/>
      <c r="AC64" s="202"/>
      <c r="AD64" s="294"/>
      <c r="AE64" s="202"/>
      <c r="AF64" s="294"/>
      <c r="AG64" s="202"/>
      <c r="AH64" s="294"/>
      <c r="AJ64" s="294"/>
      <c r="AL64" s="294"/>
      <c r="AN64" s="294"/>
      <c r="AP64" s="294"/>
      <c r="AR64" s="294"/>
      <c r="AT64" s="294"/>
      <c r="AV64" s="294">
        <f t="shared" si="0"/>
        <v>0</v>
      </c>
    </row>
    <row r="65" spans="2:48" ht="22.5">
      <c r="B65" s="8"/>
      <c r="C65" s="156"/>
      <c r="D65" s="293">
        <f>-D62-D63+D64</f>
        <v>0</v>
      </c>
      <c r="E65" s="195"/>
      <c r="F65" s="294">
        <f>-F62-F63+F64</f>
        <v>0</v>
      </c>
      <c r="G65" s="156"/>
      <c r="H65" s="294">
        <f>-H62-H63+H64</f>
        <v>0</v>
      </c>
      <c r="I65" s="202"/>
      <c r="J65" s="294">
        <f>-J62-J63+J64</f>
        <v>0</v>
      </c>
      <c r="K65" s="202"/>
      <c r="L65" s="294">
        <f>-L62-L63+L64</f>
        <v>0</v>
      </c>
      <c r="M65" s="202"/>
      <c r="N65" s="294">
        <f>-N62-N63+N64</f>
        <v>0</v>
      </c>
      <c r="O65" s="202"/>
      <c r="P65" s="294">
        <f>-P62-P63+P64</f>
        <v>0</v>
      </c>
      <c r="Q65" s="202"/>
      <c r="R65" s="294">
        <f>-R62-R63+R64</f>
        <v>0</v>
      </c>
      <c r="S65" s="202"/>
      <c r="T65" s="294">
        <f>-T62-T63+T64</f>
        <v>0</v>
      </c>
      <c r="U65" s="202"/>
      <c r="V65" s="294">
        <f>-V62-V63+V64</f>
        <v>0</v>
      </c>
      <c r="W65" s="202"/>
      <c r="X65" s="294">
        <f>-X62-X63+X64</f>
        <v>0</v>
      </c>
      <c r="Y65" s="202"/>
      <c r="Z65" s="294">
        <f>-Z62-Z63+Z64</f>
        <v>0</v>
      </c>
      <c r="AA65" s="202"/>
      <c r="AB65" s="294">
        <f>-AB62-AB63+AB64</f>
        <v>0</v>
      </c>
      <c r="AC65" s="202"/>
      <c r="AD65" s="294">
        <f>-AD62-AD63+AD64</f>
        <v>0</v>
      </c>
      <c r="AE65" s="202"/>
      <c r="AF65" s="294">
        <f>-AF62-AF63+AF64</f>
        <v>0</v>
      </c>
      <c r="AG65" s="202"/>
      <c r="AH65" s="294">
        <f>-AH62-AH63+AH64</f>
        <v>0</v>
      </c>
      <c r="AJ65" s="294">
        <f>-AJ62-AJ63+AJ64</f>
        <v>0</v>
      </c>
      <c r="AL65" s="294">
        <f>-AL62-AL63+AL64</f>
        <v>0</v>
      </c>
      <c r="AN65" s="294">
        <f>-AN62-AN63+AN64</f>
        <v>0</v>
      </c>
      <c r="AP65" s="294">
        <f>-AP62-AP63+AP64</f>
        <v>0</v>
      </c>
      <c r="AR65" s="294">
        <f>-AR62-AR63+AR64</f>
        <v>0</v>
      </c>
      <c r="AT65" s="294">
        <f>-AT62-AT63+AT64</f>
        <v>0</v>
      </c>
      <c r="AV65" s="294">
        <f t="shared" si="0"/>
        <v>0</v>
      </c>
    </row>
    <row r="66" spans="2:48" ht="23.25" thickBot="1">
      <c r="B66" s="8"/>
      <c r="C66" s="156"/>
      <c r="D66" s="295">
        <f>+D65+D60</f>
        <v>0</v>
      </c>
      <c r="E66" s="195"/>
      <c r="F66" s="296">
        <f>+F65+F60</f>
        <v>0</v>
      </c>
      <c r="G66" s="156"/>
      <c r="H66" s="296">
        <f>+H65+H60</f>
        <v>0</v>
      </c>
      <c r="I66" s="202"/>
      <c r="J66" s="296">
        <f>+J65+J60</f>
        <v>0</v>
      </c>
      <c r="K66" s="202"/>
      <c r="L66" s="296">
        <f>+L65+L60</f>
        <v>0</v>
      </c>
      <c r="M66" s="202"/>
      <c r="N66" s="296">
        <f>+N65+N60</f>
        <v>0</v>
      </c>
      <c r="O66" s="202"/>
      <c r="P66" s="296">
        <f>+P65+P60</f>
        <v>0</v>
      </c>
      <c r="Q66" s="202"/>
      <c r="R66" s="296">
        <f>+R65+R60</f>
        <v>0</v>
      </c>
      <c r="S66" s="202"/>
      <c r="T66" s="296">
        <f>+T65+T60</f>
        <v>0</v>
      </c>
      <c r="U66" s="202"/>
      <c r="V66" s="296">
        <f>+V65+V60</f>
        <v>0</v>
      </c>
      <c r="W66" s="202"/>
      <c r="X66" s="296">
        <f>+X65+X60</f>
        <v>0</v>
      </c>
      <c r="Y66" s="202"/>
      <c r="Z66" s="296">
        <f>+Z65+Z60</f>
        <v>0</v>
      </c>
      <c r="AA66" s="202"/>
      <c r="AB66" s="296">
        <f>+AB65+AB60</f>
        <v>0</v>
      </c>
      <c r="AC66" s="202"/>
      <c r="AD66" s="296">
        <f>+AD65+AD60</f>
        <v>0</v>
      </c>
      <c r="AE66" s="202"/>
      <c r="AF66" s="296">
        <f>+AF65+AF60</f>
        <v>0</v>
      </c>
      <c r="AG66" s="202"/>
      <c r="AH66" s="296">
        <f>+AH65+AH60</f>
        <v>0</v>
      </c>
      <c r="AJ66" s="296">
        <f>+AJ65+AJ60</f>
        <v>0</v>
      </c>
      <c r="AL66" s="296">
        <f>+AL65+AL60</f>
        <v>0</v>
      </c>
      <c r="AN66" s="296">
        <f>+AN65+AN60</f>
        <v>0</v>
      </c>
      <c r="AP66" s="296">
        <f>+AP65+AP60</f>
        <v>0</v>
      </c>
      <c r="AR66" s="296">
        <f>+AR65+AR60</f>
        <v>0</v>
      </c>
      <c r="AT66" s="296">
        <f>+AT65+AT60</f>
        <v>0</v>
      </c>
      <c r="AV66" s="296">
        <f t="shared" si="0"/>
        <v>0</v>
      </c>
    </row>
    <row r="67" spans="2:48" ht="21.75" thickTop="1">
      <c r="B67" s="100"/>
      <c r="C67" s="156"/>
      <c r="D67" s="195"/>
      <c r="E67" s="195"/>
      <c r="F67" s="196"/>
      <c r="G67" s="156"/>
      <c r="H67" s="196"/>
      <c r="I67" s="202"/>
      <c r="J67" s="196"/>
      <c r="K67" s="202"/>
      <c r="L67" s="196"/>
      <c r="M67" s="202"/>
      <c r="N67" s="196"/>
      <c r="O67" s="202"/>
      <c r="P67" s="196"/>
      <c r="Q67" s="202"/>
      <c r="R67" s="196"/>
      <c r="S67" s="202"/>
      <c r="T67" s="196"/>
      <c r="U67" s="202"/>
      <c r="V67" s="196"/>
      <c r="W67" s="202"/>
      <c r="X67" s="196"/>
      <c r="Y67" s="202"/>
      <c r="Z67" s="196"/>
      <c r="AA67" s="202"/>
      <c r="AB67" s="196"/>
      <c r="AC67" s="202"/>
      <c r="AD67" s="196"/>
      <c r="AE67" s="202"/>
      <c r="AF67" s="196"/>
      <c r="AG67" s="202"/>
      <c r="AH67" s="196"/>
      <c r="AP67" s="196"/>
      <c r="AR67" s="196"/>
      <c r="AT67" s="196"/>
      <c r="AV67" s="191">
        <f t="shared" si="0"/>
        <v>0</v>
      </c>
    </row>
    <row r="68" spans="2:48" ht="21">
      <c r="D68" s="238"/>
      <c r="E68" s="195"/>
      <c r="F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P68" s="202"/>
      <c r="AR68" s="202"/>
      <c r="AT68" s="202"/>
      <c r="AV68" s="191">
        <f t="shared" ref="AV68:AV75" si="1">SUM(D68:AT68)</f>
        <v>0</v>
      </c>
    </row>
    <row r="69" spans="2:48" ht="22.5">
      <c r="B69" s="8"/>
      <c r="C69" s="8"/>
      <c r="G69" s="8"/>
      <c r="AV69" s="191">
        <f t="shared" si="1"/>
        <v>0</v>
      </c>
    </row>
    <row r="70" spans="2:48" s="240" customFormat="1" ht="21">
      <c r="B70" s="241" t="s">
        <v>188</v>
      </c>
      <c r="C70" s="241"/>
      <c r="D70" s="242" t="e">
        <f>(D43)/D10</f>
        <v>#DIV/0!</v>
      </c>
      <c r="E70" s="243"/>
      <c r="F70" s="242">
        <f>(F43)/F10</f>
        <v>5.2138105503896526E-2</v>
      </c>
      <c r="G70" s="241"/>
      <c r="H70" s="242">
        <f>(H43)/H10</f>
        <v>0.13412594089777341</v>
      </c>
      <c r="I70" s="242"/>
      <c r="J70" s="242">
        <f>(J43)/J10</f>
        <v>0.10394790564280094</v>
      </c>
      <c r="K70" s="242"/>
      <c r="L70" s="242">
        <f>(L43)/L10</f>
        <v>5.4947432227498087E-2</v>
      </c>
      <c r="M70" s="242"/>
      <c r="N70" s="242" t="e">
        <f>(N43)/N10</f>
        <v>#DIV/0!</v>
      </c>
      <c r="O70" s="242"/>
      <c r="P70" s="242">
        <f>(P43)/P10</f>
        <v>8.2972250368722286E-2</v>
      </c>
      <c r="Q70" s="242"/>
      <c r="R70" s="242" t="e">
        <f>(R43)/R10</f>
        <v>#DIV/0!</v>
      </c>
      <c r="S70" s="242"/>
      <c r="T70" s="242">
        <f>(T43)/T10</f>
        <v>-3.7223109741046354E-2</v>
      </c>
      <c r="U70" s="242"/>
      <c r="V70" s="242">
        <f>(V43)/V10</f>
        <v>9.3920515725672754E-2</v>
      </c>
      <c r="W70" s="242"/>
      <c r="X70" s="242">
        <f>(X43)/X10</f>
        <v>1.0179838907169381E-2</v>
      </c>
      <c r="Y70" s="242"/>
      <c r="Z70" s="242">
        <f>(Z43)/Z10</f>
        <v>2.9234365739277804E-2</v>
      </c>
      <c r="AA70" s="242"/>
      <c r="AB70" s="242">
        <f>(AB43)/AB10</f>
        <v>-1.2022690168564871</v>
      </c>
      <c r="AC70" s="242"/>
      <c r="AD70" s="242">
        <f>(AD43)/AD10</f>
        <v>0.10041452982319528</v>
      </c>
      <c r="AE70" s="242"/>
      <c r="AF70" s="242">
        <f>(AF43)/AF10</f>
        <v>0.12872748313593715</v>
      </c>
      <c r="AG70" s="242"/>
      <c r="AH70" s="242">
        <f>(AH43)/AH10</f>
        <v>6.1288535944387761E-2</v>
      </c>
      <c r="AI70" s="242"/>
      <c r="AJ70" s="242">
        <f>(AJ43)/AJ10</f>
        <v>0.2789432377202884</v>
      </c>
      <c r="AK70" s="242"/>
      <c r="AL70" s="242">
        <f>(AL43)/AL10</f>
        <v>9.067165253729699E-2</v>
      </c>
      <c r="AM70" s="242"/>
      <c r="AN70" s="242">
        <f>(AN43)/AN10</f>
        <v>7.1639947708697041E-2</v>
      </c>
      <c r="AO70" s="242"/>
      <c r="AP70" s="242" t="e">
        <f>(AP43)/AP10</f>
        <v>#DIV/0!</v>
      </c>
      <c r="AQ70" s="242"/>
      <c r="AR70" s="242" t="e">
        <f>(AR43)/AR10</f>
        <v>#DIV/0!</v>
      </c>
      <c r="AS70" s="242"/>
      <c r="AT70" s="242" t="e">
        <f>(AT43)/AT10</f>
        <v>#DIV/0!</v>
      </c>
      <c r="AU70" s="242"/>
      <c r="AV70" s="242" t="e">
        <f t="shared" si="1"/>
        <v>#DIV/0!</v>
      </c>
    </row>
    <row r="71" spans="2:48" s="240" customFormat="1" ht="22.5">
      <c r="B71" s="244" t="s">
        <v>189</v>
      </c>
      <c r="C71" s="244"/>
      <c r="D71" s="242" t="e">
        <f>(D47)/D10</f>
        <v>#DIV/0!</v>
      </c>
      <c r="E71" s="243"/>
      <c r="F71" s="242">
        <f>(F47)/F10</f>
        <v>-6.8477375835314797E-2</v>
      </c>
      <c r="G71" s="244"/>
      <c r="H71" s="242">
        <f>(H47)/H10</f>
        <v>-0.12606244541320558</v>
      </c>
      <c r="I71" s="242"/>
      <c r="J71" s="242">
        <f>(J47)/J10</f>
        <v>-8.8547461504547759E-2</v>
      </c>
      <c r="K71" s="242"/>
      <c r="L71" s="242">
        <f>(L47)/L10</f>
        <v>-7.781884187275856E-2</v>
      </c>
      <c r="M71" s="242"/>
      <c r="N71" s="242" t="e">
        <f>(N47)/N10</f>
        <v>#DIV/0!</v>
      </c>
      <c r="O71" s="242"/>
      <c r="P71" s="242">
        <f>(P47)/P10</f>
        <v>-5.9335076349964377E-2</v>
      </c>
      <c r="Q71" s="242"/>
      <c r="R71" s="242" t="e">
        <f>(R47)/R10</f>
        <v>#DIV/0!</v>
      </c>
      <c r="S71" s="242"/>
      <c r="T71" s="242">
        <f>(T47)/T10</f>
        <v>-8.9890812102805903E-2</v>
      </c>
      <c r="U71" s="242"/>
      <c r="V71" s="242">
        <f>(V47)/V10</f>
        <v>-6.1198876282938304E-2</v>
      </c>
      <c r="W71" s="242"/>
      <c r="X71" s="242">
        <f>(X47)/X10</f>
        <v>-5.2654305288642018E-2</v>
      </c>
      <c r="Y71" s="242"/>
      <c r="Z71" s="242">
        <f>(Z47)/Z10</f>
        <v>-7.5368306536684443E-2</v>
      </c>
      <c r="AA71" s="242"/>
      <c r="AB71" s="242">
        <f>(AB47)/AB10</f>
        <v>-0.22916469841359538</v>
      </c>
      <c r="AC71" s="242"/>
      <c r="AD71" s="242">
        <f>(AD47)/AD10</f>
        <v>-0.10384478501782729</v>
      </c>
      <c r="AE71" s="242"/>
      <c r="AF71" s="242">
        <f>(AF47)/AF10</f>
        <v>-8.2041855376680031E-2</v>
      </c>
      <c r="AG71" s="242"/>
      <c r="AH71" s="242">
        <f>(AH47)/AH10</f>
        <v>-7.2210000881988548E-2</v>
      </c>
      <c r="AI71" s="242"/>
      <c r="AJ71" s="242">
        <f>(AJ47)/AJ10</f>
        <v>-0.18881091375433809</v>
      </c>
      <c r="AK71" s="242"/>
      <c r="AL71" s="242">
        <f>(AL47)/AL10</f>
        <v>-3.8731140724515063E-2</v>
      </c>
      <c r="AM71" s="242"/>
      <c r="AN71" s="242">
        <f>(AN47)/AN10</f>
        <v>-5.1835173844859313E-2</v>
      </c>
      <c r="AO71" s="242"/>
      <c r="AP71" s="242" t="e">
        <f>(AP47)/AP10</f>
        <v>#DIV/0!</v>
      </c>
      <c r="AQ71" s="242"/>
      <c r="AR71" s="242" t="e">
        <f>(AR47)/AR10</f>
        <v>#DIV/0!</v>
      </c>
      <c r="AS71" s="242"/>
      <c r="AT71" s="242" t="e">
        <f>(AT47)/AT10</f>
        <v>#DIV/0!</v>
      </c>
      <c r="AU71" s="242"/>
      <c r="AV71" s="242" t="e">
        <f t="shared" si="1"/>
        <v>#DIV/0!</v>
      </c>
    </row>
    <row r="72" spans="2:48" s="240" customFormat="1" ht="22.5">
      <c r="B72" s="244" t="s">
        <v>190</v>
      </c>
      <c r="C72" s="244"/>
      <c r="D72" s="242" t="e">
        <f>(+D42+D44)/D10</f>
        <v>#DIV/0!</v>
      </c>
      <c r="E72" s="243"/>
      <c r="F72" s="242">
        <f>(+F42+F44)/F10</f>
        <v>7.8072368876660886E-2</v>
      </c>
      <c r="G72" s="244"/>
      <c r="H72" s="242">
        <f>(+H42+H44)/H10</f>
        <v>6.1684800655605415E-2</v>
      </c>
      <c r="I72" s="242"/>
      <c r="J72" s="242">
        <f>(+J42+J44)/J10</f>
        <v>0.10890700436624295</v>
      </c>
      <c r="K72" s="242"/>
      <c r="L72" s="242">
        <f>(+L42+L44)/L10</f>
        <v>2.3449087040252496E-2</v>
      </c>
      <c r="M72" s="242"/>
      <c r="N72" s="242" t="e">
        <f>(+N42+N44)/N10</f>
        <v>#DIV/0!</v>
      </c>
      <c r="O72" s="242"/>
      <c r="P72" s="242">
        <f>(+P42+P44)/P10</f>
        <v>5.7664570613400842E-2</v>
      </c>
      <c r="Q72" s="242"/>
      <c r="R72" s="242" t="e">
        <f>(+R42+R44)/R10</f>
        <v>#DIV/0!</v>
      </c>
      <c r="S72" s="242"/>
      <c r="T72" s="242">
        <f>(+T42+T44)/T10</f>
        <v>2.5902288929603418E-2</v>
      </c>
      <c r="U72" s="242"/>
      <c r="V72" s="242">
        <f>(+V42+V44)/V10</f>
        <v>0.14798094539552131</v>
      </c>
      <c r="W72" s="242"/>
      <c r="X72" s="242">
        <f>(+X42+X44)/X10</f>
        <v>4.8643887045553081E-3</v>
      </c>
      <c r="Y72" s="242"/>
      <c r="Z72" s="242">
        <f>(+Z42+Z44)/Z10</f>
        <v>0.25483903931380458</v>
      </c>
      <c r="AA72" s="242"/>
      <c r="AB72" s="242">
        <f>(+AB42+AB44)/AB10</f>
        <v>0.10953670486622795</v>
      </c>
      <c r="AC72" s="242"/>
      <c r="AD72" s="242">
        <f>(+AD42+AD44)/AD10</f>
        <v>0.13586421709059721</v>
      </c>
      <c r="AE72" s="242"/>
      <c r="AF72" s="242">
        <f>(+AF42+AF44)/AF10</f>
        <v>0.18571683061008437</v>
      </c>
      <c r="AG72" s="242"/>
      <c r="AH72" s="242">
        <f>(+AH42+AH44)/AH10</f>
        <v>0.12385802707251031</v>
      </c>
      <c r="AI72" s="242"/>
      <c r="AJ72" s="242">
        <f>(+AJ42+AJ44)/AJ10</f>
        <v>0.20077184406517956</v>
      </c>
      <c r="AK72" s="242"/>
      <c r="AL72" s="242">
        <f>(+AL42+AL44)/AL10</f>
        <v>3.6488709373801304E-2</v>
      </c>
      <c r="AM72" s="242"/>
      <c r="AN72" s="242">
        <f>(+AN42+AN44)/AN10</f>
        <v>4.0172789903479632E-2</v>
      </c>
      <c r="AO72" s="242"/>
      <c r="AP72" s="242" t="e">
        <f>(+AP42+AP44)/AP10</f>
        <v>#DIV/0!</v>
      </c>
      <c r="AQ72" s="242"/>
      <c r="AR72" s="242" t="e">
        <f>(+AR42+AR44)/AR10</f>
        <v>#DIV/0!</v>
      </c>
      <c r="AS72" s="242"/>
      <c r="AT72" s="242" t="e">
        <f>(+AT42+AT44)/AT10</f>
        <v>#DIV/0!</v>
      </c>
      <c r="AU72" s="242"/>
      <c r="AV72" s="242" t="e">
        <f t="shared" si="1"/>
        <v>#DIV/0!</v>
      </c>
    </row>
    <row r="73" spans="2:48" s="240" customFormat="1" ht="22.5">
      <c r="B73" s="244" t="s">
        <v>191</v>
      </c>
      <c r="C73" s="244"/>
      <c r="D73" s="242" t="e">
        <f>(D53)/D10</f>
        <v>#DIV/0!</v>
      </c>
      <c r="E73" s="243"/>
      <c r="F73" s="242">
        <f>(F53)/F10</f>
        <v>1.2978559277946066E-2</v>
      </c>
      <c r="G73" s="244"/>
      <c r="H73" s="242">
        <f>(H53)/H10</f>
        <v>6.6394458430080655E-2</v>
      </c>
      <c r="I73" s="242"/>
      <c r="J73" s="242">
        <f>(J53)/J10</f>
        <v>4.3481596688789086E-2</v>
      </c>
      <c r="K73" s="242"/>
      <c r="L73" s="242">
        <f>(L53)/L10</f>
        <v>2.4699005204782229E-2</v>
      </c>
      <c r="M73" s="242"/>
      <c r="N73" s="242" t="e">
        <f>(N53)/N10</f>
        <v>#DIV/0!</v>
      </c>
      <c r="O73" s="242"/>
      <c r="P73" s="242">
        <f>(P53)/P10</f>
        <v>0.11509683084811322</v>
      </c>
      <c r="Q73" s="242"/>
      <c r="R73" s="242" t="e">
        <f>(R53)/R10</f>
        <v>#DIV/0!</v>
      </c>
      <c r="S73" s="242"/>
      <c r="T73" s="242">
        <f>(T53)/T10</f>
        <v>-1.9259203742188501E-2</v>
      </c>
      <c r="U73" s="242"/>
      <c r="V73" s="242">
        <f>(V53)/V10</f>
        <v>7.2558487223440118E-2</v>
      </c>
      <c r="W73" s="242"/>
      <c r="X73" s="242">
        <f>(X53)/X10</f>
        <v>-5.5067631708974725E-2</v>
      </c>
      <c r="Y73" s="242"/>
      <c r="Z73" s="242">
        <f>(Z53)/Z10</f>
        <v>0.11211107914483397</v>
      </c>
      <c r="AA73" s="242"/>
      <c r="AB73" s="242">
        <f>(AB53)/AB10</f>
        <v>-1.459027813954392</v>
      </c>
      <c r="AC73" s="242"/>
      <c r="AD73" s="242">
        <f>(AD53)/AD10</f>
        <v>5.3440523194063332E-2</v>
      </c>
      <c r="AE73" s="242"/>
      <c r="AF73" s="242">
        <f>(AF53)/AF10</f>
        <v>9.4803196505683224E-2</v>
      </c>
      <c r="AG73" s="242"/>
      <c r="AH73" s="242">
        <f>(AH53)/AH10</f>
        <v>8.7413944456031095E-2</v>
      </c>
      <c r="AI73" s="242"/>
      <c r="AJ73" s="242">
        <f>(AJ53)/AJ10</f>
        <v>0.20766154482238805</v>
      </c>
      <c r="AK73" s="242"/>
      <c r="AL73" s="242">
        <f>(AL53)/AL10</f>
        <v>5.8881301190356436E-2</v>
      </c>
      <c r="AM73" s="242"/>
      <c r="AN73" s="242">
        <f>(AN53)/AN10</f>
        <v>3.7189080074921631E-2</v>
      </c>
      <c r="AO73" s="242"/>
      <c r="AP73" s="242" t="e">
        <f>(AP53)/AP10</f>
        <v>#DIV/0!</v>
      </c>
      <c r="AQ73" s="242"/>
      <c r="AR73" s="242" t="e">
        <f>(AR53)/AR10</f>
        <v>#DIV/0!</v>
      </c>
      <c r="AS73" s="242"/>
      <c r="AT73" s="242" t="e">
        <f>(AT53)/AT10</f>
        <v>#DIV/0!</v>
      </c>
      <c r="AU73" s="242"/>
      <c r="AV73" s="242" t="e">
        <f t="shared" si="1"/>
        <v>#DIV/0!</v>
      </c>
    </row>
    <row r="74" spans="2:48" s="240" customFormat="1" ht="22.5">
      <c r="B74" s="245" t="s">
        <v>192</v>
      </c>
      <c r="C74" s="245"/>
      <c r="D74" s="242" t="e">
        <f>(D32)/D19</f>
        <v>#DIV/0!</v>
      </c>
      <c r="E74" s="243"/>
      <c r="F74" s="242">
        <f>(F32)/F19</f>
        <v>-0.10896492493091582</v>
      </c>
      <c r="G74" s="245"/>
      <c r="H74" s="242">
        <f>(H32)/H19</f>
        <v>-2.5547046275121582E-2</v>
      </c>
      <c r="I74" s="242"/>
      <c r="J74" s="242">
        <f>(J32)/J19</f>
        <v>-8.638114028053373E-2</v>
      </c>
      <c r="K74" s="242"/>
      <c r="L74" s="242">
        <f>(L32)/L19</f>
        <v>-5.7543456306722966E-2</v>
      </c>
      <c r="M74" s="242"/>
      <c r="N74" s="242" t="e">
        <f>(N32)/N19</f>
        <v>#DIV/0!</v>
      </c>
      <c r="O74" s="242"/>
      <c r="P74" s="242">
        <f>(P32)/P19</f>
        <v>-6.6164185126634606E-2</v>
      </c>
      <c r="Q74" s="242"/>
      <c r="R74" s="242" t="e">
        <f>(R32)/R19</f>
        <v>#DIV/0!</v>
      </c>
      <c r="S74" s="242"/>
      <c r="T74" s="242">
        <f>(T32)/T19</f>
        <v>-5.822516358285474E-2</v>
      </c>
      <c r="U74" s="242"/>
      <c r="V74" s="242">
        <f>(V32)/V19</f>
        <v>-0.18631330806287383</v>
      </c>
      <c r="W74" s="242"/>
      <c r="X74" s="242">
        <f>(X32)/X19</f>
        <v>-3.2317914195519569E-2</v>
      </c>
      <c r="Y74" s="242"/>
      <c r="Z74" s="242">
        <f>(Z32)/Z19</f>
        <v>-9.9968911405647135E-2</v>
      </c>
      <c r="AA74" s="242"/>
      <c r="AB74" s="242">
        <f>(AB32)/AB19</f>
        <v>-2.4828134176253153E-2</v>
      </c>
      <c r="AC74" s="242"/>
      <c r="AD74" s="242">
        <f>(AD32)/AD19</f>
        <v>-0.15395993389334336</v>
      </c>
      <c r="AE74" s="242"/>
      <c r="AF74" s="242">
        <f>(AF32)/AF19</f>
        <v>-0.1157734242769541</v>
      </c>
      <c r="AG74" s="242"/>
      <c r="AH74" s="242">
        <f>(AH32)/AH19</f>
        <v>-0.1306235289749885</v>
      </c>
      <c r="AI74" s="242"/>
      <c r="AJ74" s="242">
        <f>(AJ32)/AJ19</f>
        <v>-1.2254004465428575E-2</v>
      </c>
      <c r="AK74" s="242"/>
      <c r="AL74" s="242">
        <f>(AL32)/AL19</f>
        <v>-6.4391284843047153E-2</v>
      </c>
      <c r="AM74" s="242"/>
      <c r="AN74" s="242">
        <f>(AN32)/AN19</f>
        <v>-5.8566024002388473E-2</v>
      </c>
      <c r="AO74" s="242"/>
      <c r="AP74" s="242" t="e">
        <f>(AP32)/AP19</f>
        <v>#DIV/0!</v>
      </c>
      <c r="AQ74" s="242"/>
      <c r="AR74" s="242" t="e">
        <f>(AR32)/AR19</f>
        <v>#DIV/0!</v>
      </c>
      <c r="AS74" s="242"/>
      <c r="AT74" s="242" t="e">
        <f>(AT32)/AT19</f>
        <v>#DIV/0!</v>
      </c>
      <c r="AU74" s="242"/>
      <c r="AV74" s="242" t="e">
        <f t="shared" si="1"/>
        <v>#DIV/0!</v>
      </c>
    </row>
    <row r="75" spans="2:48" s="240" customFormat="1" ht="22.5">
      <c r="B75" s="245" t="s">
        <v>193</v>
      </c>
      <c r="C75" s="245"/>
      <c r="D75" s="242" t="e">
        <f>(D28)/D19</f>
        <v>#DIV/0!</v>
      </c>
      <c r="E75" s="243"/>
      <c r="F75" s="242">
        <f>(F28)/F19</f>
        <v>-0.76975470453872818</v>
      </c>
      <c r="G75" s="245"/>
      <c r="H75" s="242">
        <f>(H28)/H19</f>
        <v>-0.49353383325355882</v>
      </c>
      <c r="I75" s="242"/>
      <c r="J75" s="242">
        <f>(J28)/J19</f>
        <v>-0.86963170904037224</v>
      </c>
      <c r="K75" s="242"/>
      <c r="L75" s="242">
        <f>(L28)/L19</f>
        <v>-0.75266667404514076</v>
      </c>
      <c r="M75" s="242"/>
      <c r="N75" s="242" t="e">
        <f>(N28)/N19</f>
        <v>#DIV/0!</v>
      </c>
      <c r="O75" s="242"/>
      <c r="P75" s="242">
        <f>(P28)/P19</f>
        <v>-0.72385056520905133</v>
      </c>
      <c r="Q75" s="242"/>
      <c r="R75" s="242" t="e">
        <f>(R28)/R19</f>
        <v>#DIV/0!</v>
      </c>
      <c r="S75" s="242"/>
      <c r="T75" s="242">
        <f>(T28)/T19</f>
        <v>-0.85403624068316042</v>
      </c>
      <c r="U75" s="242"/>
      <c r="V75" s="242">
        <f>(V28)/V19</f>
        <v>-0.73494521643891875</v>
      </c>
      <c r="W75" s="242"/>
      <c r="X75" s="242">
        <f>(X28)/X19</f>
        <v>-0.86147470780623647</v>
      </c>
      <c r="Y75" s="242"/>
      <c r="Z75" s="242">
        <f>(Z28)/Z19</f>
        <v>-1.0737796963494053</v>
      </c>
      <c r="AA75" s="242"/>
      <c r="AB75" s="242">
        <f>(AB28)/AB19</f>
        <v>-1.5132099181262306</v>
      </c>
      <c r="AC75" s="242"/>
      <c r="AD75" s="242">
        <f>(AD28)/AD19</f>
        <v>-0.73222215640848309</v>
      </c>
      <c r="AE75" s="242"/>
      <c r="AF75" s="242">
        <f>(AF28)/AF19</f>
        <v>-0.75898972096061079</v>
      </c>
      <c r="AG75" s="242"/>
      <c r="AH75" s="242">
        <f>(AH28)/AH19</f>
        <v>-0.71769516042650028</v>
      </c>
      <c r="AI75" s="242"/>
      <c r="AJ75" s="242">
        <f>(AJ28)/AJ19</f>
        <v>-0.51234959963447002</v>
      </c>
      <c r="AK75" s="242"/>
      <c r="AL75" s="242">
        <f>(AL28)/AL19</f>
        <v>-0.61737090340337308</v>
      </c>
      <c r="AM75" s="242"/>
      <c r="AN75" s="242">
        <f>(AN28)/AN19</f>
        <v>-0.69832316707745745</v>
      </c>
      <c r="AO75" s="242"/>
      <c r="AP75" s="242" t="e">
        <f>(AP28)/AP19</f>
        <v>#DIV/0!</v>
      </c>
      <c r="AQ75" s="242"/>
      <c r="AR75" s="242" t="e">
        <f>(AR28)/AR19</f>
        <v>#DIV/0!</v>
      </c>
      <c r="AS75" s="242"/>
      <c r="AT75" s="242" t="e">
        <f>(AT28)/AT19</f>
        <v>#DIV/0!</v>
      </c>
      <c r="AU75" s="242"/>
      <c r="AV75" s="242" t="e">
        <f t="shared" si="1"/>
        <v>#DIV/0!</v>
      </c>
    </row>
    <row r="76" spans="2:48" ht="27">
      <c r="D76" s="246"/>
      <c r="E76" s="247"/>
      <c r="F76" s="248"/>
      <c r="H76" s="248"/>
    </row>
    <row r="77" spans="2:48" ht="27">
      <c r="B77" s="187"/>
      <c r="C77" s="187"/>
      <c r="D77" s="246"/>
      <c r="E77" s="247"/>
      <c r="F77" s="248"/>
      <c r="G77" s="187"/>
      <c r="H77" s="248"/>
    </row>
    <row r="78" spans="2:48" ht="27">
      <c r="B78" s="187"/>
      <c r="C78" s="187"/>
      <c r="D78" s="246"/>
      <c r="E78" s="247"/>
      <c r="F78" s="248"/>
      <c r="G78" s="187"/>
      <c r="H78" s="248"/>
    </row>
    <row r="79" spans="2:48" ht="27">
      <c r="D79" s="246"/>
      <c r="E79" s="247"/>
      <c r="F79" s="248"/>
      <c r="H79" s="248"/>
    </row>
    <row r="80" spans="2:48" ht="27">
      <c r="D80" s="246"/>
      <c r="E80" s="247"/>
      <c r="F80" s="248"/>
      <c r="H80" s="248"/>
    </row>
    <row r="81" spans="4:8" ht="27">
      <c r="D81" s="246"/>
      <c r="E81" s="247"/>
      <c r="F81" s="248"/>
      <c r="H81" s="248"/>
    </row>
    <row r="82" spans="4:8" ht="27">
      <c r="D82" s="246"/>
      <c r="E82" s="247"/>
      <c r="F82" s="248"/>
      <c r="H82" s="248"/>
    </row>
    <row r="83" spans="4:8" ht="27">
      <c r="D83" s="246"/>
      <c r="E83" s="247"/>
      <c r="F83" s="248"/>
      <c r="H83" s="248"/>
    </row>
    <row r="84" spans="4:8" ht="27">
      <c r="D84" s="246"/>
      <c r="E84" s="247"/>
      <c r="F84" s="248"/>
      <c r="H84" s="248"/>
    </row>
    <row r="85" spans="4:8" ht="27">
      <c r="D85" s="246"/>
      <c r="E85" s="247"/>
      <c r="F85" s="248"/>
      <c r="H85" s="248"/>
    </row>
    <row r="86" spans="4:8" ht="27">
      <c r="D86" s="246"/>
      <c r="E86" s="247"/>
      <c r="F86" s="248"/>
      <c r="H86" s="248"/>
    </row>
    <row r="87" spans="4:8" ht="27">
      <c r="D87" s="246"/>
      <c r="E87" s="247"/>
      <c r="F87" s="248"/>
      <c r="H87" s="248"/>
    </row>
    <row r="88" spans="4:8" ht="27">
      <c r="D88" s="246"/>
      <c r="E88" s="247"/>
      <c r="F88" s="248"/>
      <c r="H88" s="248"/>
    </row>
    <row r="89" spans="4:8" ht="27">
      <c r="D89" s="246"/>
      <c r="E89" s="247"/>
      <c r="F89" s="248"/>
      <c r="H89" s="248"/>
    </row>
    <row r="90" spans="4:8" ht="27">
      <c r="D90" s="246"/>
      <c r="E90" s="247"/>
      <c r="F90" s="248"/>
      <c r="H90" s="248"/>
    </row>
    <row r="91" spans="4:8" ht="27">
      <c r="D91" s="246"/>
      <c r="E91" s="247"/>
      <c r="F91" s="248"/>
      <c r="H91" s="248"/>
    </row>
    <row r="92" spans="4:8" ht="27">
      <c r="D92" s="246"/>
      <c r="E92" s="247"/>
      <c r="F92" s="248"/>
      <c r="H92" s="248"/>
    </row>
    <row r="93" spans="4:8" ht="27">
      <c r="D93" s="246"/>
      <c r="E93" s="247"/>
      <c r="F93" s="248"/>
      <c r="H93" s="248"/>
    </row>
    <row r="94" spans="4:8" ht="27">
      <c r="D94" s="246"/>
      <c r="E94" s="247"/>
      <c r="F94" s="248"/>
      <c r="H94" s="248"/>
    </row>
    <row r="95" spans="4:8" ht="27">
      <c r="D95" s="246"/>
      <c r="E95" s="247"/>
      <c r="F95" s="248"/>
      <c r="H95" s="248"/>
    </row>
    <row r="96" spans="4:8" ht="27">
      <c r="D96" s="246"/>
      <c r="E96" s="247"/>
      <c r="F96" s="248"/>
      <c r="H96" s="248"/>
    </row>
    <row r="97" spans="4:8" ht="27">
      <c r="D97" s="246"/>
      <c r="E97" s="247"/>
      <c r="F97" s="248"/>
      <c r="H97" s="248"/>
    </row>
    <row r="98" spans="4:8" ht="27">
      <c r="D98" s="246"/>
      <c r="E98" s="247"/>
      <c r="F98" s="248"/>
      <c r="H98" s="248"/>
    </row>
    <row r="99" spans="4:8" ht="27">
      <c r="D99" s="246"/>
      <c r="E99" s="247"/>
      <c r="F99" s="248"/>
      <c r="H99" s="248"/>
    </row>
    <row r="100" spans="4:8" ht="27">
      <c r="D100" s="246"/>
      <c r="E100" s="247"/>
      <c r="F100" s="248"/>
      <c r="H100" s="248"/>
    </row>
    <row r="101" spans="4:8" ht="27">
      <c r="D101" s="246"/>
      <c r="E101" s="247"/>
      <c r="F101" s="248"/>
      <c r="H101" s="248"/>
    </row>
    <row r="102" spans="4:8" ht="27">
      <c r="D102" s="246"/>
      <c r="E102" s="247"/>
      <c r="F102" s="248"/>
      <c r="H102" s="248"/>
    </row>
    <row r="103" spans="4:8" ht="27">
      <c r="D103" s="246"/>
      <c r="E103" s="247"/>
      <c r="F103" s="248"/>
      <c r="H103" s="248"/>
    </row>
    <row r="104" spans="4:8" ht="27">
      <c r="D104" s="246"/>
      <c r="E104" s="247"/>
      <c r="F104" s="248"/>
      <c r="H104" s="248"/>
    </row>
    <row r="105" spans="4:8" ht="27">
      <c r="D105" s="246"/>
      <c r="E105" s="247"/>
      <c r="F105" s="248"/>
      <c r="H105" s="248"/>
    </row>
    <row r="106" spans="4:8" ht="27">
      <c r="D106" s="246"/>
      <c r="E106" s="247"/>
      <c r="F106" s="248"/>
      <c r="H106" s="248"/>
    </row>
    <row r="107" spans="4:8" ht="27">
      <c r="D107" s="246"/>
      <c r="E107" s="247"/>
      <c r="F107" s="248"/>
      <c r="H107" s="248"/>
    </row>
    <row r="108" spans="4:8" ht="27">
      <c r="D108" s="246"/>
      <c r="E108" s="247"/>
      <c r="F108" s="248"/>
      <c r="H108" s="248"/>
    </row>
    <row r="109" spans="4:8" ht="27">
      <c r="D109" s="246"/>
      <c r="E109" s="247"/>
      <c r="F109" s="248"/>
      <c r="H109" s="248"/>
    </row>
    <row r="110" spans="4:8" ht="27">
      <c r="D110" s="246"/>
      <c r="E110" s="247"/>
      <c r="F110" s="248"/>
      <c r="H110" s="248"/>
    </row>
    <row r="111" spans="4:8" ht="27">
      <c r="D111" s="246"/>
      <c r="E111" s="247"/>
      <c r="F111" s="248"/>
      <c r="H111" s="248"/>
    </row>
    <row r="112" spans="4:8" ht="27">
      <c r="D112" s="246"/>
      <c r="E112" s="247"/>
      <c r="F112" s="248"/>
      <c r="H112" s="248"/>
    </row>
    <row r="113" spans="4:8" ht="27">
      <c r="D113" s="246"/>
      <c r="E113" s="247"/>
      <c r="F113" s="248"/>
      <c r="H113" s="248"/>
    </row>
    <row r="114" spans="4:8" ht="27">
      <c r="D114" s="246"/>
      <c r="E114" s="247"/>
      <c r="F114" s="248"/>
      <c r="H114" s="248"/>
    </row>
  </sheetData>
  <mergeCells count="1">
    <mergeCell ref="A9:A55"/>
  </mergeCells>
  <printOptions horizontalCentered="1" verticalCentered="1"/>
  <pageMargins left="0" right="0" top="0" bottom="0" header="0" footer="0"/>
  <pageSetup paperSize="9" scale="6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107"/>
  <sheetViews>
    <sheetView rightToLeft="1" zoomScale="85" zoomScaleNormal="85" workbookViewId="0">
      <pane xSplit="2" ySplit="9" topLeftCell="C61" activePane="bottomRight" state="frozen"/>
      <selection activeCell="F56" sqref="F56"/>
      <selection pane="topRight" activeCell="F56" sqref="F56"/>
      <selection pane="bottomLeft" activeCell="F56" sqref="F56"/>
      <selection pane="bottomRight" activeCell="F56" sqref="F56"/>
    </sheetView>
  </sheetViews>
  <sheetFormatPr defaultColWidth="9" defaultRowHeight="19.5"/>
  <cols>
    <col min="1" max="1" width="4.42578125" style="95" bestFit="1" customWidth="1"/>
    <col min="2" max="2" width="39" style="95" bestFit="1" customWidth="1"/>
    <col min="3" max="3" width="0.85546875" style="95" customWidth="1"/>
    <col min="4" max="4" width="9" style="157" customWidth="1"/>
    <col min="5" max="5" width="0.85546875" style="157" customWidth="1"/>
    <col min="6" max="6" width="10.140625" style="157" customWidth="1"/>
    <col min="7" max="7" width="0.85546875" style="95" customWidth="1"/>
    <col min="8" max="8" width="13.140625" style="157" customWidth="1"/>
    <col min="9" max="9" width="0.85546875" style="157" customWidth="1"/>
    <col min="10" max="10" width="12" style="157" customWidth="1"/>
    <col min="11" max="11" width="0.85546875" style="157" customWidth="1"/>
    <col min="12" max="12" width="10.85546875" style="157" customWidth="1"/>
    <col min="13" max="13" width="0.85546875" style="157" customWidth="1"/>
    <col min="14" max="14" width="7" style="157" customWidth="1"/>
    <col min="15" max="15" width="0.85546875" style="157" customWidth="1"/>
    <col min="16" max="16" width="14.28515625" style="157" customWidth="1"/>
    <col min="17" max="17" width="0.85546875" style="157" customWidth="1"/>
    <col min="18" max="18" width="5.42578125" style="157" customWidth="1"/>
    <col min="19" max="19" width="0.85546875" style="157" customWidth="1"/>
    <col min="20" max="20" width="13.28515625" style="157" customWidth="1"/>
    <col min="21" max="21" width="0.85546875" style="157" customWidth="1"/>
    <col min="22" max="22" width="11" style="157" customWidth="1"/>
    <col min="23" max="23" width="0.85546875" style="157" customWidth="1"/>
    <col min="24" max="24" width="9.28515625" style="157" customWidth="1"/>
    <col min="25" max="25" width="0.85546875" style="157" customWidth="1"/>
    <col min="26" max="26" width="10.85546875" style="157" customWidth="1"/>
    <col min="27" max="27" width="1" style="157" customWidth="1"/>
    <col min="28" max="28" width="11.7109375" style="157" customWidth="1"/>
    <col min="29" max="29" width="0.85546875" style="157" customWidth="1"/>
    <col min="30" max="30" width="13.42578125" style="157" customWidth="1"/>
    <col min="31" max="31" width="0.85546875" style="157" customWidth="1"/>
    <col min="32" max="32" width="13.7109375" style="157" customWidth="1"/>
    <col min="33" max="33" width="0.85546875" style="157" customWidth="1"/>
    <col min="34" max="34" width="13.85546875" style="157" customWidth="1"/>
    <col min="35" max="35" width="0.85546875" style="157" customWidth="1"/>
    <col min="36" max="36" width="17.5703125" style="157" customWidth="1"/>
    <col min="37" max="37" width="0.85546875" style="157" customWidth="1"/>
    <col min="38" max="38" width="16" style="157" customWidth="1"/>
    <col min="39" max="39" width="0.85546875" style="157" customWidth="1"/>
    <col min="40" max="40" width="10.85546875" style="157" customWidth="1"/>
    <col min="41" max="41" width="0.85546875" style="157" customWidth="1"/>
    <col min="42" max="42" width="8.7109375" style="157" customWidth="1"/>
    <col min="43" max="43" width="0.85546875" style="157" customWidth="1"/>
    <col min="44" max="44" width="8.7109375" style="157" customWidth="1"/>
    <col min="45" max="45" width="0.85546875" style="157" customWidth="1"/>
    <col min="46" max="46" width="14" style="157" customWidth="1"/>
    <col min="47" max="47" width="0.85546875" style="157" customWidth="1"/>
    <col min="48" max="48" width="11.28515625" style="157" bestFit="1" customWidth="1"/>
    <col min="49" max="49" width="11.7109375" style="95" bestFit="1" customWidth="1"/>
    <col min="50" max="50" width="20" style="95" bestFit="1" customWidth="1"/>
    <col min="51" max="51" width="14.85546875" style="95" customWidth="1"/>
    <col min="52" max="52" width="12.28515625" style="95" bestFit="1" customWidth="1"/>
    <col min="53" max="53" width="11.7109375" style="95" bestFit="1" customWidth="1"/>
    <col min="54" max="54" width="12.28515625" style="95" bestFit="1" customWidth="1"/>
    <col min="55" max="55" width="10.5703125" style="95" bestFit="1" customWidth="1"/>
    <col min="56" max="16384" width="9" style="95"/>
  </cols>
  <sheetData>
    <row r="1" spans="1:55" ht="21">
      <c r="B1" s="156" t="s">
        <v>135</v>
      </c>
      <c r="C1" s="156"/>
      <c r="G1" s="156"/>
      <c r="P1" s="158"/>
    </row>
    <row r="2" spans="1:55" ht="21">
      <c r="B2" s="156" t="s">
        <v>258</v>
      </c>
      <c r="C2" s="156"/>
      <c r="D2" s="158"/>
      <c r="F2" s="158"/>
      <c r="G2" s="156"/>
      <c r="H2" s="158"/>
      <c r="J2" s="159" t="s">
        <v>137</v>
      </c>
    </row>
    <row r="3" spans="1:55">
      <c r="B3" s="6" t="s">
        <v>259</v>
      </c>
      <c r="C3" s="6"/>
      <c r="D3" s="160" t="s">
        <v>139</v>
      </c>
      <c r="F3" s="158"/>
      <c r="G3" s="6"/>
      <c r="H3" s="160"/>
    </row>
    <row r="4" spans="1:55" ht="17.25">
      <c r="B4" s="6" t="s">
        <v>140</v>
      </c>
      <c r="C4" s="6"/>
      <c r="D4" s="161">
        <f>D47</f>
        <v>0</v>
      </c>
      <c r="E4" s="162"/>
      <c r="F4" s="161">
        <f>F47</f>
        <v>2300000</v>
      </c>
      <c r="G4" s="6"/>
      <c r="H4" s="161"/>
      <c r="I4" s="162"/>
      <c r="J4" s="161">
        <f>J47</f>
        <v>3600000</v>
      </c>
      <c r="K4" s="162"/>
      <c r="L4" s="161">
        <f>L47</f>
        <v>1020373</v>
      </c>
      <c r="M4" s="162"/>
      <c r="N4" s="161">
        <f>N47</f>
        <v>0</v>
      </c>
      <c r="O4" s="162"/>
      <c r="P4" s="161">
        <f>P47</f>
        <v>1562000</v>
      </c>
      <c r="Q4" s="162"/>
      <c r="R4" s="161">
        <f>R47</f>
        <v>0</v>
      </c>
      <c r="S4" s="162"/>
      <c r="T4" s="161">
        <f>T47</f>
        <v>625852</v>
      </c>
      <c r="U4" s="162"/>
      <c r="V4" s="161">
        <f>V47</f>
        <v>1200000</v>
      </c>
      <c r="W4" s="162"/>
      <c r="X4" s="161">
        <f>X47</f>
        <v>400000</v>
      </c>
      <c r="Y4" s="162"/>
      <c r="Z4" s="161">
        <f>Z47</f>
        <v>2000000</v>
      </c>
      <c r="AA4" s="162"/>
      <c r="AB4" s="161">
        <f>AB47</f>
        <v>610724</v>
      </c>
      <c r="AC4" s="162"/>
      <c r="AD4" s="161">
        <f>AD47</f>
        <v>400000</v>
      </c>
      <c r="AE4" s="162"/>
      <c r="AF4" s="161">
        <f>AF47</f>
        <v>400000</v>
      </c>
      <c r="AG4" s="162"/>
      <c r="AH4" s="161">
        <f>AH47</f>
        <v>1134000</v>
      </c>
      <c r="AI4" s="162"/>
      <c r="AJ4" s="161">
        <f>AJ47</f>
        <v>1000000</v>
      </c>
      <c r="AK4" s="162"/>
      <c r="AL4" s="161">
        <f>AL47</f>
        <v>400000</v>
      </c>
      <c r="AM4" s="162"/>
      <c r="AN4" s="161">
        <f>AN47</f>
        <v>400000</v>
      </c>
      <c r="AO4" s="162"/>
      <c r="AP4" s="161"/>
      <c r="AQ4" s="162"/>
      <c r="AR4" s="161"/>
      <c r="AS4" s="162"/>
      <c r="AT4" s="161">
        <f>AT47</f>
        <v>400000</v>
      </c>
      <c r="AU4" s="162"/>
      <c r="AV4" s="161">
        <f>AV47</f>
        <v>18252949</v>
      </c>
    </row>
    <row r="5" spans="1:55" ht="17.25">
      <c r="B5" s="6" t="s">
        <v>35</v>
      </c>
      <c r="C5" s="6"/>
      <c r="D5" s="161">
        <f>D54</f>
        <v>0</v>
      </c>
      <c r="E5" s="163"/>
      <c r="F5" s="161">
        <f>F54</f>
        <v>2689151</v>
      </c>
      <c r="G5" s="6"/>
      <c r="H5" s="161"/>
      <c r="I5" s="163"/>
      <c r="J5" s="161">
        <f>J54</f>
        <v>4637667</v>
      </c>
      <c r="K5" s="163"/>
      <c r="L5" s="161">
        <f>L54</f>
        <v>1251321</v>
      </c>
      <c r="M5" s="163"/>
      <c r="N5" s="161">
        <f>N54</f>
        <v>0</v>
      </c>
      <c r="O5" s="163"/>
      <c r="P5" s="161">
        <f>P54</f>
        <v>3543848</v>
      </c>
      <c r="Q5" s="163"/>
      <c r="R5" s="161">
        <f>R54</f>
        <v>0</v>
      </c>
      <c r="S5" s="163"/>
      <c r="T5" s="161">
        <f>T54</f>
        <v>2292034</v>
      </c>
      <c r="U5" s="163"/>
      <c r="V5" s="161">
        <f>V54</f>
        <v>1742187</v>
      </c>
      <c r="W5" s="163"/>
      <c r="X5" s="161">
        <f>X54</f>
        <v>416244</v>
      </c>
      <c r="Y5" s="163"/>
      <c r="Z5" s="161">
        <f>Z54</f>
        <v>2924466</v>
      </c>
      <c r="AA5" s="163"/>
      <c r="AB5" s="161">
        <f>AB54</f>
        <v>-241048</v>
      </c>
      <c r="AC5" s="163"/>
      <c r="AD5" s="161">
        <f>AD54</f>
        <v>691970</v>
      </c>
      <c r="AE5" s="163"/>
      <c r="AF5" s="161">
        <f>AF54</f>
        <v>871445</v>
      </c>
      <c r="AG5" s="163"/>
      <c r="AH5" s="161">
        <f>AH54</f>
        <v>2008841</v>
      </c>
      <c r="AI5" s="163"/>
      <c r="AJ5" s="161">
        <f>AJ54</f>
        <v>1447793</v>
      </c>
      <c r="AK5" s="163"/>
      <c r="AL5" s="161">
        <f>AL54</f>
        <v>1955118</v>
      </c>
      <c r="AM5" s="163"/>
      <c r="AN5" s="161">
        <f>AN54</f>
        <v>563886</v>
      </c>
      <c r="AO5" s="163"/>
      <c r="AP5" s="161"/>
      <c r="AQ5" s="163"/>
      <c r="AR5" s="161"/>
      <c r="AS5" s="163"/>
      <c r="AT5" s="161">
        <f>AT54</f>
        <v>528858</v>
      </c>
      <c r="AU5" s="163"/>
      <c r="AV5" s="161">
        <f>AV54</f>
        <v>28317455</v>
      </c>
    </row>
    <row r="6" spans="1:55" ht="17.25">
      <c r="B6" s="6" t="s">
        <v>141</v>
      </c>
      <c r="C6" s="6"/>
      <c r="D6" s="163">
        <f>D57</f>
        <v>0</v>
      </c>
      <c r="E6" s="163"/>
      <c r="F6" s="163">
        <f>F57</f>
        <v>13519200</v>
      </c>
      <c r="G6" s="6"/>
      <c r="H6" s="163"/>
      <c r="I6" s="163"/>
      <c r="J6" s="163">
        <f>J57</f>
        <v>9561198</v>
      </c>
      <c r="K6" s="163"/>
      <c r="L6" s="163">
        <f>L57</f>
        <v>8176073</v>
      </c>
      <c r="M6" s="163"/>
      <c r="N6" s="163">
        <f>N57</f>
        <v>0</v>
      </c>
      <c r="O6" s="163"/>
      <c r="P6" s="163">
        <f>P57</f>
        <v>6951739</v>
      </c>
      <c r="Q6" s="163"/>
      <c r="R6" s="163">
        <f>R57</f>
        <v>0</v>
      </c>
      <c r="S6" s="163"/>
      <c r="T6" s="163">
        <f>T57</f>
        <v>2309529</v>
      </c>
      <c r="U6" s="163"/>
      <c r="V6" s="163">
        <f>V57</f>
        <v>6886527</v>
      </c>
      <c r="W6" s="163"/>
      <c r="X6" s="163">
        <f>X57</f>
        <v>2413749</v>
      </c>
      <c r="Y6" s="163"/>
      <c r="Z6" s="163">
        <f>Z57</f>
        <v>3615714</v>
      </c>
      <c r="AA6" s="163"/>
      <c r="AB6" s="163">
        <f>AB57</f>
        <v>1574855</v>
      </c>
      <c r="AC6" s="163"/>
      <c r="AD6" s="163">
        <f>AD57</f>
        <v>2018394</v>
      </c>
      <c r="AE6" s="163"/>
      <c r="AF6" s="163">
        <f>AF57</f>
        <v>2255329</v>
      </c>
      <c r="AG6" s="163"/>
      <c r="AH6" s="163">
        <f>AH57</f>
        <v>5204463</v>
      </c>
      <c r="AI6" s="163"/>
      <c r="AJ6" s="163">
        <f>AJ57</f>
        <v>2269163</v>
      </c>
      <c r="AK6" s="163"/>
      <c r="AL6" s="163">
        <f>AL57</f>
        <v>4452608</v>
      </c>
      <c r="AM6" s="163"/>
      <c r="AN6" s="163">
        <f>AN57</f>
        <v>2241026</v>
      </c>
      <c r="AO6" s="163"/>
      <c r="AP6" s="163"/>
      <c r="AQ6" s="163"/>
      <c r="AR6" s="163"/>
      <c r="AS6" s="163"/>
      <c r="AT6" s="163">
        <f>AT57</f>
        <v>236910</v>
      </c>
      <c r="AU6" s="163"/>
      <c r="AV6" s="163">
        <f>AV57</f>
        <v>74815962</v>
      </c>
    </row>
    <row r="7" spans="1:55" ht="21" hidden="1">
      <c r="A7" s="249" t="s">
        <v>195</v>
      </c>
      <c r="B7" s="250" t="s">
        <v>196</v>
      </c>
      <c r="D7" s="166"/>
      <c r="E7" s="166"/>
      <c r="F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</row>
    <row r="8" spans="1:55" hidden="1">
      <c r="A8" s="249" t="s">
        <v>197</v>
      </c>
      <c r="B8" s="251" t="s">
        <v>198</v>
      </c>
      <c r="D8" s="190"/>
      <c r="F8" s="190"/>
      <c r="H8" s="190"/>
      <c r="L8" s="190"/>
      <c r="N8" s="190"/>
      <c r="P8" s="190"/>
      <c r="R8" s="190"/>
      <c r="T8" s="190"/>
      <c r="V8" s="190"/>
      <c r="X8" s="190"/>
      <c r="Z8" s="190"/>
      <c r="AB8" s="190"/>
      <c r="AD8" s="190"/>
      <c r="AF8" s="190"/>
      <c r="AH8" s="190"/>
    </row>
    <row r="9" spans="1:55" ht="23.25">
      <c r="A9" s="568" t="s">
        <v>199</v>
      </c>
      <c r="B9" s="170" t="s">
        <v>29</v>
      </c>
      <c r="D9" s="252" t="s">
        <v>143</v>
      </c>
      <c r="E9" s="253"/>
      <c r="F9" s="254" t="s">
        <v>144</v>
      </c>
      <c r="H9" s="254" t="s">
        <v>145</v>
      </c>
      <c r="I9" s="253"/>
      <c r="J9" s="255" t="s">
        <v>146</v>
      </c>
      <c r="K9" s="253"/>
      <c r="L9" s="255" t="s">
        <v>147</v>
      </c>
      <c r="M9" s="253"/>
      <c r="N9" s="252" t="s">
        <v>148</v>
      </c>
      <c r="O9" s="253"/>
      <c r="P9" s="255" t="s">
        <v>149</v>
      </c>
      <c r="Q9" s="253"/>
      <c r="R9" s="252" t="s">
        <v>150</v>
      </c>
      <c r="S9" s="253"/>
      <c r="T9" s="255" t="s">
        <v>151</v>
      </c>
      <c r="U9" s="253"/>
      <c r="V9" s="255" t="s">
        <v>152</v>
      </c>
      <c r="W9" s="253"/>
      <c r="X9" s="254" t="s">
        <v>153</v>
      </c>
      <c r="Y9" s="253"/>
      <c r="Z9" s="254" t="s">
        <v>154</v>
      </c>
      <c r="AA9" s="253"/>
      <c r="AB9" s="255" t="s">
        <v>155</v>
      </c>
      <c r="AC9" s="253"/>
      <c r="AD9" s="255" t="s">
        <v>156</v>
      </c>
      <c r="AE9" s="253"/>
      <c r="AF9" s="254" t="s">
        <v>157</v>
      </c>
      <c r="AG9" s="253"/>
      <c r="AH9" s="255" t="s">
        <v>158</v>
      </c>
      <c r="AI9" s="253"/>
      <c r="AJ9" s="255" t="s">
        <v>159</v>
      </c>
      <c r="AK9" s="253"/>
      <c r="AL9" s="255" t="s">
        <v>160</v>
      </c>
      <c r="AM9" s="253"/>
      <c r="AN9" s="254" t="s">
        <v>161</v>
      </c>
      <c r="AO9" s="95"/>
      <c r="AP9" s="252" t="s">
        <v>162</v>
      </c>
      <c r="AQ9" s="95"/>
      <c r="AR9" s="252" t="s">
        <v>163</v>
      </c>
      <c r="AS9" s="95"/>
      <c r="AT9" s="255" t="s">
        <v>200</v>
      </c>
      <c r="AU9" s="95"/>
      <c r="AV9" s="171" t="s">
        <v>165</v>
      </c>
    </row>
    <row r="10" spans="1:55" ht="54">
      <c r="A10" s="569"/>
      <c r="B10" s="114" t="s">
        <v>166</v>
      </c>
      <c r="D10" s="172"/>
      <c r="E10" s="172"/>
      <c r="F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W10" s="587" t="s">
        <v>201</v>
      </c>
      <c r="AX10" s="588"/>
      <c r="AY10" s="256" t="s">
        <v>202</v>
      </c>
      <c r="AZ10" s="257" t="s">
        <v>203</v>
      </c>
      <c r="BA10" s="257" t="s">
        <v>204</v>
      </c>
      <c r="BB10" s="257" t="s">
        <v>205</v>
      </c>
      <c r="BC10" s="257" t="s">
        <v>206</v>
      </c>
    </row>
    <row r="11" spans="1:55" ht="21" customHeight="1">
      <c r="A11" s="569"/>
      <c r="B11" s="173" t="s">
        <v>64</v>
      </c>
      <c r="D11" s="174">
        <v>0</v>
      </c>
      <c r="E11" s="172"/>
      <c r="F11" s="174">
        <v>338657</v>
      </c>
      <c r="H11" s="174">
        <v>493512</v>
      </c>
      <c r="I11" s="172"/>
      <c r="J11" s="174">
        <v>1083657</v>
      </c>
      <c r="K11" s="175"/>
      <c r="L11" s="174">
        <v>338172</v>
      </c>
      <c r="M11" s="175"/>
      <c r="N11" s="174">
        <v>0</v>
      </c>
      <c r="O11" s="175"/>
      <c r="P11" s="174">
        <v>164891</v>
      </c>
      <c r="Q11" s="175"/>
      <c r="R11" s="174">
        <v>0</v>
      </c>
      <c r="S11" s="175"/>
      <c r="T11" s="174">
        <v>158408</v>
      </c>
      <c r="U11" s="175"/>
      <c r="V11" s="174">
        <v>455313</v>
      </c>
      <c r="W11" s="175"/>
      <c r="X11" s="174">
        <v>39360</v>
      </c>
      <c r="Y11" s="175"/>
      <c r="Z11" s="174">
        <v>98838</v>
      </c>
      <c r="AA11" s="175"/>
      <c r="AB11" s="174">
        <v>307654</v>
      </c>
      <c r="AC11" s="175"/>
      <c r="AD11" s="174">
        <v>153049</v>
      </c>
      <c r="AE11" s="175"/>
      <c r="AF11" s="174">
        <v>209293</v>
      </c>
      <c r="AG11" s="175"/>
      <c r="AH11" s="174">
        <v>158830</v>
      </c>
      <c r="AI11" s="175"/>
      <c r="AJ11" s="174">
        <v>43597</v>
      </c>
      <c r="AK11" s="175"/>
      <c r="AL11" s="174">
        <v>1405754</v>
      </c>
      <c r="AM11" s="175"/>
      <c r="AN11" s="174">
        <v>215178</v>
      </c>
      <c r="AO11" s="175"/>
      <c r="AP11" s="174"/>
      <c r="AQ11" s="175"/>
      <c r="AR11" s="174"/>
      <c r="AS11" s="175"/>
      <c r="AT11" s="174">
        <v>1036</v>
      </c>
      <c r="AU11" s="175"/>
      <c r="AV11" s="174">
        <f t="shared" ref="AV11:AV59" si="0">SUM(D11:AN11)</f>
        <v>5664163</v>
      </c>
      <c r="AW11" s="589" t="s">
        <v>207</v>
      </c>
      <c r="AX11" s="590"/>
      <c r="AY11" s="586">
        <v>31664438</v>
      </c>
      <c r="AZ11" s="571"/>
      <c r="BA11" s="572"/>
      <c r="BB11" s="572"/>
      <c r="BC11" s="573"/>
    </row>
    <row r="12" spans="1:55" ht="21" customHeight="1">
      <c r="A12" s="569"/>
      <c r="B12" s="173" t="s">
        <v>62</v>
      </c>
      <c r="D12" s="174">
        <v>0</v>
      </c>
      <c r="E12" s="172"/>
      <c r="F12" s="174">
        <v>2616250</v>
      </c>
      <c r="H12" s="174">
        <v>261747</v>
      </c>
      <c r="I12" s="172"/>
      <c r="J12" s="174">
        <v>3252582</v>
      </c>
      <c r="K12" s="175"/>
      <c r="L12" s="174">
        <v>1020381</v>
      </c>
      <c r="M12" s="175"/>
      <c r="N12" s="174">
        <v>0</v>
      </c>
      <c r="O12" s="175"/>
      <c r="P12" s="174">
        <v>2712336</v>
      </c>
      <c r="Q12" s="175"/>
      <c r="R12" s="174">
        <v>0</v>
      </c>
      <c r="S12" s="175"/>
      <c r="T12" s="174">
        <v>977120</v>
      </c>
      <c r="U12" s="175"/>
      <c r="V12" s="174">
        <v>2288577</v>
      </c>
      <c r="W12" s="175"/>
      <c r="X12" s="174">
        <v>166012</v>
      </c>
      <c r="Y12" s="175"/>
      <c r="Z12" s="174">
        <v>3184237</v>
      </c>
      <c r="AA12" s="175"/>
      <c r="AB12" s="174">
        <v>1288120</v>
      </c>
      <c r="AC12" s="175"/>
      <c r="AD12" s="174">
        <v>463186</v>
      </c>
      <c r="AE12" s="175"/>
      <c r="AF12" s="174">
        <v>1098920</v>
      </c>
      <c r="AG12" s="175"/>
      <c r="AH12" s="174">
        <v>2579505</v>
      </c>
      <c r="AI12" s="175"/>
      <c r="AJ12" s="174">
        <v>2314277</v>
      </c>
      <c r="AK12" s="175"/>
      <c r="AL12" s="174">
        <v>214335</v>
      </c>
      <c r="AM12" s="175"/>
      <c r="AN12" s="174">
        <v>1381424</v>
      </c>
      <c r="AO12" s="175"/>
      <c r="AP12" s="174"/>
      <c r="AQ12" s="175"/>
      <c r="AR12" s="174"/>
      <c r="AS12" s="175"/>
      <c r="AT12" s="174">
        <v>175328</v>
      </c>
      <c r="AU12" s="175"/>
      <c r="AV12" s="174">
        <f t="shared" si="0"/>
        <v>25819009</v>
      </c>
      <c r="AW12" s="591"/>
      <c r="AX12" s="592"/>
      <c r="AY12" s="580"/>
      <c r="AZ12" s="574"/>
      <c r="BA12" s="575"/>
      <c r="BB12" s="575"/>
      <c r="BC12" s="576"/>
    </row>
    <row r="13" spans="1:55" ht="21" customHeight="1">
      <c r="A13" s="569"/>
      <c r="B13" s="173" t="s">
        <v>60</v>
      </c>
      <c r="D13" s="174">
        <v>0</v>
      </c>
      <c r="E13" s="172"/>
      <c r="F13" s="174">
        <v>3956486</v>
      </c>
      <c r="H13" s="174">
        <v>1661123</v>
      </c>
      <c r="I13" s="172"/>
      <c r="J13" s="174">
        <v>5113059</v>
      </c>
      <c r="K13" s="175"/>
      <c r="L13" s="174">
        <v>8986020</v>
      </c>
      <c r="M13" s="175"/>
      <c r="N13" s="174">
        <v>0</v>
      </c>
      <c r="O13" s="175"/>
      <c r="P13" s="174">
        <v>5332309</v>
      </c>
      <c r="Q13" s="175"/>
      <c r="R13" s="174">
        <v>0</v>
      </c>
      <c r="S13" s="175"/>
      <c r="T13" s="174">
        <v>1534020</v>
      </c>
      <c r="U13" s="175"/>
      <c r="V13" s="174">
        <v>1287568</v>
      </c>
      <c r="W13" s="175"/>
      <c r="X13" s="174">
        <v>1970317</v>
      </c>
      <c r="Y13" s="175"/>
      <c r="Z13" s="174">
        <v>2247254</v>
      </c>
      <c r="AA13" s="175"/>
      <c r="AB13" s="174">
        <v>634501</v>
      </c>
      <c r="AC13" s="175"/>
      <c r="AD13" s="174">
        <v>523236</v>
      </c>
      <c r="AE13" s="175"/>
      <c r="AF13" s="174">
        <v>764010</v>
      </c>
      <c r="AG13" s="175"/>
      <c r="AH13" s="174">
        <v>1176383</v>
      </c>
      <c r="AI13" s="175"/>
      <c r="AJ13" s="174">
        <v>495523</v>
      </c>
      <c r="AK13" s="175"/>
      <c r="AL13" s="174">
        <v>3782389</v>
      </c>
      <c r="AM13" s="175"/>
      <c r="AN13" s="174">
        <v>1261139</v>
      </c>
      <c r="AO13" s="175"/>
      <c r="AP13" s="174"/>
      <c r="AQ13" s="175"/>
      <c r="AR13" s="174"/>
      <c r="AS13" s="175"/>
      <c r="AT13" s="174">
        <v>287495</v>
      </c>
      <c r="AU13" s="175"/>
      <c r="AV13" s="174">
        <f t="shared" si="0"/>
        <v>40725337</v>
      </c>
      <c r="AW13" s="593" t="s">
        <v>208</v>
      </c>
      <c r="AX13" s="594"/>
      <c r="AY13" s="586">
        <v>10734365</v>
      </c>
      <c r="AZ13" s="574"/>
      <c r="BA13" s="575"/>
      <c r="BB13" s="575"/>
      <c r="BC13" s="576"/>
    </row>
    <row r="14" spans="1:55" ht="21" customHeight="1">
      <c r="A14" s="569"/>
      <c r="B14" s="173" t="s">
        <v>58</v>
      </c>
      <c r="D14" s="174">
        <v>0</v>
      </c>
      <c r="E14" s="172"/>
      <c r="F14" s="174">
        <v>1177888</v>
      </c>
      <c r="H14" s="174">
        <v>958</v>
      </c>
      <c r="I14" s="172"/>
      <c r="J14" s="174">
        <v>173410</v>
      </c>
      <c r="K14" s="175"/>
      <c r="L14" s="174">
        <v>164070</v>
      </c>
      <c r="M14" s="175"/>
      <c r="N14" s="174">
        <v>0</v>
      </c>
      <c r="O14" s="175"/>
      <c r="P14" s="174">
        <v>379346</v>
      </c>
      <c r="Q14" s="175"/>
      <c r="R14" s="174">
        <v>0</v>
      </c>
      <c r="S14" s="175"/>
      <c r="T14" s="174">
        <v>33597</v>
      </c>
      <c r="U14" s="175"/>
      <c r="V14" s="174">
        <v>252297</v>
      </c>
      <c r="W14" s="175"/>
      <c r="X14" s="174">
        <v>560488</v>
      </c>
      <c r="Y14" s="175"/>
      <c r="Z14" s="174">
        <v>194814</v>
      </c>
      <c r="AA14" s="175"/>
      <c r="AB14" s="174">
        <v>755053</v>
      </c>
      <c r="AC14" s="175"/>
      <c r="AD14" s="174">
        <v>112738</v>
      </c>
      <c r="AE14" s="175"/>
      <c r="AF14" s="174">
        <v>107244</v>
      </c>
      <c r="AG14" s="175"/>
      <c r="AH14" s="174">
        <v>35078</v>
      </c>
      <c r="AI14" s="175"/>
      <c r="AJ14" s="174">
        <v>0</v>
      </c>
      <c r="AK14" s="175"/>
      <c r="AL14" s="174">
        <v>20076</v>
      </c>
      <c r="AM14" s="175"/>
      <c r="AN14" s="174">
        <v>0</v>
      </c>
      <c r="AO14" s="175"/>
      <c r="AP14" s="174"/>
      <c r="AQ14" s="175"/>
      <c r="AR14" s="174"/>
      <c r="AS14" s="175"/>
      <c r="AT14" s="174">
        <v>1944</v>
      </c>
      <c r="AU14" s="175"/>
      <c r="AV14" s="174">
        <f t="shared" si="0"/>
        <v>3967057</v>
      </c>
      <c r="AW14" s="595"/>
      <c r="AX14" s="596"/>
      <c r="AY14" s="580"/>
      <c r="AZ14" s="574"/>
      <c r="BA14" s="575"/>
      <c r="BB14" s="575"/>
      <c r="BC14" s="576"/>
    </row>
    <row r="15" spans="1:55" ht="21" customHeight="1">
      <c r="A15" s="569"/>
      <c r="B15" s="173" t="s">
        <v>209</v>
      </c>
      <c r="D15" s="174">
        <v>0</v>
      </c>
      <c r="E15" s="172"/>
      <c r="F15" s="174">
        <v>0</v>
      </c>
      <c r="H15" s="174"/>
      <c r="I15" s="172"/>
      <c r="J15" s="174">
        <v>0</v>
      </c>
      <c r="K15" s="175"/>
      <c r="L15" s="174">
        <v>0</v>
      </c>
      <c r="M15" s="175"/>
      <c r="N15" s="174">
        <v>0</v>
      </c>
      <c r="O15" s="175"/>
      <c r="P15" s="174">
        <v>0</v>
      </c>
      <c r="Q15" s="175"/>
      <c r="R15" s="174">
        <v>0</v>
      </c>
      <c r="S15" s="175"/>
      <c r="T15" s="174">
        <v>0</v>
      </c>
      <c r="U15" s="175"/>
      <c r="V15" s="174">
        <v>0</v>
      </c>
      <c r="W15" s="175"/>
      <c r="X15" s="174">
        <v>507900</v>
      </c>
      <c r="Y15" s="175"/>
      <c r="Z15" s="174">
        <v>453140</v>
      </c>
      <c r="AA15" s="175"/>
      <c r="AB15" s="174">
        <v>0</v>
      </c>
      <c r="AC15" s="175"/>
      <c r="AD15" s="174">
        <v>0</v>
      </c>
      <c r="AE15" s="175"/>
      <c r="AF15" s="174">
        <v>0</v>
      </c>
      <c r="AG15" s="175"/>
      <c r="AH15" s="174">
        <v>0</v>
      </c>
      <c r="AI15" s="175"/>
      <c r="AJ15" s="174">
        <v>0</v>
      </c>
      <c r="AK15" s="175"/>
      <c r="AL15" s="174">
        <v>0</v>
      </c>
      <c r="AM15" s="175"/>
      <c r="AN15" s="174">
        <v>0</v>
      </c>
      <c r="AO15" s="175"/>
      <c r="AP15" s="174"/>
      <c r="AQ15" s="175"/>
      <c r="AR15" s="174"/>
      <c r="AS15" s="175"/>
      <c r="AT15" s="174"/>
      <c r="AU15" s="175"/>
      <c r="AV15" s="174">
        <f t="shared" si="0"/>
        <v>961040</v>
      </c>
      <c r="AW15" s="597" t="s">
        <v>210</v>
      </c>
      <c r="AX15" s="598"/>
      <c r="AY15" s="586">
        <v>3046699</v>
      </c>
      <c r="AZ15" s="574"/>
      <c r="BA15" s="575"/>
      <c r="BB15" s="575"/>
      <c r="BC15" s="576"/>
    </row>
    <row r="16" spans="1:55" ht="21" customHeight="1">
      <c r="A16" s="569"/>
      <c r="B16" s="173" t="s">
        <v>167</v>
      </c>
      <c r="D16" s="174">
        <v>0</v>
      </c>
      <c r="E16" s="172"/>
      <c r="F16" s="174">
        <v>2142629</v>
      </c>
      <c r="H16" s="174">
        <v>148938</v>
      </c>
      <c r="I16" s="172"/>
      <c r="J16" s="174">
        <v>334316</v>
      </c>
      <c r="K16" s="175"/>
      <c r="L16" s="174">
        <v>1500591</v>
      </c>
      <c r="M16" s="175"/>
      <c r="N16" s="174">
        <v>0</v>
      </c>
      <c r="O16" s="175"/>
      <c r="P16" s="174">
        <v>1672004</v>
      </c>
      <c r="Q16" s="175"/>
      <c r="R16" s="174">
        <v>0</v>
      </c>
      <c r="S16" s="175"/>
      <c r="T16" s="174">
        <v>696108</v>
      </c>
      <c r="U16" s="175"/>
      <c r="V16" s="174">
        <v>128133</v>
      </c>
      <c r="W16" s="175"/>
      <c r="X16" s="174">
        <v>193971</v>
      </c>
      <c r="Y16" s="175"/>
      <c r="Z16" s="174">
        <v>613280</v>
      </c>
      <c r="AA16" s="175"/>
      <c r="AB16" s="174">
        <v>833418</v>
      </c>
      <c r="AC16" s="175"/>
      <c r="AD16" s="174">
        <v>389433</v>
      </c>
      <c r="AE16" s="175"/>
      <c r="AF16" s="174">
        <v>179508</v>
      </c>
      <c r="AG16" s="175"/>
      <c r="AH16" s="174">
        <v>368384</v>
      </c>
      <c r="AI16" s="175"/>
      <c r="AJ16" s="174">
        <v>125822</v>
      </c>
      <c r="AK16" s="175"/>
      <c r="AL16" s="174">
        <v>160594</v>
      </c>
      <c r="AM16" s="175"/>
      <c r="AN16" s="174">
        <v>43130</v>
      </c>
      <c r="AO16" s="175"/>
      <c r="AP16" s="174"/>
      <c r="AQ16" s="175"/>
      <c r="AR16" s="174"/>
      <c r="AS16" s="175"/>
      <c r="AT16" s="174">
        <v>39358</v>
      </c>
      <c r="AU16" s="175"/>
      <c r="AV16" s="174">
        <f t="shared" si="0"/>
        <v>9530259</v>
      </c>
      <c r="AW16" s="599"/>
      <c r="AX16" s="600"/>
      <c r="AY16" s="580"/>
      <c r="AZ16" s="574"/>
      <c r="BA16" s="575"/>
      <c r="BB16" s="575"/>
      <c r="BC16" s="576"/>
    </row>
    <row r="17" spans="1:55" ht="21" customHeight="1">
      <c r="A17" s="569"/>
      <c r="B17" s="173" t="s">
        <v>54</v>
      </c>
      <c r="D17" s="174">
        <v>0</v>
      </c>
      <c r="E17" s="172"/>
      <c r="F17" s="174">
        <v>5287286</v>
      </c>
      <c r="H17" s="174">
        <v>411871</v>
      </c>
      <c r="I17" s="172"/>
      <c r="J17" s="174">
        <v>2970836</v>
      </c>
      <c r="K17" s="175"/>
      <c r="L17" s="174">
        <v>3077828</v>
      </c>
      <c r="M17" s="175"/>
      <c r="N17" s="174">
        <v>0</v>
      </c>
      <c r="O17" s="175"/>
      <c r="P17" s="174">
        <v>2797534</v>
      </c>
      <c r="Q17" s="175"/>
      <c r="R17" s="174">
        <v>0</v>
      </c>
      <c r="S17" s="175"/>
      <c r="T17" s="174">
        <v>674238</v>
      </c>
      <c r="U17" s="175"/>
      <c r="V17" s="174">
        <v>4667133</v>
      </c>
      <c r="W17" s="175"/>
      <c r="X17" s="174">
        <v>907757</v>
      </c>
      <c r="Y17" s="175"/>
      <c r="Z17" s="174">
        <v>961908</v>
      </c>
      <c r="AA17" s="175"/>
      <c r="AB17" s="174">
        <v>325510</v>
      </c>
      <c r="AC17" s="175"/>
      <c r="AD17" s="174">
        <v>1071234</v>
      </c>
      <c r="AE17" s="175"/>
      <c r="AF17" s="174">
        <v>1109699</v>
      </c>
      <c r="AG17" s="175"/>
      <c r="AH17" s="174">
        <v>2544365</v>
      </c>
      <c r="AI17" s="175"/>
      <c r="AJ17" s="174">
        <v>1009984</v>
      </c>
      <c r="AK17" s="175"/>
      <c r="AL17" s="174">
        <v>1621992</v>
      </c>
      <c r="AM17" s="175"/>
      <c r="AN17" s="174">
        <v>612029</v>
      </c>
      <c r="AO17" s="175"/>
      <c r="AP17" s="174"/>
      <c r="AQ17" s="175"/>
      <c r="AR17" s="174"/>
      <c r="AS17" s="175"/>
      <c r="AT17" s="174">
        <v>231824</v>
      </c>
      <c r="AU17" s="175"/>
      <c r="AV17" s="174">
        <f t="shared" si="0"/>
        <v>30051204</v>
      </c>
      <c r="AW17" s="601" t="s">
        <v>211</v>
      </c>
      <c r="AX17" s="602"/>
      <c r="AY17" s="586">
        <v>2468210</v>
      </c>
      <c r="AZ17" s="574"/>
      <c r="BA17" s="575"/>
      <c r="BB17" s="575"/>
      <c r="BC17" s="576"/>
    </row>
    <row r="18" spans="1:55" ht="21" customHeight="1">
      <c r="A18" s="569"/>
      <c r="B18" s="173" t="s">
        <v>212</v>
      </c>
      <c r="D18" s="174"/>
      <c r="E18" s="172"/>
      <c r="F18" s="174"/>
      <c r="H18" s="174"/>
      <c r="I18" s="172"/>
      <c r="J18" s="174"/>
      <c r="K18" s="175"/>
      <c r="L18" s="174">
        <v>0</v>
      </c>
      <c r="M18" s="175"/>
      <c r="N18" s="174">
        <v>0</v>
      </c>
      <c r="O18" s="175"/>
      <c r="P18" s="174">
        <v>0</v>
      </c>
      <c r="Q18" s="175"/>
      <c r="R18" s="174">
        <v>0</v>
      </c>
      <c r="S18" s="175"/>
      <c r="T18" s="174">
        <v>0</v>
      </c>
      <c r="U18" s="175"/>
      <c r="V18" s="174">
        <v>0</v>
      </c>
      <c r="W18" s="175"/>
      <c r="X18" s="174">
        <v>0</v>
      </c>
      <c r="Y18" s="175"/>
      <c r="Z18" s="174">
        <v>0</v>
      </c>
      <c r="AA18" s="175"/>
      <c r="AB18" s="174">
        <v>0</v>
      </c>
      <c r="AC18" s="175"/>
      <c r="AD18" s="174">
        <v>0</v>
      </c>
      <c r="AE18" s="175"/>
      <c r="AF18" s="174">
        <v>0</v>
      </c>
      <c r="AG18" s="175"/>
      <c r="AH18" s="174">
        <v>0</v>
      </c>
      <c r="AI18" s="175"/>
      <c r="AJ18" s="174">
        <v>0</v>
      </c>
      <c r="AK18" s="175"/>
      <c r="AL18" s="174">
        <v>0</v>
      </c>
      <c r="AM18" s="175"/>
      <c r="AN18" s="174">
        <v>0</v>
      </c>
      <c r="AO18" s="175"/>
      <c r="AP18" s="174"/>
      <c r="AQ18" s="175"/>
      <c r="AR18" s="174"/>
      <c r="AS18" s="175"/>
      <c r="AT18" s="174"/>
      <c r="AU18" s="175"/>
      <c r="AV18" s="174">
        <f t="shared" si="0"/>
        <v>0</v>
      </c>
      <c r="AW18" s="603"/>
      <c r="AX18" s="604"/>
      <c r="AY18" s="580"/>
      <c r="AZ18" s="574"/>
      <c r="BA18" s="575"/>
      <c r="BB18" s="575"/>
      <c r="BC18" s="576"/>
    </row>
    <row r="19" spans="1:55" ht="21" customHeight="1">
      <c r="A19" s="569"/>
      <c r="B19" s="173" t="s">
        <v>260</v>
      </c>
      <c r="D19" s="174">
        <v>0</v>
      </c>
      <c r="E19" s="172"/>
      <c r="F19" s="174">
        <v>0</v>
      </c>
      <c r="H19" s="174"/>
      <c r="I19" s="172"/>
      <c r="J19" s="174">
        <v>549</v>
      </c>
      <c r="K19" s="175"/>
      <c r="L19" s="174">
        <v>0</v>
      </c>
      <c r="M19" s="175"/>
      <c r="N19" s="174">
        <v>0</v>
      </c>
      <c r="O19" s="175"/>
      <c r="P19" s="174">
        <v>315151</v>
      </c>
      <c r="Q19" s="175"/>
      <c r="R19" s="174">
        <v>0</v>
      </c>
      <c r="S19" s="175"/>
      <c r="T19" s="174">
        <v>0</v>
      </c>
      <c r="U19" s="175"/>
      <c r="V19" s="174">
        <v>0</v>
      </c>
      <c r="W19" s="175"/>
      <c r="X19" s="174">
        <v>0</v>
      </c>
      <c r="Y19" s="175"/>
      <c r="Z19" s="174">
        <v>0</v>
      </c>
      <c r="AA19" s="175"/>
      <c r="AB19" s="174">
        <v>0</v>
      </c>
      <c r="AC19" s="175"/>
      <c r="AD19" s="174">
        <v>0</v>
      </c>
      <c r="AE19" s="175"/>
      <c r="AF19" s="174">
        <v>0</v>
      </c>
      <c r="AG19" s="175"/>
      <c r="AH19" s="174">
        <v>0</v>
      </c>
      <c r="AI19" s="175"/>
      <c r="AJ19" s="174">
        <v>0</v>
      </c>
      <c r="AK19" s="175"/>
      <c r="AL19" s="174">
        <v>0</v>
      </c>
      <c r="AM19" s="175"/>
      <c r="AN19" s="174">
        <v>0</v>
      </c>
      <c r="AO19" s="175"/>
      <c r="AP19" s="174"/>
      <c r="AQ19" s="175"/>
      <c r="AR19" s="174"/>
      <c r="AS19" s="175"/>
      <c r="AT19" s="174"/>
      <c r="AU19" s="175"/>
      <c r="AV19" s="174">
        <f t="shared" si="0"/>
        <v>315700</v>
      </c>
      <c r="AW19" s="601" t="s">
        <v>214</v>
      </c>
      <c r="AX19" s="602"/>
      <c r="AY19" s="586">
        <v>614804</v>
      </c>
      <c r="AZ19" s="574"/>
      <c r="BA19" s="575"/>
      <c r="BB19" s="575"/>
      <c r="BC19" s="576"/>
    </row>
    <row r="20" spans="1:55" ht="21" customHeight="1">
      <c r="A20" s="569"/>
      <c r="B20" s="173" t="s">
        <v>215</v>
      </c>
      <c r="D20" s="174">
        <v>0</v>
      </c>
      <c r="E20" s="172"/>
      <c r="F20" s="174">
        <v>0</v>
      </c>
      <c r="H20" s="174"/>
      <c r="I20" s="172"/>
      <c r="J20" s="174">
        <v>34103</v>
      </c>
      <c r="K20" s="175"/>
      <c r="L20" s="174">
        <v>0</v>
      </c>
      <c r="M20" s="175"/>
      <c r="N20" s="174">
        <v>0</v>
      </c>
      <c r="O20" s="175"/>
      <c r="P20" s="174">
        <v>0</v>
      </c>
      <c r="Q20" s="175"/>
      <c r="R20" s="174">
        <v>0</v>
      </c>
      <c r="S20" s="175"/>
      <c r="T20" s="174">
        <v>0</v>
      </c>
      <c r="U20" s="175"/>
      <c r="V20" s="174">
        <v>0</v>
      </c>
      <c r="W20" s="175"/>
      <c r="X20" s="174">
        <v>0</v>
      </c>
      <c r="Y20" s="175"/>
      <c r="Z20" s="174">
        <v>0</v>
      </c>
      <c r="AA20" s="175"/>
      <c r="AB20" s="174">
        <v>0</v>
      </c>
      <c r="AC20" s="175"/>
      <c r="AD20" s="174">
        <v>0</v>
      </c>
      <c r="AE20" s="175"/>
      <c r="AF20" s="174">
        <v>0</v>
      </c>
      <c r="AG20" s="175"/>
      <c r="AH20" s="174">
        <v>0</v>
      </c>
      <c r="AI20" s="175"/>
      <c r="AJ20" s="174">
        <v>0</v>
      </c>
      <c r="AK20" s="175"/>
      <c r="AL20" s="174">
        <v>0</v>
      </c>
      <c r="AM20" s="175"/>
      <c r="AN20" s="174">
        <v>23994</v>
      </c>
      <c r="AO20" s="175"/>
      <c r="AP20" s="174"/>
      <c r="AQ20" s="175"/>
      <c r="AR20" s="174"/>
      <c r="AS20" s="175"/>
      <c r="AT20" s="174"/>
      <c r="AU20" s="175"/>
      <c r="AV20" s="174">
        <f t="shared" si="0"/>
        <v>58097</v>
      </c>
      <c r="AW20" s="603"/>
      <c r="AX20" s="604"/>
      <c r="AY20" s="580"/>
      <c r="AZ20" s="574"/>
      <c r="BA20" s="575"/>
      <c r="BB20" s="575"/>
      <c r="BC20" s="576"/>
    </row>
    <row r="21" spans="1:55" ht="21" customHeight="1">
      <c r="A21" s="569"/>
      <c r="B21" s="173" t="s">
        <v>168</v>
      </c>
      <c r="D21" s="174">
        <v>0</v>
      </c>
      <c r="E21" s="172"/>
      <c r="F21" s="174">
        <v>745242</v>
      </c>
      <c r="H21" s="174">
        <v>19103</v>
      </c>
      <c r="I21" s="172"/>
      <c r="J21" s="174">
        <v>360879</v>
      </c>
      <c r="K21" s="175"/>
      <c r="L21" s="174">
        <v>1396</v>
      </c>
      <c r="M21" s="175"/>
      <c r="N21" s="174">
        <v>0</v>
      </c>
      <c r="O21" s="175"/>
      <c r="P21" s="174">
        <v>183720</v>
      </c>
      <c r="Q21" s="175"/>
      <c r="R21" s="174">
        <v>0</v>
      </c>
      <c r="S21" s="175"/>
      <c r="T21" s="174">
        <v>0</v>
      </c>
      <c r="U21" s="175"/>
      <c r="V21" s="174">
        <v>1005226</v>
      </c>
      <c r="W21" s="175"/>
      <c r="X21" s="174">
        <v>0</v>
      </c>
      <c r="Y21" s="175"/>
      <c r="Z21" s="174">
        <v>290762</v>
      </c>
      <c r="AA21" s="175"/>
      <c r="AB21" s="174">
        <v>0</v>
      </c>
      <c r="AC21" s="175"/>
      <c r="AD21" s="174">
        <v>0</v>
      </c>
      <c r="AE21" s="175"/>
      <c r="AF21" s="174">
        <v>0</v>
      </c>
      <c r="AG21" s="175"/>
      <c r="AH21" s="174">
        <v>219179</v>
      </c>
      <c r="AI21" s="175"/>
      <c r="AJ21" s="174">
        <v>251</v>
      </c>
      <c r="AK21" s="175"/>
      <c r="AL21" s="174">
        <v>53865</v>
      </c>
      <c r="AM21" s="175"/>
      <c r="AN21" s="174">
        <v>0</v>
      </c>
      <c r="AO21" s="175"/>
      <c r="AP21" s="174"/>
      <c r="AQ21" s="175"/>
      <c r="AR21" s="174"/>
      <c r="AS21" s="175"/>
      <c r="AT21" s="174"/>
      <c r="AU21" s="175"/>
      <c r="AV21" s="174">
        <f t="shared" si="0"/>
        <v>2879623</v>
      </c>
      <c r="AW21" s="582" t="s">
        <v>216</v>
      </c>
      <c r="AX21" s="583"/>
      <c r="AY21" s="586">
        <v>2249093</v>
      </c>
      <c r="AZ21" s="574"/>
      <c r="BA21" s="575"/>
      <c r="BB21" s="575"/>
      <c r="BC21" s="576"/>
    </row>
    <row r="22" spans="1:55" ht="21" customHeight="1">
      <c r="A22" s="569"/>
      <c r="B22" s="173" t="s">
        <v>49</v>
      </c>
      <c r="D22" s="174">
        <v>0</v>
      </c>
      <c r="E22" s="172"/>
      <c r="F22" s="174">
        <v>5265908</v>
      </c>
      <c r="H22" s="174">
        <v>648579</v>
      </c>
      <c r="I22" s="172"/>
      <c r="J22" s="174">
        <v>1170037</v>
      </c>
      <c r="K22" s="175"/>
      <c r="L22" s="174">
        <v>1300791</v>
      </c>
      <c r="M22" s="175"/>
      <c r="N22" s="174">
        <v>0</v>
      </c>
      <c r="O22" s="175"/>
      <c r="P22" s="174">
        <v>1467145</v>
      </c>
      <c r="Q22" s="175"/>
      <c r="R22" s="174">
        <v>0</v>
      </c>
      <c r="S22" s="175"/>
      <c r="T22" s="174">
        <v>250167</v>
      </c>
      <c r="U22" s="175"/>
      <c r="V22" s="174">
        <v>2777759</v>
      </c>
      <c r="W22" s="175"/>
      <c r="X22" s="174">
        <v>63340</v>
      </c>
      <c r="Y22" s="175"/>
      <c r="Z22" s="174">
        <v>887191</v>
      </c>
      <c r="AA22" s="175"/>
      <c r="AB22" s="174">
        <v>54852</v>
      </c>
      <c r="AC22" s="175"/>
      <c r="AD22" s="174">
        <v>1574308</v>
      </c>
      <c r="AE22" s="175"/>
      <c r="AF22" s="174">
        <v>1131657</v>
      </c>
      <c r="AG22" s="175"/>
      <c r="AH22" s="174">
        <v>3590633</v>
      </c>
      <c r="AI22" s="175"/>
      <c r="AJ22" s="174">
        <v>1196456</v>
      </c>
      <c r="AK22" s="175"/>
      <c r="AL22" s="174">
        <v>350229</v>
      </c>
      <c r="AM22" s="175"/>
      <c r="AN22" s="174">
        <v>50500</v>
      </c>
      <c r="AO22" s="175"/>
      <c r="AP22" s="174"/>
      <c r="AQ22" s="175"/>
      <c r="AR22" s="174"/>
      <c r="AS22" s="175"/>
      <c r="AT22" s="174">
        <v>350000</v>
      </c>
      <c r="AU22" s="175"/>
      <c r="AV22" s="174">
        <f t="shared" si="0"/>
        <v>21779552</v>
      </c>
      <c r="AW22" s="584"/>
      <c r="AX22" s="585"/>
      <c r="AY22" s="580"/>
      <c r="AZ22" s="574"/>
      <c r="BA22" s="575"/>
      <c r="BB22" s="575"/>
      <c r="BC22" s="576"/>
    </row>
    <row r="23" spans="1:55" ht="21" customHeight="1">
      <c r="A23" s="569"/>
      <c r="B23" s="173" t="s">
        <v>45</v>
      </c>
      <c r="D23" s="174">
        <v>0</v>
      </c>
      <c r="E23" s="172"/>
      <c r="F23" s="174">
        <v>3653018</v>
      </c>
      <c r="H23" s="174">
        <v>547002</v>
      </c>
      <c r="I23" s="172"/>
      <c r="J23" s="174">
        <v>4287385</v>
      </c>
      <c r="K23" s="175"/>
      <c r="L23" s="174">
        <v>1323991</v>
      </c>
      <c r="M23" s="175"/>
      <c r="N23" s="174">
        <v>0</v>
      </c>
      <c r="O23" s="175"/>
      <c r="P23" s="174">
        <v>1424809</v>
      </c>
      <c r="Q23" s="175"/>
      <c r="R23" s="174">
        <v>0</v>
      </c>
      <c r="S23" s="175"/>
      <c r="T23" s="174">
        <v>2355047</v>
      </c>
      <c r="U23" s="175"/>
      <c r="V23" s="174">
        <v>1831793</v>
      </c>
      <c r="W23" s="175"/>
      <c r="X23" s="174">
        <v>873923</v>
      </c>
      <c r="Y23" s="175"/>
      <c r="Z23" s="174">
        <v>632162</v>
      </c>
      <c r="AA23" s="175"/>
      <c r="AB23" s="174">
        <v>102682</v>
      </c>
      <c r="AC23" s="175"/>
      <c r="AD23" s="174">
        <v>244460</v>
      </c>
      <c r="AE23" s="175"/>
      <c r="AF23" s="174">
        <v>246672</v>
      </c>
      <c r="AG23" s="175"/>
      <c r="AH23" s="174">
        <v>1146422</v>
      </c>
      <c r="AI23" s="175"/>
      <c r="AJ23" s="174">
        <v>555127</v>
      </c>
      <c r="AK23" s="175"/>
      <c r="AL23" s="174">
        <v>1894218</v>
      </c>
      <c r="AM23" s="175"/>
      <c r="AN23" s="174">
        <v>557721</v>
      </c>
      <c r="AO23" s="175"/>
      <c r="AP23" s="174"/>
      <c r="AQ23" s="175"/>
      <c r="AR23" s="174"/>
      <c r="AS23" s="175"/>
      <c r="AT23" s="174">
        <v>187221</v>
      </c>
      <c r="AU23" s="175"/>
      <c r="AV23" s="174">
        <f t="shared" si="0"/>
        <v>21676432</v>
      </c>
      <c r="AW23" s="582" t="s">
        <v>217</v>
      </c>
      <c r="AX23" s="583"/>
      <c r="AY23" s="586">
        <v>1941247</v>
      </c>
      <c r="AZ23" s="574"/>
      <c r="BA23" s="575"/>
      <c r="BB23" s="575"/>
      <c r="BC23" s="576"/>
    </row>
    <row r="24" spans="1:55" ht="21" customHeight="1">
      <c r="A24" s="569"/>
      <c r="B24" s="173" t="s">
        <v>47</v>
      </c>
      <c r="D24" s="174">
        <v>0</v>
      </c>
      <c r="E24" s="172"/>
      <c r="F24" s="174">
        <v>7472</v>
      </c>
      <c r="H24" s="174">
        <v>3607</v>
      </c>
      <c r="I24" s="172"/>
      <c r="J24" s="174">
        <v>18422</v>
      </c>
      <c r="K24" s="175"/>
      <c r="L24" s="174">
        <v>45912</v>
      </c>
      <c r="M24" s="175"/>
      <c r="N24" s="174">
        <v>0</v>
      </c>
      <c r="O24" s="175"/>
      <c r="P24" s="174">
        <v>2807</v>
      </c>
      <c r="Q24" s="175"/>
      <c r="R24" s="174">
        <v>0</v>
      </c>
      <c r="S24" s="175"/>
      <c r="T24" s="174">
        <v>3659</v>
      </c>
      <c r="U24" s="175"/>
      <c r="V24" s="174">
        <v>1344</v>
      </c>
      <c r="W24" s="175"/>
      <c r="X24" s="174">
        <v>4770</v>
      </c>
      <c r="Y24" s="175"/>
      <c r="Z24" s="174">
        <v>2732</v>
      </c>
      <c r="AA24" s="175"/>
      <c r="AB24" s="174">
        <v>1855</v>
      </c>
      <c r="AC24" s="175"/>
      <c r="AD24" s="174">
        <v>39275</v>
      </c>
      <c r="AE24" s="175"/>
      <c r="AF24" s="174">
        <v>2558</v>
      </c>
      <c r="AG24" s="175"/>
      <c r="AH24" s="174">
        <v>91695</v>
      </c>
      <c r="AI24" s="175"/>
      <c r="AJ24" s="174">
        <v>3048</v>
      </c>
      <c r="AK24" s="175"/>
      <c r="AL24" s="174">
        <v>784</v>
      </c>
      <c r="AM24" s="175"/>
      <c r="AN24" s="174">
        <v>11501</v>
      </c>
      <c r="AO24" s="175"/>
      <c r="AP24" s="174"/>
      <c r="AQ24" s="175"/>
      <c r="AR24" s="174"/>
      <c r="AS24" s="175"/>
      <c r="AT24" s="174">
        <v>12231</v>
      </c>
      <c r="AU24" s="175"/>
      <c r="AV24" s="174">
        <f t="shared" si="0"/>
        <v>241441</v>
      </c>
      <c r="AW24" s="584"/>
      <c r="AX24" s="585"/>
      <c r="AY24" s="580"/>
      <c r="AZ24" s="574"/>
      <c r="BA24" s="575"/>
      <c r="BB24" s="575"/>
      <c r="BC24" s="576"/>
    </row>
    <row r="25" spans="1:55" ht="21" customHeight="1">
      <c r="A25" s="569"/>
      <c r="B25" s="176" t="s">
        <v>169</v>
      </c>
      <c r="D25" s="177">
        <v>0</v>
      </c>
      <c r="E25" s="172"/>
      <c r="F25" s="177">
        <v>7895</v>
      </c>
      <c r="H25" s="177"/>
      <c r="I25" s="172"/>
      <c r="J25" s="177">
        <v>7493</v>
      </c>
      <c r="K25" s="175"/>
      <c r="L25" s="177">
        <v>756916</v>
      </c>
      <c r="M25" s="175"/>
      <c r="N25" s="177">
        <v>0</v>
      </c>
      <c r="O25" s="175"/>
      <c r="P25" s="177">
        <v>142200</v>
      </c>
      <c r="Q25" s="175"/>
      <c r="R25" s="177">
        <v>0</v>
      </c>
      <c r="S25" s="175"/>
      <c r="T25" s="177">
        <v>0</v>
      </c>
      <c r="U25" s="175"/>
      <c r="V25" s="177">
        <v>0</v>
      </c>
      <c r="W25" s="175"/>
      <c r="X25" s="177">
        <v>0</v>
      </c>
      <c r="Y25" s="175"/>
      <c r="Z25" s="177">
        <v>90503</v>
      </c>
      <c r="AA25" s="175"/>
      <c r="AB25" s="177">
        <v>0</v>
      </c>
      <c r="AC25" s="175"/>
      <c r="AD25" s="177">
        <v>0</v>
      </c>
      <c r="AE25" s="175"/>
      <c r="AF25" s="177">
        <v>9119</v>
      </c>
      <c r="AG25" s="175"/>
      <c r="AH25" s="177">
        <v>0</v>
      </c>
      <c r="AI25" s="175"/>
      <c r="AJ25" s="177">
        <v>29730</v>
      </c>
      <c r="AK25" s="175"/>
      <c r="AL25" s="177">
        <v>4225</v>
      </c>
      <c r="AM25" s="175"/>
      <c r="AN25" s="177">
        <v>15720</v>
      </c>
      <c r="AO25" s="175"/>
      <c r="AP25" s="177"/>
      <c r="AQ25" s="175"/>
      <c r="AR25" s="177"/>
      <c r="AS25" s="175"/>
      <c r="AT25" s="177">
        <v>3700</v>
      </c>
      <c r="AU25" s="175"/>
      <c r="AV25" s="177">
        <f t="shared" si="0"/>
        <v>1063801</v>
      </c>
      <c r="AW25" s="605" t="s">
        <v>218</v>
      </c>
      <c r="AX25" s="606"/>
      <c r="AY25" s="297">
        <v>17692281</v>
      </c>
      <c r="AZ25" s="574"/>
      <c r="BA25" s="575"/>
      <c r="BB25" s="575"/>
      <c r="BC25" s="576"/>
    </row>
    <row r="26" spans="1:55" ht="24.75" customHeight="1" thickBot="1">
      <c r="A26" s="569"/>
      <c r="B26" s="178" t="s">
        <v>34</v>
      </c>
      <c r="D26" s="179">
        <f>SUM(D11:D25)</f>
        <v>0</v>
      </c>
      <c r="E26" s="172"/>
      <c r="F26" s="179">
        <f>SUM(F11:F25)</f>
        <v>25198731</v>
      </c>
      <c r="H26" s="179">
        <f>SUM(H11:H25)</f>
        <v>4196440</v>
      </c>
      <c r="I26" s="172"/>
      <c r="J26" s="179">
        <f>SUM(J11:J25)</f>
        <v>18806728</v>
      </c>
      <c r="K26" s="180"/>
      <c r="L26" s="179">
        <f>SUM(L11:L25)</f>
        <v>18516068</v>
      </c>
      <c r="M26" s="180"/>
      <c r="N26" s="179">
        <f>SUM(N11:N25)</f>
        <v>0</v>
      </c>
      <c r="O26" s="180"/>
      <c r="P26" s="179">
        <f>SUM(P11:P25)</f>
        <v>16594252</v>
      </c>
      <c r="Q26" s="180"/>
      <c r="R26" s="179">
        <f>SUM(R11:R25)</f>
        <v>0</v>
      </c>
      <c r="S26" s="180"/>
      <c r="T26" s="179">
        <f>SUM(T11:T25)</f>
        <v>6682364</v>
      </c>
      <c r="U26" s="180"/>
      <c r="V26" s="179">
        <f>SUM(V11:V25)</f>
        <v>14695143</v>
      </c>
      <c r="W26" s="180"/>
      <c r="X26" s="179">
        <f>SUM(X11:X25)</f>
        <v>5287838</v>
      </c>
      <c r="Y26" s="180"/>
      <c r="Z26" s="179">
        <f>SUM(Z11:Z25)</f>
        <v>9656821</v>
      </c>
      <c r="AA26" s="180"/>
      <c r="AB26" s="179">
        <f>SUM(AB11:AB25)</f>
        <v>4303645</v>
      </c>
      <c r="AC26" s="180"/>
      <c r="AD26" s="179">
        <f>SUM(AD11:AD25)</f>
        <v>4570919</v>
      </c>
      <c r="AE26" s="180"/>
      <c r="AF26" s="179">
        <f>SUM(AF11:AF25)</f>
        <v>4858680</v>
      </c>
      <c r="AG26" s="180"/>
      <c r="AH26" s="179">
        <f>SUM(AH11:AH25)</f>
        <v>11910474</v>
      </c>
      <c r="AI26" s="180"/>
      <c r="AJ26" s="179">
        <f>SUM(AJ11:AJ25)</f>
        <v>5773815</v>
      </c>
      <c r="AK26" s="180"/>
      <c r="AL26" s="179">
        <f>SUM(AL11:AL25)</f>
        <v>9508461</v>
      </c>
      <c r="AM26" s="180"/>
      <c r="AN26" s="179">
        <f>SUM(AN11:AN25)</f>
        <v>4172336</v>
      </c>
      <c r="AO26" s="180"/>
      <c r="AP26" s="179">
        <f>SUM(AP11:AP25)</f>
        <v>0</v>
      </c>
      <c r="AQ26" s="180"/>
      <c r="AR26" s="179">
        <f>SUM(AR11:AR25)</f>
        <v>0</v>
      </c>
      <c r="AS26" s="180"/>
      <c r="AT26" s="179">
        <f>SUM(AT11:AT25)</f>
        <v>1290137</v>
      </c>
      <c r="AU26" s="180"/>
      <c r="AV26" s="179">
        <f t="shared" si="0"/>
        <v>164732715</v>
      </c>
      <c r="AW26" s="607" t="s">
        <v>219</v>
      </c>
      <c r="AX26" s="608"/>
      <c r="AY26" s="298">
        <v>14225302</v>
      </c>
      <c r="AZ26" s="577"/>
      <c r="BA26" s="578"/>
      <c r="BB26" s="578"/>
      <c r="BC26" s="579"/>
    </row>
    <row r="27" spans="1:55" ht="21.75" thickTop="1">
      <c r="A27" s="569"/>
      <c r="B27" s="181" t="s">
        <v>67</v>
      </c>
      <c r="D27" s="175"/>
      <c r="E27" s="172"/>
      <c r="F27" s="175"/>
      <c r="H27" s="175"/>
      <c r="I27" s="172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>
        <f t="shared" si="0"/>
        <v>0</v>
      </c>
      <c r="AW27" s="571"/>
      <c r="AX27" s="572"/>
      <c r="AY27" s="573"/>
      <c r="AZ27" s="580">
        <f>AY19+AY21+AY23</f>
        <v>4805144</v>
      </c>
      <c r="BA27" s="580">
        <v>53419030</v>
      </c>
      <c r="BB27" s="580">
        <v>29302357</v>
      </c>
      <c r="BC27" s="580">
        <v>2245737</v>
      </c>
    </row>
    <row r="28" spans="1:55" ht="21">
      <c r="A28" s="569"/>
      <c r="B28" s="173" t="s">
        <v>63</v>
      </c>
      <c r="D28" s="174">
        <v>0</v>
      </c>
      <c r="E28" s="172"/>
      <c r="F28" s="174">
        <v>301991</v>
      </c>
      <c r="H28" s="174">
        <v>197588</v>
      </c>
      <c r="I28" s="172"/>
      <c r="J28" s="174">
        <v>274033</v>
      </c>
      <c r="K28" s="175"/>
      <c r="L28" s="174">
        <v>1936186</v>
      </c>
      <c r="M28" s="175"/>
      <c r="N28" s="174">
        <v>0</v>
      </c>
      <c r="O28" s="175"/>
      <c r="P28" s="174">
        <v>691162</v>
      </c>
      <c r="Q28" s="175"/>
      <c r="R28" s="174">
        <v>0</v>
      </c>
      <c r="S28" s="175"/>
      <c r="T28" s="174">
        <v>256153</v>
      </c>
      <c r="U28" s="175"/>
      <c r="V28" s="174">
        <v>113359</v>
      </c>
      <c r="W28" s="175"/>
      <c r="X28" s="174">
        <v>710113</v>
      </c>
      <c r="Y28" s="175"/>
      <c r="Z28" s="174">
        <v>0</v>
      </c>
      <c r="AA28" s="175"/>
      <c r="AB28" s="174">
        <v>776601</v>
      </c>
      <c r="AC28" s="175"/>
      <c r="AD28" s="174">
        <v>81834</v>
      </c>
      <c r="AE28" s="175"/>
      <c r="AF28" s="174">
        <v>110728</v>
      </c>
      <c r="AG28" s="175"/>
      <c r="AH28" s="174">
        <v>45003</v>
      </c>
      <c r="AI28" s="175"/>
      <c r="AJ28" s="174">
        <v>95369</v>
      </c>
      <c r="AK28" s="175"/>
      <c r="AL28" s="174">
        <v>105695</v>
      </c>
      <c r="AM28" s="175"/>
      <c r="AN28" s="174">
        <v>213150</v>
      </c>
      <c r="AO28" s="175"/>
      <c r="AP28" s="174"/>
      <c r="AQ28" s="175"/>
      <c r="AR28" s="174"/>
      <c r="AS28" s="175"/>
      <c r="AT28" s="174">
        <v>12501</v>
      </c>
      <c r="AU28" s="175"/>
      <c r="AV28" s="174">
        <f t="shared" si="0"/>
        <v>5908965</v>
      </c>
      <c r="AW28" s="574"/>
      <c r="AX28" s="575"/>
      <c r="AY28" s="576"/>
      <c r="AZ28" s="581"/>
      <c r="BA28" s="581"/>
      <c r="BB28" s="581"/>
      <c r="BC28" s="581"/>
    </row>
    <row r="29" spans="1:55" ht="21">
      <c r="A29" s="569"/>
      <c r="B29" s="173" t="s">
        <v>220</v>
      </c>
      <c r="D29" s="174">
        <v>0</v>
      </c>
      <c r="E29" s="172"/>
      <c r="F29" s="174">
        <v>0</v>
      </c>
      <c r="H29" s="174"/>
      <c r="I29" s="172"/>
      <c r="J29" s="174">
        <v>0</v>
      </c>
      <c r="K29" s="175"/>
      <c r="L29" s="174">
        <v>0</v>
      </c>
      <c r="M29" s="175"/>
      <c r="N29" s="174">
        <v>0</v>
      </c>
      <c r="O29" s="175"/>
      <c r="P29" s="174">
        <v>0</v>
      </c>
      <c r="Q29" s="175"/>
      <c r="R29" s="174">
        <v>0</v>
      </c>
      <c r="S29" s="175"/>
      <c r="T29" s="174">
        <v>0</v>
      </c>
      <c r="U29" s="175"/>
      <c r="V29" s="174">
        <v>0</v>
      </c>
      <c r="W29" s="175"/>
      <c r="X29" s="174">
        <v>0</v>
      </c>
      <c r="Y29" s="175"/>
      <c r="Z29" s="174">
        <v>0</v>
      </c>
      <c r="AA29" s="175"/>
      <c r="AB29" s="174">
        <v>0</v>
      </c>
      <c r="AC29" s="175"/>
      <c r="AD29" s="174">
        <v>0</v>
      </c>
      <c r="AE29" s="175"/>
      <c r="AF29" s="174">
        <v>0</v>
      </c>
      <c r="AG29" s="175"/>
      <c r="AH29" s="174">
        <v>0</v>
      </c>
      <c r="AI29" s="175"/>
      <c r="AJ29" s="174">
        <v>587877</v>
      </c>
      <c r="AK29" s="175"/>
      <c r="AL29" s="174">
        <v>0</v>
      </c>
      <c r="AM29" s="175"/>
      <c r="AN29" s="174"/>
      <c r="AO29" s="175"/>
      <c r="AP29" s="174"/>
      <c r="AQ29" s="175"/>
      <c r="AR29" s="174"/>
      <c r="AS29" s="175"/>
      <c r="AT29" s="174"/>
      <c r="AU29" s="175"/>
      <c r="AV29" s="174">
        <f t="shared" si="0"/>
        <v>587877</v>
      </c>
      <c r="AW29" s="574"/>
      <c r="AX29" s="575"/>
      <c r="AY29" s="576"/>
      <c r="AZ29" s="581"/>
      <c r="BA29" s="581"/>
      <c r="BB29" s="581"/>
      <c r="BC29" s="581"/>
    </row>
    <row r="30" spans="1:55" ht="21">
      <c r="A30" s="569"/>
      <c r="B30" s="173" t="s">
        <v>170</v>
      </c>
      <c r="D30" s="174">
        <v>0</v>
      </c>
      <c r="E30" s="172"/>
      <c r="F30" s="174">
        <v>42638</v>
      </c>
      <c r="H30" s="174">
        <v>74164</v>
      </c>
      <c r="I30" s="172"/>
      <c r="J30" s="174">
        <v>360273</v>
      </c>
      <c r="K30" s="175"/>
      <c r="L30" s="174">
        <v>427253</v>
      </c>
      <c r="M30" s="175"/>
      <c r="N30" s="174">
        <v>0</v>
      </c>
      <c r="O30" s="175"/>
      <c r="P30" s="174">
        <v>1007665</v>
      </c>
      <c r="Q30" s="175"/>
      <c r="R30" s="174">
        <v>0</v>
      </c>
      <c r="S30" s="175"/>
      <c r="T30" s="174">
        <v>217394</v>
      </c>
      <c r="U30" s="175"/>
      <c r="V30" s="174">
        <v>181964</v>
      </c>
      <c r="W30" s="175"/>
      <c r="X30" s="174">
        <v>115665</v>
      </c>
      <c r="Y30" s="175"/>
      <c r="Z30" s="174">
        <v>865754</v>
      </c>
      <c r="AA30" s="175"/>
      <c r="AB30" s="174">
        <v>569368</v>
      </c>
      <c r="AC30" s="175"/>
      <c r="AD30" s="174">
        <v>230361</v>
      </c>
      <c r="AE30" s="175"/>
      <c r="AF30" s="174">
        <v>139681</v>
      </c>
      <c r="AG30" s="175"/>
      <c r="AH30" s="174">
        <v>447857</v>
      </c>
      <c r="AI30" s="175"/>
      <c r="AJ30" s="174">
        <v>11134</v>
      </c>
      <c r="AK30" s="175"/>
      <c r="AL30" s="174">
        <v>217059</v>
      </c>
      <c r="AM30" s="175"/>
      <c r="AN30" s="174">
        <v>109853</v>
      </c>
      <c r="AO30" s="175"/>
      <c r="AP30" s="174"/>
      <c r="AQ30" s="175"/>
      <c r="AR30" s="174"/>
      <c r="AS30" s="175"/>
      <c r="AT30" s="174">
        <v>148245</v>
      </c>
      <c r="AU30" s="175"/>
      <c r="AV30" s="174">
        <f t="shared" si="0"/>
        <v>5018083</v>
      </c>
      <c r="AW30" s="574"/>
      <c r="AX30" s="575"/>
      <c r="AY30" s="576"/>
      <c r="AZ30" s="581"/>
      <c r="BA30" s="581"/>
      <c r="BB30" s="581"/>
      <c r="BC30" s="581"/>
    </row>
    <row r="31" spans="1:55" ht="21">
      <c r="A31" s="569"/>
      <c r="B31" s="173" t="s">
        <v>171</v>
      </c>
      <c r="D31" s="174">
        <v>0</v>
      </c>
      <c r="E31" s="172"/>
      <c r="F31" s="174">
        <v>2782432</v>
      </c>
      <c r="H31" s="174">
        <v>537495</v>
      </c>
      <c r="I31" s="172"/>
      <c r="J31" s="174">
        <v>668877</v>
      </c>
      <c r="K31" s="175"/>
      <c r="L31" s="174">
        <v>3200995</v>
      </c>
      <c r="M31" s="175"/>
      <c r="N31" s="174">
        <v>0</v>
      </c>
      <c r="O31" s="175"/>
      <c r="P31" s="174">
        <v>1183531</v>
      </c>
      <c r="Q31" s="175"/>
      <c r="R31" s="174">
        <v>0</v>
      </c>
      <c r="S31" s="175"/>
      <c r="T31" s="174">
        <v>933016</v>
      </c>
      <c r="U31" s="175"/>
      <c r="V31" s="174">
        <v>230158</v>
      </c>
      <c r="W31" s="175"/>
      <c r="X31" s="174">
        <v>670542</v>
      </c>
      <c r="Y31" s="175"/>
      <c r="Z31" s="174">
        <v>721064</v>
      </c>
      <c r="AA31" s="175"/>
      <c r="AB31" s="174">
        <v>418434</v>
      </c>
      <c r="AC31" s="175"/>
      <c r="AD31" s="174">
        <v>352464</v>
      </c>
      <c r="AE31" s="175"/>
      <c r="AF31" s="174">
        <v>312391</v>
      </c>
      <c r="AG31" s="175"/>
      <c r="AH31" s="174">
        <v>1616525</v>
      </c>
      <c r="AI31" s="175"/>
      <c r="AJ31" s="174">
        <v>300365</v>
      </c>
      <c r="AK31" s="175"/>
      <c r="AL31" s="174">
        <v>1147235</v>
      </c>
      <c r="AM31" s="175"/>
      <c r="AN31" s="174">
        <v>250796</v>
      </c>
      <c r="AO31" s="175"/>
      <c r="AP31" s="174"/>
      <c r="AQ31" s="175"/>
      <c r="AR31" s="174"/>
      <c r="AS31" s="175"/>
      <c r="AT31" s="174">
        <v>122482</v>
      </c>
      <c r="AU31" s="175"/>
      <c r="AV31" s="174">
        <f t="shared" si="0"/>
        <v>15326320</v>
      </c>
      <c r="AW31" s="574"/>
      <c r="AX31" s="575"/>
      <c r="AY31" s="576"/>
      <c r="AZ31" s="581"/>
      <c r="BA31" s="581"/>
      <c r="BB31" s="581"/>
      <c r="BC31" s="581"/>
    </row>
    <row r="32" spans="1:55" ht="21">
      <c r="A32" s="569"/>
      <c r="B32" s="173" t="s">
        <v>172</v>
      </c>
      <c r="D32" s="174">
        <v>0</v>
      </c>
      <c r="E32" s="172"/>
      <c r="F32" s="174">
        <v>1596</v>
      </c>
      <c r="H32" s="174"/>
      <c r="I32" s="172"/>
      <c r="J32" s="174">
        <v>8679</v>
      </c>
      <c r="K32" s="175"/>
      <c r="L32" s="174">
        <v>246</v>
      </c>
      <c r="M32" s="175"/>
      <c r="N32" s="174">
        <v>0</v>
      </c>
      <c r="O32" s="175"/>
      <c r="P32" s="174">
        <v>101706</v>
      </c>
      <c r="Q32" s="175"/>
      <c r="R32" s="174">
        <v>0</v>
      </c>
      <c r="S32" s="175"/>
      <c r="T32" s="174">
        <v>0</v>
      </c>
      <c r="U32" s="175"/>
      <c r="V32" s="174">
        <v>3141</v>
      </c>
      <c r="W32" s="175"/>
      <c r="X32" s="174">
        <v>0</v>
      </c>
      <c r="Y32" s="175"/>
      <c r="Z32" s="174">
        <v>80352</v>
      </c>
      <c r="AA32" s="175"/>
      <c r="AB32" s="174">
        <v>51049</v>
      </c>
      <c r="AC32" s="175"/>
      <c r="AD32" s="174">
        <v>0</v>
      </c>
      <c r="AE32" s="175"/>
      <c r="AF32" s="174">
        <v>0</v>
      </c>
      <c r="AG32" s="175"/>
      <c r="AH32" s="174">
        <v>0</v>
      </c>
      <c r="AI32" s="175"/>
      <c r="AJ32" s="174">
        <v>4383</v>
      </c>
      <c r="AK32" s="175"/>
      <c r="AL32" s="174">
        <v>0</v>
      </c>
      <c r="AM32" s="175"/>
      <c r="AN32" s="174">
        <v>0</v>
      </c>
      <c r="AO32" s="175"/>
      <c r="AP32" s="174"/>
      <c r="AQ32" s="175"/>
      <c r="AR32" s="174"/>
      <c r="AS32" s="175"/>
      <c r="AT32" s="174">
        <v>6398</v>
      </c>
      <c r="AU32" s="175"/>
      <c r="AV32" s="174">
        <f t="shared" si="0"/>
        <v>251152</v>
      </c>
      <c r="AW32" s="574"/>
      <c r="AX32" s="575"/>
      <c r="AY32" s="576"/>
      <c r="AZ32" s="581"/>
      <c r="BA32" s="581"/>
      <c r="BB32" s="581"/>
      <c r="BC32" s="581"/>
    </row>
    <row r="33" spans="1:55" ht="112.5">
      <c r="A33" s="569"/>
      <c r="B33" s="173" t="s">
        <v>221</v>
      </c>
      <c r="D33" s="174">
        <v>0</v>
      </c>
      <c r="E33" s="172"/>
      <c r="F33" s="174">
        <v>0</v>
      </c>
      <c r="H33" s="174"/>
      <c r="I33" s="172"/>
      <c r="J33" s="174">
        <v>0</v>
      </c>
      <c r="K33" s="175"/>
      <c r="L33" s="174">
        <v>0</v>
      </c>
      <c r="M33" s="175"/>
      <c r="N33" s="174">
        <v>0</v>
      </c>
      <c r="O33" s="175"/>
      <c r="P33" s="174">
        <v>0</v>
      </c>
      <c r="Q33" s="175"/>
      <c r="R33" s="174">
        <v>0</v>
      </c>
      <c r="S33" s="175"/>
      <c r="T33" s="174">
        <v>0</v>
      </c>
      <c r="U33" s="175"/>
      <c r="V33" s="174">
        <v>0</v>
      </c>
      <c r="W33" s="175"/>
      <c r="X33" s="174">
        <v>0</v>
      </c>
      <c r="Y33" s="175"/>
      <c r="Z33" s="174">
        <v>0</v>
      </c>
      <c r="AA33" s="175"/>
      <c r="AB33" s="174">
        <v>0</v>
      </c>
      <c r="AC33" s="175"/>
      <c r="AD33" s="174">
        <v>0</v>
      </c>
      <c r="AE33" s="175"/>
      <c r="AF33" s="174">
        <v>0</v>
      </c>
      <c r="AG33" s="175"/>
      <c r="AH33" s="174">
        <v>0</v>
      </c>
      <c r="AI33" s="175"/>
      <c r="AJ33" s="174">
        <v>0</v>
      </c>
      <c r="AK33" s="175"/>
      <c r="AL33" s="174">
        <v>0</v>
      </c>
      <c r="AM33" s="175"/>
      <c r="AN33" s="174">
        <v>171548</v>
      </c>
      <c r="AO33" s="175"/>
      <c r="AP33" s="174"/>
      <c r="AQ33" s="175"/>
      <c r="AR33" s="174"/>
      <c r="AS33" s="175"/>
      <c r="AT33" s="174">
        <v>0</v>
      </c>
      <c r="AU33" s="175"/>
      <c r="AV33" s="174">
        <f t="shared" si="0"/>
        <v>171548</v>
      </c>
      <c r="AW33" s="574"/>
      <c r="AX33" s="575"/>
      <c r="AY33" s="576"/>
      <c r="AZ33" s="259" t="s">
        <v>222</v>
      </c>
      <c r="BA33" s="260">
        <f>BA27/($AV$26-$AV$17)</f>
        <v>0.39663224449568285</v>
      </c>
      <c r="BB33" s="260">
        <f>BB27/($AV$26-$AV$17)</f>
        <v>0.21756777736180877</v>
      </c>
      <c r="BC33" s="261"/>
    </row>
    <row r="34" spans="1:55" ht="56.25">
      <c r="A34" s="569"/>
      <c r="B34" s="173" t="s">
        <v>223</v>
      </c>
      <c r="D34" s="174">
        <v>0</v>
      </c>
      <c r="E34" s="172"/>
      <c r="F34" s="174">
        <v>0</v>
      </c>
      <c r="H34" s="174"/>
      <c r="I34" s="172"/>
      <c r="J34" s="174">
        <v>0</v>
      </c>
      <c r="K34" s="175"/>
      <c r="L34" s="174">
        <v>0</v>
      </c>
      <c r="M34" s="175"/>
      <c r="N34" s="174">
        <v>0</v>
      </c>
      <c r="O34" s="175"/>
      <c r="P34" s="174">
        <v>0</v>
      </c>
      <c r="Q34" s="175"/>
      <c r="R34" s="174">
        <v>0</v>
      </c>
      <c r="S34" s="175"/>
      <c r="T34" s="174">
        <v>0</v>
      </c>
      <c r="U34" s="175"/>
      <c r="V34" s="174">
        <v>0</v>
      </c>
      <c r="W34" s="175"/>
      <c r="X34" s="174">
        <v>0</v>
      </c>
      <c r="Y34" s="175"/>
      <c r="Z34" s="174">
        <v>0</v>
      </c>
      <c r="AA34" s="175"/>
      <c r="AB34" s="174">
        <v>0</v>
      </c>
      <c r="AC34" s="175"/>
      <c r="AD34" s="174">
        <v>0</v>
      </c>
      <c r="AE34" s="175"/>
      <c r="AF34" s="174">
        <v>0</v>
      </c>
      <c r="AG34" s="175"/>
      <c r="AH34" s="174">
        <v>0</v>
      </c>
      <c r="AI34" s="175"/>
      <c r="AJ34" s="174">
        <v>0</v>
      </c>
      <c r="AK34" s="175"/>
      <c r="AL34" s="174">
        <v>0</v>
      </c>
      <c r="AM34" s="175"/>
      <c r="AN34" s="174">
        <v>0</v>
      </c>
      <c r="AO34" s="175"/>
      <c r="AP34" s="174"/>
      <c r="AQ34" s="175"/>
      <c r="AR34" s="174"/>
      <c r="AS34" s="175"/>
      <c r="AT34" s="174">
        <v>0</v>
      </c>
      <c r="AU34" s="175"/>
      <c r="AV34" s="174">
        <f t="shared" si="0"/>
        <v>0</v>
      </c>
      <c r="AW34" s="577"/>
      <c r="AX34" s="578"/>
      <c r="AY34" s="579"/>
      <c r="AZ34" s="262" t="s">
        <v>204</v>
      </c>
      <c r="BA34" s="263"/>
      <c r="BB34" s="264">
        <v>24116673</v>
      </c>
      <c r="BC34" s="263"/>
    </row>
    <row r="35" spans="1:55" ht="21">
      <c r="A35" s="569"/>
      <c r="B35" s="173" t="s">
        <v>55</v>
      </c>
      <c r="D35" s="174">
        <v>0</v>
      </c>
      <c r="E35" s="172"/>
      <c r="F35" s="174">
        <v>2267</v>
      </c>
      <c r="H35" s="174">
        <v>73601</v>
      </c>
      <c r="I35" s="172"/>
      <c r="J35" s="174">
        <v>34496</v>
      </c>
      <c r="K35" s="175"/>
      <c r="L35" s="174">
        <v>13751</v>
      </c>
      <c r="M35" s="175"/>
      <c r="N35" s="174">
        <v>0</v>
      </c>
      <c r="O35" s="175"/>
      <c r="P35" s="174">
        <v>248167</v>
      </c>
      <c r="Q35" s="175"/>
      <c r="R35" s="174">
        <v>0</v>
      </c>
      <c r="S35" s="175"/>
      <c r="T35" s="174">
        <v>0</v>
      </c>
      <c r="U35" s="175"/>
      <c r="V35" s="174">
        <v>270965</v>
      </c>
      <c r="W35" s="175"/>
      <c r="X35" s="174">
        <v>24459</v>
      </c>
      <c r="Y35" s="175"/>
      <c r="Z35" s="174">
        <v>454630</v>
      </c>
      <c r="AA35" s="175"/>
      <c r="AB35" s="174">
        <v>73253</v>
      </c>
      <c r="AC35" s="175"/>
      <c r="AD35" s="174">
        <v>0</v>
      </c>
      <c r="AE35" s="175"/>
      <c r="AF35" s="174">
        <v>15271</v>
      </c>
      <c r="AG35" s="175"/>
      <c r="AH35" s="174">
        <v>997</v>
      </c>
      <c r="AI35" s="175"/>
      <c r="AJ35" s="174">
        <v>0</v>
      </c>
      <c r="AK35" s="175"/>
      <c r="AL35" s="174">
        <v>4395</v>
      </c>
      <c r="AM35" s="175"/>
      <c r="AN35" s="174">
        <v>1250</v>
      </c>
      <c r="AO35" s="175"/>
      <c r="AP35" s="174"/>
      <c r="AQ35" s="175"/>
      <c r="AR35" s="174"/>
      <c r="AS35" s="175"/>
      <c r="AT35" s="174">
        <v>0</v>
      </c>
      <c r="AU35" s="175"/>
      <c r="AV35" s="174">
        <f t="shared" si="0"/>
        <v>1217502</v>
      </c>
    </row>
    <row r="36" spans="1:55" ht="21">
      <c r="A36" s="569"/>
      <c r="B36" s="173" t="s">
        <v>224</v>
      </c>
      <c r="D36" s="174">
        <v>0</v>
      </c>
      <c r="E36" s="172"/>
      <c r="F36" s="174">
        <v>0</v>
      </c>
      <c r="H36" s="174"/>
      <c r="I36" s="172"/>
      <c r="J36" s="174">
        <v>0</v>
      </c>
      <c r="K36" s="175"/>
      <c r="L36" s="174">
        <v>0</v>
      </c>
      <c r="M36" s="175"/>
      <c r="N36" s="174">
        <v>0</v>
      </c>
      <c r="O36" s="175"/>
      <c r="P36" s="174">
        <v>0</v>
      </c>
      <c r="Q36" s="175"/>
      <c r="R36" s="174">
        <v>0</v>
      </c>
      <c r="S36" s="175"/>
      <c r="T36" s="174">
        <v>0</v>
      </c>
      <c r="U36" s="175"/>
      <c r="V36" s="174">
        <v>0</v>
      </c>
      <c r="W36" s="175"/>
      <c r="X36" s="174">
        <v>0</v>
      </c>
      <c r="Y36" s="175"/>
      <c r="Z36" s="174">
        <v>0</v>
      </c>
      <c r="AA36" s="175"/>
      <c r="AB36" s="174">
        <v>260000</v>
      </c>
      <c r="AC36" s="175"/>
      <c r="AD36" s="174">
        <v>100290</v>
      </c>
      <c r="AE36" s="175"/>
      <c r="AF36" s="174">
        <v>18753</v>
      </c>
      <c r="AG36" s="175"/>
      <c r="AH36" s="174">
        <v>0</v>
      </c>
      <c r="AI36" s="175"/>
      <c r="AJ36" s="174">
        <v>0</v>
      </c>
      <c r="AK36" s="175"/>
      <c r="AL36" s="174">
        <v>0</v>
      </c>
      <c r="AM36" s="175"/>
      <c r="AN36" s="174">
        <v>0</v>
      </c>
      <c r="AO36" s="175"/>
      <c r="AP36" s="174"/>
      <c r="AQ36" s="175"/>
      <c r="AR36" s="174"/>
      <c r="AS36" s="175"/>
      <c r="AT36" s="174">
        <v>0</v>
      </c>
      <c r="AU36" s="175"/>
      <c r="AV36" s="174">
        <f t="shared" si="0"/>
        <v>379043</v>
      </c>
    </row>
    <row r="37" spans="1:55" ht="21">
      <c r="A37" s="569"/>
      <c r="B37" s="173" t="s">
        <v>173</v>
      </c>
      <c r="D37" s="174">
        <v>0</v>
      </c>
      <c r="E37" s="172"/>
      <c r="F37" s="174">
        <v>13261069</v>
      </c>
      <c r="H37" s="174">
        <v>1414335</v>
      </c>
      <c r="I37" s="172"/>
      <c r="J37" s="174">
        <v>8243617</v>
      </c>
      <c r="K37" s="175"/>
      <c r="L37" s="174">
        <v>8820500</v>
      </c>
      <c r="M37" s="175"/>
      <c r="N37" s="174">
        <v>0</v>
      </c>
      <c r="O37" s="175"/>
      <c r="P37" s="174">
        <v>7015461</v>
      </c>
      <c r="Q37" s="175"/>
      <c r="R37" s="174">
        <v>0</v>
      </c>
      <c r="S37" s="175"/>
      <c r="T37" s="174">
        <v>2156318</v>
      </c>
      <c r="U37" s="175"/>
      <c r="V37" s="174">
        <v>10308814</v>
      </c>
      <c r="W37" s="175"/>
      <c r="X37" s="174">
        <v>1660492</v>
      </c>
      <c r="Y37" s="175"/>
      <c r="Z37" s="174">
        <v>2002490</v>
      </c>
      <c r="AA37" s="175"/>
      <c r="AB37" s="174">
        <v>1210202</v>
      </c>
      <c r="AC37" s="175"/>
      <c r="AD37" s="174">
        <v>2553498</v>
      </c>
      <c r="AE37" s="175"/>
      <c r="AF37" s="174">
        <v>2561704</v>
      </c>
      <c r="AG37" s="175"/>
      <c r="AH37" s="174">
        <v>5985249</v>
      </c>
      <c r="AI37" s="175"/>
      <c r="AJ37" s="174">
        <v>2565501</v>
      </c>
      <c r="AK37" s="175"/>
      <c r="AL37" s="174">
        <v>4198697</v>
      </c>
      <c r="AM37" s="175"/>
      <c r="AN37" s="174">
        <v>1518800</v>
      </c>
      <c r="AO37" s="175"/>
      <c r="AP37" s="174"/>
      <c r="AQ37" s="175"/>
      <c r="AR37" s="174"/>
      <c r="AS37" s="175"/>
      <c r="AT37" s="174">
        <v>343544</v>
      </c>
      <c r="AU37" s="175"/>
      <c r="AV37" s="174">
        <f t="shared" si="0"/>
        <v>75476747</v>
      </c>
    </row>
    <row r="38" spans="1:55" ht="21">
      <c r="A38" s="569"/>
      <c r="B38" s="173" t="s">
        <v>174</v>
      </c>
      <c r="D38" s="174">
        <v>0</v>
      </c>
      <c r="E38" s="172"/>
      <c r="F38" s="174">
        <v>3472302</v>
      </c>
      <c r="H38" s="174">
        <v>275163</v>
      </c>
      <c r="I38" s="172"/>
      <c r="J38" s="174">
        <v>3379844</v>
      </c>
      <c r="K38" s="175"/>
      <c r="L38" s="174">
        <v>1408847</v>
      </c>
      <c r="M38" s="175"/>
      <c r="N38" s="174">
        <v>0</v>
      </c>
      <c r="O38" s="175"/>
      <c r="P38" s="174">
        <v>1595960</v>
      </c>
      <c r="Q38" s="175"/>
      <c r="R38" s="174">
        <v>0</v>
      </c>
      <c r="S38" s="175"/>
      <c r="T38" s="174">
        <v>544662</v>
      </c>
      <c r="U38" s="175"/>
      <c r="V38" s="174">
        <v>725708</v>
      </c>
      <c r="W38" s="175"/>
      <c r="X38" s="174">
        <v>622203</v>
      </c>
      <c r="Y38" s="175"/>
      <c r="Z38" s="174">
        <v>1977702</v>
      </c>
      <c r="AA38" s="175"/>
      <c r="AB38" s="174">
        <v>394931</v>
      </c>
      <c r="AC38" s="175"/>
      <c r="AD38" s="174">
        <v>326174</v>
      </c>
      <c r="AE38" s="175"/>
      <c r="AF38" s="174">
        <v>511563</v>
      </c>
      <c r="AG38" s="175"/>
      <c r="AH38" s="174">
        <v>1209898</v>
      </c>
      <c r="AI38" s="175"/>
      <c r="AJ38" s="174">
        <v>386982</v>
      </c>
      <c r="AK38" s="175"/>
      <c r="AL38" s="174">
        <v>1468808</v>
      </c>
      <c r="AM38" s="175"/>
      <c r="AN38" s="174">
        <v>1033564</v>
      </c>
      <c r="AO38" s="175"/>
      <c r="AP38" s="174"/>
      <c r="AQ38" s="175"/>
      <c r="AR38" s="174"/>
      <c r="AS38" s="175"/>
      <c r="AT38" s="174">
        <v>119223</v>
      </c>
      <c r="AU38" s="175"/>
      <c r="AV38" s="174">
        <f t="shared" si="0"/>
        <v>19334311</v>
      </c>
    </row>
    <row r="39" spans="1:55" ht="21">
      <c r="A39" s="569"/>
      <c r="B39" s="173" t="s">
        <v>175</v>
      </c>
      <c r="D39" s="174">
        <v>0</v>
      </c>
      <c r="E39" s="172"/>
      <c r="F39" s="174">
        <v>417931</v>
      </c>
      <c r="H39" s="174">
        <v>2038</v>
      </c>
      <c r="I39" s="172"/>
      <c r="J39" s="174">
        <v>411031</v>
      </c>
      <c r="K39" s="175"/>
      <c r="L39" s="174">
        <v>320887</v>
      </c>
      <c r="M39" s="175"/>
      <c r="N39" s="174">
        <v>0</v>
      </c>
      <c r="O39" s="175"/>
      <c r="P39" s="174">
        <v>0</v>
      </c>
      <c r="Q39" s="175"/>
      <c r="R39" s="174">
        <v>0</v>
      </c>
      <c r="S39" s="175"/>
      <c r="T39" s="174">
        <v>0</v>
      </c>
      <c r="U39" s="175"/>
      <c r="V39" s="174">
        <v>0</v>
      </c>
      <c r="W39" s="175"/>
      <c r="X39" s="174">
        <v>277767</v>
      </c>
      <c r="Y39" s="175"/>
      <c r="Z39" s="174">
        <v>248096</v>
      </c>
      <c r="AA39" s="175"/>
      <c r="AB39" s="174">
        <v>71247</v>
      </c>
      <c r="AC39" s="175"/>
      <c r="AD39" s="174">
        <v>14861</v>
      </c>
      <c r="AE39" s="175"/>
      <c r="AF39" s="174">
        <v>0</v>
      </c>
      <c r="AG39" s="175"/>
      <c r="AH39" s="174">
        <v>69550</v>
      </c>
      <c r="AI39" s="175"/>
      <c r="AJ39" s="174">
        <v>0</v>
      </c>
      <c r="AK39" s="175"/>
      <c r="AL39" s="174">
        <v>101986</v>
      </c>
      <c r="AM39" s="175"/>
      <c r="AN39" s="174">
        <v>22723</v>
      </c>
      <c r="AO39" s="175"/>
      <c r="AP39" s="174"/>
      <c r="AQ39" s="175"/>
      <c r="AR39" s="174"/>
      <c r="AS39" s="175"/>
      <c r="AT39" s="174">
        <v>0</v>
      </c>
      <c r="AU39" s="175"/>
      <c r="AV39" s="174">
        <f t="shared" si="0"/>
        <v>1958117</v>
      </c>
    </row>
    <row r="40" spans="1:55" ht="21">
      <c r="A40" s="569"/>
      <c r="B40" s="173" t="s">
        <v>176</v>
      </c>
      <c r="D40" s="174">
        <v>0</v>
      </c>
      <c r="E40" s="172"/>
      <c r="F40" s="174">
        <v>1329367</v>
      </c>
      <c r="H40" s="174">
        <v>66320</v>
      </c>
      <c r="I40" s="172"/>
      <c r="J40" s="174">
        <v>111771</v>
      </c>
      <c r="K40" s="175"/>
      <c r="L40" s="174">
        <v>614104</v>
      </c>
      <c r="M40" s="175"/>
      <c r="N40" s="174">
        <v>0</v>
      </c>
      <c r="O40" s="175"/>
      <c r="P40" s="174">
        <v>927188</v>
      </c>
      <c r="Q40" s="175"/>
      <c r="R40" s="174">
        <v>0</v>
      </c>
      <c r="S40" s="175"/>
      <c r="T40" s="174">
        <v>244079</v>
      </c>
      <c r="U40" s="175"/>
      <c r="V40" s="174">
        <v>440162</v>
      </c>
      <c r="W40" s="175"/>
      <c r="X40" s="174">
        <v>615299</v>
      </c>
      <c r="Y40" s="175"/>
      <c r="Z40" s="174">
        <v>308745</v>
      </c>
      <c r="AA40" s="175"/>
      <c r="AB40" s="174">
        <v>215128</v>
      </c>
      <c r="AC40" s="175"/>
      <c r="AD40" s="174">
        <v>176112</v>
      </c>
      <c r="AE40" s="175"/>
      <c r="AF40" s="174">
        <v>237079</v>
      </c>
      <c r="AG40" s="175"/>
      <c r="AH40" s="174">
        <v>434138</v>
      </c>
      <c r="AI40" s="175"/>
      <c r="AJ40" s="174">
        <v>66412</v>
      </c>
      <c r="AK40" s="175"/>
      <c r="AL40" s="174">
        <v>288791</v>
      </c>
      <c r="AM40" s="175"/>
      <c r="AN40" s="174">
        <v>163145</v>
      </c>
      <c r="AO40" s="175"/>
      <c r="AP40" s="174"/>
      <c r="AQ40" s="175"/>
      <c r="AR40" s="174"/>
      <c r="AS40" s="175"/>
      <c r="AT40" s="174">
        <v>4371</v>
      </c>
      <c r="AU40" s="175"/>
      <c r="AV40" s="174">
        <f t="shared" si="0"/>
        <v>6237840</v>
      </c>
    </row>
    <row r="41" spans="1:55" ht="21">
      <c r="A41" s="569"/>
      <c r="B41" s="173" t="s">
        <v>225</v>
      </c>
      <c r="D41" s="174">
        <v>0</v>
      </c>
      <c r="E41" s="172"/>
      <c r="F41" s="174">
        <v>0</v>
      </c>
      <c r="H41" s="174"/>
      <c r="I41" s="172"/>
      <c r="J41" s="174">
        <v>0</v>
      </c>
      <c r="K41" s="175"/>
      <c r="L41" s="174">
        <v>0</v>
      </c>
      <c r="M41" s="175"/>
      <c r="N41" s="174">
        <v>0</v>
      </c>
      <c r="O41" s="175"/>
      <c r="P41" s="174">
        <v>0</v>
      </c>
      <c r="Q41" s="175"/>
      <c r="R41" s="174">
        <v>0</v>
      </c>
      <c r="S41" s="175"/>
      <c r="T41" s="174">
        <v>0</v>
      </c>
      <c r="U41" s="175"/>
      <c r="V41" s="174">
        <v>0</v>
      </c>
      <c r="W41" s="175"/>
      <c r="X41" s="174">
        <v>0</v>
      </c>
      <c r="Y41" s="175"/>
      <c r="Z41" s="174">
        <v>0</v>
      </c>
      <c r="AA41" s="175"/>
      <c r="AB41" s="174">
        <v>0</v>
      </c>
      <c r="AC41" s="175"/>
      <c r="AD41" s="174">
        <v>0</v>
      </c>
      <c r="AE41" s="175"/>
      <c r="AF41" s="174">
        <v>0</v>
      </c>
      <c r="AG41" s="175"/>
      <c r="AH41" s="174">
        <v>0</v>
      </c>
      <c r="AI41" s="175"/>
      <c r="AJ41" s="174">
        <v>36278</v>
      </c>
      <c r="AK41" s="175"/>
      <c r="AL41" s="174">
        <v>0</v>
      </c>
      <c r="AM41" s="175"/>
      <c r="AN41" s="174">
        <v>0</v>
      </c>
      <c r="AO41" s="175"/>
      <c r="AP41" s="174"/>
      <c r="AQ41" s="175"/>
      <c r="AR41" s="174"/>
      <c r="AS41" s="175"/>
      <c r="AT41" s="174">
        <v>0</v>
      </c>
      <c r="AU41" s="175"/>
      <c r="AV41" s="174">
        <f t="shared" si="0"/>
        <v>36278</v>
      </c>
    </row>
    <row r="42" spans="1:55" ht="21">
      <c r="A42" s="569"/>
      <c r="B42" s="173" t="s">
        <v>46</v>
      </c>
      <c r="D42" s="174">
        <v>0</v>
      </c>
      <c r="E42" s="172"/>
      <c r="F42" s="174">
        <v>325817</v>
      </c>
      <c r="H42" s="174">
        <v>20410</v>
      </c>
      <c r="I42" s="172"/>
      <c r="J42" s="174">
        <v>385771</v>
      </c>
      <c r="K42" s="175"/>
      <c r="L42" s="174">
        <v>89563</v>
      </c>
      <c r="M42" s="175"/>
      <c r="N42" s="174">
        <v>0</v>
      </c>
      <c r="O42" s="175"/>
      <c r="P42" s="174">
        <v>210664</v>
      </c>
      <c r="Q42" s="175"/>
      <c r="R42" s="174">
        <v>0</v>
      </c>
      <c r="S42" s="175"/>
      <c r="T42" s="174">
        <v>38708</v>
      </c>
      <c r="U42" s="175"/>
      <c r="V42" s="174">
        <v>78976</v>
      </c>
      <c r="W42" s="175"/>
      <c r="X42" s="174">
        <v>145745</v>
      </c>
      <c r="Y42" s="175"/>
      <c r="Z42" s="174">
        <v>40589</v>
      </c>
      <c r="AA42" s="175"/>
      <c r="AB42" s="174">
        <v>8857</v>
      </c>
      <c r="AC42" s="175"/>
      <c r="AD42" s="174">
        <v>18983</v>
      </c>
      <c r="AE42" s="175"/>
      <c r="AF42" s="174">
        <v>54682</v>
      </c>
      <c r="AG42" s="175"/>
      <c r="AH42" s="174">
        <v>49993</v>
      </c>
      <c r="AI42" s="175"/>
      <c r="AJ42" s="174">
        <v>260252</v>
      </c>
      <c r="AK42" s="175"/>
      <c r="AL42" s="174">
        <v>16318</v>
      </c>
      <c r="AM42" s="175"/>
      <c r="AN42" s="174">
        <v>114823</v>
      </c>
      <c r="AO42" s="175"/>
      <c r="AP42" s="174"/>
      <c r="AQ42" s="175"/>
      <c r="AR42" s="174"/>
      <c r="AS42" s="175"/>
      <c r="AT42" s="174">
        <v>1596</v>
      </c>
      <c r="AU42" s="175"/>
      <c r="AV42" s="174">
        <f t="shared" si="0"/>
        <v>1860151</v>
      </c>
    </row>
    <row r="43" spans="1:55" ht="21">
      <c r="A43" s="569"/>
      <c r="B43" s="173" t="s">
        <v>44</v>
      </c>
      <c r="D43" s="174">
        <v>0</v>
      </c>
      <c r="E43" s="172"/>
      <c r="F43" s="174">
        <v>572170</v>
      </c>
      <c r="H43" s="174">
        <v>12794</v>
      </c>
      <c r="I43" s="172"/>
      <c r="J43" s="174">
        <v>290669</v>
      </c>
      <c r="K43" s="175"/>
      <c r="L43" s="174">
        <v>432415</v>
      </c>
      <c r="M43" s="175"/>
      <c r="N43" s="174">
        <v>0</v>
      </c>
      <c r="O43" s="175"/>
      <c r="P43" s="174">
        <v>68677</v>
      </c>
      <c r="Q43" s="175"/>
      <c r="R43" s="174">
        <v>0</v>
      </c>
      <c r="S43" s="175"/>
      <c r="T43" s="174">
        <v>0</v>
      </c>
      <c r="U43" s="175"/>
      <c r="V43" s="174">
        <v>51980</v>
      </c>
      <c r="W43" s="175"/>
      <c r="X43" s="174">
        <v>29309</v>
      </c>
      <c r="Y43" s="175"/>
      <c r="Z43" s="174">
        <v>32933</v>
      </c>
      <c r="AA43" s="175"/>
      <c r="AB43" s="174">
        <v>7791</v>
      </c>
      <c r="AC43" s="175"/>
      <c r="AD43" s="174">
        <v>24372</v>
      </c>
      <c r="AE43" s="175"/>
      <c r="AF43" s="174">
        <v>25383</v>
      </c>
      <c r="AG43" s="175"/>
      <c r="AH43" s="174">
        <v>42423</v>
      </c>
      <c r="AI43" s="175"/>
      <c r="AJ43" s="174">
        <v>11469</v>
      </c>
      <c r="AK43" s="175"/>
      <c r="AL43" s="174">
        <v>4359</v>
      </c>
      <c r="AM43" s="175"/>
      <c r="AN43" s="174">
        <v>8798</v>
      </c>
      <c r="AO43" s="175"/>
      <c r="AP43" s="174"/>
      <c r="AQ43" s="175"/>
      <c r="AR43" s="174"/>
      <c r="AS43" s="175"/>
      <c r="AT43" s="174">
        <v>2919</v>
      </c>
      <c r="AU43" s="175"/>
      <c r="AV43" s="174">
        <f t="shared" si="0"/>
        <v>1615542</v>
      </c>
    </row>
    <row r="44" spans="1:55" ht="21">
      <c r="A44" s="569"/>
      <c r="B44" s="176" t="s">
        <v>43</v>
      </c>
      <c r="D44" s="177">
        <v>0</v>
      </c>
      <c r="E44" s="172"/>
      <c r="F44" s="177">
        <v>0</v>
      </c>
      <c r="H44" s="177"/>
      <c r="I44" s="172"/>
      <c r="J44" s="177">
        <v>0</v>
      </c>
      <c r="K44" s="175"/>
      <c r="L44" s="177">
        <v>0</v>
      </c>
      <c r="M44" s="175"/>
      <c r="N44" s="177">
        <v>0</v>
      </c>
      <c r="O44" s="175"/>
      <c r="P44" s="177">
        <v>223</v>
      </c>
      <c r="Q44" s="175"/>
      <c r="R44" s="177">
        <v>0</v>
      </c>
      <c r="S44" s="175"/>
      <c r="T44" s="177">
        <v>0</v>
      </c>
      <c r="U44" s="175"/>
      <c r="V44" s="177">
        <v>547729</v>
      </c>
      <c r="W44" s="175"/>
      <c r="X44" s="177">
        <v>0</v>
      </c>
      <c r="Y44" s="175"/>
      <c r="Z44" s="177">
        <v>0</v>
      </c>
      <c r="AA44" s="175"/>
      <c r="AB44" s="177">
        <v>487832</v>
      </c>
      <c r="AC44" s="175"/>
      <c r="AD44" s="177">
        <v>0</v>
      </c>
      <c r="AE44" s="175"/>
      <c r="AF44" s="177">
        <v>0</v>
      </c>
      <c r="AG44" s="175"/>
      <c r="AH44" s="177">
        <v>0</v>
      </c>
      <c r="AI44" s="175"/>
      <c r="AJ44" s="177">
        <v>0</v>
      </c>
      <c r="AK44" s="175"/>
      <c r="AL44" s="177">
        <v>0</v>
      </c>
      <c r="AM44" s="175"/>
      <c r="AN44" s="177">
        <v>0</v>
      </c>
      <c r="AO44" s="175"/>
      <c r="AP44" s="177"/>
      <c r="AQ44" s="175"/>
      <c r="AR44" s="177"/>
      <c r="AS44" s="175"/>
      <c r="AT44" s="177">
        <v>0</v>
      </c>
      <c r="AU44" s="175"/>
      <c r="AV44" s="177">
        <f t="shared" si="0"/>
        <v>1035784</v>
      </c>
    </row>
    <row r="45" spans="1:55" ht="24">
      <c r="A45" s="569"/>
      <c r="B45" s="182" t="s">
        <v>42</v>
      </c>
      <c r="D45" s="183">
        <f>SUM(D28:D44)</f>
        <v>0</v>
      </c>
      <c r="E45" s="172"/>
      <c r="F45" s="183">
        <f>SUM(F28:F44)</f>
        <v>22509580</v>
      </c>
      <c r="H45" s="183">
        <f>SUM(H28:H44)</f>
        <v>2673908</v>
      </c>
      <c r="I45" s="172"/>
      <c r="J45" s="183">
        <f>SUM(J28:J44)</f>
        <v>14169061</v>
      </c>
      <c r="K45" s="180"/>
      <c r="L45" s="183">
        <f>SUM(L28:L44)</f>
        <v>17264747</v>
      </c>
      <c r="M45" s="180"/>
      <c r="N45" s="183">
        <f>SUM(N28:N44)</f>
        <v>0</v>
      </c>
      <c r="O45" s="180"/>
      <c r="P45" s="183">
        <f>SUM(P28:P44)</f>
        <v>13050404</v>
      </c>
      <c r="Q45" s="180"/>
      <c r="R45" s="183">
        <f>SUM(R28:R44)</f>
        <v>0</v>
      </c>
      <c r="S45" s="180"/>
      <c r="T45" s="183">
        <f>SUM(T28:T44)</f>
        <v>4390330</v>
      </c>
      <c r="U45" s="180"/>
      <c r="V45" s="183">
        <f>SUM(V28:V44)</f>
        <v>12952956</v>
      </c>
      <c r="W45" s="180"/>
      <c r="X45" s="183">
        <f>SUM(X28:X44)</f>
        <v>4871594</v>
      </c>
      <c r="Y45" s="180"/>
      <c r="Z45" s="183">
        <f>SUM(Z28:Z44)</f>
        <v>6732355</v>
      </c>
      <c r="AA45" s="180"/>
      <c r="AB45" s="183">
        <f>SUM(AB28:AB44)</f>
        <v>4544693</v>
      </c>
      <c r="AC45" s="180"/>
      <c r="AD45" s="183">
        <f>SUM(AD28:AD44)</f>
        <v>3878949</v>
      </c>
      <c r="AE45" s="180"/>
      <c r="AF45" s="183">
        <f>SUM(AF28:AF44)</f>
        <v>3987235</v>
      </c>
      <c r="AG45" s="180"/>
      <c r="AH45" s="183">
        <f>SUM(AH28:AH44)</f>
        <v>9901633</v>
      </c>
      <c r="AI45" s="180"/>
      <c r="AJ45" s="183">
        <f>SUM(AJ28:AJ44)</f>
        <v>4326022</v>
      </c>
      <c r="AK45" s="180"/>
      <c r="AL45" s="183">
        <f>SUM(AL28:AL44)</f>
        <v>7553343</v>
      </c>
      <c r="AM45" s="180"/>
      <c r="AN45" s="183">
        <f>SUM(AN28:AN44)</f>
        <v>3608450</v>
      </c>
      <c r="AO45" s="180"/>
      <c r="AP45" s="183">
        <f>SUM(AP28:AP44)</f>
        <v>0</v>
      </c>
      <c r="AQ45" s="180"/>
      <c r="AR45" s="183">
        <f>SUM(AR28:AR44)</f>
        <v>0</v>
      </c>
      <c r="AS45" s="180"/>
      <c r="AT45" s="183">
        <f>SUM(AT28:AT44)</f>
        <v>761279</v>
      </c>
      <c r="AU45" s="180"/>
      <c r="AV45" s="183">
        <f t="shared" si="0"/>
        <v>136415260</v>
      </c>
    </row>
    <row r="46" spans="1:55" ht="24">
      <c r="A46" s="569"/>
      <c r="B46" s="66" t="s">
        <v>41</v>
      </c>
      <c r="D46" s="175"/>
      <c r="E46" s="172"/>
      <c r="F46" s="175"/>
      <c r="H46" s="175"/>
      <c r="I46" s="172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>
        <f t="shared" si="0"/>
        <v>0</v>
      </c>
    </row>
    <row r="47" spans="1:55" ht="21">
      <c r="A47" s="569"/>
      <c r="B47" s="173" t="s">
        <v>40</v>
      </c>
      <c r="D47" s="174">
        <v>0</v>
      </c>
      <c r="E47" s="172"/>
      <c r="F47" s="174">
        <v>2300000</v>
      </c>
      <c r="H47" s="174">
        <v>1200000</v>
      </c>
      <c r="I47" s="172"/>
      <c r="J47" s="174">
        <v>3600000</v>
      </c>
      <c r="K47" s="175"/>
      <c r="L47" s="174">
        <v>1020373</v>
      </c>
      <c r="M47" s="175"/>
      <c r="N47" s="174">
        <v>0</v>
      </c>
      <c r="O47" s="175"/>
      <c r="P47" s="174">
        <v>1562000</v>
      </c>
      <c r="Q47" s="175"/>
      <c r="R47" s="174">
        <v>0</v>
      </c>
      <c r="S47" s="175"/>
      <c r="T47" s="174">
        <v>625852</v>
      </c>
      <c r="U47" s="175"/>
      <c r="V47" s="174">
        <v>1200000</v>
      </c>
      <c r="W47" s="175"/>
      <c r="X47" s="174">
        <v>400000</v>
      </c>
      <c r="Y47" s="175"/>
      <c r="Z47" s="174">
        <v>2000000</v>
      </c>
      <c r="AA47" s="175"/>
      <c r="AB47" s="174">
        <v>610724</v>
      </c>
      <c r="AC47" s="175"/>
      <c r="AD47" s="174">
        <v>400000</v>
      </c>
      <c r="AE47" s="175"/>
      <c r="AF47" s="174">
        <v>400000</v>
      </c>
      <c r="AG47" s="175"/>
      <c r="AH47" s="174">
        <v>1134000</v>
      </c>
      <c r="AI47" s="175"/>
      <c r="AJ47" s="174">
        <v>1000000</v>
      </c>
      <c r="AK47" s="175"/>
      <c r="AL47" s="174">
        <v>400000</v>
      </c>
      <c r="AM47" s="175"/>
      <c r="AN47" s="174">
        <v>400000</v>
      </c>
      <c r="AO47" s="175"/>
      <c r="AP47" s="174"/>
      <c r="AQ47" s="175"/>
      <c r="AR47" s="174"/>
      <c r="AS47" s="175"/>
      <c r="AT47" s="174">
        <v>400000</v>
      </c>
      <c r="AU47" s="175"/>
      <c r="AV47" s="174">
        <f t="shared" si="0"/>
        <v>18252949</v>
      </c>
    </row>
    <row r="48" spans="1:55" ht="21">
      <c r="A48" s="569"/>
      <c r="B48" s="173" t="s">
        <v>39</v>
      </c>
      <c r="D48" s="174">
        <v>0</v>
      </c>
      <c r="E48" s="172"/>
      <c r="F48" s="174">
        <v>0</v>
      </c>
      <c r="H48" s="174">
        <v>0</v>
      </c>
      <c r="I48" s="172"/>
      <c r="J48" s="174">
        <v>0</v>
      </c>
      <c r="K48" s="175"/>
      <c r="L48" s="174">
        <v>0</v>
      </c>
      <c r="M48" s="175"/>
      <c r="N48" s="174">
        <v>0</v>
      </c>
      <c r="O48" s="175"/>
      <c r="P48" s="174">
        <v>438000</v>
      </c>
      <c r="Q48" s="175"/>
      <c r="R48" s="174">
        <v>0</v>
      </c>
      <c r="S48" s="175"/>
      <c r="T48" s="174">
        <v>1374148</v>
      </c>
      <c r="U48" s="175"/>
      <c r="V48" s="174">
        <v>0</v>
      </c>
      <c r="W48" s="175"/>
      <c r="X48" s="174">
        <v>0</v>
      </c>
      <c r="Y48" s="175"/>
      <c r="Z48" s="174">
        <v>0</v>
      </c>
      <c r="AA48" s="175"/>
      <c r="AB48" s="174">
        <v>1297791</v>
      </c>
      <c r="AC48" s="175"/>
      <c r="AD48" s="174">
        <v>0</v>
      </c>
      <c r="AE48" s="175"/>
      <c r="AF48" s="174">
        <v>335484</v>
      </c>
      <c r="AG48" s="175"/>
      <c r="AH48" s="174">
        <v>0</v>
      </c>
      <c r="AI48" s="175"/>
      <c r="AJ48" s="174">
        <v>0</v>
      </c>
      <c r="AK48" s="175"/>
      <c r="AL48" s="174">
        <v>1000000</v>
      </c>
      <c r="AM48" s="175"/>
      <c r="AN48" s="174">
        <v>0</v>
      </c>
      <c r="AO48" s="175"/>
      <c r="AP48" s="174"/>
      <c r="AQ48" s="175"/>
      <c r="AR48" s="174"/>
      <c r="AS48" s="175"/>
      <c r="AT48" s="174">
        <v>0</v>
      </c>
      <c r="AU48" s="175"/>
      <c r="AV48" s="174">
        <f t="shared" si="0"/>
        <v>4445423</v>
      </c>
    </row>
    <row r="49" spans="1:53" ht="21">
      <c r="A49" s="569"/>
      <c r="B49" s="173" t="s">
        <v>38</v>
      </c>
      <c r="D49" s="174">
        <v>0</v>
      </c>
      <c r="E49" s="172"/>
      <c r="F49" s="174">
        <v>75420</v>
      </c>
      <c r="H49" s="174">
        <v>25302</v>
      </c>
      <c r="I49" s="172"/>
      <c r="J49" s="174">
        <v>104727</v>
      </c>
      <c r="K49" s="175"/>
      <c r="L49" s="174">
        <v>32947</v>
      </c>
      <c r="M49" s="175"/>
      <c r="N49" s="174">
        <v>0</v>
      </c>
      <c r="O49" s="175"/>
      <c r="P49" s="174">
        <v>156200</v>
      </c>
      <c r="Q49" s="175"/>
      <c r="R49" s="174">
        <v>0</v>
      </c>
      <c r="S49" s="175"/>
      <c r="T49" s="174">
        <v>62585</v>
      </c>
      <c r="U49" s="175"/>
      <c r="V49" s="174">
        <v>92859</v>
      </c>
      <c r="W49" s="175"/>
      <c r="X49" s="174">
        <v>33114</v>
      </c>
      <c r="Y49" s="175"/>
      <c r="Z49" s="174">
        <v>171313</v>
      </c>
      <c r="AA49" s="175"/>
      <c r="AB49" s="174">
        <v>35919</v>
      </c>
      <c r="AC49" s="175"/>
      <c r="AD49" s="174">
        <v>46756</v>
      </c>
      <c r="AE49" s="175"/>
      <c r="AF49" s="174">
        <v>28549</v>
      </c>
      <c r="AG49" s="175"/>
      <c r="AH49" s="174">
        <v>113400</v>
      </c>
      <c r="AI49" s="175"/>
      <c r="AJ49" s="174">
        <v>38015</v>
      </c>
      <c r="AK49" s="175"/>
      <c r="AL49" s="174">
        <v>48255</v>
      </c>
      <c r="AM49" s="175"/>
      <c r="AN49" s="174">
        <v>18878</v>
      </c>
      <c r="AO49" s="175"/>
      <c r="AP49" s="174"/>
      <c r="AQ49" s="175"/>
      <c r="AR49" s="174"/>
      <c r="AS49" s="175"/>
      <c r="AT49" s="174">
        <v>9443</v>
      </c>
      <c r="AU49" s="175"/>
      <c r="AV49" s="174">
        <f t="shared" si="0"/>
        <v>1084239</v>
      </c>
    </row>
    <row r="50" spans="1:53" ht="21">
      <c r="A50" s="569"/>
      <c r="B50" s="173" t="s">
        <v>37</v>
      </c>
      <c r="D50" s="174">
        <v>0</v>
      </c>
      <c r="E50" s="172"/>
      <c r="F50" s="174">
        <v>115580</v>
      </c>
      <c r="H50" s="174">
        <v>50603</v>
      </c>
      <c r="I50" s="172"/>
      <c r="J50" s="174">
        <v>333659</v>
      </c>
      <c r="K50" s="175"/>
      <c r="L50" s="174">
        <v>71345</v>
      </c>
      <c r="M50" s="175"/>
      <c r="N50" s="174">
        <v>0</v>
      </c>
      <c r="O50" s="175"/>
      <c r="P50" s="174">
        <v>657932</v>
      </c>
      <c r="Q50" s="175"/>
      <c r="R50" s="174">
        <v>0</v>
      </c>
      <c r="S50" s="175"/>
      <c r="T50" s="174">
        <v>88643</v>
      </c>
      <c r="U50" s="175"/>
      <c r="V50" s="174">
        <v>114660</v>
      </c>
      <c r="W50" s="175"/>
      <c r="X50" s="174">
        <v>52762</v>
      </c>
      <c r="Y50" s="175"/>
      <c r="Z50" s="174">
        <v>325180</v>
      </c>
      <c r="AA50" s="175"/>
      <c r="AB50" s="174">
        <v>0</v>
      </c>
      <c r="AC50" s="175"/>
      <c r="AD50" s="174">
        <v>68448</v>
      </c>
      <c r="AE50" s="175"/>
      <c r="AF50" s="174">
        <v>89756</v>
      </c>
      <c r="AG50" s="175"/>
      <c r="AH50" s="174">
        <v>125848</v>
      </c>
      <c r="AI50" s="175"/>
      <c r="AJ50" s="174">
        <v>76029</v>
      </c>
      <c r="AK50" s="175"/>
      <c r="AL50" s="174">
        <v>96510</v>
      </c>
      <c r="AM50" s="175"/>
      <c r="AN50" s="174">
        <v>30966</v>
      </c>
      <c r="AO50" s="175"/>
      <c r="AP50" s="174"/>
      <c r="AQ50" s="175"/>
      <c r="AR50" s="174"/>
      <c r="AS50" s="175"/>
      <c r="AT50" s="174">
        <v>18886</v>
      </c>
      <c r="AU50" s="175"/>
      <c r="AV50" s="174">
        <f t="shared" si="0"/>
        <v>2297921</v>
      </c>
    </row>
    <row r="51" spans="1:53" ht="21">
      <c r="A51" s="569"/>
      <c r="B51" s="173" t="s">
        <v>178</v>
      </c>
      <c r="D51" s="174">
        <v>0</v>
      </c>
      <c r="E51" s="172"/>
      <c r="F51" s="174">
        <v>16597</v>
      </c>
      <c r="H51" s="174">
        <v>0</v>
      </c>
      <c r="I51" s="172"/>
      <c r="J51" s="174">
        <v>0</v>
      </c>
      <c r="K51" s="175"/>
      <c r="L51" s="174">
        <v>863</v>
      </c>
      <c r="M51" s="175"/>
      <c r="N51" s="174">
        <v>0</v>
      </c>
      <c r="O51" s="175"/>
      <c r="P51" s="174">
        <v>0</v>
      </c>
      <c r="Q51" s="175"/>
      <c r="R51" s="174">
        <v>0</v>
      </c>
      <c r="S51" s="175"/>
      <c r="T51" s="174">
        <v>0</v>
      </c>
      <c r="U51" s="175"/>
      <c r="V51" s="174">
        <v>0</v>
      </c>
      <c r="W51" s="175"/>
      <c r="X51" s="174">
        <v>0</v>
      </c>
      <c r="Y51" s="175"/>
      <c r="Z51" s="174">
        <v>0</v>
      </c>
      <c r="AA51" s="175"/>
      <c r="AB51" s="174">
        <v>41202</v>
      </c>
      <c r="AC51" s="175"/>
      <c r="AD51" s="174">
        <v>0</v>
      </c>
      <c r="AE51" s="175"/>
      <c r="AF51" s="174">
        <v>0</v>
      </c>
      <c r="AG51" s="175"/>
      <c r="AH51" s="174">
        <v>113400</v>
      </c>
      <c r="AI51" s="175"/>
      <c r="AJ51" s="174">
        <v>0</v>
      </c>
      <c r="AK51" s="175"/>
      <c r="AL51" s="174">
        <v>0</v>
      </c>
      <c r="AM51" s="175"/>
      <c r="AN51" s="174">
        <v>0</v>
      </c>
      <c r="AO51" s="175"/>
      <c r="AP51" s="174"/>
      <c r="AQ51" s="175"/>
      <c r="AR51" s="174"/>
      <c r="AS51" s="175"/>
      <c r="AT51" s="174">
        <v>0</v>
      </c>
      <c r="AU51" s="175"/>
      <c r="AV51" s="174">
        <f t="shared" si="0"/>
        <v>172062</v>
      </c>
    </row>
    <row r="52" spans="1:53" ht="21">
      <c r="A52" s="569"/>
      <c r="B52" s="173" t="s">
        <v>36</v>
      </c>
      <c r="D52" s="174">
        <v>0</v>
      </c>
      <c r="E52" s="172"/>
      <c r="F52" s="174">
        <v>181554</v>
      </c>
      <c r="H52" s="174">
        <v>246627</v>
      </c>
      <c r="I52" s="172"/>
      <c r="J52" s="174">
        <v>599281</v>
      </c>
      <c r="K52" s="175"/>
      <c r="L52" s="174">
        <v>125793</v>
      </c>
      <c r="M52" s="175"/>
      <c r="N52" s="174">
        <v>0</v>
      </c>
      <c r="O52" s="175"/>
      <c r="P52" s="174">
        <v>729716</v>
      </c>
      <c r="Q52" s="175"/>
      <c r="R52" s="174">
        <v>0</v>
      </c>
      <c r="S52" s="175"/>
      <c r="T52" s="174">
        <v>140806</v>
      </c>
      <c r="U52" s="175"/>
      <c r="V52" s="174">
        <v>334668</v>
      </c>
      <c r="W52" s="175"/>
      <c r="X52" s="174">
        <v>-574993</v>
      </c>
      <c r="Y52" s="175"/>
      <c r="Z52" s="174">
        <v>427973</v>
      </c>
      <c r="AA52" s="175"/>
      <c r="AB52" s="174">
        <v>-2226684</v>
      </c>
      <c r="AC52" s="175"/>
      <c r="AD52" s="174">
        <v>176766</v>
      </c>
      <c r="AE52" s="175"/>
      <c r="AF52" s="174">
        <v>17656</v>
      </c>
      <c r="AG52" s="175"/>
      <c r="AH52" s="174">
        <v>522193</v>
      </c>
      <c r="AI52" s="175"/>
      <c r="AJ52" s="174">
        <v>333749</v>
      </c>
      <c r="AK52" s="175"/>
      <c r="AL52" s="174">
        <v>410353</v>
      </c>
      <c r="AM52" s="175"/>
      <c r="AN52" s="174">
        <v>114042</v>
      </c>
      <c r="AO52" s="175"/>
      <c r="AP52" s="174"/>
      <c r="AQ52" s="175"/>
      <c r="AR52" s="174"/>
      <c r="AS52" s="175"/>
      <c r="AT52" s="174">
        <v>100529</v>
      </c>
      <c r="AU52" s="175"/>
      <c r="AV52" s="174">
        <f t="shared" si="0"/>
        <v>1559500</v>
      </c>
    </row>
    <row r="53" spans="1:53" ht="21">
      <c r="A53" s="569"/>
      <c r="B53" s="176" t="s">
        <v>177</v>
      </c>
      <c r="D53" s="177">
        <v>0</v>
      </c>
      <c r="E53" s="172"/>
      <c r="F53" s="177">
        <v>0</v>
      </c>
      <c r="H53" s="177"/>
      <c r="I53" s="172"/>
      <c r="J53" s="177">
        <v>0</v>
      </c>
      <c r="K53" s="175"/>
      <c r="L53" s="177">
        <v>0</v>
      </c>
      <c r="M53" s="175"/>
      <c r="N53" s="177">
        <v>0</v>
      </c>
      <c r="O53" s="175"/>
      <c r="P53" s="177">
        <v>0</v>
      </c>
      <c r="Q53" s="175"/>
      <c r="R53" s="177">
        <v>0</v>
      </c>
      <c r="S53" s="175"/>
      <c r="T53" s="177">
        <v>0</v>
      </c>
      <c r="U53" s="175"/>
      <c r="V53" s="177">
        <v>0</v>
      </c>
      <c r="W53" s="175"/>
      <c r="X53" s="177">
        <v>505361</v>
      </c>
      <c r="Y53" s="175"/>
      <c r="Z53" s="177">
        <v>0</v>
      </c>
      <c r="AA53" s="175"/>
      <c r="AB53" s="177">
        <v>0</v>
      </c>
      <c r="AC53" s="175"/>
      <c r="AD53" s="177">
        <v>0</v>
      </c>
      <c r="AE53" s="175"/>
      <c r="AF53" s="177">
        <v>0</v>
      </c>
      <c r="AG53" s="175"/>
      <c r="AH53" s="177">
        <v>0</v>
      </c>
      <c r="AI53" s="175"/>
      <c r="AJ53" s="177">
        <v>0</v>
      </c>
      <c r="AK53" s="175"/>
      <c r="AL53" s="177">
        <v>0</v>
      </c>
      <c r="AM53" s="175"/>
      <c r="AN53" s="177">
        <v>0</v>
      </c>
      <c r="AO53" s="175"/>
      <c r="AP53" s="177"/>
      <c r="AQ53" s="175"/>
      <c r="AR53" s="177"/>
      <c r="AS53" s="175"/>
      <c r="AT53" s="177">
        <v>0</v>
      </c>
      <c r="AU53" s="175"/>
      <c r="AV53" s="177">
        <f t="shared" si="0"/>
        <v>505361</v>
      </c>
    </row>
    <row r="54" spans="1:53" ht="24">
      <c r="A54" s="569"/>
      <c r="B54" s="182" t="s">
        <v>35</v>
      </c>
      <c r="D54" s="183">
        <f>SUM(D47:D53)</f>
        <v>0</v>
      </c>
      <c r="E54" s="172"/>
      <c r="F54" s="183">
        <f>SUM(F47:F53)</f>
        <v>2689151</v>
      </c>
      <c r="H54" s="183">
        <f>SUM(H47:H53)</f>
        <v>1522532</v>
      </c>
      <c r="I54" s="172"/>
      <c r="J54" s="183">
        <f>SUM(J47:J53)</f>
        <v>4637667</v>
      </c>
      <c r="K54" s="180"/>
      <c r="L54" s="183">
        <f>SUM(L47:L53)</f>
        <v>1251321</v>
      </c>
      <c r="M54" s="180"/>
      <c r="N54" s="183">
        <f>SUM(N47:N53)</f>
        <v>0</v>
      </c>
      <c r="O54" s="180"/>
      <c r="P54" s="183">
        <f>SUM(P47:P53)</f>
        <v>3543848</v>
      </c>
      <c r="Q54" s="180"/>
      <c r="R54" s="183">
        <f>SUM(R47:R53)</f>
        <v>0</v>
      </c>
      <c r="S54" s="180"/>
      <c r="T54" s="183">
        <f>SUM(T47:T53)</f>
        <v>2292034</v>
      </c>
      <c r="U54" s="180"/>
      <c r="V54" s="183">
        <f>SUM(V47:V53)</f>
        <v>1742187</v>
      </c>
      <c r="W54" s="180"/>
      <c r="X54" s="183">
        <f>SUM(X47:X53)</f>
        <v>416244</v>
      </c>
      <c r="Y54" s="180"/>
      <c r="Z54" s="183">
        <f>SUM(Z47:Z53)</f>
        <v>2924466</v>
      </c>
      <c r="AA54" s="180"/>
      <c r="AB54" s="183">
        <f>SUM(AB47:AB53)</f>
        <v>-241048</v>
      </c>
      <c r="AC54" s="180"/>
      <c r="AD54" s="183">
        <f>SUM(AD47:AD53)</f>
        <v>691970</v>
      </c>
      <c r="AE54" s="180"/>
      <c r="AF54" s="183">
        <f>SUM(AF47:AF53)</f>
        <v>871445</v>
      </c>
      <c r="AG54" s="180"/>
      <c r="AH54" s="183">
        <f>SUM(AH47:AH53)</f>
        <v>2008841</v>
      </c>
      <c r="AI54" s="180"/>
      <c r="AJ54" s="183">
        <f>SUM(AJ47:AJ53)</f>
        <v>1447793</v>
      </c>
      <c r="AK54" s="180"/>
      <c r="AL54" s="183">
        <f>SUM(AL47:AL53)</f>
        <v>1955118</v>
      </c>
      <c r="AM54" s="180"/>
      <c r="AN54" s="183">
        <f>SUM(AN47:AN53)</f>
        <v>563886</v>
      </c>
      <c r="AO54" s="180"/>
      <c r="AP54" s="183">
        <f>SUM(AP47:AP53)</f>
        <v>0</v>
      </c>
      <c r="AQ54" s="180"/>
      <c r="AR54" s="183">
        <f>SUM(AR47:AR53)</f>
        <v>0</v>
      </c>
      <c r="AS54" s="180"/>
      <c r="AT54" s="183">
        <f>SUM(AT47:AT53)</f>
        <v>528858</v>
      </c>
      <c r="AU54" s="180"/>
      <c r="AV54" s="183">
        <f t="shared" si="0"/>
        <v>28317455</v>
      </c>
    </row>
    <row r="55" spans="1:53" ht="24.75" thickBot="1">
      <c r="A55" s="570"/>
      <c r="B55" s="178" t="s">
        <v>33</v>
      </c>
      <c r="D55" s="179">
        <f>+D54+D45</f>
        <v>0</v>
      </c>
      <c r="E55" s="172"/>
      <c r="F55" s="179">
        <f>+F54+F45</f>
        <v>25198731</v>
      </c>
      <c r="H55" s="179">
        <f>+H54+H45</f>
        <v>4196440</v>
      </c>
      <c r="I55" s="172"/>
      <c r="J55" s="179">
        <f>+J54+J45</f>
        <v>18806728</v>
      </c>
      <c r="K55" s="180"/>
      <c r="L55" s="179">
        <f>+L54+L45</f>
        <v>18516068</v>
      </c>
      <c r="M55" s="180"/>
      <c r="N55" s="179">
        <f>+N54+N45</f>
        <v>0</v>
      </c>
      <c r="O55" s="180"/>
      <c r="P55" s="179">
        <f>+P54+P45</f>
        <v>16594252</v>
      </c>
      <c r="Q55" s="180"/>
      <c r="R55" s="179">
        <f>+R54+R45</f>
        <v>0</v>
      </c>
      <c r="S55" s="180"/>
      <c r="T55" s="179">
        <f>+T54+T45</f>
        <v>6682364</v>
      </c>
      <c r="U55" s="180"/>
      <c r="V55" s="179">
        <f>+V54+V45</f>
        <v>14695143</v>
      </c>
      <c r="W55" s="180"/>
      <c r="X55" s="179">
        <f>+X54+X45</f>
        <v>5287838</v>
      </c>
      <c r="Y55" s="180"/>
      <c r="Z55" s="179">
        <f>+Z54+Z45</f>
        <v>9656821</v>
      </c>
      <c r="AA55" s="180"/>
      <c r="AB55" s="179">
        <f>+AB54+AB45</f>
        <v>4303645</v>
      </c>
      <c r="AC55" s="180"/>
      <c r="AD55" s="179">
        <f>+AD54+AD45</f>
        <v>4570919</v>
      </c>
      <c r="AE55" s="180"/>
      <c r="AF55" s="179">
        <f>+AF54+AF45</f>
        <v>4858680</v>
      </c>
      <c r="AG55" s="180"/>
      <c r="AH55" s="179">
        <f>+AH54+AH45</f>
        <v>11910474</v>
      </c>
      <c r="AI55" s="180"/>
      <c r="AJ55" s="179">
        <f>+AJ54+AJ45</f>
        <v>5773815</v>
      </c>
      <c r="AK55" s="180"/>
      <c r="AL55" s="179">
        <f>+AL54+AL45</f>
        <v>9508461</v>
      </c>
      <c r="AM55" s="180"/>
      <c r="AN55" s="179">
        <f>+AN54+AN45</f>
        <v>4172336</v>
      </c>
      <c r="AO55" s="180"/>
      <c r="AP55" s="179">
        <f>+AP54+AP45</f>
        <v>0</v>
      </c>
      <c r="AQ55" s="180"/>
      <c r="AR55" s="179">
        <f>+AR54+AR45</f>
        <v>0</v>
      </c>
      <c r="AS55" s="180"/>
      <c r="AT55" s="179">
        <f>+AT54+AT45</f>
        <v>1290137</v>
      </c>
      <c r="AU55" s="180"/>
      <c r="AV55" s="179">
        <f t="shared" si="0"/>
        <v>164732715</v>
      </c>
    </row>
    <row r="56" spans="1:53" ht="22.5" thickTop="1" thickBot="1">
      <c r="B56" s="6"/>
      <c r="D56" s="172"/>
      <c r="E56" s="172"/>
      <c r="F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J56" s="172"/>
      <c r="AL56" s="172"/>
      <c r="AN56" s="172"/>
      <c r="AP56" s="172"/>
      <c r="AR56" s="172"/>
      <c r="AT56" s="172"/>
      <c r="AV56" s="172">
        <f t="shared" si="0"/>
        <v>0</v>
      </c>
    </row>
    <row r="57" spans="1:53" ht="21.75" thickBot="1">
      <c r="B57" s="184" t="s">
        <v>141</v>
      </c>
      <c r="D57" s="185">
        <f>+D37+D38+D40-D17</f>
        <v>0</v>
      </c>
      <c r="E57" s="172"/>
      <c r="F57" s="185">
        <f>+F37+F38+F40+F39+F42-F17</f>
        <v>13519200</v>
      </c>
      <c r="H57" s="185">
        <f>+H37+H38+H40+H39+H42-H17</f>
        <v>1366395</v>
      </c>
      <c r="I57" s="172"/>
      <c r="J57" s="185">
        <f>+J37+J38+J40+J39+J42-J17</f>
        <v>9561198</v>
      </c>
      <c r="K57" s="172"/>
      <c r="L57" s="185">
        <f>+L37+L38+L40+L39+L42-L17</f>
        <v>8176073</v>
      </c>
      <c r="M57" s="172"/>
      <c r="N57" s="185">
        <f>+N37+N38+N40-N17</f>
        <v>0</v>
      </c>
      <c r="O57" s="172"/>
      <c r="P57" s="185">
        <f>+P37+P38+P40+P39+P42-P17</f>
        <v>6951739</v>
      </c>
      <c r="Q57" s="172"/>
      <c r="R57" s="185">
        <f>+R37+R38+R40-R17</f>
        <v>0</v>
      </c>
      <c r="S57" s="172"/>
      <c r="T57" s="185">
        <f>+T37+T38+T40+T39+T42-T17</f>
        <v>2309529</v>
      </c>
      <c r="U57" s="172"/>
      <c r="V57" s="185">
        <f>+V37+V38+V40+V39+V42-V17</f>
        <v>6886527</v>
      </c>
      <c r="W57" s="172"/>
      <c r="X57" s="185">
        <f>+X37+X38+X40+X39+X42-X17</f>
        <v>2413749</v>
      </c>
      <c r="Y57" s="172"/>
      <c r="Z57" s="185">
        <f>+Z37+Z38+Z40+Z39+Z42-Z17</f>
        <v>3615714</v>
      </c>
      <c r="AA57" s="172"/>
      <c r="AB57" s="185">
        <f>+AB37+AB38+AB40+AB39+AB42-AB17</f>
        <v>1574855</v>
      </c>
      <c r="AC57" s="172"/>
      <c r="AD57" s="185">
        <f>+AD37+AD38+AD40+AD39+AD42-AD17</f>
        <v>2018394</v>
      </c>
      <c r="AE57" s="172"/>
      <c r="AF57" s="185">
        <f>+AF37+AF38+AF40+AF39+AF42-AF17</f>
        <v>2255329</v>
      </c>
      <c r="AG57" s="172"/>
      <c r="AH57" s="185">
        <f>+AH37+AH38+AH40+AH39+AH42-AH17</f>
        <v>5204463</v>
      </c>
      <c r="AJ57" s="185">
        <f>+AJ37+AJ38+AJ40+AJ39+AJ42-AJ17</f>
        <v>2269163</v>
      </c>
      <c r="AL57" s="185">
        <f>+AL37+AL38+AL40+AL39+AL42-AL17</f>
        <v>4452608</v>
      </c>
      <c r="AN57" s="185">
        <f>+AN37+AN38+AN40+AN39+AN42-AN17</f>
        <v>2241026</v>
      </c>
      <c r="AP57" s="185"/>
      <c r="AR57" s="185"/>
      <c r="AT57" s="185">
        <f>+AT37+AT38+AT40+AT39+AT42-AT17</f>
        <v>236910</v>
      </c>
      <c r="AV57" s="185">
        <f t="shared" si="0"/>
        <v>74815962</v>
      </c>
    </row>
    <row r="58" spans="1:53" ht="22.5">
      <c r="B58" s="8"/>
      <c r="D58" s="172">
        <f t="shared" ref="D58:AU58" si="1">+D55-D26</f>
        <v>0</v>
      </c>
      <c r="E58" s="172">
        <f t="shared" si="1"/>
        <v>0</v>
      </c>
      <c r="F58" s="172">
        <f t="shared" si="1"/>
        <v>0</v>
      </c>
      <c r="G58" s="172">
        <f t="shared" si="1"/>
        <v>0</v>
      </c>
      <c r="H58" s="172">
        <f>+H55-H26</f>
        <v>0</v>
      </c>
      <c r="I58" s="172">
        <f t="shared" si="1"/>
        <v>0</v>
      </c>
      <c r="J58" s="172">
        <f t="shared" si="1"/>
        <v>0</v>
      </c>
      <c r="K58" s="172">
        <f t="shared" si="1"/>
        <v>0</v>
      </c>
      <c r="L58" s="172">
        <f t="shared" si="1"/>
        <v>0</v>
      </c>
      <c r="M58" s="172">
        <f t="shared" si="1"/>
        <v>0</v>
      </c>
      <c r="N58" s="172">
        <f t="shared" si="1"/>
        <v>0</v>
      </c>
      <c r="O58" s="172">
        <f t="shared" si="1"/>
        <v>0</v>
      </c>
      <c r="P58" s="172">
        <f t="shared" si="1"/>
        <v>0</v>
      </c>
      <c r="Q58" s="172">
        <f t="shared" si="1"/>
        <v>0</v>
      </c>
      <c r="R58" s="172">
        <f t="shared" si="1"/>
        <v>0</v>
      </c>
      <c r="S58" s="172">
        <f t="shared" si="1"/>
        <v>0</v>
      </c>
      <c r="T58" s="172">
        <f t="shared" si="1"/>
        <v>0</v>
      </c>
      <c r="U58" s="172">
        <f t="shared" si="1"/>
        <v>0</v>
      </c>
      <c r="V58" s="172">
        <f t="shared" si="1"/>
        <v>0</v>
      </c>
      <c r="W58" s="172">
        <f t="shared" si="1"/>
        <v>0</v>
      </c>
      <c r="X58" s="172">
        <f t="shared" si="1"/>
        <v>0</v>
      </c>
      <c r="Y58" s="172">
        <f t="shared" si="1"/>
        <v>0</v>
      </c>
      <c r="Z58" s="172">
        <f t="shared" si="1"/>
        <v>0</v>
      </c>
      <c r="AA58" s="172">
        <f t="shared" si="1"/>
        <v>0</v>
      </c>
      <c r="AB58" s="172">
        <f t="shared" si="1"/>
        <v>0</v>
      </c>
      <c r="AC58" s="172">
        <f t="shared" si="1"/>
        <v>0</v>
      </c>
      <c r="AD58" s="172">
        <f t="shared" si="1"/>
        <v>0</v>
      </c>
      <c r="AE58" s="172">
        <f t="shared" si="1"/>
        <v>0</v>
      </c>
      <c r="AF58" s="172">
        <f t="shared" si="1"/>
        <v>0</v>
      </c>
      <c r="AG58" s="172">
        <f t="shared" si="1"/>
        <v>0</v>
      </c>
      <c r="AH58" s="172">
        <f t="shared" si="1"/>
        <v>0</v>
      </c>
      <c r="AI58" s="158">
        <f t="shared" si="1"/>
        <v>0</v>
      </c>
      <c r="AJ58" s="172">
        <f t="shared" si="1"/>
        <v>0</v>
      </c>
      <c r="AK58" s="158">
        <f t="shared" si="1"/>
        <v>0</v>
      </c>
      <c r="AL58" s="172">
        <f t="shared" si="1"/>
        <v>0</v>
      </c>
      <c r="AM58" s="158">
        <f t="shared" si="1"/>
        <v>0</v>
      </c>
      <c r="AN58" s="172">
        <f t="shared" si="1"/>
        <v>0</v>
      </c>
      <c r="AO58" s="158">
        <f t="shared" si="1"/>
        <v>0</v>
      </c>
      <c r="AP58" s="172">
        <f t="shared" si="1"/>
        <v>0</v>
      </c>
      <c r="AQ58" s="158">
        <f t="shared" si="1"/>
        <v>0</v>
      </c>
      <c r="AR58" s="172">
        <f t="shared" si="1"/>
        <v>0</v>
      </c>
      <c r="AS58" s="158">
        <f t="shared" si="1"/>
        <v>0</v>
      </c>
      <c r="AT58" s="172">
        <f t="shared" si="1"/>
        <v>0</v>
      </c>
      <c r="AU58" s="158">
        <f t="shared" si="1"/>
        <v>0</v>
      </c>
      <c r="AV58" s="172">
        <f t="shared" si="0"/>
        <v>0</v>
      </c>
    </row>
    <row r="59" spans="1:53" ht="22.5">
      <c r="B59" s="8" t="s">
        <v>261</v>
      </c>
      <c r="D59" s="172"/>
      <c r="E59" s="172"/>
      <c r="F59" s="172">
        <v>1739855</v>
      </c>
      <c r="H59" s="172">
        <v>550</v>
      </c>
      <c r="I59" s="172"/>
      <c r="J59" s="172">
        <v>33904</v>
      </c>
      <c r="K59" s="172"/>
      <c r="L59" s="172">
        <v>771348</v>
      </c>
      <c r="M59" s="172"/>
      <c r="N59" s="172"/>
      <c r="O59" s="172"/>
      <c r="P59" s="172">
        <v>982041</v>
      </c>
      <c r="Q59" s="172"/>
      <c r="R59" s="172"/>
      <c r="S59" s="172"/>
      <c r="T59" s="172">
        <v>170550</v>
      </c>
      <c r="U59" s="172"/>
      <c r="V59" s="172">
        <v>0</v>
      </c>
      <c r="W59" s="172"/>
      <c r="X59" s="172">
        <v>0</v>
      </c>
      <c r="Y59" s="172"/>
      <c r="Z59" s="172">
        <v>87485</v>
      </c>
      <c r="AA59" s="172"/>
      <c r="AB59" s="172">
        <v>0</v>
      </c>
      <c r="AC59" s="172"/>
      <c r="AD59" s="172">
        <v>192326</v>
      </c>
      <c r="AE59" s="172"/>
      <c r="AF59" s="172">
        <v>0</v>
      </c>
      <c r="AG59" s="172"/>
      <c r="AH59" s="172">
        <v>76159</v>
      </c>
      <c r="AJ59" s="172">
        <v>0</v>
      </c>
      <c r="AL59" s="172">
        <v>109842</v>
      </c>
      <c r="AN59" s="172">
        <v>13777</v>
      </c>
      <c r="AP59" s="172"/>
      <c r="AR59" s="172"/>
      <c r="AT59" s="172"/>
      <c r="AV59" s="172">
        <f t="shared" si="0"/>
        <v>4177837</v>
      </c>
    </row>
    <row r="60" spans="1:53" ht="45">
      <c r="B60" s="265" t="s">
        <v>226</v>
      </c>
      <c r="D60" s="172"/>
      <c r="E60" s="172"/>
      <c r="F60" s="267">
        <v>2518</v>
      </c>
      <c r="G60" s="167"/>
      <c r="H60" s="267">
        <v>368</v>
      </c>
      <c r="I60" s="267"/>
      <c r="J60" s="267">
        <v>1368</v>
      </c>
      <c r="K60" s="267"/>
      <c r="L60" s="267">
        <v>1600</v>
      </c>
      <c r="M60" s="267"/>
      <c r="N60" s="267"/>
      <c r="O60" s="267"/>
      <c r="P60" s="267">
        <v>839</v>
      </c>
      <c r="Q60" s="172"/>
      <c r="R60" s="172"/>
      <c r="S60" s="172"/>
      <c r="T60" s="172">
        <v>602</v>
      </c>
      <c r="U60" s="172"/>
      <c r="V60" s="172">
        <v>809</v>
      </c>
      <c r="W60" s="172"/>
      <c r="X60" s="172">
        <v>411</v>
      </c>
      <c r="Y60" s="172"/>
      <c r="Z60" s="172">
        <v>359</v>
      </c>
      <c r="AA60" s="172"/>
      <c r="AB60" s="172">
        <v>477</v>
      </c>
      <c r="AC60" s="172"/>
      <c r="AD60" s="172">
        <v>478</v>
      </c>
      <c r="AE60" s="172"/>
      <c r="AF60" s="172">
        <v>474</v>
      </c>
      <c r="AG60" s="172"/>
      <c r="AH60" s="172">
        <v>839</v>
      </c>
      <c r="AJ60" s="172">
        <v>336</v>
      </c>
      <c r="AL60" s="172">
        <v>490</v>
      </c>
      <c r="AN60" s="172">
        <v>235</v>
      </c>
      <c r="AP60" s="172"/>
      <c r="AR60" s="172"/>
      <c r="AT60" s="172">
        <v>145</v>
      </c>
      <c r="AV60" s="172">
        <f t="shared" ref="AV60:AV76" si="2">SUM(D60:AN60)</f>
        <v>12203</v>
      </c>
      <c r="AW60" s="299" t="s">
        <v>202</v>
      </c>
      <c r="AX60" s="299" t="s">
        <v>203</v>
      </c>
      <c r="AY60" s="299" t="s">
        <v>204</v>
      </c>
      <c r="AZ60" s="299" t="s">
        <v>205</v>
      </c>
      <c r="BA60" s="299" t="s">
        <v>206</v>
      </c>
    </row>
    <row r="61" spans="1:53" ht="25.5">
      <c r="B61" s="266" t="s">
        <v>227</v>
      </c>
      <c r="D61" s="172"/>
      <c r="E61" s="172"/>
      <c r="F61" s="267">
        <v>1544701</v>
      </c>
      <c r="G61" s="167"/>
      <c r="H61" s="267">
        <v>0</v>
      </c>
      <c r="I61" s="267"/>
      <c r="J61" s="267">
        <v>615155</v>
      </c>
      <c r="K61" s="267"/>
      <c r="L61" s="267">
        <v>711776</v>
      </c>
      <c r="M61" s="267"/>
      <c r="N61" s="267"/>
      <c r="O61" s="267"/>
      <c r="P61" s="267">
        <v>2075139</v>
      </c>
      <c r="Q61" s="267"/>
      <c r="R61" s="267"/>
      <c r="S61" s="267"/>
      <c r="T61" s="267">
        <v>964452</v>
      </c>
      <c r="U61" s="267"/>
      <c r="V61" s="267">
        <v>1492217</v>
      </c>
      <c r="W61" s="267"/>
      <c r="X61" s="267">
        <v>164900</v>
      </c>
      <c r="Y61" s="267"/>
      <c r="Z61" s="267">
        <v>2408385</v>
      </c>
      <c r="AA61" s="267"/>
      <c r="AB61" s="267">
        <v>1239802</v>
      </c>
      <c r="AC61" s="267"/>
      <c r="AD61" s="267">
        <v>409</v>
      </c>
      <c r="AE61" s="267"/>
      <c r="AF61" s="267">
        <v>688900</v>
      </c>
      <c r="AG61" s="267"/>
      <c r="AH61" s="267">
        <v>1497652</v>
      </c>
      <c r="AI61" s="267"/>
      <c r="AJ61" s="267">
        <v>2027150</v>
      </c>
      <c r="AK61" s="267"/>
      <c r="AL61" s="267">
        <v>0</v>
      </c>
      <c r="AM61" s="267"/>
      <c r="AN61" s="267">
        <v>1381424</v>
      </c>
      <c r="AO61" s="267"/>
      <c r="AP61" s="267"/>
      <c r="AQ61" s="267"/>
      <c r="AR61" s="267"/>
      <c r="AS61" s="169"/>
      <c r="AT61" s="267">
        <v>154228</v>
      </c>
      <c r="AV61" s="267">
        <f t="shared" si="2"/>
        <v>16812062</v>
      </c>
      <c r="AW61" s="612">
        <f>AV61+AV62</f>
        <v>31664438</v>
      </c>
    </row>
    <row r="62" spans="1:53" ht="21">
      <c r="B62" s="268" t="s">
        <v>228</v>
      </c>
      <c r="D62" s="172"/>
      <c r="E62" s="172"/>
      <c r="F62" s="267">
        <v>4853120</v>
      </c>
      <c r="G62" s="167"/>
      <c r="H62" s="267">
        <v>588228</v>
      </c>
      <c r="I62" s="267"/>
      <c r="J62" s="267">
        <v>826950</v>
      </c>
      <c r="K62" s="267"/>
      <c r="L62" s="267">
        <v>1187096</v>
      </c>
      <c r="M62" s="267"/>
      <c r="N62" s="267"/>
      <c r="O62" s="267"/>
      <c r="P62" s="267">
        <v>483764</v>
      </c>
      <c r="Q62" s="267"/>
      <c r="R62" s="267"/>
      <c r="S62" s="267"/>
      <c r="T62" s="267">
        <v>63994</v>
      </c>
      <c r="U62" s="267"/>
      <c r="V62" s="267">
        <v>1318377</v>
      </c>
      <c r="W62" s="267"/>
      <c r="X62" s="267">
        <v>63340</v>
      </c>
      <c r="Y62" s="267"/>
      <c r="Z62" s="267">
        <v>0</v>
      </c>
      <c r="AA62" s="267"/>
      <c r="AB62" s="267">
        <v>37333</v>
      </c>
      <c r="AC62" s="267"/>
      <c r="AD62" s="267">
        <f>710389+89287</f>
        <v>799676</v>
      </c>
      <c r="AE62" s="267"/>
      <c r="AF62" s="267">
        <v>1050700</v>
      </c>
      <c r="AG62" s="267"/>
      <c r="AH62" s="267">
        <v>2138100</v>
      </c>
      <c r="AI62" s="267"/>
      <c r="AJ62" s="267">
        <v>1100283</v>
      </c>
      <c r="AK62" s="267"/>
      <c r="AL62" s="267">
        <v>298415</v>
      </c>
      <c r="AM62" s="267"/>
      <c r="AN62" s="267">
        <v>43000</v>
      </c>
      <c r="AO62" s="267"/>
      <c r="AP62" s="267"/>
      <c r="AQ62" s="267"/>
      <c r="AR62" s="267"/>
      <c r="AS62" s="169"/>
      <c r="AT62" s="267">
        <v>350000</v>
      </c>
      <c r="AV62" s="267">
        <f t="shared" si="2"/>
        <v>14852376</v>
      </c>
      <c r="AW62" s="613"/>
    </row>
    <row r="63" spans="1:53" ht="21">
      <c r="B63" s="269" t="s">
        <v>229</v>
      </c>
      <c r="D63" s="172"/>
      <c r="E63" s="172"/>
      <c r="F63" s="267">
        <v>1071549</v>
      </c>
      <c r="G63" s="167"/>
      <c r="H63" s="267">
        <v>261747</v>
      </c>
      <c r="I63" s="267"/>
      <c r="J63" s="267">
        <v>2637427</v>
      </c>
      <c r="K63" s="267"/>
      <c r="L63" s="267">
        <v>308605</v>
      </c>
      <c r="M63" s="267"/>
      <c r="N63" s="267"/>
      <c r="O63" s="267"/>
      <c r="P63" s="267">
        <v>389879</v>
      </c>
      <c r="Q63" s="267"/>
      <c r="R63" s="267"/>
      <c r="S63" s="267"/>
      <c r="T63" s="267">
        <v>12668</v>
      </c>
      <c r="U63" s="267"/>
      <c r="V63" s="267">
        <v>221360</v>
      </c>
      <c r="W63" s="267"/>
      <c r="X63" s="267">
        <v>606</v>
      </c>
      <c r="Y63" s="267"/>
      <c r="Z63" s="267">
        <v>775852</v>
      </c>
      <c r="AA63" s="267"/>
      <c r="AB63" s="267">
        <v>48318</v>
      </c>
      <c r="AC63" s="267"/>
      <c r="AD63" s="267">
        <v>462777</v>
      </c>
      <c r="AE63" s="267"/>
      <c r="AF63" s="267">
        <v>410020</v>
      </c>
      <c r="AG63" s="267"/>
      <c r="AH63" s="267">
        <v>597853</v>
      </c>
      <c r="AI63" s="267"/>
      <c r="AJ63" s="267">
        <v>284844</v>
      </c>
      <c r="AK63" s="267"/>
      <c r="AL63" s="267">
        <v>164335</v>
      </c>
      <c r="AM63" s="267"/>
      <c r="AN63" s="267">
        <v>0</v>
      </c>
      <c r="AO63" s="267"/>
      <c r="AP63" s="267"/>
      <c r="AQ63" s="267"/>
      <c r="AR63" s="267"/>
      <c r="AS63" s="169"/>
      <c r="AT63" s="267">
        <v>21100</v>
      </c>
      <c r="AV63" s="267">
        <f t="shared" si="2"/>
        <v>7647840</v>
      </c>
      <c r="AW63" s="612">
        <f>AV63+AV64</f>
        <v>10734365</v>
      </c>
    </row>
    <row r="64" spans="1:53" ht="21">
      <c r="B64" s="11" t="s">
        <v>230</v>
      </c>
      <c r="D64" s="172"/>
      <c r="E64" s="172"/>
      <c r="F64" s="267">
        <v>0</v>
      </c>
      <c r="G64" s="167"/>
      <c r="H64" s="267">
        <v>0</v>
      </c>
      <c r="I64" s="267"/>
      <c r="J64" s="267">
        <v>343087</v>
      </c>
      <c r="K64" s="267"/>
      <c r="L64" s="267">
        <v>0</v>
      </c>
      <c r="M64" s="267"/>
      <c r="N64" s="267"/>
      <c r="O64" s="267"/>
      <c r="P64" s="267">
        <v>0</v>
      </c>
      <c r="Q64" s="267"/>
      <c r="R64" s="267"/>
      <c r="S64" s="267"/>
      <c r="T64" s="267">
        <v>186173</v>
      </c>
      <c r="U64" s="267"/>
      <c r="V64" s="267">
        <v>1459382</v>
      </c>
      <c r="W64" s="267"/>
      <c r="X64" s="267">
        <v>0</v>
      </c>
      <c r="Y64" s="267"/>
      <c r="Z64" s="267">
        <v>887191</v>
      </c>
      <c r="AA64" s="267"/>
      <c r="AB64" s="267">
        <v>1519</v>
      </c>
      <c r="AC64" s="267"/>
      <c r="AD64" s="267">
        <f>78716-700</f>
        <v>78016</v>
      </c>
      <c r="AE64" s="267"/>
      <c r="AF64" s="267">
        <v>71843</v>
      </c>
      <c r="AG64" s="267"/>
      <c r="AH64" s="267">
        <v>0</v>
      </c>
      <c r="AI64" s="267"/>
      <c r="AJ64" s="267"/>
      <c r="AK64" s="267"/>
      <c r="AL64" s="267">
        <v>51814</v>
      </c>
      <c r="AM64" s="267"/>
      <c r="AN64" s="267">
        <v>7500</v>
      </c>
      <c r="AO64" s="267"/>
      <c r="AP64" s="267"/>
      <c r="AQ64" s="267"/>
      <c r="AR64" s="267"/>
      <c r="AS64" s="169"/>
      <c r="AT64" s="267">
        <v>0</v>
      </c>
      <c r="AV64" s="267">
        <f t="shared" si="2"/>
        <v>3086525</v>
      </c>
      <c r="AW64" s="613"/>
    </row>
    <row r="65" spans="2:53" ht="21">
      <c r="B65" s="11" t="s">
        <v>231</v>
      </c>
      <c r="D65" s="172"/>
      <c r="E65" s="172"/>
      <c r="F65" s="267">
        <v>0</v>
      </c>
      <c r="G65" s="167"/>
      <c r="H65" s="267">
        <v>0</v>
      </c>
      <c r="I65" s="267"/>
      <c r="J65" s="267">
        <v>0</v>
      </c>
      <c r="K65" s="267"/>
      <c r="L65" s="267">
        <v>0</v>
      </c>
      <c r="M65" s="267"/>
      <c r="N65" s="267"/>
      <c r="O65" s="267"/>
      <c r="P65" s="267">
        <v>247318</v>
      </c>
      <c r="Q65" s="267"/>
      <c r="R65" s="267"/>
      <c r="S65" s="267"/>
      <c r="T65" s="267">
        <v>0</v>
      </c>
      <c r="U65" s="267"/>
      <c r="V65" s="267">
        <v>0</v>
      </c>
      <c r="W65" s="267"/>
      <c r="X65" s="267">
        <v>506</v>
      </c>
      <c r="Y65" s="267"/>
      <c r="Z65" s="267"/>
      <c r="AA65" s="267"/>
      <c r="AB65" s="267">
        <v>0</v>
      </c>
      <c r="AC65" s="267"/>
      <c r="AD65" s="267">
        <v>0</v>
      </c>
      <c r="AE65" s="267"/>
      <c r="AF65" s="267">
        <v>0</v>
      </c>
      <c r="AG65" s="267"/>
      <c r="AH65" s="267">
        <v>484000</v>
      </c>
      <c r="AI65" s="267"/>
      <c r="AJ65" s="267">
        <v>2283</v>
      </c>
      <c r="AK65" s="267"/>
      <c r="AL65" s="267">
        <v>0</v>
      </c>
      <c r="AM65" s="267"/>
      <c r="AN65" s="267">
        <v>0</v>
      </c>
      <c r="AO65" s="267"/>
      <c r="AP65" s="267"/>
      <c r="AQ65" s="267"/>
      <c r="AR65" s="267"/>
      <c r="AS65" s="169"/>
      <c r="AT65" s="267">
        <v>0</v>
      </c>
      <c r="AV65" s="267">
        <f t="shared" si="2"/>
        <v>734107</v>
      </c>
      <c r="AW65" s="612">
        <f>AV65+AV66</f>
        <v>3046699</v>
      </c>
    </row>
    <row r="66" spans="2:53" ht="21">
      <c r="B66" s="270" t="s">
        <v>232</v>
      </c>
      <c r="D66" s="172"/>
      <c r="E66" s="172"/>
      <c r="F66" s="267">
        <v>412788</v>
      </c>
      <c r="G66" s="167"/>
      <c r="H66" s="267">
        <v>60351</v>
      </c>
      <c r="I66" s="267"/>
      <c r="J66" s="267">
        <v>0</v>
      </c>
      <c r="K66" s="267"/>
      <c r="L66" s="267">
        <v>113695</v>
      </c>
      <c r="M66" s="267"/>
      <c r="N66" s="267"/>
      <c r="O66" s="267"/>
      <c r="P66" s="267">
        <v>975994</v>
      </c>
      <c r="Q66" s="267"/>
      <c r="R66" s="267"/>
      <c r="S66" s="267"/>
      <c r="T66" s="267">
        <v>0</v>
      </c>
      <c r="U66" s="267"/>
      <c r="V66" s="267">
        <v>0</v>
      </c>
      <c r="W66" s="267"/>
      <c r="X66" s="267">
        <v>0</v>
      </c>
      <c r="Y66" s="267"/>
      <c r="Z66" s="267">
        <v>0</v>
      </c>
      <c r="AA66" s="267"/>
      <c r="AB66" s="267">
        <v>16000</v>
      </c>
      <c r="AC66" s="267"/>
      <c r="AD66" s="267">
        <v>190224</v>
      </c>
      <c r="AE66" s="267"/>
      <c r="AF66" s="267">
        <v>9114</v>
      </c>
      <c r="AG66" s="267"/>
      <c r="AH66" s="267">
        <v>438253</v>
      </c>
      <c r="AI66" s="267"/>
      <c r="AJ66" s="267">
        <f>1002+95171</f>
        <v>96173</v>
      </c>
      <c r="AK66" s="267"/>
      <c r="AL66" s="267">
        <v>0</v>
      </c>
      <c r="AM66" s="267"/>
      <c r="AN66" s="267">
        <v>0</v>
      </c>
      <c r="AO66" s="267"/>
      <c r="AP66" s="267"/>
      <c r="AQ66" s="267"/>
      <c r="AR66" s="267"/>
      <c r="AS66" s="169"/>
      <c r="AT66" s="267">
        <v>0</v>
      </c>
      <c r="AV66" s="267">
        <f t="shared" si="2"/>
        <v>2312592</v>
      </c>
      <c r="AW66" s="613"/>
    </row>
    <row r="67" spans="2:53" ht="36">
      <c r="B67" s="271" t="s">
        <v>233</v>
      </c>
      <c r="D67" s="172"/>
      <c r="E67" s="172"/>
      <c r="F67" s="267">
        <v>0</v>
      </c>
      <c r="G67" s="167"/>
      <c r="H67" s="267">
        <v>0</v>
      </c>
      <c r="I67" s="267"/>
      <c r="J67" s="267">
        <v>0</v>
      </c>
      <c r="K67" s="267"/>
      <c r="L67" s="267">
        <v>0</v>
      </c>
      <c r="M67" s="267"/>
      <c r="N67" s="267"/>
      <c r="O67" s="267"/>
      <c r="P67" s="267">
        <v>315151</v>
      </c>
      <c r="Q67" s="267"/>
      <c r="R67" s="267"/>
      <c r="S67" s="267"/>
      <c r="T67" s="267">
        <v>0</v>
      </c>
      <c r="U67" s="267"/>
      <c r="V67" s="267">
        <v>575000</v>
      </c>
      <c r="W67" s="267"/>
      <c r="X67" s="267">
        <v>0</v>
      </c>
      <c r="Y67" s="267"/>
      <c r="Z67" s="267"/>
      <c r="AA67" s="267"/>
      <c r="AB67" s="267">
        <v>0</v>
      </c>
      <c r="AC67" s="267"/>
      <c r="AD67" s="267">
        <v>0</v>
      </c>
      <c r="AE67" s="267"/>
      <c r="AF67" s="267">
        <v>0</v>
      </c>
      <c r="AG67" s="267"/>
      <c r="AH67" s="267">
        <v>0</v>
      </c>
      <c r="AI67" s="267"/>
      <c r="AJ67" s="267">
        <v>0</v>
      </c>
      <c r="AK67" s="267"/>
      <c r="AL67" s="267">
        <v>50000</v>
      </c>
      <c r="AM67" s="267"/>
      <c r="AN67" s="267">
        <v>0</v>
      </c>
      <c r="AO67" s="267"/>
      <c r="AP67" s="267"/>
      <c r="AQ67" s="267"/>
      <c r="AR67" s="267"/>
      <c r="AS67" s="169"/>
      <c r="AT67" s="267">
        <v>0</v>
      </c>
      <c r="AV67" s="267">
        <f t="shared" si="2"/>
        <v>940151</v>
      </c>
      <c r="AW67" s="612">
        <f>AV67+AV68</f>
        <v>2468210</v>
      </c>
    </row>
    <row r="68" spans="2:53" ht="36">
      <c r="B68" s="271" t="s">
        <v>234</v>
      </c>
      <c r="D68" s="172"/>
      <c r="E68" s="172"/>
      <c r="F68" s="267">
        <v>0</v>
      </c>
      <c r="G68" s="167"/>
      <c r="H68" s="267">
        <v>0</v>
      </c>
      <c r="I68" s="267"/>
      <c r="J68" s="267">
        <v>0</v>
      </c>
      <c r="K68" s="267"/>
      <c r="L68" s="267">
        <v>0</v>
      </c>
      <c r="M68" s="267"/>
      <c r="N68" s="267"/>
      <c r="O68" s="267"/>
      <c r="P68" s="267">
        <v>7387</v>
      </c>
      <c r="Q68" s="267"/>
      <c r="R68" s="267"/>
      <c r="S68" s="267"/>
      <c r="T68" s="267">
        <v>0</v>
      </c>
      <c r="U68" s="267"/>
      <c r="V68" s="267">
        <v>0</v>
      </c>
      <c r="W68" s="267"/>
      <c r="X68" s="267">
        <v>0</v>
      </c>
      <c r="Y68" s="267"/>
      <c r="Z68" s="267">
        <v>0</v>
      </c>
      <c r="AA68" s="267"/>
      <c r="AB68" s="267">
        <v>0</v>
      </c>
      <c r="AC68" s="267"/>
      <c r="AD68" s="267">
        <f>477392+29000</f>
        <v>506392</v>
      </c>
      <c r="AE68" s="267"/>
      <c r="AF68" s="267">
        <v>0</v>
      </c>
      <c r="AG68" s="267"/>
      <c r="AH68" s="267">
        <v>1014280</v>
      </c>
      <c r="AI68" s="267"/>
      <c r="AJ68" s="267"/>
      <c r="AK68" s="267"/>
      <c r="AL68" s="267">
        <v>0</v>
      </c>
      <c r="AM68" s="267"/>
      <c r="AN68" s="267">
        <v>0</v>
      </c>
      <c r="AO68" s="267"/>
      <c r="AP68" s="267"/>
      <c r="AQ68" s="267"/>
      <c r="AR68" s="267"/>
      <c r="AS68" s="169"/>
      <c r="AT68" s="267">
        <v>0</v>
      </c>
      <c r="AV68" s="267">
        <f t="shared" si="2"/>
        <v>1528059</v>
      </c>
      <c r="AW68" s="613"/>
    </row>
    <row r="69" spans="2:53" ht="37.5">
      <c r="B69" s="300" t="s">
        <v>262</v>
      </c>
      <c r="D69" s="172"/>
      <c r="E69" s="172"/>
      <c r="F69" s="267">
        <v>2747</v>
      </c>
      <c r="G69" s="167"/>
      <c r="H69" s="267">
        <v>0</v>
      </c>
      <c r="I69" s="267"/>
      <c r="J69" s="267">
        <v>48467</v>
      </c>
      <c r="K69" s="267"/>
      <c r="L69" s="267">
        <v>194781</v>
      </c>
      <c r="M69" s="267"/>
      <c r="N69" s="267"/>
      <c r="O69" s="267"/>
      <c r="P69" s="267">
        <v>4337</v>
      </c>
      <c r="Q69" s="267"/>
      <c r="R69" s="267"/>
      <c r="S69" s="267"/>
      <c r="T69" s="267">
        <v>1991</v>
      </c>
      <c r="U69" s="267"/>
      <c r="V69" s="267">
        <v>0</v>
      </c>
      <c r="W69" s="267"/>
      <c r="X69" s="267"/>
      <c r="Y69" s="267"/>
      <c r="Z69" s="267">
        <v>0</v>
      </c>
      <c r="AA69" s="267"/>
      <c r="AB69" s="267">
        <v>0</v>
      </c>
      <c r="AC69" s="267"/>
      <c r="AD69" s="267">
        <v>649</v>
      </c>
      <c r="AE69" s="267"/>
      <c r="AF69" s="267">
        <v>0</v>
      </c>
      <c r="AG69" s="267"/>
      <c r="AH69" s="267">
        <v>4218</v>
      </c>
      <c r="AI69" s="267"/>
      <c r="AJ69" s="267"/>
      <c r="AK69" s="267"/>
      <c r="AL69" s="267">
        <v>0</v>
      </c>
      <c r="AM69" s="267"/>
      <c r="AN69" s="267">
        <v>0</v>
      </c>
      <c r="AO69" s="267"/>
      <c r="AP69" s="267"/>
      <c r="AQ69" s="267"/>
      <c r="AR69" s="267"/>
      <c r="AS69" s="169"/>
      <c r="AT69" s="267"/>
      <c r="AV69" s="267">
        <f t="shared" si="2"/>
        <v>257190</v>
      </c>
      <c r="AW69" s="612">
        <f>AV69+AV70</f>
        <v>614804</v>
      </c>
      <c r="AX69" s="609">
        <f>AW69+AW71+AW73</f>
        <v>4805144</v>
      </c>
      <c r="AY69" s="609">
        <f>(AV13+AV14+AV16+AV18+AV20+AV21+AV25)-AX69</f>
        <v>53419030</v>
      </c>
      <c r="AZ69" s="609">
        <f>AV28+AV29+AV30+AV31+AV33+AV35+AV41+AV44</f>
        <v>29302357</v>
      </c>
      <c r="BA69" s="609">
        <f>AV32+AV36+AV43</f>
        <v>2245737</v>
      </c>
    </row>
    <row r="70" spans="2:53" ht="37.5">
      <c r="B70" s="301" t="s">
        <v>263</v>
      </c>
      <c r="C70" s="187"/>
      <c r="D70" s="172"/>
      <c r="E70" s="172"/>
      <c r="F70" s="267">
        <v>4949</v>
      </c>
      <c r="G70" s="302"/>
      <c r="H70" s="267">
        <v>0</v>
      </c>
      <c r="I70" s="267"/>
      <c r="J70" s="267">
        <v>20014</v>
      </c>
      <c r="K70" s="267"/>
      <c r="L70" s="267">
        <v>236777</v>
      </c>
      <c r="M70" s="267"/>
      <c r="N70" s="267"/>
      <c r="O70" s="267"/>
      <c r="P70" s="267">
        <v>42336</v>
      </c>
      <c r="Q70" s="172"/>
      <c r="R70" s="172"/>
      <c r="S70" s="172"/>
      <c r="T70" s="267">
        <v>0</v>
      </c>
      <c r="U70" s="267"/>
      <c r="V70" s="267">
        <v>43076</v>
      </c>
      <c r="W70" s="267"/>
      <c r="X70" s="267">
        <v>0</v>
      </c>
      <c r="Y70" s="267"/>
      <c r="Z70" s="267">
        <v>0</v>
      </c>
      <c r="AA70" s="267"/>
      <c r="AB70" s="267">
        <v>0</v>
      </c>
      <c r="AC70" s="267"/>
      <c r="AD70" s="267">
        <v>0</v>
      </c>
      <c r="AE70" s="267"/>
      <c r="AF70" s="267">
        <v>0</v>
      </c>
      <c r="AG70" s="267"/>
      <c r="AH70" s="267">
        <v>10462</v>
      </c>
      <c r="AI70" s="267"/>
      <c r="AJ70" s="267">
        <v>0</v>
      </c>
      <c r="AK70" s="267"/>
      <c r="AL70" s="267">
        <v>0</v>
      </c>
      <c r="AM70" s="267"/>
      <c r="AN70" s="267">
        <v>0</v>
      </c>
      <c r="AO70" s="169"/>
      <c r="AP70" s="267"/>
      <c r="AQ70" s="169"/>
      <c r="AR70" s="267"/>
      <c r="AS70" s="169"/>
      <c r="AT70" s="267">
        <v>0</v>
      </c>
      <c r="AV70" s="267">
        <f t="shared" si="2"/>
        <v>357614</v>
      </c>
      <c r="AW70" s="613"/>
      <c r="AX70" s="610"/>
      <c r="AY70" s="610"/>
      <c r="AZ70" s="610"/>
      <c r="BA70" s="610"/>
    </row>
    <row r="71" spans="2:53" ht="21">
      <c r="B71" s="301" t="s">
        <v>237</v>
      </c>
      <c r="C71" s="187"/>
      <c r="D71" s="172"/>
      <c r="E71" s="172"/>
      <c r="F71" s="267">
        <v>71009</v>
      </c>
      <c r="G71" s="302"/>
      <c r="H71" s="267">
        <v>0</v>
      </c>
      <c r="I71" s="267"/>
      <c r="J71" s="267">
        <v>361620</v>
      </c>
      <c r="K71" s="267"/>
      <c r="L71" s="267">
        <v>39310</v>
      </c>
      <c r="M71" s="267"/>
      <c r="N71" s="267"/>
      <c r="O71" s="267"/>
      <c r="P71" s="267">
        <v>10121</v>
      </c>
      <c r="Q71" s="172"/>
      <c r="R71" s="172"/>
      <c r="S71" s="172"/>
      <c r="T71" s="267">
        <v>10990</v>
      </c>
      <c r="U71" s="267"/>
      <c r="V71" s="267"/>
      <c r="W71" s="267"/>
      <c r="X71" s="267">
        <v>13457</v>
      </c>
      <c r="Y71" s="267"/>
      <c r="Z71" s="267">
        <v>0</v>
      </c>
      <c r="AA71" s="267"/>
      <c r="AB71" s="267">
        <v>2083</v>
      </c>
      <c r="AC71" s="267"/>
      <c r="AD71" s="267">
        <v>77320</v>
      </c>
      <c r="AE71" s="267"/>
      <c r="AF71" s="267">
        <v>0</v>
      </c>
      <c r="AG71" s="267"/>
      <c r="AH71" s="267">
        <v>14889</v>
      </c>
      <c r="AI71" s="267"/>
      <c r="AJ71" s="267">
        <v>36889</v>
      </c>
      <c r="AK71" s="267"/>
      <c r="AL71" s="267"/>
      <c r="AM71" s="267"/>
      <c r="AN71" s="267">
        <v>8000</v>
      </c>
      <c r="AO71" s="169"/>
      <c r="AP71" s="267"/>
      <c r="AQ71" s="169"/>
      <c r="AR71" s="267"/>
      <c r="AS71" s="169"/>
      <c r="AT71" s="267"/>
      <c r="AV71" s="267">
        <f t="shared" si="2"/>
        <v>645688</v>
      </c>
      <c r="AW71" s="612">
        <f>AV71+AV72</f>
        <v>2249093</v>
      </c>
      <c r="AX71" s="610"/>
      <c r="AY71" s="610"/>
      <c r="AZ71" s="610"/>
      <c r="BA71" s="610"/>
    </row>
    <row r="72" spans="2:53" ht="21">
      <c r="B72" s="301" t="s">
        <v>238</v>
      </c>
      <c r="D72" s="172"/>
      <c r="E72" s="172"/>
      <c r="F72" s="267">
        <v>547863</v>
      </c>
      <c r="G72" s="167"/>
      <c r="H72" s="267">
        <v>19103</v>
      </c>
      <c r="I72" s="267"/>
      <c r="J72" s="267">
        <v>265377</v>
      </c>
      <c r="K72" s="267"/>
      <c r="L72" s="267">
        <v>494909</v>
      </c>
      <c r="M72" s="267"/>
      <c r="N72" s="267"/>
      <c r="O72" s="267"/>
      <c r="P72" s="267">
        <v>39179</v>
      </c>
      <c r="Q72" s="172"/>
      <c r="R72" s="172"/>
      <c r="S72" s="172"/>
      <c r="T72" s="267">
        <v>0</v>
      </c>
      <c r="U72" s="267"/>
      <c r="V72" s="267">
        <v>47192</v>
      </c>
      <c r="W72" s="267"/>
      <c r="X72" s="267">
        <v>0</v>
      </c>
      <c r="Y72" s="267"/>
      <c r="Z72" s="267">
        <v>17211</v>
      </c>
      <c r="AA72" s="267"/>
      <c r="AB72" s="267">
        <v>0</v>
      </c>
      <c r="AC72" s="267"/>
      <c r="AD72" s="267">
        <v>0</v>
      </c>
      <c r="AE72" s="267"/>
      <c r="AF72" s="267">
        <v>0</v>
      </c>
      <c r="AG72" s="267"/>
      <c r="AH72" s="267">
        <v>132485</v>
      </c>
      <c r="AI72" s="267"/>
      <c r="AJ72" s="267">
        <v>29714</v>
      </c>
      <c r="AK72" s="267"/>
      <c r="AL72" s="267">
        <v>10372</v>
      </c>
      <c r="AM72" s="267"/>
      <c r="AN72" s="267">
        <v>0</v>
      </c>
      <c r="AO72" s="169"/>
      <c r="AP72" s="267"/>
      <c r="AQ72" s="169"/>
      <c r="AR72" s="267"/>
      <c r="AS72" s="169"/>
      <c r="AT72" s="267">
        <v>0</v>
      </c>
      <c r="AV72" s="267">
        <f t="shared" si="2"/>
        <v>1603405</v>
      </c>
      <c r="AW72" s="613"/>
      <c r="AX72" s="610"/>
      <c r="AY72" s="610"/>
      <c r="AZ72" s="610"/>
      <c r="BA72" s="610"/>
    </row>
    <row r="73" spans="2:53" ht="21">
      <c r="B73" s="301" t="s">
        <v>239</v>
      </c>
      <c r="D73" s="172"/>
      <c r="E73" s="172"/>
      <c r="F73" s="267">
        <v>208190</v>
      </c>
      <c r="G73" s="167"/>
      <c r="H73" s="267">
        <v>0</v>
      </c>
      <c r="I73" s="267"/>
      <c r="J73" s="267">
        <v>131178</v>
      </c>
      <c r="K73" s="267"/>
      <c r="L73" s="267">
        <v>0</v>
      </c>
      <c r="M73" s="267"/>
      <c r="N73" s="267"/>
      <c r="O73" s="267"/>
      <c r="P73" s="267">
        <v>63683</v>
      </c>
      <c r="Q73" s="172"/>
      <c r="R73" s="172"/>
      <c r="S73" s="172"/>
      <c r="T73" s="267">
        <v>9624</v>
      </c>
      <c r="U73" s="267"/>
      <c r="V73" s="267">
        <v>0</v>
      </c>
      <c r="W73" s="267"/>
      <c r="X73" s="267"/>
      <c r="Y73" s="267"/>
      <c r="Z73" s="267">
        <v>0</v>
      </c>
      <c r="AA73" s="267"/>
      <c r="AB73" s="267">
        <v>0</v>
      </c>
      <c r="AC73" s="267"/>
      <c r="AD73" s="267">
        <v>83859</v>
      </c>
      <c r="AE73" s="267"/>
      <c r="AF73" s="267">
        <v>71615</v>
      </c>
      <c r="AG73" s="267"/>
      <c r="AH73" s="267">
        <v>71941</v>
      </c>
      <c r="AI73" s="267"/>
      <c r="AJ73" s="267">
        <v>495523</v>
      </c>
      <c r="AK73" s="267"/>
      <c r="AL73" s="267">
        <v>0</v>
      </c>
      <c r="AM73" s="267"/>
      <c r="AN73" s="267">
        <v>0</v>
      </c>
      <c r="AO73" s="169"/>
      <c r="AP73" s="267"/>
      <c r="AQ73" s="169"/>
      <c r="AR73" s="267"/>
      <c r="AS73" s="169"/>
      <c r="AT73" s="267"/>
      <c r="AV73" s="267">
        <f t="shared" si="2"/>
        <v>1135613</v>
      </c>
      <c r="AW73" s="612">
        <f>AV73+AV74</f>
        <v>1941247</v>
      </c>
      <c r="AX73" s="610"/>
      <c r="AY73" s="610"/>
      <c r="AZ73" s="610"/>
      <c r="BA73" s="610"/>
    </row>
    <row r="74" spans="2:53" ht="21">
      <c r="B74" s="301" t="s">
        <v>240</v>
      </c>
      <c r="D74" s="172"/>
      <c r="E74" s="172"/>
      <c r="F74" s="267">
        <v>31746</v>
      </c>
      <c r="G74" s="167"/>
      <c r="H74" s="267">
        <v>0</v>
      </c>
      <c r="I74" s="267"/>
      <c r="J74" s="267">
        <v>0</v>
      </c>
      <c r="K74" s="267"/>
      <c r="L74" s="267">
        <v>0</v>
      </c>
      <c r="M74" s="267"/>
      <c r="N74" s="267"/>
      <c r="O74" s="267"/>
      <c r="P74" s="267">
        <v>47926</v>
      </c>
      <c r="Q74" s="172"/>
      <c r="R74" s="172"/>
      <c r="S74" s="172"/>
      <c r="T74" s="267">
        <v>0</v>
      </c>
      <c r="U74" s="267"/>
      <c r="V74" s="267">
        <v>641019</v>
      </c>
      <c r="W74" s="267"/>
      <c r="X74" s="267">
        <v>0</v>
      </c>
      <c r="Y74" s="267"/>
      <c r="Z74" s="267">
        <v>0</v>
      </c>
      <c r="AA74" s="267"/>
      <c r="AB74" s="267">
        <v>0</v>
      </c>
      <c r="AC74" s="267"/>
      <c r="AD74" s="267">
        <v>0</v>
      </c>
      <c r="AE74" s="267"/>
      <c r="AF74" s="267">
        <v>0</v>
      </c>
      <c r="AG74" s="267"/>
      <c r="AH74" s="267">
        <v>72557</v>
      </c>
      <c r="AI74" s="267"/>
      <c r="AJ74" s="267">
        <v>0</v>
      </c>
      <c r="AK74" s="267"/>
      <c r="AL74" s="267">
        <v>12386</v>
      </c>
      <c r="AM74" s="267"/>
      <c r="AN74" s="267">
        <v>0</v>
      </c>
      <c r="AO74" s="169"/>
      <c r="AP74" s="267"/>
      <c r="AQ74" s="169"/>
      <c r="AR74" s="267"/>
      <c r="AS74" s="169"/>
      <c r="AT74" s="267">
        <v>0</v>
      </c>
      <c r="AV74" s="267">
        <f t="shared" si="2"/>
        <v>805634</v>
      </c>
      <c r="AW74" s="613"/>
      <c r="AX74" s="611"/>
      <c r="AY74" s="611"/>
      <c r="AZ74" s="611"/>
      <c r="BA74" s="611"/>
    </row>
    <row r="75" spans="2:53" ht="48">
      <c r="B75" s="301" t="s">
        <v>241</v>
      </c>
      <c r="D75" s="172"/>
      <c r="E75" s="172"/>
      <c r="F75" s="267">
        <v>2600187</v>
      </c>
      <c r="G75" s="167"/>
      <c r="H75" s="267">
        <v>37837</v>
      </c>
      <c r="I75" s="267"/>
      <c r="J75" s="267">
        <v>433035</v>
      </c>
      <c r="K75" s="267"/>
      <c r="L75" s="267">
        <v>1380508</v>
      </c>
      <c r="M75" s="267"/>
      <c r="N75" s="267"/>
      <c r="O75" s="267"/>
      <c r="P75" s="267">
        <v>1535305</v>
      </c>
      <c r="Q75" s="172"/>
      <c r="R75" s="172"/>
      <c r="S75" s="172"/>
      <c r="T75" s="267">
        <v>137186</v>
      </c>
      <c r="U75" s="267"/>
      <c r="V75" s="267">
        <v>4478583</v>
      </c>
      <c r="W75" s="267"/>
      <c r="X75" s="267">
        <v>132553</v>
      </c>
      <c r="Y75" s="267"/>
      <c r="Z75" s="267">
        <v>354561</v>
      </c>
      <c r="AA75" s="267"/>
      <c r="AB75" s="267">
        <v>86573</v>
      </c>
      <c r="AC75" s="267"/>
      <c r="AD75" s="267">
        <v>1710549</v>
      </c>
      <c r="AE75" s="267"/>
      <c r="AF75" s="267">
        <v>781088</v>
      </c>
      <c r="AG75" s="267"/>
      <c r="AH75" s="267">
        <v>1968561</v>
      </c>
      <c r="AI75" s="169"/>
      <c r="AJ75" s="267">
        <v>1283149</v>
      </c>
      <c r="AK75" s="169"/>
      <c r="AL75" s="267">
        <v>737998</v>
      </c>
      <c r="AN75" s="267">
        <v>34608</v>
      </c>
      <c r="AO75" s="169"/>
      <c r="AP75" s="267"/>
      <c r="AQ75" s="169"/>
      <c r="AR75" s="267"/>
      <c r="AS75" s="169"/>
      <c r="AT75" s="267">
        <v>5201</v>
      </c>
      <c r="AV75" s="267">
        <f t="shared" si="2"/>
        <v>17692281</v>
      </c>
      <c r="AX75" s="299" t="s">
        <v>222</v>
      </c>
      <c r="AY75" s="303">
        <f>AY69/($AV$26-$AV$17)</f>
        <v>0.39663224449568285</v>
      </c>
      <c r="AZ75" s="303">
        <f>AZ69/($AV$26-$AV$17)</f>
        <v>0.21756777736180877</v>
      </c>
    </row>
    <row r="76" spans="2:53" ht="33">
      <c r="B76" s="301" t="s">
        <v>219</v>
      </c>
      <c r="D76" s="172"/>
      <c r="E76" s="172"/>
      <c r="F76" s="267">
        <v>2466935</v>
      </c>
      <c r="G76" s="167"/>
      <c r="H76" s="267">
        <v>24348</v>
      </c>
      <c r="I76" s="267"/>
      <c r="J76" s="267">
        <v>381015</v>
      </c>
      <c r="K76" s="267"/>
      <c r="L76" s="267">
        <v>1248235</v>
      </c>
      <c r="M76" s="267"/>
      <c r="N76" s="267"/>
      <c r="O76" s="267"/>
      <c r="P76" s="267">
        <v>1212521</v>
      </c>
      <c r="Q76" s="172"/>
      <c r="R76" s="172"/>
      <c r="S76" s="172"/>
      <c r="T76" s="267">
        <v>114701</v>
      </c>
      <c r="U76" s="267"/>
      <c r="V76" s="267">
        <v>4096352</v>
      </c>
      <c r="W76" s="267"/>
      <c r="X76" s="267">
        <v>101656</v>
      </c>
      <c r="Y76" s="267"/>
      <c r="Z76" s="267">
        <v>284874</v>
      </c>
      <c r="AA76" s="267"/>
      <c r="AB76" s="267">
        <v>36633</v>
      </c>
      <c r="AC76" s="267"/>
      <c r="AD76" s="267">
        <v>773194</v>
      </c>
      <c r="AE76" s="267"/>
      <c r="AF76" s="267">
        <v>670942</v>
      </c>
      <c r="AG76" s="267"/>
      <c r="AH76" s="267">
        <v>1630470</v>
      </c>
      <c r="AI76" s="169"/>
      <c r="AJ76" s="267">
        <v>590990</v>
      </c>
      <c r="AK76" s="169"/>
      <c r="AL76" s="267">
        <v>568257</v>
      </c>
      <c r="AN76" s="267">
        <v>24179</v>
      </c>
      <c r="AO76" s="169"/>
      <c r="AP76" s="267"/>
      <c r="AQ76" s="169"/>
      <c r="AR76" s="267"/>
      <c r="AS76" s="169"/>
      <c r="AT76" s="267">
        <v>2335</v>
      </c>
      <c r="AV76" s="267">
        <f t="shared" si="2"/>
        <v>14225302</v>
      </c>
      <c r="AX76" s="299" t="s">
        <v>204</v>
      </c>
      <c r="AZ76" s="304">
        <f>(AY75-AZ75)*(AV26-AV17)</f>
        <v>24116673</v>
      </c>
    </row>
    <row r="77" spans="2:53" ht="21">
      <c r="B77" s="301" t="s">
        <v>264</v>
      </c>
      <c r="D77" s="172"/>
      <c r="E77" s="172"/>
      <c r="F77" s="172" t="str">
        <f>IF(F61+F63+F65=F12,"ok","nok")</f>
        <v>ok</v>
      </c>
      <c r="H77" s="172" t="str">
        <f>IF(H61+H63+H65=H12,"ok","nok")</f>
        <v>ok</v>
      </c>
      <c r="I77" s="172"/>
      <c r="J77" s="172" t="str">
        <f>IF(J61+J63+J65=J12,"ok","nok")</f>
        <v>ok</v>
      </c>
      <c r="K77" s="172"/>
      <c r="L77" s="172" t="str">
        <f>IF(L61+L63+L65=L12,"ok","nok")</f>
        <v>ok</v>
      </c>
      <c r="M77" s="172"/>
      <c r="N77" s="172"/>
      <c r="O77" s="172"/>
      <c r="P77" s="172" t="str">
        <f>IF(P61+P63+P65=P12,"ok","nok")</f>
        <v>ok</v>
      </c>
      <c r="Q77" s="172"/>
      <c r="R77" s="172"/>
      <c r="S77" s="172"/>
      <c r="T77" s="267" t="str">
        <f>IF(T61+T63+T65=T12,"ok","nok")</f>
        <v>ok</v>
      </c>
      <c r="U77" s="172"/>
      <c r="V77" s="172" t="str">
        <f>IF(V61+V63+V65+V67=V12,"ok","nok")</f>
        <v>ok</v>
      </c>
      <c r="W77" s="172"/>
      <c r="X77" s="172" t="str">
        <f>IF(X61+X63+X65=X12,"ok","nok")</f>
        <v>ok</v>
      </c>
      <c r="Y77" s="172"/>
      <c r="Z77" s="267" t="str">
        <f>IF(Z61+Z63+Z65=Z12,"ok","nok")</f>
        <v>ok</v>
      </c>
      <c r="AA77" s="172"/>
      <c r="AB77" s="172" t="str">
        <f>IF(AB61+AB63+AB65=AB12,"ok","nok")</f>
        <v>ok</v>
      </c>
      <c r="AC77" s="172"/>
      <c r="AD77" s="172" t="str">
        <f>IF(AD61+AD63+AD65=AD12,"ok","nok")</f>
        <v>ok</v>
      </c>
      <c r="AE77" s="172"/>
      <c r="AF77" s="172" t="str">
        <f>IF(AF61+AF63+AF65=AF12,"ok","nok")</f>
        <v>ok</v>
      </c>
      <c r="AG77" s="172"/>
      <c r="AH77" s="172" t="str">
        <f>IF(AH61+AH63+AH65=AH12,"ok","nok")</f>
        <v>ok</v>
      </c>
      <c r="AJ77" s="172" t="str">
        <f>IF(AJ61+AJ63+AJ65=AJ12,"ok","nok")</f>
        <v>ok</v>
      </c>
      <c r="AL77" s="172" t="str">
        <f>IF(AL61+AL63+AL65+AL67=AL12,"ok","nok")</f>
        <v>ok</v>
      </c>
      <c r="AN77" s="172" t="str">
        <f>IF(AN61+AN63+AN65=AN12,"ok","nok")</f>
        <v>ok</v>
      </c>
      <c r="AP77" s="172"/>
      <c r="AR77" s="172"/>
      <c r="AT77" s="172" t="str">
        <f>IF(AT61+AT63+AT65=AT12,"ok","nok")</f>
        <v>ok</v>
      </c>
      <c r="AV77" s="172"/>
    </row>
    <row r="78" spans="2:53" ht="21">
      <c r="B78" s="301" t="s">
        <v>265</v>
      </c>
      <c r="D78" s="172"/>
      <c r="E78" s="172"/>
      <c r="F78" s="172" t="str">
        <f>IF(F62+F64+F66=F22,"ok","nok")</f>
        <v>ok</v>
      </c>
      <c r="H78" s="172" t="str">
        <f>IF(H62+H64+H66=H22,"ok","nok")</f>
        <v>ok</v>
      </c>
      <c r="I78" s="172"/>
      <c r="J78" s="172" t="str">
        <f>IF(J62+J64+J66=J22,"ok","nok")</f>
        <v>ok</v>
      </c>
      <c r="K78" s="172"/>
      <c r="L78" s="172" t="str">
        <f>IF(L62+L64+L66=L22,"ok","nok")</f>
        <v>ok</v>
      </c>
      <c r="M78" s="172"/>
      <c r="N78" s="172"/>
      <c r="O78" s="172"/>
      <c r="P78" s="172" t="str">
        <f>IF(P62+P64+P66+P68=P22,"ok","nok")</f>
        <v>ok</v>
      </c>
      <c r="Q78" s="172"/>
      <c r="R78" s="172"/>
      <c r="S78" s="172"/>
      <c r="T78" s="172" t="str">
        <f>IF(T62+T64+T66=T22,"ok","nok")</f>
        <v>ok</v>
      </c>
      <c r="U78" s="172"/>
      <c r="V78" s="172" t="str">
        <f>IF(V62+V64+V66=V22,"ok","nok")</f>
        <v>ok</v>
      </c>
      <c r="W78" s="172"/>
      <c r="X78" s="172" t="str">
        <f>IF(X62+X64+X66=X22,"ok","nok")</f>
        <v>ok</v>
      </c>
      <c r="Y78" s="172"/>
      <c r="Z78" s="172" t="str">
        <f>IF(Z62+Z64+Z66=Z22,"ok","nok")</f>
        <v>ok</v>
      </c>
      <c r="AA78" s="172"/>
      <c r="AB78" s="172" t="str">
        <f>IF(AB62+AB64+AB66=AB22,"ok","nok")</f>
        <v>ok</v>
      </c>
      <c r="AC78" s="172"/>
      <c r="AD78" s="172" t="str">
        <f>IF(AD62+AD64+AD66+AD68=AD22,"ok","nok")</f>
        <v>ok</v>
      </c>
      <c r="AE78" s="172"/>
      <c r="AF78" s="172" t="str">
        <f>IF(AF62+AF64+AF66=AF22,"ok","nok")</f>
        <v>ok</v>
      </c>
      <c r="AG78" s="172"/>
      <c r="AH78" s="172" t="str">
        <f>IF(AH62+AH64+AH66+AH68=AH22,"ok","nok")</f>
        <v>ok</v>
      </c>
      <c r="AJ78" s="172" t="str">
        <f>IF(AJ62+AJ64+AJ66=AJ22,"ok","nok")</f>
        <v>ok</v>
      </c>
      <c r="AL78" s="172" t="str">
        <f>IF(AL62+AL64+AL66=AL22,"ok","nok")</f>
        <v>ok</v>
      </c>
      <c r="AN78" s="172" t="str">
        <f>IF(AN62+AN64+AN66=AN22,"ok","nok")</f>
        <v>ok</v>
      </c>
      <c r="AP78" s="172"/>
      <c r="AR78" s="172"/>
      <c r="AT78" s="172" t="str">
        <f>IF(AT62+AT64+AT66=AT22,"ok","nok")</f>
        <v>ok</v>
      </c>
      <c r="AV78" s="172"/>
    </row>
    <row r="79" spans="2:53" ht="21">
      <c r="B79" s="301"/>
      <c r="D79" s="172"/>
      <c r="E79" s="172"/>
      <c r="F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J79" s="172"/>
      <c r="AL79" s="172"/>
      <c r="AN79" s="172"/>
      <c r="AP79" s="172"/>
      <c r="AR79" s="172"/>
      <c r="AT79" s="172"/>
      <c r="AV79" s="172"/>
    </row>
    <row r="80" spans="2:53" ht="21">
      <c r="B80" s="301"/>
      <c r="D80" s="172"/>
      <c r="E80" s="172"/>
      <c r="F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J80" s="172"/>
      <c r="AL80" s="172"/>
      <c r="AN80" s="172"/>
      <c r="AP80" s="172"/>
      <c r="AR80" s="172"/>
      <c r="AT80" s="172"/>
      <c r="AV80" s="172"/>
    </row>
    <row r="81" spans="4:48" ht="21">
      <c r="D81" s="172"/>
      <c r="E81" s="172"/>
      <c r="F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J81" s="172"/>
      <c r="AL81" s="172"/>
      <c r="AN81" s="172"/>
      <c r="AP81" s="172"/>
      <c r="AR81" s="172"/>
      <c r="AT81" s="172"/>
      <c r="AV81" s="172"/>
    </row>
    <row r="82" spans="4:48" ht="21">
      <c r="D82" s="172"/>
      <c r="E82" s="172"/>
      <c r="F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J82" s="172"/>
      <c r="AL82" s="172"/>
      <c r="AN82" s="172"/>
      <c r="AP82" s="172"/>
      <c r="AR82" s="172"/>
      <c r="AT82" s="172"/>
      <c r="AV82" s="172"/>
    </row>
    <row r="83" spans="4:48" ht="21">
      <c r="D83" s="172"/>
      <c r="E83" s="172"/>
      <c r="F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J83" s="172"/>
      <c r="AL83" s="172"/>
      <c r="AN83" s="172"/>
      <c r="AP83" s="172"/>
      <c r="AR83" s="172"/>
      <c r="AT83" s="172"/>
      <c r="AV83" s="172"/>
    </row>
    <row r="84" spans="4:48" ht="27">
      <c r="D84" s="188"/>
      <c r="E84" s="189"/>
      <c r="F84" s="188"/>
      <c r="H84" s="188"/>
      <c r="I84" s="189"/>
    </row>
    <row r="85" spans="4:48" ht="27">
      <c r="D85" s="188"/>
      <c r="E85" s="189"/>
      <c r="F85" s="188"/>
      <c r="H85" s="188"/>
      <c r="I85" s="189"/>
    </row>
    <row r="86" spans="4:48" ht="27">
      <c r="D86" s="188"/>
      <c r="E86" s="189"/>
      <c r="F86" s="188"/>
      <c r="H86" s="188"/>
      <c r="I86" s="189"/>
    </row>
    <row r="87" spans="4:48" ht="27">
      <c r="D87" s="188"/>
      <c r="E87" s="189"/>
      <c r="F87" s="188"/>
      <c r="H87" s="188"/>
      <c r="I87" s="189"/>
    </row>
    <row r="88" spans="4:48" ht="27">
      <c r="D88" s="188"/>
      <c r="E88" s="189"/>
      <c r="F88" s="188"/>
      <c r="H88" s="188"/>
      <c r="I88" s="189"/>
    </row>
    <row r="89" spans="4:48" ht="27">
      <c r="D89" s="188"/>
      <c r="E89" s="189"/>
      <c r="F89" s="188"/>
      <c r="H89" s="188"/>
      <c r="I89" s="189"/>
    </row>
    <row r="90" spans="4:48" ht="27">
      <c r="D90" s="188"/>
      <c r="E90" s="189"/>
      <c r="F90" s="188"/>
      <c r="H90" s="188"/>
      <c r="I90" s="189"/>
    </row>
    <row r="91" spans="4:48" ht="27">
      <c r="D91" s="188"/>
      <c r="E91" s="189"/>
      <c r="F91" s="188"/>
      <c r="H91" s="188"/>
      <c r="I91" s="189"/>
    </row>
    <row r="92" spans="4:48" ht="27">
      <c r="D92" s="188"/>
      <c r="E92" s="189"/>
      <c r="F92" s="188"/>
      <c r="H92" s="188"/>
      <c r="I92" s="189"/>
    </row>
    <row r="93" spans="4:48" ht="27">
      <c r="D93" s="188"/>
      <c r="E93" s="189"/>
      <c r="F93" s="188"/>
      <c r="H93" s="188"/>
      <c r="I93" s="189"/>
    </row>
    <row r="94" spans="4:48" ht="27">
      <c r="D94" s="188"/>
      <c r="E94" s="189"/>
      <c r="F94" s="188"/>
      <c r="H94" s="188"/>
      <c r="I94" s="189"/>
    </row>
    <row r="95" spans="4:48" ht="27">
      <c r="D95" s="188"/>
      <c r="E95" s="189"/>
      <c r="F95" s="188"/>
      <c r="H95" s="188"/>
      <c r="I95" s="189"/>
    </row>
    <row r="96" spans="4:48" ht="27">
      <c r="D96" s="188"/>
      <c r="E96" s="189"/>
      <c r="F96" s="188"/>
      <c r="H96" s="188"/>
      <c r="I96" s="189"/>
    </row>
    <row r="97" spans="4:9" ht="27">
      <c r="D97" s="188"/>
      <c r="E97" s="189"/>
      <c r="F97" s="188"/>
      <c r="H97" s="188"/>
      <c r="I97" s="189"/>
    </row>
    <row r="98" spans="4:9" ht="27">
      <c r="D98" s="188"/>
      <c r="E98" s="189"/>
      <c r="F98" s="188"/>
      <c r="H98" s="188"/>
      <c r="I98" s="189"/>
    </row>
    <row r="99" spans="4:9" ht="27">
      <c r="D99" s="188"/>
      <c r="E99" s="189"/>
      <c r="F99" s="188"/>
      <c r="H99" s="188"/>
      <c r="I99" s="189"/>
    </row>
    <row r="100" spans="4:9" ht="27">
      <c r="D100" s="188"/>
      <c r="E100" s="189"/>
      <c r="F100" s="188"/>
      <c r="H100" s="188"/>
      <c r="I100" s="189"/>
    </row>
    <row r="101" spans="4:9" ht="27">
      <c r="D101" s="188"/>
      <c r="E101" s="189"/>
      <c r="F101" s="188"/>
      <c r="H101" s="188"/>
      <c r="I101" s="189"/>
    </row>
    <row r="102" spans="4:9" ht="27">
      <c r="D102" s="188"/>
      <c r="E102" s="189"/>
      <c r="F102" s="188"/>
      <c r="H102" s="188"/>
      <c r="I102" s="189"/>
    </row>
    <row r="103" spans="4:9" ht="27">
      <c r="D103" s="188"/>
      <c r="E103" s="189"/>
      <c r="F103" s="188"/>
      <c r="H103" s="188"/>
      <c r="I103" s="189"/>
    </row>
    <row r="104" spans="4:9" ht="27">
      <c r="D104" s="188"/>
      <c r="E104" s="189"/>
      <c r="F104" s="188"/>
      <c r="H104" s="188"/>
      <c r="I104" s="189"/>
    </row>
    <row r="105" spans="4:9" ht="27">
      <c r="D105" s="188"/>
      <c r="E105" s="189"/>
      <c r="F105" s="188"/>
      <c r="H105" s="188"/>
      <c r="I105" s="189"/>
    </row>
    <row r="106" spans="4:9" ht="27">
      <c r="D106" s="188"/>
      <c r="E106" s="189"/>
      <c r="F106" s="188"/>
      <c r="H106" s="188"/>
      <c r="I106" s="189"/>
    </row>
    <row r="107" spans="4:9" ht="27">
      <c r="D107" s="188"/>
      <c r="E107" s="189"/>
      <c r="F107" s="188"/>
      <c r="H107" s="188"/>
      <c r="I107" s="189"/>
    </row>
  </sheetData>
  <mergeCells count="35">
    <mergeCell ref="AZ11:BC26"/>
    <mergeCell ref="AW23:AX24"/>
    <mergeCell ref="AY23:AY24"/>
    <mergeCell ref="A9:A55"/>
    <mergeCell ref="AW10:AX10"/>
    <mergeCell ref="AW11:AX12"/>
    <mergeCell ref="AY11:AY12"/>
    <mergeCell ref="AW13:AX14"/>
    <mergeCell ref="AY13:AY14"/>
    <mergeCell ref="AW15:AX16"/>
    <mergeCell ref="AY15:AY16"/>
    <mergeCell ref="AW17:AX18"/>
    <mergeCell ref="AY17:AY18"/>
    <mergeCell ref="AW19:AX20"/>
    <mergeCell ref="AY19:AY20"/>
    <mergeCell ref="AW21:AX22"/>
    <mergeCell ref="AY21:AY22"/>
    <mergeCell ref="AW25:AX25"/>
    <mergeCell ref="AW26:AX26"/>
    <mergeCell ref="AW71:AW72"/>
    <mergeCell ref="AW73:AW74"/>
    <mergeCell ref="AW69:AW70"/>
    <mergeCell ref="AX69:AX74"/>
    <mergeCell ref="AY69:AY74"/>
    <mergeCell ref="BC27:BC32"/>
    <mergeCell ref="AW61:AW62"/>
    <mergeCell ref="AW63:AW64"/>
    <mergeCell ref="AW65:AW66"/>
    <mergeCell ref="AW67:AW68"/>
    <mergeCell ref="AZ69:AZ74"/>
    <mergeCell ref="BA69:BA74"/>
    <mergeCell ref="BB27:BB32"/>
    <mergeCell ref="AW27:AY34"/>
    <mergeCell ref="AZ27:AZ32"/>
    <mergeCell ref="BA27:BA32"/>
  </mergeCells>
  <conditionalFormatting sqref="D58:F58 AC58:AN58 J58:AA58">
    <cfRule type="cellIs" dxfId="37" priority="19" operator="equal">
      <formula>0</formula>
    </cfRule>
    <cfRule type="cellIs" dxfId="36" priority="20" operator="greaterThan">
      <formula>0</formula>
    </cfRule>
  </conditionalFormatting>
  <conditionalFormatting sqref="AB58">
    <cfRule type="cellIs" dxfId="35" priority="17" operator="equal">
      <formula>0</formula>
    </cfRule>
    <cfRule type="cellIs" dxfId="34" priority="18" operator="greaterThan">
      <formula>0</formula>
    </cfRule>
  </conditionalFormatting>
  <conditionalFormatting sqref="I58">
    <cfRule type="cellIs" dxfId="33" priority="15" operator="equal">
      <formula>0</formula>
    </cfRule>
    <cfRule type="cellIs" dxfId="32" priority="16" operator="greaterThan">
      <formula>0</formula>
    </cfRule>
  </conditionalFormatting>
  <conditionalFormatting sqref="AO58 AQ58 AS58 AU58">
    <cfRule type="cellIs" dxfId="31" priority="13" operator="equal">
      <formula>0</formula>
    </cfRule>
    <cfRule type="cellIs" dxfId="30" priority="14" operator="greaterThan">
      <formula>0</formula>
    </cfRule>
  </conditionalFormatting>
  <conditionalFormatting sqref="AP58">
    <cfRule type="cellIs" dxfId="29" priority="11" operator="equal">
      <formula>0</formula>
    </cfRule>
    <cfRule type="cellIs" dxfId="28" priority="12" operator="greaterThan">
      <formula>0</formula>
    </cfRule>
  </conditionalFormatting>
  <conditionalFormatting sqref="AR58">
    <cfRule type="cellIs" dxfId="27" priority="9" operator="equal">
      <formula>0</formula>
    </cfRule>
    <cfRule type="cellIs" dxfId="26" priority="10" operator="greaterThan">
      <formula>0</formula>
    </cfRule>
  </conditionalFormatting>
  <conditionalFormatting sqref="AT58">
    <cfRule type="cellIs" dxfId="25" priority="7" operator="equal">
      <formula>0</formula>
    </cfRule>
    <cfRule type="cellIs" dxfId="24" priority="8" operator="greaterThan">
      <formula>0</formula>
    </cfRule>
  </conditionalFormatting>
  <conditionalFormatting sqref="H58">
    <cfRule type="cellIs" dxfId="23" priority="5" operator="equal">
      <formula>0</formula>
    </cfRule>
    <cfRule type="cellIs" dxfId="22" priority="6" operator="greaterThan">
      <formula>0</formula>
    </cfRule>
  </conditionalFormatting>
  <conditionalFormatting sqref="G58">
    <cfRule type="cellIs" dxfId="21" priority="3" operator="equal">
      <formula>0</formula>
    </cfRule>
    <cfRule type="cellIs" dxfId="20" priority="4" operator="greaterThan">
      <formula>0</formula>
    </cfRule>
  </conditionalFormatting>
  <conditionalFormatting sqref="AV58">
    <cfRule type="cellIs" dxfId="19" priority="1" operator="equal">
      <formula>0</formula>
    </cfRule>
    <cfRule type="cellIs" dxfId="18" priority="2" operator="greaterThan">
      <formula>0</formula>
    </cfRule>
  </conditionalFormatting>
  <printOptions horizontalCentered="1" verticalCentered="1"/>
  <pageMargins left="0" right="0" top="0" bottom="0" header="0" footer="0"/>
  <pageSetup paperSize="9" scale="6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X114"/>
  <sheetViews>
    <sheetView rightToLeft="1" zoomScaleNormal="100" workbookViewId="0">
      <pane xSplit="2" ySplit="9" topLeftCell="C43" activePane="bottomRight" state="frozen"/>
      <selection activeCell="F56" sqref="F56"/>
      <selection pane="topRight" activeCell="F56" sqref="F56"/>
      <selection pane="bottomLeft" activeCell="F56" sqref="F56"/>
      <selection pane="bottomRight" activeCell="F56" sqref="F56"/>
    </sheetView>
  </sheetViews>
  <sheetFormatPr defaultColWidth="9" defaultRowHeight="19.5"/>
  <cols>
    <col min="1" max="1" width="4.5703125" style="95" customWidth="1"/>
    <col min="2" max="2" width="30.7109375" style="95" customWidth="1"/>
    <col min="3" max="3" width="0.85546875" style="95" customWidth="1"/>
    <col min="4" max="4" width="8.28515625" style="190" customWidth="1"/>
    <col min="5" max="5" width="0.85546875" style="190" customWidth="1"/>
    <col min="6" max="6" width="9.28515625" style="191" customWidth="1"/>
    <col min="7" max="7" width="0.85546875" style="95" customWidth="1"/>
    <col min="8" max="8" width="9.28515625" style="191" customWidth="1"/>
    <col min="9" max="9" width="0.85546875" style="191" customWidth="1"/>
    <col min="10" max="10" width="9.28515625" style="191" customWidth="1"/>
    <col min="11" max="11" width="0.85546875" style="191" customWidth="1"/>
    <col min="12" max="12" width="9.28515625" style="191" customWidth="1"/>
    <col min="13" max="13" width="0.85546875" style="191" customWidth="1"/>
    <col min="14" max="14" width="9.28515625" style="191" customWidth="1"/>
    <col min="15" max="15" width="0.85546875" style="191" customWidth="1"/>
    <col min="16" max="16" width="9.28515625" style="191" customWidth="1"/>
    <col min="17" max="17" width="0.85546875" style="191" customWidth="1"/>
    <col min="18" max="18" width="9.28515625" style="191" customWidth="1"/>
    <col min="19" max="19" width="0.85546875" style="191" customWidth="1"/>
    <col min="20" max="20" width="9.28515625" style="191" customWidth="1"/>
    <col min="21" max="21" width="0.85546875" style="191" customWidth="1"/>
    <col min="22" max="22" width="9.28515625" style="191" customWidth="1"/>
    <col min="23" max="23" width="0.85546875" style="191" customWidth="1"/>
    <col min="24" max="24" width="9.28515625" style="191" customWidth="1"/>
    <col min="25" max="25" width="0.85546875" style="191" customWidth="1"/>
    <col min="26" max="26" width="9.28515625" style="191" customWidth="1"/>
    <col min="27" max="27" width="0.85546875" style="191" customWidth="1"/>
    <col min="28" max="28" width="9.28515625" style="191" customWidth="1"/>
    <col min="29" max="29" width="0.85546875" style="191" customWidth="1"/>
    <col min="30" max="30" width="9.28515625" style="191" customWidth="1"/>
    <col min="31" max="31" width="0.85546875" style="191" customWidth="1"/>
    <col min="32" max="32" width="9.28515625" style="191" customWidth="1"/>
    <col min="33" max="33" width="0.85546875" style="191" customWidth="1"/>
    <col min="34" max="34" width="9.28515625" style="191" customWidth="1"/>
    <col min="35" max="35" width="0.85546875" style="191" customWidth="1"/>
    <col min="36" max="36" width="9.28515625" style="191" customWidth="1"/>
    <col min="37" max="37" width="0.85546875" style="191" customWidth="1"/>
    <col min="38" max="38" width="9.28515625" style="191" customWidth="1"/>
    <col min="39" max="39" width="0.85546875" style="191" customWidth="1"/>
    <col min="40" max="40" width="7.7109375" style="191" customWidth="1"/>
    <col min="41" max="41" width="0.85546875" style="191" customWidth="1"/>
    <col min="42" max="42" width="7.7109375" style="191" customWidth="1"/>
    <col min="43" max="43" width="0.85546875" style="191" customWidth="1"/>
    <col min="44" max="44" width="7.7109375" style="191" customWidth="1"/>
    <col min="45" max="45" width="0.85546875" style="191" customWidth="1"/>
    <col min="46" max="46" width="7.7109375" style="191" customWidth="1"/>
    <col min="47" max="47" width="0.85546875" style="191" customWidth="1"/>
    <col min="48" max="48" width="9.85546875" style="191" customWidth="1"/>
    <col min="49" max="16384" width="9" style="95"/>
  </cols>
  <sheetData>
    <row r="1" spans="1:48" ht="21">
      <c r="B1" s="156" t="s">
        <v>135</v>
      </c>
      <c r="C1" s="156"/>
      <c r="G1" s="156"/>
    </row>
    <row r="2" spans="1:48" ht="21">
      <c r="B2" s="156" t="s">
        <v>266</v>
      </c>
      <c r="C2" s="156"/>
      <c r="G2" s="156"/>
      <c r="J2" s="192" t="s">
        <v>137</v>
      </c>
    </row>
    <row r="3" spans="1:48" ht="21">
      <c r="B3" s="6"/>
      <c r="C3" s="156"/>
      <c r="D3" s="193"/>
      <c r="F3" s="194"/>
      <c r="G3" s="156"/>
      <c r="H3" s="194"/>
      <c r="J3" s="194"/>
      <c r="L3" s="194"/>
      <c r="N3" s="194"/>
      <c r="P3" s="194"/>
      <c r="R3" s="194"/>
      <c r="T3" s="194"/>
      <c r="V3" s="194"/>
      <c r="X3" s="194"/>
      <c r="Z3" s="194"/>
      <c r="AB3" s="194"/>
      <c r="AD3" s="194"/>
      <c r="AF3" s="194"/>
      <c r="AH3" s="194"/>
      <c r="AJ3" s="194"/>
      <c r="AL3" s="194"/>
      <c r="AN3" s="194"/>
      <c r="AP3" s="194"/>
      <c r="AR3" s="194"/>
      <c r="AT3" s="194"/>
      <c r="AV3" s="194"/>
    </row>
    <row r="4" spans="1:48" ht="21">
      <c r="B4" s="272" t="s">
        <v>243</v>
      </c>
      <c r="C4" s="156"/>
      <c r="D4" s="195">
        <v>1633</v>
      </c>
      <c r="E4" s="156"/>
      <c r="F4" s="195">
        <v>550</v>
      </c>
      <c r="G4" s="156"/>
      <c r="H4" s="195">
        <v>257</v>
      </c>
      <c r="I4" s="156"/>
      <c r="J4" s="195">
        <v>392</v>
      </c>
      <c r="K4" s="156"/>
      <c r="L4" s="195">
        <v>714</v>
      </c>
      <c r="M4" s="156"/>
      <c r="N4" s="195">
        <v>518</v>
      </c>
      <c r="O4" s="156"/>
      <c r="P4" s="195">
        <v>804</v>
      </c>
      <c r="Q4" s="156"/>
      <c r="R4" s="195">
        <v>522</v>
      </c>
      <c r="S4" s="156"/>
      <c r="T4" s="195">
        <v>493</v>
      </c>
      <c r="U4" s="156"/>
      <c r="V4" s="195">
        <v>636</v>
      </c>
      <c r="W4" s="156"/>
      <c r="X4" s="195">
        <v>445</v>
      </c>
      <c r="Y4" s="156"/>
      <c r="Z4" s="195">
        <v>229</v>
      </c>
      <c r="AA4" s="156"/>
      <c r="AB4" s="195">
        <v>681</v>
      </c>
      <c r="AC4" s="156"/>
      <c r="AD4" s="195">
        <v>449</v>
      </c>
      <c r="AE4" s="156"/>
      <c r="AF4" s="195">
        <v>357</v>
      </c>
      <c r="AG4" s="156"/>
      <c r="AH4" s="195">
        <v>588</v>
      </c>
      <c r="AI4" s="156"/>
      <c r="AJ4" s="195">
        <v>157</v>
      </c>
      <c r="AK4" s="156"/>
      <c r="AL4" s="195">
        <v>323</v>
      </c>
      <c r="AM4" s="156"/>
      <c r="AN4" s="195">
        <v>184</v>
      </c>
      <c r="AO4" s="156"/>
      <c r="AP4" s="195">
        <v>28</v>
      </c>
      <c r="AQ4" s="156"/>
      <c r="AR4" s="195">
        <v>42</v>
      </c>
      <c r="AS4" s="156"/>
      <c r="AT4" s="195">
        <v>67</v>
      </c>
      <c r="AV4" s="194">
        <f t="shared" ref="AV4:AV67" si="0">SUM(D4:AT4)</f>
        <v>10069</v>
      </c>
    </row>
    <row r="5" spans="1:48" ht="21">
      <c r="B5" s="272" t="s">
        <v>244</v>
      </c>
      <c r="C5" s="156"/>
      <c r="D5" s="195">
        <f>D8-D4</f>
        <v>2929</v>
      </c>
      <c r="E5" s="156"/>
      <c r="F5" s="195">
        <f>F8-F4</f>
        <v>1890</v>
      </c>
      <c r="G5" s="156"/>
      <c r="H5" s="195">
        <f>H8-H4</f>
        <v>66</v>
      </c>
      <c r="I5" s="156"/>
      <c r="J5" s="195">
        <f>J8-J4</f>
        <v>850</v>
      </c>
      <c r="K5" s="156"/>
      <c r="L5" s="195">
        <f>L8-L4</f>
        <v>936</v>
      </c>
      <c r="M5" s="156"/>
      <c r="N5" s="195">
        <f>N8-N4</f>
        <v>32</v>
      </c>
      <c r="O5" s="156"/>
      <c r="P5" s="195">
        <f>P8-P4</f>
        <v>0</v>
      </c>
      <c r="Q5" s="156"/>
      <c r="R5" s="195">
        <f>R8-R4</f>
        <v>97</v>
      </c>
      <c r="S5" s="156"/>
      <c r="T5" s="195">
        <f>T8-T4</f>
        <v>25</v>
      </c>
      <c r="U5" s="156"/>
      <c r="V5" s="195">
        <f>V8-V4</f>
        <v>44</v>
      </c>
      <c r="W5" s="156"/>
      <c r="X5" s="195">
        <f>X8-X4</f>
        <v>0</v>
      </c>
      <c r="Y5" s="156"/>
      <c r="Z5" s="195">
        <f>Z8-Z4</f>
        <v>53</v>
      </c>
      <c r="AA5" s="156"/>
      <c r="AB5" s="195">
        <f>AB8-AB4</f>
        <v>0</v>
      </c>
      <c r="AC5" s="156"/>
      <c r="AD5" s="195">
        <f>AD8-AD4</f>
        <v>21</v>
      </c>
      <c r="AE5" s="156"/>
      <c r="AF5" s="195">
        <f>AF8-AF4</f>
        <v>85</v>
      </c>
      <c r="AG5" s="156"/>
      <c r="AH5" s="195">
        <f>AH8-AH4</f>
        <v>93</v>
      </c>
      <c r="AI5" s="156"/>
      <c r="AJ5" s="195">
        <f>AJ8-AJ4</f>
        <v>49</v>
      </c>
      <c r="AK5" s="156"/>
      <c r="AL5" s="195">
        <f>AL8-AL4</f>
        <v>92</v>
      </c>
      <c r="AM5" s="156"/>
      <c r="AN5" s="195">
        <f>AN8-AN4</f>
        <v>37</v>
      </c>
      <c r="AO5" s="156"/>
      <c r="AP5" s="195">
        <f>AP8-AP4</f>
        <v>3</v>
      </c>
      <c r="AQ5" s="156"/>
      <c r="AR5" s="195">
        <f>AR8-AR4</f>
        <v>5</v>
      </c>
      <c r="AS5" s="156"/>
      <c r="AT5" s="195">
        <f>AT8-AT4</f>
        <v>0</v>
      </c>
      <c r="AV5" s="194">
        <f t="shared" si="0"/>
        <v>7307</v>
      </c>
    </row>
    <row r="6" spans="1:48" ht="21">
      <c r="B6" s="272" t="s">
        <v>245</v>
      </c>
      <c r="C6" s="156"/>
      <c r="D6" s="195">
        <f>D8-D7</f>
        <v>2259</v>
      </c>
      <c r="E6" s="156"/>
      <c r="F6" s="195">
        <f>F8-F7</f>
        <v>1264</v>
      </c>
      <c r="G6" s="156"/>
      <c r="H6" s="195">
        <f>H8-H7</f>
        <v>110</v>
      </c>
      <c r="I6" s="156"/>
      <c r="J6" s="195">
        <f>J8-J7</f>
        <v>536</v>
      </c>
      <c r="K6" s="156"/>
      <c r="L6" s="195">
        <f>L8-L7</f>
        <v>670</v>
      </c>
      <c r="M6" s="156"/>
      <c r="N6" s="195">
        <f>N8-N7</f>
        <v>177</v>
      </c>
      <c r="O6" s="156"/>
      <c r="P6" s="195">
        <f>P8-P7</f>
        <v>236</v>
      </c>
      <c r="Q6" s="156"/>
      <c r="R6" s="195">
        <f>R8-R7</f>
        <v>261</v>
      </c>
      <c r="S6" s="156"/>
      <c r="T6" s="195">
        <f>T8-T7</f>
        <v>246</v>
      </c>
      <c r="U6" s="156"/>
      <c r="V6" s="195">
        <f>V8-V7</f>
        <v>250</v>
      </c>
      <c r="W6" s="156"/>
      <c r="X6" s="195">
        <f>X8-X7</f>
        <v>67</v>
      </c>
      <c r="Y6" s="156"/>
      <c r="Z6" s="195">
        <f>Z8-Z7</f>
        <v>61</v>
      </c>
      <c r="AA6" s="156"/>
      <c r="AB6" s="195">
        <f>AB8-AB7</f>
        <v>223</v>
      </c>
      <c r="AC6" s="156"/>
      <c r="AD6" s="195">
        <f>AD8-AD7</f>
        <v>158</v>
      </c>
      <c r="AE6" s="156"/>
      <c r="AF6" s="195">
        <f>AF8-AF7</f>
        <v>151</v>
      </c>
      <c r="AG6" s="156"/>
      <c r="AH6" s="195">
        <f>AH8-AH7</f>
        <v>152</v>
      </c>
      <c r="AI6" s="156"/>
      <c r="AJ6" s="195">
        <f>AJ8-AJ7</f>
        <v>23</v>
      </c>
      <c r="AK6" s="156"/>
      <c r="AL6" s="195">
        <f>AL8-AL7</f>
        <v>147</v>
      </c>
      <c r="AM6" s="156"/>
      <c r="AN6" s="195">
        <f>AN8-AN7</f>
        <v>41</v>
      </c>
      <c r="AO6" s="156"/>
      <c r="AP6" s="195">
        <f>AP8-AP7</f>
        <v>6</v>
      </c>
      <c r="AQ6" s="156"/>
      <c r="AR6" s="195">
        <f>AR8-AR7</f>
        <v>16</v>
      </c>
      <c r="AS6" s="156"/>
      <c r="AT6" s="195">
        <f>AT8-AT7</f>
        <v>22</v>
      </c>
      <c r="AV6" s="194">
        <f t="shared" si="0"/>
        <v>7076</v>
      </c>
    </row>
    <row r="7" spans="1:48" ht="21">
      <c r="B7" s="272" t="s">
        <v>246</v>
      </c>
      <c r="C7" s="156"/>
      <c r="D7" s="195">
        <v>2303</v>
      </c>
      <c r="E7" s="195"/>
      <c r="F7" s="196">
        <v>1176</v>
      </c>
      <c r="G7" s="156"/>
      <c r="H7" s="196">
        <v>213</v>
      </c>
      <c r="I7" s="196"/>
      <c r="J7" s="196">
        <v>706</v>
      </c>
      <c r="K7" s="196"/>
      <c r="L7" s="196">
        <v>980</v>
      </c>
      <c r="M7" s="196"/>
      <c r="N7" s="196">
        <v>373</v>
      </c>
      <c r="O7" s="196"/>
      <c r="P7" s="196">
        <v>568</v>
      </c>
      <c r="Q7" s="196"/>
      <c r="R7" s="196">
        <v>358</v>
      </c>
      <c r="S7" s="196"/>
      <c r="T7" s="196">
        <v>272</v>
      </c>
      <c r="U7" s="196"/>
      <c r="V7" s="196">
        <v>430</v>
      </c>
      <c r="W7" s="196"/>
      <c r="X7" s="196">
        <v>378</v>
      </c>
      <c r="Y7" s="196"/>
      <c r="Z7" s="196">
        <v>221</v>
      </c>
      <c r="AA7" s="196"/>
      <c r="AB7" s="196">
        <v>458</v>
      </c>
      <c r="AC7" s="196"/>
      <c r="AD7" s="196">
        <v>312</v>
      </c>
      <c r="AE7" s="196"/>
      <c r="AF7" s="196">
        <v>291</v>
      </c>
      <c r="AG7" s="196"/>
      <c r="AH7" s="196">
        <v>529</v>
      </c>
      <c r="AJ7" s="191">
        <v>183</v>
      </c>
      <c r="AL7" s="191">
        <v>268</v>
      </c>
      <c r="AN7" s="191">
        <v>180</v>
      </c>
      <c r="AP7" s="191">
        <v>25</v>
      </c>
      <c r="AR7" s="191">
        <v>31</v>
      </c>
      <c r="AT7" s="191">
        <v>45</v>
      </c>
      <c r="AV7" s="194">
        <f t="shared" si="0"/>
        <v>10300</v>
      </c>
    </row>
    <row r="8" spans="1:48" ht="21">
      <c r="B8" s="272" t="s">
        <v>267</v>
      </c>
      <c r="C8" s="156"/>
      <c r="D8" s="190">
        <v>4562</v>
      </c>
      <c r="F8" s="191">
        <v>2440</v>
      </c>
      <c r="G8" s="156"/>
      <c r="H8" s="191">
        <v>323</v>
      </c>
      <c r="J8" s="191">
        <v>1242</v>
      </c>
      <c r="L8" s="191">
        <v>1650</v>
      </c>
      <c r="N8" s="191">
        <v>550</v>
      </c>
      <c r="P8" s="191">
        <v>804</v>
      </c>
      <c r="R8" s="191">
        <v>619</v>
      </c>
      <c r="T8" s="191">
        <v>518</v>
      </c>
      <c r="V8" s="191">
        <v>680</v>
      </c>
      <c r="X8" s="191">
        <v>445</v>
      </c>
      <c r="Z8" s="191">
        <v>282</v>
      </c>
      <c r="AB8" s="191">
        <v>681</v>
      </c>
      <c r="AD8" s="191">
        <v>470</v>
      </c>
      <c r="AF8" s="191">
        <v>442</v>
      </c>
      <c r="AH8" s="191">
        <v>681</v>
      </c>
      <c r="AJ8" s="191">
        <v>206</v>
      </c>
      <c r="AK8" s="197"/>
      <c r="AL8" s="191">
        <v>415</v>
      </c>
      <c r="AN8" s="191">
        <v>221</v>
      </c>
      <c r="AP8" s="191">
        <v>31</v>
      </c>
      <c r="AR8" s="191">
        <v>47</v>
      </c>
      <c r="AT8" s="191">
        <v>67</v>
      </c>
      <c r="AV8" s="194">
        <f t="shared" si="0"/>
        <v>17376</v>
      </c>
    </row>
    <row r="9" spans="1:48" ht="23.25">
      <c r="A9" s="568" t="s">
        <v>248</v>
      </c>
      <c r="B9" s="170" t="s">
        <v>29</v>
      </c>
      <c r="C9" s="156"/>
      <c r="D9" s="273" t="s">
        <v>143</v>
      </c>
      <c r="E9" s="274"/>
      <c r="F9" s="275" t="s">
        <v>144</v>
      </c>
      <c r="G9" s="156"/>
      <c r="H9" s="275" t="s">
        <v>145</v>
      </c>
      <c r="I9" s="197"/>
      <c r="J9" s="275" t="s">
        <v>146</v>
      </c>
      <c r="K9" s="197"/>
      <c r="L9" s="275" t="s">
        <v>147</v>
      </c>
      <c r="M9" s="197"/>
      <c r="N9" s="276" t="s">
        <v>148</v>
      </c>
      <c r="O9" s="197"/>
      <c r="P9" s="275" t="s">
        <v>149</v>
      </c>
      <c r="Q9" s="197"/>
      <c r="R9" s="276" t="s">
        <v>150</v>
      </c>
      <c r="S9" s="197"/>
      <c r="T9" s="275" t="s">
        <v>151</v>
      </c>
      <c r="U9" s="197"/>
      <c r="V9" s="275" t="s">
        <v>152</v>
      </c>
      <c r="W9" s="197"/>
      <c r="X9" s="275" t="s">
        <v>153</v>
      </c>
      <c r="Y9" s="197"/>
      <c r="Z9" s="275" t="s">
        <v>154</v>
      </c>
      <c r="AA9" s="197"/>
      <c r="AB9" s="275" t="s">
        <v>155</v>
      </c>
      <c r="AC9" s="197"/>
      <c r="AD9" s="275" t="s">
        <v>156</v>
      </c>
      <c r="AE9" s="197"/>
      <c r="AF9" s="275" t="s">
        <v>157</v>
      </c>
      <c r="AG9" s="197"/>
      <c r="AH9" s="275" t="s">
        <v>158</v>
      </c>
      <c r="AI9" s="197"/>
      <c r="AJ9" s="275" t="s">
        <v>159</v>
      </c>
      <c r="AK9" s="197"/>
      <c r="AL9" s="275" t="s">
        <v>160</v>
      </c>
      <c r="AM9" s="197"/>
      <c r="AN9" s="275" t="s">
        <v>161</v>
      </c>
      <c r="AO9" s="95"/>
      <c r="AP9" s="252" t="s">
        <v>162</v>
      </c>
      <c r="AQ9" s="95"/>
      <c r="AR9" s="252" t="s">
        <v>163</v>
      </c>
      <c r="AS9" s="95"/>
      <c r="AT9" s="252" t="s">
        <v>164</v>
      </c>
      <c r="AU9" s="95"/>
      <c r="AV9" s="278" t="s">
        <v>165</v>
      </c>
    </row>
    <row r="10" spans="1:48" ht="18.75" customHeight="1">
      <c r="A10" s="569"/>
      <c r="B10" s="200" t="s">
        <v>132</v>
      </c>
      <c r="C10" s="156"/>
      <c r="D10" s="201">
        <v>0</v>
      </c>
      <c r="E10" s="195"/>
      <c r="F10" s="194">
        <v>21317385</v>
      </c>
      <c r="G10" s="156"/>
      <c r="H10" s="194">
        <v>2967001</v>
      </c>
      <c r="I10" s="202"/>
      <c r="J10" s="194">
        <v>14391232</v>
      </c>
      <c r="K10" s="202"/>
      <c r="L10" s="194">
        <v>15235356</v>
      </c>
      <c r="M10" s="202"/>
      <c r="N10" s="194">
        <v>0</v>
      </c>
      <c r="O10" s="202"/>
      <c r="P10" s="194">
        <v>11359963</v>
      </c>
      <c r="Q10" s="202"/>
      <c r="R10" s="194">
        <v>0</v>
      </c>
      <c r="S10" s="202"/>
      <c r="T10" s="194">
        <v>4495363</v>
      </c>
      <c r="U10" s="202"/>
      <c r="V10" s="194">
        <v>6058495</v>
      </c>
      <c r="W10" s="202"/>
      <c r="X10" s="194">
        <v>3942151</v>
      </c>
      <c r="Y10" s="202"/>
      <c r="Z10" s="194">
        <v>3762141</v>
      </c>
      <c r="AA10" s="202"/>
      <c r="AB10" s="194">
        <v>2537306</v>
      </c>
      <c r="AC10" s="202"/>
      <c r="AD10" s="194">
        <v>2839512</v>
      </c>
      <c r="AE10" s="202"/>
      <c r="AF10" s="194">
        <v>3322491</v>
      </c>
      <c r="AG10" s="202"/>
      <c r="AH10" s="194">
        <v>7161978</v>
      </c>
      <c r="AJ10" s="194">
        <v>3344883</v>
      </c>
      <c r="AL10" s="194">
        <v>7189102</v>
      </c>
      <c r="AN10" s="194">
        <v>3515953</v>
      </c>
      <c r="AP10" s="194">
        <v>0</v>
      </c>
      <c r="AR10" s="194">
        <v>0</v>
      </c>
      <c r="AT10" s="194">
        <v>0</v>
      </c>
      <c r="AV10" s="194">
        <f t="shared" si="0"/>
        <v>113440312</v>
      </c>
    </row>
    <row r="11" spans="1:48" ht="21">
      <c r="A11" s="569"/>
      <c r="B11" s="200" t="s">
        <v>131</v>
      </c>
      <c r="C11" s="156"/>
      <c r="D11" s="201">
        <v>0</v>
      </c>
      <c r="E11" s="195"/>
      <c r="F11" s="194">
        <v>-2537167</v>
      </c>
      <c r="G11" s="156"/>
      <c r="H11" s="194">
        <v>-743196</v>
      </c>
      <c r="I11" s="202"/>
      <c r="J11" s="194">
        <v>-3042348</v>
      </c>
      <c r="K11" s="202"/>
      <c r="L11" s="194">
        <v>-2059088</v>
      </c>
      <c r="M11" s="202"/>
      <c r="N11" s="194">
        <v>0</v>
      </c>
      <c r="O11" s="202"/>
      <c r="P11" s="194">
        <v>-1907494</v>
      </c>
      <c r="Q11" s="202"/>
      <c r="R11" s="194">
        <v>0</v>
      </c>
      <c r="S11" s="202"/>
      <c r="T11" s="194">
        <v>-882379</v>
      </c>
      <c r="U11" s="202"/>
      <c r="V11" s="194">
        <v>-3298673</v>
      </c>
      <c r="W11" s="202"/>
      <c r="X11" s="194">
        <v>486747</v>
      </c>
      <c r="Y11" s="202"/>
      <c r="Z11" s="194">
        <v>-407481</v>
      </c>
      <c r="AA11" s="202"/>
      <c r="AB11" s="194">
        <v>-755253</v>
      </c>
      <c r="AC11" s="202"/>
      <c r="AD11" s="194">
        <v>-1061640</v>
      </c>
      <c r="AE11" s="202"/>
      <c r="AF11" s="194">
        <v>-655775</v>
      </c>
      <c r="AG11" s="202"/>
      <c r="AH11" s="194">
        <v>-2422089</v>
      </c>
      <c r="AJ11" s="194">
        <v>-2027886</v>
      </c>
      <c r="AL11" s="194">
        <v>-1488614</v>
      </c>
      <c r="AN11" s="194">
        <v>-518952</v>
      </c>
      <c r="AP11" s="194">
        <v>0</v>
      </c>
      <c r="AR11" s="194">
        <v>0</v>
      </c>
      <c r="AT11" s="194">
        <v>0</v>
      </c>
      <c r="AV11" s="194">
        <f t="shared" si="0"/>
        <v>-23321288</v>
      </c>
    </row>
    <row r="12" spans="1:48" ht="21">
      <c r="A12" s="569"/>
      <c r="B12" s="200" t="s">
        <v>249</v>
      </c>
      <c r="C12" s="156"/>
      <c r="D12" s="201">
        <v>0</v>
      </c>
      <c r="E12" s="195"/>
      <c r="F12" s="194">
        <v>0</v>
      </c>
      <c r="G12" s="156"/>
      <c r="H12" s="194">
        <v>0</v>
      </c>
      <c r="I12" s="202"/>
      <c r="J12" s="194">
        <v>0</v>
      </c>
      <c r="K12" s="202"/>
      <c r="L12" s="194">
        <v>0</v>
      </c>
      <c r="M12" s="202"/>
      <c r="N12" s="194">
        <v>0</v>
      </c>
      <c r="O12" s="202"/>
      <c r="P12" s="194">
        <v>0</v>
      </c>
      <c r="Q12" s="202"/>
      <c r="R12" s="194">
        <v>0</v>
      </c>
      <c r="S12" s="202"/>
      <c r="T12" s="194">
        <v>0</v>
      </c>
      <c r="U12" s="202"/>
      <c r="V12" s="194">
        <v>0</v>
      </c>
      <c r="W12" s="202"/>
      <c r="X12" s="194">
        <v>0</v>
      </c>
      <c r="Y12" s="202"/>
      <c r="Z12" s="194">
        <v>0</v>
      </c>
      <c r="AA12" s="202"/>
      <c r="AB12" s="194">
        <v>0</v>
      </c>
      <c r="AC12" s="202"/>
      <c r="AD12" s="194">
        <v>0</v>
      </c>
      <c r="AE12" s="202"/>
      <c r="AF12" s="194">
        <v>0</v>
      </c>
      <c r="AG12" s="202"/>
      <c r="AH12" s="194">
        <v>-14933</v>
      </c>
      <c r="AJ12" s="194">
        <v>0</v>
      </c>
      <c r="AL12" s="194">
        <v>0</v>
      </c>
      <c r="AN12" s="194">
        <v>0</v>
      </c>
      <c r="AP12" s="194">
        <v>0</v>
      </c>
      <c r="AR12" s="194">
        <v>0</v>
      </c>
      <c r="AT12" s="194">
        <v>0</v>
      </c>
      <c r="AV12" s="194">
        <f t="shared" si="0"/>
        <v>-14933</v>
      </c>
    </row>
    <row r="13" spans="1:48" ht="21">
      <c r="A13" s="569"/>
      <c r="B13" s="203" t="s">
        <v>130</v>
      </c>
      <c r="C13" s="156"/>
      <c r="D13" s="204">
        <f>SUM(D10:D12)</f>
        <v>0</v>
      </c>
      <c r="E13" s="195"/>
      <c r="F13" s="204">
        <f>SUM(F10:F12)</f>
        <v>18780218</v>
      </c>
      <c r="G13" s="156"/>
      <c r="H13" s="204">
        <f>SUM(H10:H12)</f>
        <v>2223805</v>
      </c>
      <c r="I13" s="202"/>
      <c r="J13" s="204">
        <f>SUM(J10:J12)</f>
        <v>11348884</v>
      </c>
      <c r="K13" s="202"/>
      <c r="L13" s="204">
        <f>SUM(L10:L12)</f>
        <v>13176268</v>
      </c>
      <c r="M13" s="202"/>
      <c r="N13" s="204">
        <f>SUM(N10:N12)</f>
        <v>0</v>
      </c>
      <c r="O13" s="202"/>
      <c r="P13" s="204">
        <f>SUM(P10:P12)</f>
        <v>9452469</v>
      </c>
      <c r="Q13" s="202"/>
      <c r="R13" s="204">
        <f>SUM(R10:R12)</f>
        <v>0</v>
      </c>
      <c r="S13" s="202"/>
      <c r="T13" s="204">
        <f>SUM(T10:T12)</f>
        <v>3612984</v>
      </c>
      <c r="U13" s="202"/>
      <c r="V13" s="204">
        <f>SUM(V10:V12)</f>
        <v>2759822</v>
      </c>
      <c r="W13" s="202"/>
      <c r="X13" s="204">
        <f>SUM(X10:X12)</f>
        <v>4428898</v>
      </c>
      <c r="Y13" s="202"/>
      <c r="Z13" s="204">
        <f>SUM(Z10:Z12)</f>
        <v>3354660</v>
      </c>
      <c r="AA13" s="202"/>
      <c r="AB13" s="204">
        <f>SUM(AB10:AB12)</f>
        <v>1782053</v>
      </c>
      <c r="AC13" s="202"/>
      <c r="AD13" s="204">
        <f>SUM(AD10:AD12)</f>
        <v>1777872</v>
      </c>
      <c r="AE13" s="202"/>
      <c r="AF13" s="204">
        <f>SUM(AF10:AF12)</f>
        <v>2666716</v>
      </c>
      <c r="AG13" s="202"/>
      <c r="AH13" s="204">
        <f>SUM(AH10:AH12)</f>
        <v>4724956</v>
      </c>
      <c r="AJ13" s="204">
        <f>SUM(AJ10:AJ12)</f>
        <v>1316997</v>
      </c>
      <c r="AL13" s="204">
        <f>SUM(AL10:AL12)</f>
        <v>5700488</v>
      </c>
      <c r="AN13" s="204">
        <f>SUM(AN10:AN12)</f>
        <v>2997001</v>
      </c>
      <c r="AP13" s="204">
        <f>SUM(AP10:AP12)</f>
        <v>0</v>
      </c>
      <c r="AR13" s="204">
        <f>SUM(AR10:AR12)</f>
        <v>0</v>
      </c>
      <c r="AT13" s="204">
        <f>SUM(AT10:AT12)</f>
        <v>0</v>
      </c>
      <c r="AV13" s="204">
        <f t="shared" si="0"/>
        <v>90104091</v>
      </c>
    </row>
    <row r="14" spans="1:48" ht="10.5" customHeight="1">
      <c r="A14" s="569"/>
      <c r="B14" s="200"/>
      <c r="C14" s="156"/>
      <c r="D14" s="201"/>
      <c r="E14" s="195"/>
      <c r="F14" s="194"/>
      <c r="G14" s="156"/>
      <c r="H14" s="194"/>
      <c r="I14" s="202"/>
      <c r="J14" s="194"/>
      <c r="K14" s="202"/>
      <c r="L14" s="194"/>
      <c r="M14" s="202"/>
      <c r="N14" s="194"/>
      <c r="O14" s="202"/>
      <c r="P14" s="194"/>
      <c r="Q14" s="202"/>
      <c r="R14" s="194"/>
      <c r="S14" s="202"/>
      <c r="T14" s="194"/>
      <c r="U14" s="202"/>
      <c r="V14" s="194"/>
      <c r="W14" s="202"/>
      <c r="X14" s="194"/>
      <c r="Y14" s="202"/>
      <c r="Z14" s="194"/>
      <c r="AA14" s="202"/>
      <c r="AB14" s="194"/>
      <c r="AC14" s="202"/>
      <c r="AD14" s="194"/>
      <c r="AE14" s="202"/>
      <c r="AF14" s="194"/>
      <c r="AG14" s="202"/>
      <c r="AH14" s="194"/>
      <c r="AJ14" s="194"/>
      <c r="AL14" s="194"/>
      <c r="AN14" s="194"/>
      <c r="AP14" s="194"/>
      <c r="AR14" s="194"/>
      <c r="AT14" s="194"/>
      <c r="AV14" s="194">
        <f t="shared" si="0"/>
        <v>0</v>
      </c>
    </row>
    <row r="15" spans="1:48" ht="21">
      <c r="A15" s="569"/>
      <c r="B15" s="200" t="s">
        <v>129</v>
      </c>
      <c r="C15" s="156"/>
      <c r="D15" s="205">
        <v>0</v>
      </c>
      <c r="E15" s="195"/>
      <c r="F15" s="205">
        <v>-4710086</v>
      </c>
      <c r="G15" s="156"/>
      <c r="H15" s="205">
        <v>-650168</v>
      </c>
      <c r="I15" s="202"/>
      <c r="J15" s="205">
        <v>-3129130</v>
      </c>
      <c r="K15" s="202"/>
      <c r="L15" s="205">
        <v>-3452679</v>
      </c>
      <c r="M15" s="202"/>
      <c r="N15" s="205">
        <v>0</v>
      </c>
      <c r="O15" s="202"/>
      <c r="P15" s="205">
        <v>-2760968</v>
      </c>
      <c r="Q15" s="202"/>
      <c r="R15" s="205">
        <v>0</v>
      </c>
      <c r="S15" s="202"/>
      <c r="T15" s="205">
        <v>-991039</v>
      </c>
      <c r="U15" s="202"/>
      <c r="V15" s="205">
        <v>-2088294</v>
      </c>
      <c r="W15" s="202"/>
      <c r="X15" s="205">
        <v>-1125800</v>
      </c>
      <c r="Y15" s="202"/>
      <c r="Z15" s="205">
        <v>-794739</v>
      </c>
      <c r="AA15" s="202"/>
      <c r="AB15" s="205">
        <v>-497188</v>
      </c>
      <c r="AC15" s="202"/>
      <c r="AD15" s="205">
        <v>-810746</v>
      </c>
      <c r="AE15" s="202"/>
      <c r="AF15" s="205">
        <v>-985069</v>
      </c>
      <c r="AG15" s="202"/>
      <c r="AH15" s="205">
        <v>-2012264</v>
      </c>
      <c r="AJ15" s="205">
        <v>-1064817</v>
      </c>
      <c r="AL15" s="205">
        <v>-1679539</v>
      </c>
      <c r="AN15" s="205">
        <v>-761445</v>
      </c>
      <c r="AP15" s="205">
        <v>0</v>
      </c>
      <c r="AR15" s="205">
        <v>0</v>
      </c>
      <c r="AT15" s="205">
        <v>0</v>
      </c>
      <c r="AV15" s="205">
        <f t="shared" si="0"/>
        <v>-27513971</v>
      </c>
    </row>
    <row r="16" spans="1:48" ht="21">
      <c r="A16" s="569"/>
      <c r="B16" s="200" t="s">
        <v>128</v>
      </c>
      <c r="C16" s="156"/>
      <c r="D16" s="224">
        <v>0</v>
      </c>
      <c r="E16" s="195"/>
      <c r="F16" s="224">
        <v>731598</v>
      </c>
      <c r="G16" s="156"/>
      <c r="H16" s="224">
        <v>151625</v>
      </c>
      <c r="I16" s="202"/>
      <c r="J16" s="224">
        <v>708751</v>
      </c>
      <c r="K16" s="202"/>
      <c r="L16" s="224">
        <v>556664</v>
      </c>
      <c r="M16" s="202"/>
      <c r="N16" s="224">
        <v>0</v>
      </c>
      <c r="O16" s="202"/>
      <c r="P16" s="224">
        <v>609569</v>
      </c>
      <c r="Q16" s="202"/>
      <c r="R16" s="224">
        <v>0</v>
      </c>
      <c r="S16" s="202"/>
      <c r="T16" s="224">
        <v>204045</v>
      </c>
      <c r="U16" s="202"/>
      <c r="V16" s="224">
        <v>1424925</v>
      </c>
      <c r="W16" s="202"/>
      <c r="X16" s="224">
        <v>-119753</v>
      </c>
      <c r="Y16" s="202"/>
      <c r="Z16" s="224">
        <v>152151</v>
      </c>
      <c r="AA16" s="202"/>
      <c r="AB16" s="224">
        <v>58120</v>
      </c>
      <c r="AC16" s="202"/>
      <c r="AD16" s="224">
        <v>420861</v>
      </c>
      <c r="AE16" s="202"/>
      <c r="AF16" s="224">
        <v>290449</v>
      </c>
      <c r="AG16" s="202"/>
      <c r="AH16" s="224">
        <v>916232</v>
      </c>
      <c r="AJ16" s="224">
        <v>625441</v>
      </c>
      <c r="AL16" s="224">
        <v>391661</v>
      </c>
      <c r="AN16" s="224">
        <v>103795</v>
      </c>
      <c r="AP16" s="224">
        <v>0</v>
      </c>
      <c r="AR16" s="224">
        <v>0</v>
      </c>
      <c r="AT16" s="224">
        <v>0</v>
      </c>
      <c r="AV16" s="224">
        <f t="shared" si="0"/>
        <v>7226134</v>
      </c>
    </row>
    <row r="17" spans="1:50" ht="21">
      <c r="A17" s="569"/>
      <c r="B17" s="200" t="s">
        <v>250</v>
      </c>
      <c r="C17" s="156"/>
      <c r="D17" s="206">
        <v>0</v>
      </c>
      <c r="E17" s="195"/>
      <c r="F17" s="206">
        <v>0</v>
      </c>
      <c r="G17" s="156"/>
      <c r="H17" s="206">
        <v>0</v>
      </c>
      <c r="I17" s="202"/>
      <c r="J17" s="206">
        <v>0</v>
      </c>
      <c r="K17" s="202"/>
      <c r="L17" s="206">
        <v>0</v>
      </c>
      <c r="M17" s="202"/>
      <c r="N17" s="206">
        <v>0</v>
      </c>
      <c r="O17" s="202"/>
      <c r="P17" s="206">
        <v>0</v>
      </c>
      <c r="Q17" s="202"/>
      <c r="R17" s="206">
        <v>0</v>
      </c>
      <c r="S17" s="202"/>
      <c r="T17" s="206">
        <v>0</v>
      </c>
      <c r="U17" s="202"/>
      <c r="V17" s="206">
        <v>0</v>
      </c>
      <c r="W17" s="202"/>
      <c r="X17" s="206">
        <v>0</v>
      </c>
      <c r="Y17" s="202"/>
      <c r="Z17" s="206">
        <v>0</v>
      </c>
      <c r="AA17" s="202"/>
      <c r="AB17" s="206">
        <v>0</v>
      </c>
      <c r="AC17" s="202"/>
      <c r="AD17" s="206">
        <v>0</v>
      </c>
      <c r="AE17" s="202"/>
      <c r="AF17" s="206">
        <v>0</v>
      </c>
      <c r="AG17" s="202"/>
      <c r="AH17" s="206">
        <v>8951</v>
      </c>
      <c r="AJ17" s="206">
        <v>0</v>
      </c>
      <c r="AL17" s="206">
        <v>0</v>
      </c>
      <c r="AN17" s="206">
        <v>0</v>
      </c>
      <c r="AP17" s="206">
        <v>0</v>
      </c>
      <c r="AR17" s="206">
        <v>0</v>
      </c>
      <c r="AT17" s="206">
        <v>0</v>
      </c>
      <c r="AV17" s="206">
        <f t="shared" si="0"/>
        <v>8951</v>
      </c>
    </row>
    <row r="18" spans="1:50" ht="21">
      <c r="A18" s="569"/>
      <c r="B18" s="207" t="s">
        <v>127</v>
      </c>
      <c r="C18" s="156"/>
      <c r="D18" s="194">
        <f>SUM(D15:D17)</f>
        <v>0</v>
      </c>
      <c r="E18" s="195"/>
      <c r="F18" s="194">
        <f>SUM(F15:F17)</f>
        <v>-3978488</v>
      </c>
      <c r="G18" s="156"/>
      <c r="H18" s="194">
        <f>SUM(H15:H17)</f>
        <v>-498543</v>
      </c>
      <c r="I18" s="202"/>
      <c r="J18" s="194">
        <f>SUM(J15:J17)</f>
        <v>-2420379</v>
      </c>
      <c r="K18" s="202"/>
      <c r="L18" s="194">
        <f>SUM(L15:L17)</f>
        <v>-2896015</v>
      </c>
      <c r="M18" s="202"/>
      <c r="N18" s="194">
        <f>SUM(N15:N17)</f>
        <v>0</v>
      </c>
      <c r="O18" s="202"/>
      <c r="P18" s="194">
        <f>SUM(P15:P17)</f>
        <v>-2151399</v>
      </c>
      <c r="Q18" s="202"/>
      <c r="R18" s="194">
        <f>SUM(R15:R17)</f>
        <v>0</v>
      </c>
      <c r="S18" s="202"/>
      <c r="T18" s="194">
        <f>SUM(T15:T17)</f>
        <v>-786994</v>
      </c>
      <c r="U18" s="202"/>
      <c r="V18" s="194">
        <f>SUM(V15:V17)</f>
        <v>-663369</v>
      </c>
      <c r="W18" s="202"/>
      <c r="X18" s="194">
        <f>SUM(X15:X17)</f>
        <v>-1245553</v>
      </c>
      <c r="Y18" s="202"/>
      <c r="Z18" s="194">
        <f>SUM(Z15:Z17)</f>
        <v>-642588</v>
      </c>
      <c r="AA18" s="202"/>
      <c r="AB18" s="194">
        <f>SUM(AB15:AB17)</f>
        <v>-439068</v>
      </c>
      <c r="AC18" s="202"/>
      <c r="AD18" s="194">
        <f>SUM(AD15:AD17)</f>
        <v>-389885</v>
      </c>
      <c r="AE18" s="202"/>
      <c r="AF18" s="194">
        <f>SUM(AF15:AF17)</f>
        <v>-694620</v>
      </c>
      <c r="AG18" s="202"/>
      <c r="AH18" s="194">
        <f>SUM(AH15:AH17)</f>
        <v>-1087081</v>
      </c>
      <c r="AJ18" s="194">
        <f>SUM(AJ15:AJ17)</f>
        <v>-439376</v>
      </c>
      <c r="AL18" s="194">
        <f>SUM(AL15:AL17)</f>
        <v>-1287878</v>
      </c>
      <c r="AN18" s="194">
        <f>SUM(AN15:AN17)</f>
        <v>-657650</v>
      </c>
      <c r="AP18" s="194">
        <f>SUM(AP15:AP17)</f>
        <v>0</v>
      </c>
      <c r="AR18" s="194">
        <f>SUM(AR15:AR17)</f>
        <v>0</v>
      </c>
      <c r="AT18" s="194">
        <f>SUM(AT15:AT17)</f>
        <v>0</v>
      </c>
      <c r="AV18" s="194">
        <f t="shared" si="0"/>
        <v>-20278886</v>
      </c>
    </row>
    <row r="19" spans="1:50" ht="21">
      <c r="A19" s="569"/>
      <c r="B19" s="208" t="s">
        <v>126</v>
      </c>
      <c r="C19" s="156"/>
      <c r="D19" s="209">
        <f>+D18+D13</f>
        <v>0</v>
      </c>
      <c r="E19" s="195"/>
      <c r="F19" s="225">
        <f>+F18+F13</f>
        <v>14801730</v>
      </c>
      <c r="G19" s="156"/>
      <c r="H19" s="225">
        <f>+H18+H13</f>
        <v>1725262</v>
      </c>
      <c r="I19" s="202"/>
      <c r="J19" s="225">
        <f>+J18+J13</f>
        <v>8928505</v>
      </c>
      <c r="K19" s="202"/>
      <c r="L19" s="225">
        <f>+L18+L13</f>
        <v>10280253</v>
      </c>
      <c r="M19" s="202"/>
      <c r="N19" s="225">
        <f>+N18+N13</f>
        <v>0</v>
      </c>
      <c r="O19" s="202"/>
      <c r="P19" s="225">
        <f>+P18+P13</f>
        <v>7301070</v>
      </c>
      <c r="Q19" s="202"/>
      <c r="R19" s="225">
        <f>+R18+R13</f>
        <v>0</v>
      </c>
      <c r="S19" s="202"/>
      <c r="T19" s="225">
        <f>+T18+T13</f>
        <v>2825990</v>
      </c>
      <c r="U19" s="202"/>
      <c r="V19" s="225">
        <f>+V18+V13</f>
        <v>2096453</v>
      </c>
      <c r="W19" s="202"/>
      <c r="X19" s="225">
        <f>+X18+X13</f>
        <v>3183345</v>
      </c>
      <c r="Y19" s="202"/>
      <c r="Z19" s="225">
        <f>+Z18+Z13</f>
        <v>2712072</v>
      </c>
      <c r="AA19" s="202"/>
      <c r="AB19" s="225">
        <f>+AB18+AB13</f>
        <v>1342985</v>
      </c>
      <c r="AC19" s="202"/>
      <c r="AD19" s="225">
        <f>+AD18+AD13</f>
        <v>1387987</v>
      </c>
      <c r="AE19" s="202"/>
      <c r="AF19" s="225">
        <f>+AF18+AF13</f>
        <v>1972096</v>
      </c>
      <c r="AG19" s="202"/>
      <c r="AH19" s="225">
        <f>+AH18+AH13</f>
        <v>3637875</v>
      </c>
      <c r="AJ19" s="225">
        <f>+AJ18+AJ13</f>
        <v>877621</v>
      </c>
      <c r="AL19" s="225">
        <f>+AL18+AL13</f>
        <v>4412610</v>
      </c>
      <c r="AN19" s="225">
        <f>+AN18+AN13</f>
        <v>2339351</v>
      </c>
      <c r="AP19" s="225">
        <f>+AP18+AP13</f>
        <v>0</v>
      </c>
      <c r="AR19" s="225">
        <f>+AR18+AR13</f>
        <v>0</v>
      </c>
      <c r="AT19" s="225">
        <f>+AT18+AT13</f>
        <v>0</v>
      </c>
      <c r="AV19" s="225">
        <f t="shared" si="0"/>
        <v>69825205</v>
      </c>
    </row>
    <row r="20" spans="1:50" ht="12" customHeight="1">
      <c r="A20" s="569"/>
      <c r="B20" s="200"/>
      <c r="C20" s="156"/>
      <c r="D20" s="201"/>
      <c r="E20" s="195"/>
      <c r="F20" s="194"/>
      <c r="G20" s="156"/>
      <c r="H20" s="194"/>
      <c r="I20" s="202"/>
      <c r="J20" s="194"/>
      <c r="K20" s="202"/>
      <c r="L20" s="194"/>
      <c r="M20" s="202"/>
      <c r="N20" s="194"/>
      <c r="O20" s="202"/>
      <c r="P20" s="194"/>
      <c r="Q20" s="202"/>
      <c r="R20" s="194"/>
      <c r="S20" s="202"/>
      <c r="T20" s="194"/>
      <c r="U20" s="202"/>
      <c r="V20" s="194"/>
      <c r="W20" s="202"/>
      <c r="X20" s="194"/>
      <c r="Y20" s="202"/>
      <c r="Z20" s="194"/>
      <c r="AA20" s="202"/>
      <c r="AB20" s="194"/>
      <c r="AC20" s="202"/>
      <c r="AD20" s="194"/>
      <c r="AE20" s="202"/>
      <c r="AF20" s="194"/>
      <c r="AG20" s="202"/>
      <c r="AH20" s="194"/>
      <c r="AJ20" s="194"/>
      <c r="AL20" s="194"/>
      <c r="AN20" s="194"/>
      <c r="AP20" s="194"/>
      <c r="AR20" s="194"/>
      <c r="AT20" s="194"/>
      <c r="AV20" s="194">
        <f t="shared" si="0"/>
        <v>0</v>
      </c>
    </row>
    <row r="21" spans="1:50" ht="21">
      <c r="A21" s="569"/>
      <c r="B21" s="210" t="s">
        <v>125</v>
      </c>
      <c r="C21" s="156"/>
      <c r="D21" s="205">
        <v>0</v>
      </c>
      <c r="E21" s="195"/>
      <c r="F21" s="205">
        <v>-12720018</v>
      </c>
      <c r="G21" s="156"/>
      <c r="H21" s="205">
        <v>-797193</v>
      </c>
      <c r="I21" s="202"/>
      <c r="J21" s="205">
        <v>-7361333</v>
      </c>
      <c r="K21" s="202"/>
      <c r="L21" s="205">
        <v>-9288158</v>
      </c>
      <c r="M21" s="202"/>
      <c r="N21" s="205">
        <v>0</v>
      </c>
      <c r="O21" s="202"/>
      <c r="P21" s="205">
        <v>-5847067</v>
      </c>
      <c r="Q21" s="202"/>
      <c r="R21" s="205">
        <v>0</v>
      </c>
      <c r="S21" s="202"/>
      <c r="T21" s="205">
        <v>-2104344</v>
      </c>
      <c r="U21" s="202"/>
      <c r="V21" s="205">
        <v>-2033851</v>
      </c>
      <c r="W21" s="202"/>
      <c r="X21" s="205">
        <v>-3860694</v>
      </c>
      <c r="Y21" s="202"/>
      <c r="Z21" s="205">
        <v>-2225023</v>
      </c>
      <c r="AA21" s="202"/>
      <c r="AB21" s="205">
        <v>-1538206</v>
      </c>
      <c r="AC21" s="202"/>
      <c r="AD21" s="205">
        <v>-1155999</v>
      </c>
      <c r="AE21" s="202"/>
      <c r="AF21" s="205">
        <v>-2358300</v>
      </c>
      <c r="AG21" s="202"/>
      <c r="AH21" s="205">
        <v>-2670881</v>
      </c>
      <c r="AJ21" s="205">
        <v>-630473</v>
      </c>
      <c r="AL21" s="205">
        <v>-3319708</v>
      </c>
      <c r="AN21" s="205">
        <v>-1607015</v>
      </c>
      <c r="AP21" s="205">
        <v>0</v>
      </c>
      <c r="AR21" s="205">
        <v>0</v>
      </c>
      <c r="AT21" s="205">
        <v>0</v>
      </c>
      <c r="AV21" s="205">
        <f t="shared" si="0"/>
        <v>-59518263</v>
      </c>
      <c r="AX21" s="95">
        <f>F21/AV21</f>
        <v>0.21371621681902914</v>
      </c>
    </row>
    <row r="22" spans="1:50" ht="21">
      <c r="A22" s="569"/>
      <c r="B22" s="211" t="s">
        <v>124</v>
      </c>
      <c r="C22" s="156"/>
      <c r="D22" s="206">
        <v>0</v>
      </c>
      <c r="E22" s="195"/>
      <c r="F22" s="206">
        <v>-1558439</v>
      </c>
      <c r="G22" s="156"/>
      <c r="H22" s="206">
        <v>-156069</v>
      </c>
      <c r="I22" s="202"/>
      <c r="J22" s="206">
        <v>-1535832</v>
      </c>
      <c r="K22" s="202"/>
      <c r="L22" s="206">
        <v>-562603</v>
      </c>
      <c r="M22" s="202"/>
      <c r="N22" s="206">
        <v>0</v>
      </c>
      <c r="O22" s="202"/>
      <c r="P22" s="206">
        <v>-440864</v>
      </c>
      <c r="Q22" s="202"/>
      <c r="R22" s="206">
        <v>0</v>
      </c>
      <c r="S22" s="202"/>
      <c r="T22" s="206">
        <v>-237913</v>
      </c>
      <c r="U22" s="202"/>
      <c r="V22" s="206">
        <v>-129595</v>
      </c>
      <c r="W22" s="202"/>
      <c r="X22" s="206">
        <v>190482</v>
      </c>
      <c r="Y22" s="202"/>
      <c r="Z22" s="206">
        <v>-260782</v>
      </c>
      <c r="AA22" s="202"/>
      <c r="AB22" s="206">
        <v>373343</v>
      </c>
      <c r="AC22" s="202"/>
      <c r="AD22" s="206">
        <v>88990</v>
      </c>
      <c r="AE22" s="202"/>
      <c r="AF22" s="206">
        <v>230761</v>
      </c>
      <c r="AG22" s="202"/>
      <c r="AH22" s="206">
        <v>-202010</v>
      </c>
      <c r="AJ22" s="206">
        <v>-15004</v>
      </c>
      <c r="AL22" s="206">
        <v>-908888</v>
      </c>
      <c r="AN22" s="206">
        <v>-682748</v>
      </c>
      <c r="AP22" s="206">
        <v>0</v>
      </c>
      <c r="AR22" s="206">
        <v>0</v>
      </c>
      <c r="AT22" s="206">
        <v>0</v>
      </c>
      <c r="AV22" s="206">
        <f t="shared" si="0"/>
        <v>-5807171</v>
      </c>
    </row>
    <row r="23" spans="1:50" ht="21">
      <c r="A23" s="569"/>
      <c r="B23" s="203" t="s">
        <v>123</v>
      </c>
      <c r="C23" s="156"/>
      <c r="D23" s="204">
        <f>-D22-D21</f>
        <v>0</v>
      </c>
      <c r="E23" s="195"/>
      <c r="F23" s="217">
        <f>SUM(F21:F22)</f>
        <v>-14278457</v>
      </c>
      <c r="G23" s="156"/>
      <c r="H23" s="217">
        <f>SUM(H21:H22)</f>
        <v>-953262</v>
      </c>
      <c r="I23" s="202"/>
      <c r="J23" s="217">
        <f>SUM(J21:J22)</f>
        <v>-8897165</v>
      </c>
      <c r="K23" s="202"/>
      <c r="L23" s="217">
        <f>SUM(L21:L22)</f>
        <v>-9850761</v>
      </c>
      <c r="M23" s="202"/>
      <c r="N23" s="217">
        <f>SUM(N21:N22)</f>
        <v>0</v>
      </c>
      <c r="O23" s="202"/>
      <c r="P23" s="217">
        <f>SUM(P21:P22)</f>
        <v>-6287931</v>
      </c>
      <c r="Q23" s="202"/>
      <c r="R23" s="217">
        <f>SUM(R21:R22)</f>
        <v>0</v>
      </c>
      <c r="S23" s="202"/>
      <c r="T23" s="217">
        <f>SUM(T21:T22)</f>
        <v>-2342257</v>
      </c>
      <c r="U23" s="202"/>
      <c r="V23" s="217">
        <f>SUM(V21:V22)</f>
        <v>-2163446</v>
      </c>
      <c r="W23" s="202"/>
      <c r="X23" s="217">
        <f>SUM(X21:X22)</f>
        <v>-3670212</v>
      </c>
      <c r="Y23" s="202"/>
      <c r="Z23" s="217">
        <f>SUM(Z21:Z22)</f>
        <v>-2485805</v>
      </c>
      <c r="AA23" s="202"/>
      <c r="AB23" s="217">
        <f>SUM(AB21:AB22)</f>
        <v>-1164863</v>
      </c>
      <c r="AC23" s="202"/>
      <c r="AD23" s="217">
        <f>SUM(AD21:AD22)</f>
        <v>-1067009</v>
      </c>
      <c r="AE23" s="202"/>
      <c r="AF23" s="217">
        <f>SUM(AF21:AF22)</f>
        <v>-2127539</v>
      </c>
      <c r="AG23" s="202"/>
      <c r="AH23" s="217">
        <f>SUM(AH21:AH22)</f>
        <v>-2872891</v>
      </c>
      <c r="AJ23" s="217">
        <f>SUM(AJ21:AJ22)</f>
        <v>-645477</v>
      </c>
      <c r="AL23" s="217">
        <f>SUM(AL21:AL22)</f>
        <v>-4228596</v>
      </c>
      <c r="AN23" s="217">
        <f>SUM(AN21:AN22)</f>
        <v>-2289763</v>
      </c>
      <c r="AP23" s="217">
        <f>SUM(AP21:AP22)</f>
        <v>0</v>
      </c>
      <c r="AR23" s="217">
        <f>SUM(AR21:AR22)</f>
        <v>0</v>
      </c>
      <c r="AT23" s="217">
        <f>SUM(AT21:AT22)</f>
        <v>0</v>
      </c>
      <c r="AV23" s="217">
        <f t="shared" si="0"/>
        <v>-65325434</v>
      </c>
    </row>
    <row r="24" spans="1:50" ht="12" customHeight="1">
      <c r="A24" s="569"/>
      <c r="B24" s="200"/>
      <c r="C24" s="156"/>
      <c r="D24" s="201"/>
      <c r="E24" s="195"/>
      <c r="F24" s="194"/>
      <c r="G24" s="156"/>
      <c r="H24" s="194"/>
      <c r="I24" s="202"/>
      <c r="J24" s="194"/>
      <c r="K24" s="202"/>
      <c r="L24" s="194"/>
      <c r="M24" s="202"/>
      <c r="N24" s="194"/>
      <c r="O24" s="202"/>
      <c r="P24" s="194"/>
      <c r="Q24" s="202"/>
      <c r="R24" s="194"/>
      <c r="S24" s="202"/>
      <c r="T24" s="194"/>
      <c r="U24" s="202"/>
      <c r="V24" s="194"/>
      <c r="W24" s="202"/>
      <c r="X24" s="194"/>
      <c r="Y24" s="202"/>
      <c r="Z24" s="194"/>
      <c r="AA24" s="202"/>
      <c r="AB24" s="194"/>
      <c r="AC24" s="202"/>
      <c r="AD24" s="194"/>
      <c r="AE24" s="202"/>
      <c r="AF24" s="194"/>
      <c r="AG24" s="202"/>
      <c r="AH24" s="194"/>
      <c r="AJ24" s="194"/>
      <c r="AL24" s="194"/>
      <c r="AN24" s="194"/>
      <c r="AP24" s="194"/>
      <c r="AR24" s="194"/>
      <c r="AT24" s="194"/>
      <c r="AV24" s="194">
        <f t="shared" si="0"/>
        <v>0</v>
      </c>
    </row>
    <row r="25" spans="1:50" ht="21">
      <c r="A25" s="569"/>
      <c r="B25" s="210" t="s">
        <v>122</v>
      </c>
      <c r="C25" s="156"/>
      <c r="D25" s="214">
        <v>0</v>
      </c>
      <c r="E25" s="195"/>
      <c r="F25" s="205">
        <v>3107875</v>
      </c>
      <c r="G25" s="156"/>
      <c r="H25" s="205">
        <v>179932</v>
      </c>
      <c r="I25" s="202"/>
      <c r="J25" s="205">
        <v>1759363</v>
      </c>
      <c r="K25" s="202"/>
      <c r="L25" s="205">
        <v>2129177</v>
      </c>
      <c r="M25" s="202"/>
      <c r="N25" s="205">
        <v>0</v>
      </c>
      <c r="O25" s="202"/>
      <c r="P25" s="205">
        <v>1521289</v>
      </c>
      <c r="Q25" s="202"/>
      <c r="R25" s="205">
        <v>0</v>
      </c>
      <c r="S25" s="202"/>
      <c r="T25" s="205">
        <v>477527</v>
      </c>
      <c r="U25" s="202"/>
      <c r="V25" s="205">
        <v>592552</v>
      </c>
      <c r="W25" s="202"/>
      <c r="X25" s="205">
        <v>961490</v>
      </c>
      <c r="Y25" s="202"/>
      <c r="Z25" s="205">
        <v>457242</v>
      </c>
      <c r="AA25" s="202"/>
      <c r="AB25" s="205">
        <v>405021</v>
      </c>
      <c r="AC25" s="202"/>
      <c r="AD25" s="205">
        <v>282187</v>
      </c>
      <c r="AE25" s="202"/>
      <c r="AF25" s="205">
        <v>625695</v>
      </c>
      <c r="AG25" s="202"/>
      <c r="AH25" s="205">
        <v>602054</v>
      </c>
      <c r="AJ25" s="205">
        <v>190285</v>
      </c>
      <c r="AL25" s="205">
        <v>838740</v>
      </c>
      <c r="AN25" s="205">
        <v>341420</v>
      </c>
      <c r="AP25" s="205">
        <v>0</v>
      </c>
      <c r="AR25" s="205">
        <v>0</v>
      </c>
      <c r="AT25" s="205">
        <v>0</v>
      </c>
      <c r="AV25" s="205">
        <f t="shared" si="0"/>
        <v>14471849</v>
      </c>
    </row>
    <row r="26" spans="1:50" ht="21">
      <c r="A26" s="569"/>
      <c r="B26" s="215" t="s">
        <v>121</v>
      </c>
      <c r="C26" s="156"/>
      <c r="D26" s="216">
        <v>0</v>
      </c>
      <c r="E26" s="195"/>
      <c r="F26" s="206">
        <v>25899</v>
      </c>
      <c r="G26" s="156"/>
      <c r="H26" s="206">
        <v>43156</v>
      </c>
      <c r="I26" s="202"/>
      <c r="J26" s="206">
        <v>441535</v>
      </c>
      <c r="K26" s="202"/>
      <c r="L26" s="206">
        <v>40296</v>
      </c>
      <c r="M26" s="202"/>
      <c r="N26" s="206">
        <v>0</v>
      </c>
      <c r="O26" s="202"/>
      <c r="P26" s="206">
        <v>106204</v>
      </c>
      <c r="Q26" s="202"/>
      <c r="R26" s="206">
        <v>0</v>
      </c>
      <c r="S26" s="202"/>
      <c r="T26" s="206">
        <v>57564</v>
      </c>
      <c r="U26" s="202"/>
      <c r="V26" s="206">
        <v>31436</v>
      </c>
      <c r="W26" s="202"/>
      <c r="X26" s="206">
        <v>-81816</v>
      </c>
      <c r="Y26" s="202"/>
      <c r="Z26" s="206">
        <v>-81303</v>
      </c>
      <c r="AA26" s="202"/>
      <c r="AB26" s="206">
        <v>-82312</v>
      </c>
      <c r="AC26" s="202"/>
      <c r="AD26" s="206">
        <v>-15887</v>
      </c>
      <c r="AE26" s="202"/>
      <c r="AF26" s="206">
        <v>-140117</v>
      </c>
      <c r="AG26" s="202"/>
      <c r="AH26" s="206">
        <v>6836</v>
      </c>
      <c r="AJ26" s="206">
        <v>4099</v>
      </c>
      <c r="AL26" s="206">
        <v>157450</v>
      </c>
      <c r="AN26" s="206">
        <v>128627</v>
      </c>
      <c r="AP26" s="206">
        <v>0</v>
      </c>
      <c r="AR26" s="206">
        <v>0</v>
      </c>
      <c r="AT26" s="206">
        <v>0</v>
      </c>
      <c r="AV26" s="206">
        <f t="shared" si="0"/>
        <v>641667</v>
      </c>
    </row>
    <row r="27" spans="1:50" ht="21">
      <c r="A27" s="569"/>
      <c r="B27" s="203" t="s">
        <v>120</v>
      </c>
      <c r="C27" s="156"/>
      <c r="D27" s="204">
        <f>+D25+D26</f>
        <v>0</v>
      </c>
      <c r="E27" s="195"/>
      <c r="F27" s="217">
        <f>+F25+F26</f>
        <v>3133774</v>
      </c>
      <c r="G27" s="156"/>
      <c r="H27" s="217">
        <f>+H25+H26</f>
        <v>223088</v>
      </c>
      <c r="I27" s="202"/>
      <c r="J27" s="217">
        <f>+J25+J26</f>
        <v>2200898</v>
      </c>
      <c r="K27" s="202"/>
      <c r="L27" s="217">
        <f>+L25+L26</f>
        <v>2169473</v>
      </c>
      <c r="M27" s="202"/>
      <c r="N27" s="217">
        <f>+N25+N26</f>
        <v>0</v>
      </c>
      <c r="O27" s="202"/>
      <c r="P27" s="217">
        <f>+P25+P26</f>
        <v>1627493</v>
      </c>
      <c r="Q27" s="202"/>
      <c r="R27" s="217">
        <f>+R25+R26</f>
        <v>0</v>
      </c>
      <c r="S27" s="202"/>
      <c r="T27" s="217">
        <f>+T25+T26</f>
        <v>535091</v>
      </c>
      <c r="U27" s="202"/>
      <c r="V27" s="217">
        <f>+V25+V26</f>
        <v>623988</v>
      </c>
      <c r="W27" s="202"/>
      <c r="X27" s="217">
        <f>+X25+X26</f>
        <v>879674</v>
      </c>
      <c r="Y27" s="202"/>
      <c r="Z27" s="217">
        <f>+Z25+Z26</f>
        <v>375939</v>
      </c>
      <c r="AA27" s="202"/>
      <c r="AB27" s="217">
        <f>+AB25+AB26</f>
        <v>322709</v>
      </c>
      <c r="AC27" s="202"/>
      <c r="AD27" s="217">
        <f>+AD25+AD26</f>
        <v>266300</v>
      </c>
      <c r="AE27" s="202"/>
      <c r="AF27" s="217">
        <f>+AF25+AF26</f>
        <v>485578</v>
      </c>
      <c r="AG27" s="202"/>
      <c r="AH27" s="217">
        <f>+AH25+AH26</f>
        <v>608890</v>
      </c>
      <c r="AJ27" s="217">
        <f>+AJ25+AJ26</f>
        <v>194384</v>
      </c>
      <c r="AL27" s="217">
        <f>+AL25+AL26</f>
        <v>996190</v>
      </c>
      <c r="AN27" s="217">
        <f>+AN25+AN26</f>
        <v>470047</v>
      </c>
      <c r="AP27" s="217">
        <f>+AP25+AP26</f>
        <v>0</v>
      </c>
      <c r="AR27" s="217">
        <f>+AR25+AR26</f>
        <v>0</v>
      </c>
      <c r="AT27" s="217">
        <f>+AT25+AT26</f>
        <v>0</v>
      </c>
      <c r="AV27" s="217">
        <f t="shared" si="0"/>
        <v>15113516</v>
      </c>
    </row>
    <row r="28" spans="1:50" ht="21">
      <c r="A28" s="569"/>
      <c r="B28" s="212" t="s">
        <v>119</v>
      </c>
      <c r="C28" s="156"/>
      <c r="D28" s="279">
        <f>+D27+D23</f>
        <v>0</v>
      </c>
      <c r="E28" s="195"/>
      <c r="F28" s="213">
        <f>+F27+F23</f>
        <v>-11144683</v>
      </c>
      <c r="G28" s="156"/>
      <c r="H28" s="213">
        <f>+H27+H23</f>
        <v>-730174</v>
      </c>
      <c r="I28" s="202"/>
      <c r="J28" s="213">
        <f>+J27+J23</f>
        <v>-6696267</v>
      </c>
      <c r="K28" s="202"/>
      <c r="L28" s="213">
        <f>+L27+L23</f>
        <v>-7681288</v>
      </c>
      <c r="M28" s="202"/>
      <c r="N28" s="213">
        <f>+N27+N23</f>
        <v>0</v>
      </c>
      <c r="O28" s="202"/>
      <c r="P28" s="213">
        <f>+P27+P23</f>
        <v>-4660438</v>
      </c>
      <c r="Q28" s="202"/>
      <c r="R28" s="213">
        <f>+R27+R23</f>
        <v>0</v>
      </c>
      <c r="S28" s="202"/>
      <c r="T28" s="213">
        <f>+T27+T23</f>
        <v>-1807166</v>
      </c>
      <c r="U28" s="202"/>
      <c r="V28" s="213">
        <f>+V27+V23</f>
        <v>-1539458</v>
      </c>
      <c r="W28" s="202"/>
      <c r="X28" s="213">
        <f>+X27+X23</f>
        <v>-2790538</v>
      </c>
      <c r="Y28" s="202"/>
      <c r="Z28" s="213">
        <f>+Z27+Z23</f>
        <v>-2109866</v>
      </c>
      <c r="AA28" s="202"/>
      <c r="AB28" s="213">
        <f>+AB27+AB23</f>
        <v>-842154</v>
      </c>
      <c r="AC28" s="202"/>
      <c r="AD28" s="213">
        <f>+AD27+AD23</f>
        <v>-800709</v>
      </c>
      <c r="AE28" s="202"/>
      <c r="AF28" s="213">
        <f>+AF27+AF23</f>
        <v>-1641961</v>
      </c>
      <c r="AG28" s="202"/>
      <c r="AH28" s="213">
        <f>+AH27+AH23</f>
        <v>-2264001</v>
      </c>
      <c r="AJ28" s="213">
        <f>+AJ27+AJ23</f>
        <v>-451093</v>
      </c>
      <c r="AL28" s="213">
        <f>+AL27+AL23</f>
        <v>-3232406</v>
      </c>
      <c r="AN28" s="213">
        <f>+AN27+AN23</f>
        <v>-1819716</v>
      </c>
      <c r="AP28" s="213">
        <f>+AP27+AP23</f>
        <v>0</v>
      </c>
      <c r="AR28" s="213">
        <f>+AR27+AR23</f>
        <v>0</v>
      </c>
      <c r="AT28" s="213">
        <f>+AT27+AT23</f>
        <v>0</v>
      </c>
      <c r="AV28" s="213">
        <f t="shared" si="0"/>
        <v>-50211918</v>
      </c>
    </row>
    <row r="29" spans="1:50" ht="8.25" customHeight="1">
      <c r="A29" s="569"/>
      <c r="B29" s="200"/>
      <c r="C29" s="156"/>
      <c r="D29" s="201"/>
      <c r="E29" s="195"/>
      <c r="F29" s="194"/>
      <c r="G29" s="156"/>
      <c r="H29" s="194"/>
      <c r="I29" s="202"/>
      <c r="J29" s="194"/>
      <c r="K29" s="202"/>
      <c r="L29" s="194"/>
      <c r="M29" s="202"/>
      <c r="N29" s="194"/>
      <c r="O29" s="202"/>
      <c r="P29" s="194"/>
      <c r="Q29" s="202"/>
      <c r="R29" s="194"/>
      <c r="S29" s="202"/>
      <c r="T29" s="194"/>
      <c r="U29" s="202"/>
      <c r="V29" s="194"/>
      <c r="W29" s="202"/>
      <c r="X29" s="194"/>
      <c r="Y29" s="202"/>
      <c r="Z29" s="194"/>
      <c r="AA29" s="202"/>
      <c r="AB29" s="194"/>
      <c r="AC29" s="202"/>
      <c r="AD29" s="194"/>
      <c r="AE29" s="202"/>
      <c r="AF29" s="194"/>
      <c r="AG29" s="202"/>
      <c r="AH29" s="194"/>
      <c r="AJ29" s="194"/>
      <c r="AL29" s="194"/>
      <c r="AN29" s="194"/>
      <c r="AP29" s="194"/>
      <c r="AR29" s="194"/>
      <c r="AT29" s="194"/>
      <c r="AV29" s="194">
        <f t="shared" si="0"/>
        <v>0</v>
      </c>
    </row>
    <row r="30" spans="1:50" ht="21">
      <c r="A30" s="569"/>
      <c r="B30" s="210" t="s">
        <v>118</v>
      </c>
      <c r="C30" s="156"/>
      <c r="D30" s="214">
        <v>0</v>
      </c>
      <c r="E30" s="195"/>
      <c r="F30" s="205">
        <v>-2008421</v>
      </c>
      <c r="G30" s="156"/>
      <c r="H30" s="205">
        <v>-272186</v>
      </c>
      <c r="I30" s="202"/>
      <c r="J30" s="205">
        <v>-1106203</v>
      </c>
      <c r="K30" s="202"/>
      <c r="L30" s="205">
        <v>-847204</v>
      </c>
      <c r="M30" s="202"/>
      <c r="N30" s="205">
        <v>0</v>
      </c>
      <c r="O30" s="202"/>
      <c r="P30" s="205">
        <v>-1043710</v>
      </c>
      <c r="Q30" s="202"/>
      <c r="R30" s="205">
        <v>0</v>
      </c>
      <c r="S30" s="202"/>
      <c r="T30" s="205">
        <v>-253975</v>
      </c>
      <c r="U30" s="202"/>
      <c r="V30" s="205">
        <v>-778538</v>
      </c>
      <c r="W30" s="202"/>
      <c r="X30" s="205">
        <v>-264371</v>
      </c>
      <c r="Y30" s="202"/>
      <c r="Z30" s="205">
        <v>-338515</v>
      </c>
      <c r="AA30" s="202"/>
      <c r="AB30" s="205">
        <v>-166295</v>
      </c>
      <c r="AC30" s="202"/>
      <c r="AD30" s="205">
        <v>-433296</v>
      </c>
      <c r="AE30" s="202"/>
      <c r="AF30" s="205">
        <v>-345189</v>
      </c>
      <c r="AG30" s="202"/>
      <c r="AH30" s="205">
        <v>-842624</v>
      </c>
      <c r="AJ30" s="205">
        <v>-141140</v>
      </c>
      <c r="AL30" s="205">
        <v>-255439</v>
      </c>
      <c r="AN30" s="205">
        <v>-229822</v>
      </c>
      <c r="AP30" s="205">
        <v>0</v>
      </c>
      <c r="AR30" s="205">
        <v>0</v>
      </c>
      <c r="AT30" s="205">
        <v>0</v>
      </c>
      <c r="AV30" s="205">
        <f t="shared" si="0"/>
        <v>-9326928</v>
      </c>
    </row>
    <row r="31" spans="1:50" ht="21">
      <c r="A31" s="569"/>
      <c r="B31" s="211" t="s">
        <v>117</v>
      </c>
      <c r="C31" s="156"/>
      <c r="D31" s="216">
        <v>0</v>
      </c>
      <c r="E31" s="195"/>
      <c r="F31" s="206">
        <v>573709</v>
      </c>
      <c r="G31" s="156"/>
      <c r="H31" s="206">
        <v>113404</v>
      </c>
      <c r="I31" s="202"/>
      <c r="J31" s="206">
        <v>373009</v>
      </c>
      <c r="K31" s="202"/>
      <c r="L31" s="206">
        <v>388584</v>
      </c>
      <c r="M31" s="202"/>
      <c r="N31" s="206">
        <v>0</v>
      </c>
      <c r="O31" s="202"/>
      <c r="P31" s="206">
        <v>315979</v>
      </c>
      <c r="Q31" s="202"/>
      <c r="R31" s="206">
        <v>0</v>
      </c>
      <c r="S31" s="202"/>
      <c r="T31" s="206">
        <v>113536</v>
      </c>
      <c r="U31" s="202"/>
      <c r="V31" s="206">
        <v>290684</v>
      </c>
      <c r="W31" s="202"/>
      <c r="X31" s="206">
        <v>247177</v>
      </c>
      <c r="Y31" s="202"/>
      <c r="Z31" s="206">
        <v>85885</v>
      </c>
      <c r="AA31" s="202"/>
      <c r="AB31" s="206">
        <v>73423</v>
      </c>
      <c r="AC31" s="202"/>
      <c r="AD31" s="206">
        <v>135556</v>
      </c>
      <c r="AE31" s="202"/>
      <c r="AF31" s="206">
        <v>159816</v>
      </c>
      <c r="AG31" s="202"/>
      <c r="AH31" s="206">
        <v>278666</v>
      </c>
      <c r="AJ31" s="206">
        <v>146434</v>
      </c>
      <c r="AL31" s="206">
        <v>195920</v>
      </c>
      <c r="AN31" s="206">
        <v>88168</v>
      </c>
      <c r="AP31" s="206">
        <v>0</v>
      </c>
      <c r="AR31" s="206">
        <v>0</v>
      </c>
      <c r="AT31" s="206">
        <v>0</v>
      </c>
      <c r="AV31" s="206">
        <f t="shared" si="0"/>
        <v>3579950</v>
      </c>
    </row>
    <row r="32" spans="1:50" ht="21">
      <c r="A32" s="569"/>
      <c r="B32" s="212" t="s">
        <v>116</v>
      </c>
      <c r="C32" s="156"/>
      <c r="D32" s="213">
        <f>SUM(D30:D31)</f>
        <v>0</v>
      </c>
      <c r="E32" s="195"/>
      <c r="F32" s="213">
        <f>SUM(F30:F31)</f>
        <v>-1434712</v>
      </c>
      <c r="G32" s="156"/>
      <c r="H32" s="213">
        <f>SUM(H30:H31)</f>
        <v>-158782</v>
      </c>
      <c r="I32" s="202"/>
      <c r="J32" s="213">
        <f>SUM(J30:J31)</f>
        <v>-733194</v>
      </c>
      <c r="K32" s="202"/>
      <c r="L32" s="213">
        <f>SUM(L30:L31)</f>
        <v>-458620</v>
      </c>
      <c r="M32" s="202"/>
      <c r="N32" s="213">
        <f>SUM(N30:N31)</f>
        <v>0</v>
      </c>
      <c r="O32" s="202"/>
      <c r="P32" s="213">
        <f>SUM(P30:P31)</f>
        <v>-727731</v>
      </c>
      <c r="Q32" s="202"/>
      <c r="R32" s="213">
        <f>SUM(R30:R31)</f>
        <v>0</v>
      </c>
      <c r="S32" s="202"/>
      <c r="T32" s="213">
        <f>SUM(T30:T31)</f>
        <v>-140439</v>
      </c>
      <c r="U32" s="202"/>
      <c r="V32" s="213">
        <f>SUM(V30:V31)</f>
        <v>-487854</v>
      </c>
      <c r="W32" s="202"/>
      <c r="X32" s="213">
        <f>SUM(X30:X31)</f>
        <v>-17194</v>
      </c>
      <c r="Y32" s="202"/>
      <c r="Z32" s="213">
        <f>SUM(Z30:Z31)</f>
        <v>-252630</v>
      </c>
      <c r="AA32" s="202"/>
      <c r="AB32" s="213">
        <f>SUM(AB30:AB31)</f>
        <v>-92872</v>
      </c>
      <c r="AC32" s="202"/>
      <c r="AD32" s="213">
        <f>SUM(AD30:AD31)</f>
        <v>-297740</v>
      </c>
      <c r="AE32" s="202"/>
      <c r="AF32" s="213">
        <f>SUM(AF30:AF31)</f>
        <v>-185373</v>
      </c>
      <c r="AG32" s="202"/>
      <c r="AH32" s="213">
        <f>SUM(AH30:AH31)</f>
        <v>-563958</v>
      </c>
      <c r="AJ32" s="213">
        <f>SUM(AJ30:AJ31)</f>
        <v>5294</v>
      </c>
      <c r="AL32" s="213">
        <f>SUM(AL30:AL31)</f>
        <v>-59519</v>
      </c>
      <c r="AN32" s="213">
        <f>SUM(AN30:AN31)</f>
        <v>-141654</v>
      </c>
      <c r="AP32" s="213">
        <f>SUM(AP30:AP31)</f>
        <v>0</v>
      </c>
      <c r="AR32" s="213">
        <f>SUM(AR30:AR31)</f>
        <v>0</v>
      </c>
      <c r="AT32" s="213">
        <f>SUM(AT30:AT31)</f>
        <v>0</v>
      </c>
      <c r="AV32" s="213">
        <f t="shared" si="0"/>
        <v>-5746978</v>
      </c>
    </row>
    <row r="33" spans="1:48" ht="10.5" customHeight="1">
      <c r="A33" s="569"/>
      <c r="B33" s="219"/>
      <c r="C33" s="156"/>
      <c r="D33" s="220"/>
      <c r="E33" s="195"/>
      <c r="F33" s="221"/>
      <c r="G33" s="156"/>
      <c r="H33" s="221"/>
      <c r="I33" s="202"/>
      <c r="J33" s="221"/>
      <c r="K33" s="202"/>
      <c r="L33" s="221"/>
      <c r="M33" s="202"/>
      <c r="N33" s="221"/>
      <c r="O33" s="202"/>
      <c r="P33" s="221"/>
      <c r="Q33" s="202"/>
      <c r="R33" s="221"/>
      <c r="S33" s="202"/>
      <c r="T33" s="221"/>
      <c r="U33" s="202"/>
      <c r="V33" s="221"/>
      <c r="W33" s="202"/>
      <c r="X33" s="221"/>
      <c r="Y33" s="202"/>
      <c r="Z33" s="221"/>
      <c r="AA33" s="202"/>
      <c r="AB33" s="221"/>
      <c r="AC33" s="202"/>
      <c r="AD33" s="221"/>
      <c r="AE33" s="202"/>
      <c r="AF33" s="221"/>
      <c r="AG33" s="202"/>
      <c r="AH33" s="221"/>
      <c r="AJ33" s="221"/>
      <c r="AL33" s="221"/>
      <c r="AN33" s="221"/>
      <c r="AP33" s="221"/>
      <c r="AR33" s="221"/>
      <c r="AT33" s="221"/>
      <c r="AV33" s="221">
        <f t="shared" si="0"/>
        <v>0</v>
      </c>
    </row>
    <row r="34" spans="1:48" ht="21">
      <c r="A34" s="569"/>
      <c r="B34" s="210" t="s">
        <v>115</v>
      </c>
      <c r="C34" s="156"/>
      <c r="D34" s="214">
        <v>0</v>
      </c>
      <c r="E34" s="195"/>
      <c r="F34" s="205">
        <v>-553949</v>
      </c>
      <c r="G34" s="156"/>
      <c r="H34" s="205">
        <v>-58532</v>
      </c>
      <c r="I34" s="202"/>
      <c r="J34" s="205">
        <v>-43702</v>
      </c>
      <c r="K34" s="202"/>
      <c r="L34" s="205">
        <v>-310356</v>
      </c>
      <c r="M34" s="202"/>
      <c r="N34" s="205">
        <v>0</v>
      </c>
      <c r="O34" s="202"/>
      <c r="P34" s="205">
        <v>-247483</v>
      </c>
      <c r="Q34" s="202"/>
      <c r="R34" s="205">
        <v>0</v>
      </c>
      <c r="S34" s="202"/>
      <c r="T34" s="205">
        <v>-85652</v>
      </c>
      <c r="U34" s="202"/>
      <c r="V34" s="205">
        <v>-46575</v>
      </c>
      <c r="W34" s="202"/>
      <c r="X34" s="205">
        <v>-143989</v>
      </c>
      <c r="Y34" s="202"/>
      <c r="Z34" s="205">
        <v>-39200</v>
      </c>
      <c r="AA34" s="202"/>
      <c r="AB34" s="205">
        <v>-60480</v>
      </c>
      <c r="AC34" s="202"/>
      <c r="AD34" s="205">
        <v>-41809</v>
      </c>
      <c r="AE34" s="202"/>
      <c r="AF34" s="205">
        <v>-53351</v>
      </c>
      <c r="AG34" s="202"/>
      <c r="AH34" s="205">
        <v>-185759</v>
      </c>
      <c r="AJ34" s="205">
        <v>-40028</v>
      </c>
      <c r="AL34" s="205">
        <v>-163720</v>
      </c>
      <c r="AN34" s="205">
        <v>-84801</v>
      </c>
      <c r="AP34" s="205">
        <v>0</v>
      </c>
      <c r="AR34" s="205">
        <v>0</v>
      </c>
      <c r="AT34" s="205">
        <v>0</v>
      </c>
      <c r="AV34" s="205">
        <f t="shared" si="0"/>
        <v>-2159386</v>
      </c>
    </row>
    <row r="35" spans="1:48" ht="21">
      <c r="A35" s="569"/>
      <c r="B35" s="223" t="s">
        <v>183</v>
      </c>
      <c r="C35" s="156"/>
      <c r="D35" s="280">
        <v>0</v>
      </c>
      <c r="E35" s="195"/>
      <c r="F35" s="224">
        <v>-368709</v>
      </c>
      <c r="G35" s="156"/>
      <c r="H35" s="224">
        <v>-68275</v>
      </c>
      <c r="I35" s="202"/>
      <c r="J35" s="224">
        <v>-223139</v>
      </c>
      <c r="K35" s="202"/>
      <c r="L35" s="224">
        <v>-171217</v>
      </c>
      <c r="M35" s="202"/>
      <c r="N35" s="224">
        <v>0</v>
      </c>
      <c r="O35" s="202"/>
      <c r="P35" s="224">
        <v>-184240</v>
      </c>
      <c r="Q35" s="202"/>
      <c r="R35" s="224">
        <v>0</v>
      </c>
      <c r="S35" s="202"/>
      <c r="T35" s="224">
        <v>-102168</v>
      </c>
      <c r="U35" s="202"/>
      <c r="V35" s="224">
        <v>0</v>
      </c>
      <c r="W35" s="202"/>
      <c r="X35" s="224">
        <v>-31023</v>
      </c>
      <c r="Y35" s="202"/>
      <c r="Z35" s="224">
        <v>-80109</v>
      </c>
      <c r="AA35" s="202"/>
      <c r="AB35" s="224">
        <v>-185122</v>
      </c>
      <c r="AC35" s="202"/>
      <c r="AD35" s="224">
        <v>-12850</v>
      </c>
      <c r="AE35" s="202"/>
      <c r="AF35" s="224">
        <v>-44648</v>
      </c>
      <c r="AG35" s="202"/>
      <c r="AH35" s="224">
        <v>-93509</v>
      </c>
      <c r="AJ35" s="224">
        <v>-15131</v>
      </c>
      <c r="AL35" s="224">
        <v>-146204</v>
      </c>
      <c r="AN35" s="224">
        <v>-76095</v>
      </c>
      <c r="AP35" s="224">
        <v>0</v>
      </c>
      <c r="AR35" s="224">
        <v>0</v>
      </c>
      <c r="AT35" s="224">
        <v>0</v>
      </c>
      <c r="AV35" s="224">
        <f t="shared" si="0"/>
        <v>-1802439</v>
      </c>
    </row>
    <row r="36" spans="1:48" ht="21">
      <c r="A36" s="569"/>
      <c r="B36" s="223" t="s">
        <v>251</v>
      </c>
      <c r="C36" s="156"/>
      <c r="D36" s="280"/>
      <c r="E36" s="195"/>
      <c r="F36" s="224">
        <v>-173744</v>
      </c>
      <c r="G36" s="156"/>
      <c r="H36" s="224"/>
      <c r="I36" s="202"/>
      <c r="J36" s="224">
        <v>0</v>
      </c>
      <c r="K36" s="202"/>
      <c r="L36" s="224">
        <v>0</v>
      </c>
      <c r="M36" s="202"/>
      <c r="N36" s="224">
        <v>0</v>
      </c>
      <c r="O36" s="202"/>
      <c r="P36" s="224">
        <v>0</v>
      </c>
      <c r="Q36" s="202"/>
      <c r="R36" s="224">
        <v>0</v>
      </c>
      <c r="S36" s="202"/>
      <c r="T36" s="224">
        <v>-38264</v>
      </c>
      <c r="U36" s="202"/>
      <c r="V36" s="224">
        <v>-200353</v>
      </c>
      <c r="W36" s="202"/>
      <c r="X36" s="224">
        <v>0</v>
      </c>
      <c r="Y36" s="202"/>
      <c r="Z36" s="224">
        <v>0</v>
      </c>
      <c r="AA36" s="202"/>
      <c r="AB36" s="224">
        <v>0</v>
      </c>
      <c r="AC36" s="202"/>
      <c r="AD36" s="224">
        <v>0</v>
      </c>
      <c r="AE36" s="202"/>
      <c r="AF36" s="224">
        <v>0</v>
      </c>
      <c r="AG36" s="202"/>
      <c r="AH36" s="224">
        <v>0</v>
      </c>
      <c r="AJ36" s="224">
        <v>0</v>
      </c>
      <c r="AL36" s="224">
        <v>0</v>
      </c>
      <c r="AN36" s="224">
        <v>-33868</v>
      </c>
      <c r="AP36" s="224">
        <v>0</v>
      </c>
      <c r="AR36" s="224">
        <v>0</v>
      </c>
      <c r="AT36" s="224">
        <v>0</v>
      </c>
      <c r="AV36" s="224">
        <f t="shared" si="0"/>
        <v>-446229</v>
      </c>
    </row>
    <row r="37" spans="1:48" ht="21">
      <c r="A37" s="569"/>
      <c r="B37" s="223" t="s">
        <v>252</v>
      </c>
      <c r="C37" s="156"/>
      <c r="D37" s="280">
        <v>0</v>
      </c>
      <c r="E37" s="195"/>
      <c r="F37" s="224">
        <v>0</v>
      </c>
      <c r="G37" s="156"/>
      <c r="H37" s="224">
        <v>0</v>
      </c>
      <c r="I37" s="202"/>
      <c r="J37" s="224">
        <v>0</v>
      </c>
      <c r="K37" s="202"/>
      <c r="L37" s="224">
        <v>0</v>
      </c>
      <c r="M37" s="202"/>
      <c r="N37" s="224">
        <v>0</v>
      </c>
      <c r="O37" s="202"/>
      <c r="P37" s="224">
        <v>0</v>
      </c>
      <c r="Q37" s="202"/>
      <c r="R37" s="224">
        <v>0</v>
      </c>
      <c r="S37" s="202"/>
      <c r="T37" s="224">
        <v>0</v>
      </c>
      <c r="U37" s="202"/>
      <c r="V37" s="224">
        <v>0</v>
      </c>
      <c r="W37" s="202"/>
      <c r="X37" s="224">
        <v>0</v>
      </c>
      <c r="Y37" s="202"/>
      <c r="Z37" s="224">
        <v>-43204</v>
      </c>
      <c r="AA37" s="202"/>
      <c r="AB37" s="224">
        <v>0</v>
      </c>
      <c r="AC37" s="202"/>
      <c r="AD37" s="224">
        <v>0</v>
      </c>
      <c r="AE37" s="202"/>
      <c r="AF37" s="224">
        <v>0</v>
      </c>
      <c r="AG37" s="202"/>
      <c r="AH37" s="224">
        <v>0</v>
      </c>
      <c r="AJ37" s="224">
        <v>0</v>
      </c>
      <c r="AL37" s="224">
        <v>-337268</v>
      </c>
      <c r="AN37" s="224">
        <v>0</v>
      </c>
      <c r="AP37" s="224">
        <v>0</v>
      </c>
      <c r="AR37" s="224">
        <v>0</v>
      </c>
      <c r="AT37" s="224">
        <v>0</v>
      </c>
      <c r="AV37" s="224">
        <f t="shared" si="0"/>
        <v>-380472</v>
      </c>
    </row>
    <row r="38" spans="1:48" ht="21">
      <c r="A38" s="569"/>
      <c r="B38" s="223" t="s">
        <v>253</v>
      </c>
      <c r="C38" s="156"/>
      <c r="D38" s="280">
        <v>0</v>
      </c>
      <c r="E38" s="195"/>
      <c r="F38" s="224">
        <v>0</v>
      </c>
      <c r="G38" s="156"/>
      <c r="H38" s="224">
        <v>0</v>
      </c>
      <c r="I38" s="202"/>
      <c r="J38" s="224">
        <v>0</v>
      </c>
      <c r="K38" s="202"/>
      <c r="L38" s="224">
        <v>0</v>
      </c>
      <c r="M38" s="202"/>
      <c r="N38" s="224">
        <v>0</v>
      </c>
      <c r="O38" s="202"/>
      <c r="P38" s="224">
        <v>0</v>
      </c>
      <c r="Q38" s="202"/>
      <c r="R38" s="224">
        <v>0</v>
      </c>
      <c r="S38" s="202"/>
      <c r="T38" s="224">
        <v>0</v>
      </c>
      <c r="U38" s="202"/>
      <c r="V38" s="224">
        <v>0</v>
      </c>
      <c r="W38" s="202"/>
      <c r="X38" s="224">
        <v>0</v>
      </c>
      <c r="Y38" s="202"/>
      <c r="Z38" s="224">
        <v>0</v>
      </c>
      <c r="AA38" s="202"/>
      <c r="AB38" s="224">
        <v>0</v>
      </c>
      <c r="AC38" s="202"/>
      <c r="AD38" s="224">
        <v>0</v>
      </c>
      <c r="AE38" s="202"/>
      <c r="AF38" s="224">
        <v>-111046</v>
      </c>
      <c r="AG38" s="202"/>
      <c r="AH38" s="224">
        <v>0</v>
      </c>
      <c r="AJ38" s="224">
        <v>0</v>
      </c>
      <c r="AL38" s="224">
        <v>0</v>
      </c>
      <c r="AN38" s="224">
        <v>0</v>
      </c>
      <c r="AP38" s="224">
        <v>0</v>
      </c>
      <c r="AR38" s="224">
        <v>0</v>
      </c>
      <c r="AT38" s="224">
        <v>0</v>
      </c>
      <c r="AV38" s="224">
        <f t="shared" si="0"/>
        <v>-111046</v>
      </c>
    </row>
    <row r="39" spans="1:48" ht="21">
      <c r="A39" s="569"/>
      <c r="B39" s="223" t="s">
        <v>254</v>
      </c>
      <c r="C39" s="156"/>
      <c r="D39" s="280"/>
      <c r="E39" s="195"/>
      <c r="F39" s="224">
        <v>-861918</v>
      </c>
      <c r="G39" s="156"/>
      <c r="H39" s="224"/>
      <c r="I39" s="202"/>
      <c r="J39" s="224">
        <v>0</v>
      </c>
      <c r="K39" s="202"/>
      <c r="L39" s="224">
        <v>0</v>
      </c>
      <c r="M39" s="202"/>
      <c r="N39" s="224">
        <v>0</v>
      </c>
      <c r="O39" s="202"/>
      <c r="P39" s="224">
        <v>0</v>
      </c>
      <c r="Q39" s="202"/>
      <c r="R39" s="224">
        <v>0</v>
      </c>
      <c r="S39" s="202"/>
      <c r="T39" s="224">
        <v>-238610</v>
      </c>
      <c r="U39" s="202"/>
      <c r="V39" s="224">
        <v>0</v>
      </c>
      <c r="W39" s="202"/>
      <c r="X39" s="224">
        <v>0</v>
      </c>
      <c r="Y39" s="202"/>
      <c r="Z39" s="224">
        <v>-165215</v>
      </c>
      <c r="AA39" s="202"/>
      <c r="AB39" s="224">
        <v>0</v>
      </c>
      <c r="AC39" s="202"/>
      <c r="AD39" s="224">
        <v>0</v>
      </c>
      <c r="AE39" s="202"/>
      <c r="AF39" s="224">
        <v>0</v>
      </c>
      <c r="AG39" s="202"/>
      <c r="AH39" s="224">
        <v>0</v>
      </c>
      <c r="AJ39" s="224">
        <v>0</v>
      </c>
      <c r="AL39" s="224">
        <v>-54303</v>
      </c>
      <c r="AN39" s="224">
        <v>-174581</v>
      </c>
      <c r="AP39" s="224">
        <v>0</v>
      </c>
      <c r="AR39" s="224">
        <v>0</v>
      </c>
      <c r="AT39" s="224">
        <v>0</v>
      </c>
      <c r="AV39" s="224">
        <f t="shared" si="0"/>
        <v>-1494627</v>
      </c>
    </row>
    <row r="40" spans="1:48" ht="21">
      <c r="A40" s="569"/>
      <c r="B40" s="211" t="s">
        <v>111</v>
      </c>
      <c r="C40" s="156"/>
      <c r="D40" s="216">
        <v>0</v>
      </c>
      <c r="E40" s="195"/>
      <c r="F40" s="206">
        <v>230091</v>
      </c>
      <c r="G40" s="156"/>
      <c r="H40" s="206">
        <v>-294100</v>
      </c>
      <c r="I40" s="202"/>
      <c r="J40" s="206">
        <v>-591036</v>
      </c>
      <c r="K40" s="202"/>
      <c r="L40" s="206">
        <v>-687203</v>
      </c>
      <c r="M40" s="202"/>
      <c r="N40" s="206">
        <v>0</v>
      </c>
      <c r="O40" s="202"/>
      <c r="P40" s="206">
        <v>-566005</v>
      </c>
      <c r="Q40" s="202"/>
      <c r="R40" s="206">
        <v>0</v>
      </c>
      <c r="S40" s="202"/>
      <c r="T40" s="206">
        <v>-164495</v>
      </c>
      <c r="U40" s="202"/>
      <c r="V40" s="206">
        <v>-9218</v>
      </c>
      <c r="W40" s="202"/>
      <c r="X40" s="206">
        <v>-114946</v>
      </c>
      <c r="Y40" s="202"/>
      <c r="Z40" s="206">
        <v>-31481</v>
      </c>
      <c r="AA40" s="202"/>
      <c r="AB40" s="206">
        <v>-55927</v>
      </c>
      <c r="AC40" s="202"/>
      <c r="AD40" s="206">
        <v>-97903</v>
      </c>
      <c r="AE40" s="202"/>
      <c r="AF40" s="206">
        <v>-7903</v>
      </c>
      <c r="AG40" s="202"/>
      <c r="AH40" s="206">
        <v>-269530</v>
      </c>
      <c r="AJ40" s="206">
        <v>-82925</v>
      </c>
      <c r="AL40" s="206">
        <v>-80257</v>
      </c>
      <c r="AN40" s="206">
        <v>-48341</v>
      </c>
      <c r="AP40" s="206">
        <v>0</v>
      </c>
      <c r="AR40" s="206">
        <v>0</v>
      </c>
      <c r="AT40" s="206">
        <v>0</v>
      </c>
      <c r="AV40" s="206">
        <f t="shared" si="0"/>
        <v>-2871179</v>
      </c>
    </row>
    <row r="41" spans="1:48" ht="21">
      <c r="A41" s="569"/>
      <c r="B41" s="212" t="s">
        <v>184</v>
      </c>
      <c r="C41" s="156"/>
      <c r="D41" s="279">
        <f>SUM(D34:D40)</f>
        <v>0</v>
      </c>
      <c r="E41" s="195"/>
      <c r="F41" s="213">
        <f>SUM(F34:F40)</f>
        <v>-1728229</v>
      </c>
      <c r="G41" s="156"/>
      <c r="H41" s="213">
        <f>SUM(H34:H40)</f>
        <v>-420907</v>
      </c>
      <c r="I41" s="202"/>
      <c r="J41" s="213">
        <f>SUM(J34:J40)</f>
        <v>-857877</v>
      </c>
      <c r="K41" s="202"/>
      <c r="L41" s="213">
        <f>SUM(L34:L40)</f>
        <v>-1168776</v>
      </c>
      <c r="M41" s="202"/>
      <c r="N41" s="213">
        <f>SUM(N34:N40)</f>
        <v>0</v>
      </c>
      <c r="O41" s="202"/>
      <c r="P41" s="213">
        <f>SUM(P34:P40)</f>
        <v>-997728</v>
      </c>
      <c r="Q41" s="202"/>
      <c r="R41" s="213">
        <f>SUM(R34:R40)</f>
        <v>0</v>
      </c>
      <c r="S41" s="202"/>
      <c r="T41" s="213">
        <f>SUM(T34:T40)</f>
        <v>-629189</v>
      </c>
      <c r="U41" s="202"/>
      <c r="V41" s="213">
        <f>SUM(V34:V40)</f>
        <v>-256146</v>
      </c>
      <c r="W41" s="202"/>
      <c r="X41" s="213">
        <f>SUM(X34:X40)</f>
        <v>-289958</v>
      </c>
      <c r="Y41" s="202"/>
      <c r="Z41" s="213">
        <f>SUM(Z34:Z40)</f>
        <v>-359209</v>
      </c>
      <c r="AA41" s="202"/>
      <c r="AB41" s="213">
        <f>SUM(AB34:AB40)</f>
        <v>-301529</v>
      </c>
      <c r="AC41" s="202"/>
      <c r="AD41" s="213">
        <f>SUM(AD34:AD40)</f>
        <v>-152562</v>
      </c>
      <c r="AE41" s="202"/>
      <c r="AF41" s="213">
        <f>SUM(AF34:AF40)</f>
        <v>-216948</v>
      </c>
      <c r="AG41" s="202"/>
      <c r="AH41" s="213">
        <f>SUM(AH34:AH40)</f>
        <v>-548798</v>
      </c>
      <c r="AJ41" s="213">
        <f>SUM(AJ34:AJ40)</f>
        <v>-138084</v>
      </c>
      <c r="AL41" s="213">
        <f>SUM(AL34:AL40)</f>
        <v>-781752</v>
      </c>
      <c r="AN41" s="213">
        <f>SUM(AN34:AN40)</f>
        <v>-417686</v>
      </c>
      <c r="AP41" s="213">
        <f>SUM(AP34:AP40)</f>
        <v>0</v>
      </c>
      <c r="AR41" s="213">
        <f>SUM(AR34:AR40)</f>
        <v>0</v>
      </c>
      <c r="AT41" s="213">
        <f>SUM(AT34:AT40)</f>
        <v>0</v>
      </c>
      <c r="AV41" s="213">
        <f t="shared" si="0"/>
        <v>-9265378</v>
      </c>
    </row>
    <row r="42" spans="1:48" ht="21">
      <c r="A42" s="569"/>
      <c r="B42" s="200" t="s">
        <v>109</v>
      </c>
      <c r="C42" s="156"/>
      <c r="D42" s="201">
        <v>0</v>
      </c>
      <c r="E42" s="195"/>
      <c r="F42" s="194">
        <v>1130953</v>
      </c>
      <c r="G42" s="156"/>
      <c r="H42" s="194">
        <v>127125</v>
      </c>
      <c r="I42" s="202"/>
      <c r="J42" s="194">
        <v>706966</v>
      </c>
      <c r="K42" s="202"/>
      <c r="L42" s="194">
        <v>326109</v>
      </c>
      <c r="M42" s="202"/>
      <c r="N42" s="194">
        <v>0</v>
      </c>
      <c r="O42" s="202"/>
      <c r="P42" s="194">
        <v>321577</v>
      </c>
      <c r="Q42" s="202"/>
      <c r="R42" s="194">
        <v>0</v>
      </c>
      <c r="S42" s="202"/>
      <c r="T42" s="194">
        <v>177382</v>
      </c>
      <c r="U42" s="202"/>
      <c r="V42" s="194">
        <v>722229</v>
      </c>
      <c r="W42" s="202"/>
      <c r="X42" s="194">
        <v>33619</v>
      </c>
      <c r="Y42" s="202"/>
      <c r="Z42" s="194">
        <v>426609</v>
      </c>
      <c r="AA42" s="202"/>
      <c r="AB42" s="194">
        <v>163710</v>
      </c>
      <c r="AC42" s="202"/>
      <c r="AD42" s="194">
        <v>84594</v>
      </c>
      <c r="AE42" s="202"/>
      <c r="AF42" s="194">
        <v>251715</v>
      </c>
      <c r="AG42" s="202"/>
      <c r="AH42" s="194">
        <v>583900</v>
      </c>
      <c r="AJ42" s="194">
        <v>97686</v>
      </c>
      <c r="AL42" s="194">
        <v>242989</v>
      </c>
      <c r="AN42" s="194">
        <v>176369</v>
      </c>
      <c r="AP42" s="194">
        <v>0</v>
      </c>
      <c r="AR42" s="194">
        <v>0</v>
      </c>
      <c r="AT42" s="194">
        <v>0</v>
      </c>
      <c r="AV42" s="194">
        <f t="shared" si="0"/>
        <v>5573532</v>
      </c>
    </row>
    <row r="43" spans="1:48" ht="21">
      <c r="A43" s="569"/>
      <c r="B43" s="208" t="s">
        <v>108</v>
      </c>
      <c r="C43" s="156"/>
      <c r="D43" s="209">
        <f>D42+D41+D32+D28+D19</f>
        <v>0</v>
      </c>
      <c r="E43" s="195"/>
      <c r="F43" s="225">
        <f>F42+F41+F32+F28+F19</f>
        <v>1625059</v>
      </c>
      <c r="G43" s="156"/>
      <c r="H43" s="225">
        <f>H42+H41+H32+H28+H19</f>
        <v>542524</v>
      </c>
      <c r="I43" s="202"/>
      <c r="J43" s="225">
        <f>J42+J41+J32+J28+J19</f>
        <v>1348133</v>
      </c>
      <c r="K43" s="202"/>
      <c r="L43" s="225">
        <f>L42+L41+L32+L28+L19</f>
        <v>1297678</v>
      </c>
      <c r="M43" s="202"/>
      <c r="N43" s="225">
        <f>N42+N41+N32+N28+N19</f>
        <v>0</v>
      </c>
      <c r="O43" s="202"/>
      <c r="P43" s="225">
        <f>P42+P41+P32+P28+P19</f>
        <v>1236750</v>
      </c>
      <c r="Q43" s="202"/>
      <c r="R43" s="225">
        <f>R42+R41+R32+R28+R19</f>
        <v>0</v>
      </c>
      <c r="S43" s="202"/>
      <c r="T43" s="225">
        <f>T42+T41+T32+T28+T19</f>
        <v>426578</v>
      </c>
      <c r="U43" s="202"/>
      <c r="V43" s="225">
        <f>V42+V41+V32+V28+V19</f>
        <v>535224</v>
      </c>
      <c r="W43" s="202"/>
      <c r="X43" s="225">
        <f>X42+X41+X32+X28+X19</f>
        <v>119274</v>
      </c>
      <c r="Y43" s="202"/>
      <c r="Z43" s="225">
        <f>Z42+Z41+Z32+Z28+Z19</f>
        <v>416976</v>
      </c>
      <c r="AA43" s="202"/>
      <c r="AB43" s="225">
        <f>AB42+AB41+AB32+AB28+AB19</f>
        <v>270140</v>
      </c>
      <c r="AC43" s="202"/>
      <c r="AD43" s="225">
        <f>AD42+AD41+AD32+AD28+AD19</f>
        <v>221570</v>
      </c>
      <c r="AE43" s="202"/>
      <c r="AF43" s="225">
        <f>AF42+AF41+AF32+AF28+AF19</f>
        <v>179529</v>
      </c>
      <c r="AG43" s="202"/>
      <c r="AH43" s="225">
        <f>AH42+AH41+AH32+AH28+AH19</f>
        <v>845018</v>
      </c>
      <c r="AJ43" s="225">
        <f>AJ42+AJ41+AJ32+AJ28+AJ19</f>
        <v>391424</v>
      </c>
      <c r="AL43" s="225">
        <f>AL42+AL41+AL32+AL28+AL19</f>
        <v>581922</v>
      </c>
      <c r="AN43" s="225">
        <f>AN42+AN41+AN32+AN28+AN19</f>
        <v>136664</v>
      </c>
      <c r="AP43" s="225">
        <f>AP42+AP41+AP32+AP28+AP19</f>
        <v>0</v>
      </c>
      <c r="AR43" s="225">
        <f>AR42+AR41+AR32+AR28+AR19</f>
        <v>0</v>
      </c>
      <c r="AT43" s="225">
        <f>AT42+AT41+AT32+AT28+AT19</f>
        <v>0</v>
      </c>
      <c r="AV43" s="225">
        <f t="shared" si="0"/>
        <v>10174463</v>
      </c>
    </row>
    <row r="44" spans="1:48" ht="21">
      <c r="A44" s="569"/>
      <c r="B44" s="200" t="s">
        <v>107</v>
      </c>
      <c r="C44" s="156"/>
      <c r="D44" s="201">
        <v>0</v>
      </c>
      <c r="E44" s="195"/>
      <c r="F44" s="194">
        <v>307089</v>
      </c>
      <c r="G44" s="156"/>
      <c r="H44" s="194">
        <v>184762</v>
      </c>
      <c r="I44" s="202"/>
      <c r="J44" s="194">
        <v>162042</v>
      </c>
      <c r="K44" s="202"/>
      <c r="L44" s="194">
        <v>71585</v>
      </c>
      <c r="M44" s="202"/>
      <c r="N44" s="194">
        <v>0</v>
      </c>
      <c r="O44" s="202"/>
      <c r="P44" s="194">
        <v>201936</v>
      </c>
      <c r="Q44" s="202"/>
      <c r="R44" s="194">
        <v>0</v>
      </c>
      <c r="S44" s="202"/>
      <c r="T44" s="194">
        <v>254037</v>
      </c>
      <c r="U44" s="202"/>
      <c r="V44" s="194">
        <v>183208</v>
      </c>
      <c r="W44" s="202"/>
      <c r="X44" s="194">
        <v>8210</v>
      </c>
      <c r="Y44" s="202"/>
      <c r="Z44" s="194">
        <v>425991</v>
      </c>
      <c r="AA44" s="202"/>
      <c r="AB44" s="194">
        <v>0</v>
      </c>
      <c r="AC44" s="202"/>
      <c r="AD44" s="194">
        <v>30600</v>
      </c>
      <c r="AE44" s="202"/>
      <c r="AF44" s="194">
        <v>69860</v>
      </c>
      <c r="AG44" s="202"/>
      <c r="AH44" s="194">
        <v>275519</v>
      </c>
      <c r="AJ44" s="194">
        <v>219226</v>
      </c>
      <c r="AL44" s="194">
        <v>77774</v>
      </c>
      <c r="AN44" s="194">
        <v>86944</v>
      </c>
      <c r="AP44" s="194">
        <v>0</v>
      </c>
      <c r="AR44" s="194">
        <v>0</v>
      </c>
      <c r="AT44" s="194">
        <v>0</v>
      </c>
      <c r="AV44" s="194">
        <f t="shared" si="0"/>
        <v>2558783</v>
      </c>
    </row>
    <row r="45" spans="1:48" ht="21">
      <c r="A45" s="569"/>
      <c r="B45" s="200" t="s">
        <v>255</v>
      </c>
      <c r="C45" s="156"/>
      <c r="D45" s="201">
        <v>0</v>
      </c>
      <c r="E45" s="195"/>
      <c r="F45" s="194">
        <v>0</v>
      </c>
      <c r="G45" s="156"/>
      <c r="H45" s="194">
        <v>0</v>
      </c>
      <c r="I45" s="202"/>
      <c r="J45" s="194">
        <v>0</v>
      </c>
      <c r="K45" s="202"/>
      <c r="L45" s="194">
        <v>0</v>
      </c>
      <c r="M45" s="202"/>
      <c r="N45" s="194">
        <v>0</v>
      </c>
      <c r="O45" s="202"/>
      <c r="P45" s="194">
        <v>0</v>
      </c>
      <c r="Q45" s="202"/>
      <c r="R45" s="194">
        <v>0</v>
      </c>
      <c r="S45" s="202"/>
      <c r="T45" s="194">
        <v>0</v>
      </c>
      <c r="U45" s="202"/>
      <c r="V45" s="194">
        <v>0</v>
      </c>
      <c r="W45" s="202"/>
      <c r="X45" s="194">
        <v>0</v>
      </c>
      <c r="Y45" s="202"/>
      <c r="Z45" s="194">
        <v>0</v>
      </c>
      <c r="AA45" s="202"/>
      <c r="AB45" s="194">
        <v>0</v>
      </c>
      <c r="AC45" s="202"/>
      <c r="AD45" s="194">
        <v>0</v>
      </c>
      <c r="AE45" s="202"/>
      <c r="AF45" s="194">
        <v>0</v>
      </c>
      <c r="AG45" s="202"/>
      <c r="AH45" s="194">
        <v>0</v>
      </c>
      <c r="AJ45" s="194">
        <v>0</v>
      </c>
      <c r="AL45" s="194">
        <v>0</v>
      </c>
      <c r="AN45" s="194">
        <v>0</v>
      </c>
      <c r="AP45" s="194">
        <v>0</v>
      </c>
      <c r="AR45" s="194">
        <v>0</v>
      </c>
      <c r="AT45" s="194">
        <v>0</v>
      </c>
      <c r="AV45" s="194">
        <f t="shared" si="0"/>
        <v>0</v>
      </c>
    </row>
    <row r="46" spans="1:48" ht="21">
      <c r="A46" s="569"/>
      <c r="B46" s="200" t="s">
        <v>256</v>
      </c>
      <c r="C46" s="156"/>
      <c r="D46" s="201">
        <v>0</v>
      </c>
      <c r="E46" s="195"/>
      <c r="F46" s="194">
        <v>0</v>
      </c>
      <c r="G46" s="156"/>
      <c r="H46" s="194">
        <v>0</v>
      </c>
      <c r="I46" s="202"/>
      <c r="J46" s="194">
        <v>0</v>
      </c>
      <c r="K46" s="202"/>
      <c r="L46" s="194">
        <v>0</v>
      </c>
      <c r="M46" s="202"/>
      <c r="N46" s="194">
        <v>0</v>
      </c>
      <c r="O46" s="202"/>
      <c r="P46" s="194">
        <v>0</v>
      </c>
      <c r="Q46" s="202"/>
      <c r="R46" s="194">
        <v>0</v>
      </c>
      <c r="S46" s="202"/>
      <c r="T46" s="194">
        <v>0</v>
      </c>
      <c r="U46" s="202"/>
      <c r="V46" s="194">
        <v>0</v>
      </c>
      <c r="W46" s="202"/>
      <c r="X46" s="194">
        <v>0</v>
      </c>
      <c r="Y46" s="202"/>
      <c r="Z46" s="194">
        <v>-86501</v>
      </c>
      <c r="AA46" s="202"/>
      <c r="AB46" s="194">
        <v>0</v>
      </c>
      <c r="AC46" s="202"/>
      <c r="AD46" s="194">
        <v>0</v>
      </c>
      <c r="AE46" s="202"/>
      <c r="AF46" s="194">
        <v>0</v>
      </c>
      <c r="AG46" s="202"/>
      <c r="AH46" s="194">
        <v>0</v>
      </c>
      <c r="AJ46" s="194">
        <v>0</v>
      </c>
      <c r="AL46" s="194">
        <v>0</v>
      </c>
      <c r="AN46" s="194">
        <v>0</v>
      </c>
      <c r="AP46" s="194">
        <v>0</v>
      </c>
      <c r="AR46" s="194">
        <v>0</v>
      </c>
      <c r="AT46" s="194">
        <v>0</v>
      </c>
      <c r="AV46" s="194">
        <f t="shared" si="0"/>
        <v>-86501</v>
      </c>
    </row>
    <row r="47" spans="1:48" ht="21">
      <c r="A47" s="569"/>
      <c r="B47" s="200" t="s">
        <v>106</v>
      </c>
      <c r="C47" s="156"/>
      <c r="D47" s="201">
        <v>0</v>
      </c>
      <c r="E47" s="195"/>
      <c r="F47" s="194">
        <v>-1720500</v>
      </c>
      <c r="G47" s="156"/>
      <c r="H47" s="194">
        <v>-438284</v>
      </c>
      <c r="I47" s="202"/>
      <c r="J47" s="194">
        <v>-1030568</v>
      </c>
      <c r="K47" s="202"/>
      <c r="L47" s="194">
        <v>-1282820</v>
      </c>
      <c r="M47" s="202"/>
      <c r="N47" s="194">
        <v>0</v>
      </c>
      <c r="O47" s="202"/>
      <c r="P47" s="194">
        <v>-624371</v>
      </c>
      <c r="Q47" s="202"/>
      <c r="R47" s="194">
        <v>0</v>
      </c>
      <c r="S47" s="202"/>
      <c r="T47" s="194">
        <v>-395800</v>
      </c>
      <c r="U47" s="202"/>
      <c r="V47" s="194">
        <v>-456609</v>
      </c>
      <c r="W47" s="202"/>
      <c r="X47" s="194">
        <v>-311961</v>
      </c>
      <c r="Y47" s="202"/>
      <c r="Z47" s="194">
        <v>-302389</v>
      </c>
      <c r="AA47" s="202"/>
      <c r="AB47" s="194">
        <v>-323973</v>
      </c>
      <c r="AC47" s="202"/>
      <c r="AD47" s="194">
        <v>-255924</v>
      </c>
      <c r="AE47" s="202"/>
      <c r="AF47" s="194">
        <v>-258764</v>
      </c>
      <c r="AG47" s="202"/>
      <c r="AH47" s="194">
        <v>-517353</v>
      </c>
      <c r="AJ47" s="194">
        <v>-250565</v>
      </c>
      <c r="AL47" s="194">
        <v>-281585</v>
      </c>
      <c r="AN47" s="194">
        <v>-152738</v>
      </c>
      <c r="AP47" s="194">
        <v>0</v>
      </c>
      <c r="AR47" s="194">
        <v>0</v>
      </c>
      <c r="AT47" s="194">
        <v>0</v>
      </c>
      <c r="AV47" s="194">
        <f t="shared" si="0"/>
        <v>-8604204</v>
      </c>
    </row>
    <row r="48" spans="1:48" ht="21">
      <c r="A48" s="569"/>
      <c r="B48" s="226" t="s">
        <v>105</v>
      </c>
      <c r="C48" s="156"/>
      <c r="D48" s="281">
        <f>SUM(D43:D47)</f>
        <v>0</v>
      </c>
      <c r="E48" s="195"/>
      <c r="F48" s="227">
        <f>SUM(F43:F47)</f>
        <v>211648</v>
      </c>
      <c r="G48" s="156"/>
      <c r="H48" s="227">
        <f>SUM(H43:H47)</f>
        <v>289002</v>
      </c>
      <c r="I48" s="202"/>
      <c r="J48" s="227">
        <f>SUM(J43:J47)</f>
        <v>479607</v>
      </c>
      <c r="K48" s="202"/>
      <c r="L48" s="227">
        <f>SUM(L43:L47)</f>
        <v>86443</v>
      </c>
      <c r="M48" s="202"/>
      <c r="N48" s="227">
        <f>SUM(N43:N47)</f>
        <v>0</v>
      </c>
      <c r="O48" s="202"/>
      <c r="P48" s="227">
        <f>SUM(P43:P47)</f>
        <v>814315</v>
      </c>
      <c r="Q48" s="202"/>
      <c r="R48" s="227">
        <f>SUM(R43:R47)</f>
        <v>0</v>
      </c>
      <c r="S48" s="202"/>
      <c r="T48" s="227">
        <f>SUM(T43:T47)</f>
        <v>284815</v>
      </c>
      <c r="U48" s="202"/>
      <c r="V48" s="227">
        <f>SUM(V43:V47)</f>
        <v>261823</v>
      </c>
      <c r="W48" s="202"/>
      <c r="X48" s="227">
        <f>SUM(X43:X47)</f>
        <v>-184477</v>
      </c>
      <c r="Y48" s="202"/>
      <c r="Z48" s="227">
        <f>SUM(Z43:Z47)</f>
        <v>454077</v>
      </c>
      <c r="AA48" s="202"/>
      <c r="AB48" s="227">
        <f>SUM(AB43:AB47)</f>
        <v>-53833</v>
      </c>
      <c r="AC48" s="202"/>
      <c r="AD48" s="227">
        <f>SUM(AD43:AD47)</f>
        <v>-3754</v>
      </c>
      <c r="AE48" s="202"/>
      <c r="AF48" s="227">
        <f>SUM(AF43:AF47)</f>
        <v>-9375</v>
      </c>
      <c r="AG48" s="202"/>
      <c r="AH48" s="227">
        <f>SUM(AH43:AH47)</f>
        <v>603184</v>
      </c>
      <c r="AJ48" s="227">
        <f>SUM(AJ43:AJ47)</f>
        <v>360085</v>
      </c>
      <c r="AL48" s="227">
        <f>SUM(AL43:AL47)</f>
        <v>378111</v>
      </c>
      <c r="AN48" s="227">
        <f>SUM(AN43:AN47)</f>
        <v>70870</v>
      </c>
      <c r="AP48" s="227">
        <f>SUM(AP43:AP47)</f>
        <v>0</v>
      </c>
      <c r="AR48" s="227">
        <f>SUM(AR43:AR47)</f>
        <v>0</v>
      </c>
      <c r="AT48" s="227">
        <f>SUM(AT43:AT47)</f>
        <v>0</v>
      </c>
      <c r="AV48" s="227">
        <f t="shared" si="0"/>
        <v>4042541</v>
      </c>
    </row>
    <row r="49" spans="1:48" ht="21">
      <c r="A49" s="569"/>
      <c r="B49" s="230" t="s">
        <v>257</v>
      </c>
      <c r="C49" s="156"/>
      <c r="D49" s="220">
        <v>0</v>
      </c>
      <c r="E49" s="195"/>
      <c r="F49" s="221">
        <v>0</v>
      </c>
      <c r="G49" s="156"/>
      <c r="H49" s="221">
        <v>0</v>
      </c>
      <c r="I49" s="202"/>
      <c r="J49" s="221">
        <v>0</v>
      </c>
      <c r="K49" s="202"/>
      <c r="L49" s="221">
        <v>0</v>
      </c>
      <c r="M49" s="202"/>
      <c r="N49" s="221">
        <v>0</v>
      </c>
      <c r="O49" s="202"/>
      <c r="P49" s="221">
        <v>0</v>
      </c>
      <c r="Q49" s="202"/>
      <c r="R49" s="221">
        <v>0</v>
      </c>
      <c r="S49" s="202"/>
      <c r="T49" s="221">
        <v>-9322</v>
      </c>
      <c r="U49" s="202"/>
      <c r="V49" s="221">
        <v>0</v>
      </c>
      <c r="W49" s="202"/>
      <c r="X49" s="221">
        <v>0</v>
      </c>
      <c r="Y49" s="202"/>
      <c r="Z49" s="221">
        <v>0</v>
      </c>
      <c r="AA49" s="202"/>
      <c r="AB49" s="221">
        <v>-62093</v>
      </c>
      <c r="AC49" s="202"/>
      <c r="AD49" s="221">
        <v>-6040</v>
      </c>
      <c r="AE49" s="202"/>
      <c r="AF49" s="221">
        <v>-3698</v>
      </c>
      <c r="AG49" s="202"/>
      <c r="AH49" s="221">
        <v>0</v>
      </c>
      <c r="AJ49" s="221">
        <v>-16523</v>
      </c>
      <c r="AL49" s="221">
        <v>0</v>
      </c>
      <c r="AN49" s="221">
        <v>0</v>
      </c>
      <c r="AP49" s="221">
        <v>0</v>
      </c>
      <c r="AR49" s="221">
        <v>0</v>
      </c>
      <c r="AT49" s="221">
        <v>0</v>
      </c>
      <c r="AV49" s="221">
        <f t="shared" si="0"/>
        <v>-97676</v>
      </c>
    </row>
    <row r="50" spans="1:48" ht="21">
      <c r="A50" s="569"/>
      <c r="B50" s="211" t="s">
        <v>185</v>
      </c>
      <c r="C50" s="156"/>
      <c r="D50" s="282">
        <v>0</v>
      </c>
      <c r="E50" s="195"/>
      <c r="F50" s="229">
        <v>2503</v>
      </c>
      <c r="G50" s="156"/>
      <c r="H50" s="229">
        <v>4073</v>
      </c>
      <c r="I50" s="202"/>
      <c r="J50" s="229">
        <v>30695</v>
      </c>
      <c r="K50" s="202"/>
      <c r="L50" s="229">
        <v>659</v>
      </c>
      <c r="M50" s="202"/>
      <c r="N50" s="229">
        <v>0</v>
      </c>
      <c r="O50" s="202"/>
      <c r="P50" s="229">
        <v>24143</v>
      </c>
      <c r="Q50" s="202"/>
      <c r="R50" s="229">
        <v>0</v>
      </c>
      <c r="S50" s="202"/>
      <c r="T50" s="229">
        <v>17632</v>
      </c>
      <c r="U50" s="202"/>
      <c r="V50" s="229">
        <v>62872</v>
      </c>
      <c r="W50" s="202"/>
      <c r="X50" s="229">
        <v>276938</v>
      </c>
      <c r="Y50" s="202"/>
      <c r="Z50" s="229">
        <v>-27810</v>
      </c>
      <c r="AA50" s="202"/>
      <c r="AB50" s="229">
        <v>552104</v>
      </c>
      <c r="AC50" s="202"/>
      <c r="AD50" s="229">
        <v>136529</v>
      </c>
      <c r="AE50" s="202"/>
      <c r="AF50" s="229">
        <v>24047</v>
      </c>
      <c r="AG50" s="202"/>
      <c r="AH50" s="229">
        <v>-3072</v>
      </c>
      <c r="AJ50" s="229">
        <v>2732</v>
      </c>
      <c r="AL50" s="229">
        <v>1090</v>
      </c>
      <c r="AN50" s="229">
        <v>8994</v>
      </c>
      <c r="AP50" s="229">
        <v>0</v>
      </c>
      <c r="AR50" s="229">
        <v>0</v>
      </c>
      <c r="AT50" s="229">
        <v>0</v>
      </c>
      <c r="AV50" s="229">
        <f t="shared" si="0"/>
        <v>1114129</v>
      </c>
    </row>
    <row r="51" spans="1:48" ht="21">
      <c r="A51" s="569"/>
      <c r="B51" s="230" t="s">
        <v>103</v>
      </c>
      <c r="C51" s="156"/>
      <c r="D51" s="220">
        <f>D48+D50</f>
        <v>0</v>
      </c>
      <c r="E51" s="195"/>
      <c r="F51" s="221">
        <f>SUM(F48:F50)</f>
        <v>214151</v>
      </c>
      <c r="G51" s="156"/>
      <c r="H51" s="221">
        <f>H48+H50</f>
        <v>293075</v>
      </c>
      <c r="I51" s="202"/>
      <c r="J51" s="221">
        <f>SUM(J48:J50)</f>
        <v>510302</v>
      </c>
      <c r="K51" s="202"/>
      <c r="L51" s="221">
        <f>SUM(L48:L50)</f>
        <v>87102</v>
      </c>
      <c r="M51" s="202"/>
      <c r="N51" s="221">
        <f>SUM(N48:N50)</f>
        <v>0</v>
      </c>
      <c r="O51" s="202"/>
      <c r="P51" s="221">
        <f>SUM(P48:P50)</f>
        <v>838458</v>
      </c>
      <c r="Q51" s="202"/>
      <c r="R51" s="221">
        <f>SUM(R48:R50)</f>
        <v>0</v>
      </c>
      <c r="S51" s="202"/>
      <c r="T51" s="221">
        <f>SUM(T48:T50)</f>
        <v>293125</v>
      </c>
      <c r="U51" s="202"/>
      <c r="V51" s="221">
        <f>SUM(V48:V50)</f>
        <v>324695</v>
      </c>
      <c r="W51" s="202"/>
      <c r="X51" s="221">
        <f>SUM(X48:X50)</f>
        <v>92461</v>
      </c>
      <c r="Y51" s="202"/>
      <c r="Z51" s="221">
        <f>SUM(Z48:Z50)</f>
        <v>426267</v>
      </c>
      <c r="AA51" s="202"/>
      <c r="AB51" s="221">
        <f>SUM(AB48:AB50)</f>
        <v>436178</v>
      </c>
      <c r="AC51" s="202"/>
      <c r="AD51" s="221">
        <f>SUM(AD48:AD50)</f>
        <v>126735</v>
      </c>
      <c r="AE51" s="202"/>
      <c r="AF51" s="221">
        <f>SUM(AF48:AF50)</f>
        <v>10974</v>
      </c>
      <c r="AG51" s="202"/>
      <c r="AH51" s="221">
        <f>SUM(AH48:AH50)</f>
        <v>600112</v>
      </c>
      <c r="AJ51" s="221">
        <f>SUM(AJ48:AJ50)</f>
        <v>346294</v>
      </c>
      <c r="AL51" s="221">
        <f>SUM(AL48:AL50)</f>
        <v>379201</v>
      </c>
      <c r="AN51" s="221">
        <f>SUM(AN48:AN50)</f>
        <v>79864</v>
      </c>
      <c r="AP51" s="221">
        <f>SUM(AP48:AP50)</f>
        <v>0</v>
      </c>
      <c r="AR51" s="221">
        <f>SUM(AR48:AR50)</f>
        <v>0</v>
      </c>
      <c r="AT51" s="221">
        <f>SUM(AT48:AT50)</f>
        <v>0</v>
      </c>
      <c r="AV51" s="221">
        <f t="shared" si="0"/>
        <v>5058994</v>
      </c>
    </row>
    <row r="52" spans="1:48" ht="21">
      <c r="A52" s="569"/>
      <c r="B52" s="231" t="s">
        <v>102</v>
      </c>
      <c r="C52" s="156"/>
      <c r="D52" s="232">
        <v>0</v>
      </c>
      <c r="E52" s="195"/>
      <c r="F52" s="233">
        <v>0</v>
      </c>
      <c r="G52" s="156"/>
      <c r="H52" s="233">
        <v>0</v>
      </c>
      <c r="I52" s="202"/>
      <c r="J52" s="233">
        <v>0</v>
      </c>
      <c r="K52" s="202"/>
      <c r="L52" s="233">
        <v>0</v>
      </c>
      <c r="M52" s="202"/>
      <c r="N52" s="233">
        <v>0</v>
      </c>
      <c r="O52" s="202"/>
      <c r="P52" s="233">
        <v>-82203</v>
      </c>
      <c r="Q52" s="202"/>
      <c r="R52" s="233">
        <v>0</v>
      </c>
      <c r="S52" s="202"/>
      <c r="T52" s="233">
        <v>0</v>
      </c>
      <c r="U52" s="202"/>
      <c r="V52" s="233">
        <v>0</v>
      </c>
      <c r="W52" s="202"/>
      <c r="X52" s="233">
        <v>0</v>
      </c>
      <c r="Y52" s="202"/>
      <c r="Z52" s="233">
        <v>0</v>
      </c>
      <c r="AA52" s="202"/>
      <c r="AB52" s="233">
        <v>0</v>
      </c>
      <c r="AC52" s="202"/>
      <c r="AD52" s="233"/>
      <c r="AE52" s="202"/>
      <c r="AF52" s="233">
        <v>0</v>
      </c>
      <c r="AG52" s="202"/>
      <c r="AH52" s="233">
        <v>0</v>
      </c>
      <c r="AJ52" s="233">
        <v>-4382</v>
      </c>
      <c r="AL52" s="233">
        <v>0</v>
      </c>
      <c r="AN52" s="233">
        <v>0</v>
      </c>
      <c r="AP52" s="233">
        <v>0</v>
      </c>
      <c r="AR52" s="233">
        <v>0</v>
      </c>
      <c r="AT52" s="233">
        <v>0</v>
      </c>
      <c r="AV52" s="233">
        <f t="shared" si="0"/>
        <v>-86585</v>
      </c>
    </row>
    <row r="53" spans="1:48" ht="21.75" thickBot="1">
      <c r="A53" s="569"/>
      <c r="B53" s="234" t="s">
        <v>186</v>
      </c>
      <c r="C53" s="156"/>
      <c r="D53" s="235">
        <f>SUM(D51:D52)</f>
        <v>0</v>
      </c>
      <c r="E53" s="195"/>
      <c r="F53" s="236">
        <f>SUM(F51:F52)</f>
        <v>214151</v>
      </c>
      <c r="G53" s="156"/>
      <c r="H53" s="236">
        <f>SUM(H51:H52)</f>
        <v>293075</v>
      </c>
      <c r="I53" s="202"/>
      <c r="J53" s="236">
        <f>SUM(J51:J52)</f>
        <v>510302</v>
      </c>
      <c r="K53" s="202"/>
      <c r="L53" s="236">
        <f>SUM(L51:L52)</f>
        <v>87102</v>
      </c>
      <c r="M53" s="202"/>
      <c r="N53" s="236">
        <f>SUM(N51:N52)</f>
        <v>0</v>
      </c>
      <c r="O53" s="202"/>
      <c r="P53" s="236">
        <f>SUM(P51:P52)</f>
        <v>756255</v>
      </c>
      <c r="Q53" s="202"/>
      <c r="R53" s="236">
        <f>SUM(R51:R52)</f>
        <v>0</v>
      </c>
      <c r="S53" s="202"/>
      <c r="T53" s="236">
        <f>SUM(T51:T52)</f>
        <v>293125</v>
      </c>
      <c r="U53" s="202"/>
      <c r="V53" s="236">
        <f>SUM(V51:V52)</f>
        <v>324695</v>
      </c>
      <c r="W53" s="202"/>
      <c r="X53" s="236">
        <f>SUM(X51:X52)</f>
        <v>92461</v>
      </c>
      <c r="Y53" s="202"/>
      <c r="Z53" s="236">
        <f>SUM(Z51:Z52)</f>
        <v>426267</v>
      </c>
      <c r="AA53" s="202"/>
      <c r="AB53" s="236">
        <f>SUM(AB51:AB52)</f>
        <v>436178</v>
      </c>
      <c r="AC53" s="202"/>
      <c r="AD53" s="236">
        <f>SUM(AD51:AD52)</f>
        <v>126735</v>
      </c>
      <c r="AE53" s="202"/>
      <c r="AF53" s="236">
        <f>SUM(AF51:AF52)</f>
        <v>10974</v>
      </c>
      <c r="AG53" s="202"/>
      <c r="AH53" s="236">
        <f>SUM(AH51:AH52)</f>
        <v>600112</v>
      </c>
      <c r="AJ53" s="236">
        <f>SUM(AJ51:AJ52)</f>
        <v>341912</v>
      </c>
      <c r="AL53" s="236">
        <f>SUM(AL51:AL52)</f>
        <v>379201</v>
      </c>
      <c r="AN53" s="236">
        <f>SUM(AN51:AN52)</f>
        <v>79864</v>
      </c>
      <c r="AP53" s="236">
        <f>SUM(AP51:AP52)</f>
        <v>0</v>
      </c>
      <c r="AR53" s="236">
        <f>SUM(AR51:AR52)</f>
        <v>0</v>
      </c>
      <c r="AT53" s="236">
        <f>SUM(AT51:AT52)</f>
        <v>0</v>
      </c>
      <c r="AV53" s="236">
        <f t="shared" si="0"/>
        <v>4972409</v>
      </c>
    </row>
    <row r="54" spans="1:48" ht="22.5" thickTop="1" thickBot="1">
      <c r="A54" s="569"/>
      <c r="B54" s="237"/>
      <c r="C54" s="156"/>
      <c r="D54" s="238"/>
      <c r="E54" s="195"/>
      <c r="F54" s="202"/>
      <c r="G54" s="156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J54" s="202"/>
      <c r="AL54" s="202"/>
      <c r="AN54" s="202"/>
      <c r="AP54" s="202"/>
      <c r="AR54" s="202"/>
      <c r="AT54" s="202"/>
      <c r="AV54" s="202">
        <f t="shared" si="0"/>
        <v>0</v>
      </c>
    </row>
    <row r="55" spans="1:48" ht="21.75" thickBot="1">
      <c r="A55" s="570"/>
      <c r="B55" s="184" t="s">
        <v>187</v>
      </c>
      <c r="C55" s="156"/>
      <c r="D55" s="239"/>
      <c r="E55" s="238"/>
      <c r="F55" s="239"/>
      <c r="G55" s="156"/>
      <c r="H55" s="239"/>
      <c r="I55" s="202"/>
      <c r="J55" s="239"/>
      <c r="K55" s="202"/>
      <c r="L55" s="239"/>
      <c r="M55" s="202"/>
      <c r="N55" s="239"/>
      <c r="O55" s="202"/>
      <c r="P55" s="239"/>
      <c r="Q55" s="202"/>
      <c r="R55" s="239"/>
      <c r="S55" s="202"/>
      <c r="T55" s="239"/>
      <c r="U55" s="202"/>
      <c r="V55" s="239"/>
      <c r="W55" s="202"/>
      <c r="X55" s="239"/>
      <c r="Y55" s="202"/>
      <c r="Z55" s="239"/>
      <c r="AA55" s="202"/>
      <c r="AB55" s="239"/>
      <c r="AC55" s="202"/>
      <c r="AD55" s="239"/>
      <c r="AE55" s="202"/>
      <c r="AF55" s="239"/>
      <c r="AG55" s="202"/>
      <c r="AH55" s="239"/>
      <c r="AJ55" s="239"/>
      <c r="AL55" s="239"/>
      <c r="AN55" s="239"/>
      <c r="AP55" s="239"/>
      <c r="AR55" s="239"/>
      <c r="AT55" s="239"/>
      <c r="AV55" s="239">
        <f t="shared" si="0"/>
        <v>0</v>
      </c>
    </row>
    <row r="56" spans="1:48" ht="22.5">
      <c r="B56" s="8"/>
      <c r="C56" s="156"/>
      <c r="D56" s="283">
        <f>D53</f>
        <v>0</v>
      </c>
      <c r="E56" s="195"/>
      <c r="F56" s="284">
        <f>F53</f>
        <v>214151</v>
      </c>
      <c r="G56" s="156"/>
      <c r="H56" s="284">
        <f>H53</f>
        <v>293075</v>
      </c>
      <c r="I56" s="202"/>
      <c r="J56" s="284">
        <f>J53</f>
        <v>510302</v>
      </c>
      <c r="K56" s="202"/>
      <c r="L56" s="284">
        <f>L53</f>
        <v>87102</v>
      </c>
      <c r="M56" s="202"/>
      <c r="N56" s="284">
        <f>N53</f>
        <v>0</v>
      </c>
      <c r="O56" s="202"/>
      <c r="P56" s="284">
        <f>P53</f>
        <v>756255</v>
      </c>
      <c r="Q56" s="202"/>
      <c r="R56" s="284">
        <f>R53</f>
        <v>0</v>
      </c>
      <c r="S56" s="202"/>
      <c r="T56" s="284">
        <f>T53</f>
        <v>293125</v>
      </c>
      <c r="U56" s="202"/>
      <c r="V56" s="284">
        <f>V53</f>
        <v>324695</v>
      </c>
      <c r="W56" s="202"/>
      <c r="X56" s="284">
        <f>X53</f>
        <v>92461</v>
      </c>
      <c r="Y56" s="202"/>
      <c r="Z56" s="284">
        <f>Z53</f>
        <v>426267</v>
      </c>
      <c r="AA56" s="202"/>
      <c r="AB56" s="284">
        <f>AB53</f>
        <v>436178</v>
      </c>
      <c r="AC56" s="202"/>
      <c r="AD56" s="284">
        <f>AD53</f>
        <v>126735</v>
      </c>
      <c r="AE56" s="202"/>
      <c r="AF56" s="284">
        <f>AF53</f>
        <v>10974</v>
      </c>
      <c r="AG56" s="202"/>
      <c r="AH56" s="284">
        <f>AH53</f>
        <v>600112</v>
      </c>
      <c r="AJ56" s="284">
        <f>AJ53</f>
        <v>341912</v>
      </c>
      <c r="AL56" s="284">
        <f>AL53</f>
        <v>379201</v>
      </c>
      <c r="AN56" s="284">
        <f>AN53</f>
        <v>79864</v>
      </c>
      <c r="AP56" s="284">
        <f>AP53</f>
        <v>0</v>
      </c>
      <c r="AR56" s="284">
        <f>AR53</f>
        <v>0</v>
      </c>
      <c r="AT56" s="284">
        <f>AT53</f>
        <v>0</v>
      </c>
      <c r="AV56" s="284">
        <f t="shared" si="0"/>
        <v>4972409</v>
      </c>
    </row>
    <row r="57" spans="1:48" ht="2.25" customHeight="1">
      <c r="B57" s="8"/>
      <c r="C57" s="156"/>
      <c r="D57" s="238"/>
      <c r="E57" s="195"/>
      <c r="F57" s="202"/>
      <c r="G57" s="156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J57" s="202"/>
      <c r="AL57" s="202"/>
      <c r="AN57" s="202"/>
      <c r="AP57" s="202"/>
      <c r="AR57" s="202"/>
      <c r="AT57" s="202"/>
      <c r="AV57" s="202">
        <f t="shared" si="0"/>
        <v>0</v>
      </c>
    </row>
    <row r="58" spans="1:48" ht="22.5">
      <c r="B58" s="8"/>
      <c r="C58" s="156"/>
      <c r="D58" s="285">
        <f>D59-D57</f>
        <v>0</v>
      </c>
      <c r="E58" s="195"/>
      <c r="F58" s="286">
        <f>F59-F57</f>
        <v>0</v>
      </c>
      <c r="G58" s="156"/>
      <c r="H58" s="286">
        <f>H59-H57</f>
        <v>0</v>
      </c>
      <c r="I58" s="202"/>
      <c r="J58" s="286">
        <f>J59-J57</f>
        <v>0</v>
      </c>
      <c r="K58" s="202"/>
      <c r="L58" s="286">
        <f>L59-L57</f>
        <v>0</v>
      </c>
      <c r="M58" s="202"/>
      <c r="N58" s="286">
        <f>N59-N57</f>
        <v>0</v>
      </c>
      <c r="O58" s="202"/>
      <c r="P58" s="286">
        <f>P59-P57</f>
        <v>0</v>
      </c>
      <c r="Q58" s="202"/>
      <c r="R58" s="286">
        <f>R59-R57</f>
        <v>0</v>
      </c>
      <c r="S58" s="202"/>
      <c r="T58" s="286">
        <f>T59-T57</f>
        <v>0</v>
      </c>
      <c r="U58" s="202"/>
      <c r="V58" s="286">
        <f>V59-V57</f>
        <v>0</v>
      </c>
      <c r="W58" s="202"/>
      <c r="X58" s="286">
        <f>X59-X57</f>
        <v>0</v>
      </c>
      <c r="Y58" s="202"/>
      <c r="Z58" s="286">
        <f>Z59-Z57</f>
        <v>0</v>
      </c>
      <c r="AA58" s="202"/>
      <c r="AB58" s="286">
        <f>AB59-AB57</f>
        <v>0</v>
      </c>
      <c r="AC58" s="202"/>
      <c r="AD58" s="286">
        <f>AD59-AD57</f>
        <v>0</v>
      </c>
      <c r="AE58" s="202"/>
      <c r="AF58" s="286">
        <f>AF59-AF57</f>
        <v>0</v>
      </c>
      <c r="AG58" s="202"/>
      <c r="AH58" s="286">
        <f>AH59-AH57</f>
        <v>0</v>
      </c>
      <c r="AJ58" s="286">
        <f>AJ59-AJ57</f>
        <v>0</v>
      </c>
      <c r="AL58" s="286">
        <f>AL59-AL57</f>
        <v>0</v>
      </c>
      <c r="AN58" s="286">
        <f>AN59-AN57</f>
        <v>0</v>
      </c>
      <c r="AP58" s="286">
        <f>AP59-AP57</f>
        <v>0</v>
      </c>
      <c r="AR58" s="286">
        <f>AR59-AR57</f>
        <v>0</v>
      </c>
      <c r="AT58" s="286">
        <f>AT59-AT57</f>
        <v>0</v>
      </c>
      <c r="AV58" s="286">
        <f t="shared" si="0"/>
        <v>0</v>
      </c>
    </row>
    <row r="59" spans="1:48" ht="22.5">
      <c r="B59" s="8"/>
      <c r="C59" s="156"/>
      <c r="D59" s="238"/>
      <c r="E59" s="195"/>
      <c r="F59" s="202"/>
      <c r="G59" s="156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J59" s="202"/>
      <c r="AL59" s="202"/>
      <c r="AN59" s="202"/>
      <c r="AP59" s="202"/>
      <c r="AR59" s="202"/>
      <c r="AT59" s="202"/>
      <c r="AV59" s="202">
        <f t="shared" si="0"/>
        <v>0</v>
      </c>
    </row>
    <row r="60" spans="1:48" ht="22.5">
      <c r="B60" s="8"/>
      <c r="C60" s="156"/>
      <c r="D60" s="287"/>
      <c r="E60" s="195"/>
      <c r="F60" s="288"/>
      <c r="G60" s="156"/>
      <c r="H60" s="288"/>
      <c r="I60" s="202"/>
      <c r="J60" s="288"/>
      <c r="K60" s="202"/>
      <c r="L60" s="288"/>
      <c r="M60" s="202"/>
      <c r="N60" s="288"/>
      <c r="O60" s="202"/>
      <c r="P60" s="288"/>
      <c r="Q60" s="202"/>
      <c r="R60" s="288"/>
      <c r="S60" s="202"/>
      <c r="T60" s="288"/>
      <c r="U60" s="202"/>
      <c r="V60" s="288"/>
      <c r="W60" s="202"/>
      <c r="X60" s="288"/>
      <c r="Y60" s="202"/>
      <c r="Z60" s="288"/>
      <c r="AA60" s="202"/>
      <c r="AB60" s="288"/>
      <c r="AC60" s="202"/>
      <c r="AD60" s="288"/>
      <c r="AE60" s="202"/>
      <c r="AF60" s="288"/>
      <c r="AG60" s="202"/>
      <c r="AH60" s="288"/>
      <c r="AJ60" s="288"/>
      <c r="AL60" s="288"/>
      <c r="AN60" s="288"/>
      <c r="AP60" s="288"/>
      <c r="AR60" s="288"/>
      <c r="AT60" s="288"/>
      <c r="AV60" s="288">
        <f t="shared" si="0"/>
        <v>0</v>
      </c>
    </row>
    <row r="61" spans="1:48" ht="21">
      <c r="B61" s="107"/>
      <c r="C61" s="156"/>
      <c r="D61" s="195"/>
      <c r="E61" s="195"/>
      <c r="F61" s="196"/>
      <c r="G61" s="156"/>
      <c r="H61" s="196"/>
      <c r="I61" s="202"/>
      <c r="J61" s="196"/>
      <c r="K61" s="202"/>
      <c r="L61" s="196"/>
      <c r="M61" s="202"/>
      <c r="N61" s="196"/>
      <c r="O61" s="202"/>
      <c r="P61" s="196"/>
      <c r="Q61" s="202"/>
      <c r="R61" s="196"/>
      <c r="S61" s="202"/>
      <c r="T61" s="196"/>
      <c r="U61" s="202"/>
      <c r="V61" s="196"/>
      <c r="W61" s="202"/>
      <c r="X61" s="196"/>
      <c r="Y61" s="202"/>
      <c r="Z61" s="196"/>
      <c r="AA61" s="202"/>
      <c r="AB61" s="196"/>
      <c r="AC61" s="202"/>
      <c r="AD61" s="196"/>
      <c r="AE61" s="202"/>
      <c r="AF61" s="196"/>
      <c r="AG61" s="202"/>
      <c r="AH61" s="196"/>
      <c r="AJ61" s="196"/>
      <c r="AL61" s="196"/>
      <c r="AN61" s="196"/>
      <c r="AP61" s="196"/>
      <c r="AR61" s="196"/>
      <c r="AT61" s="196"/>
      <c r="AV61" s="196">
        <f t="shared" si="0"/>
        <v>0</v>
      </c>
    </row>
    <row r="62" spans="1:48" ht="22.5">
      <c r="B62" s="8"/>
      <c r="C62" s="156"/>
      <c r="D62" s="289"/>
      <c r="E62" s="195"/>
      <c r="F62" s="290"/>
      <c r="G62" s="156"/>
      <c r="H62" s="290"/>
      <c r="I62" s="202"/>
      <c r="J62" s="290"/>
      <c r="K62" s="202"/>
      <c r="L62" s="290"/>
      <c r="M62" s="202"/>
      <c r="N62" s="290"/>
      <c r="O62" s="202"/>
      <c r="P62" s="290"/>
      <c r="Q62" s="202"/>
      <c r="R62" s="290"/>
      <c r="S62" s="202"/>
      <c r="T62" s="290"/>
      <c r="U62" s="202"/>
      <c r="V62" s="290"/>
      <c r="W62" s="202"/>
      <c r="X62" s="290"/>
      <c r="Y62" s="202"/>
      <c r="Z62" s="290"/>
      <c r="AA62" s="202"/>
      <c r="AB62" s="290"/>
      <c r="AC62" s="202"/>
      <c r="AD62" s="290"/>
      <c r="AE62" s="202"/>
      <c r="AF62" s="290"/>
      <c r="AG62" s="202"/>
      <c r="AH62" s="290"/>
      <c r="AJ62" s="290"/>
      <c r="AL62" s="290"/>
      <c r="AN62" s="290"/>
      <c r="AP62" s="290"/>
      <c r="AR62" s="290"/>
      <c r="AT62" s="290"/>
      <c r="AV62" s="290">
        <f t="shared" si="0"/>
        <v>0</v>
      </c>
    </row>
    <row r="63" spans="1:48" ht="22.5">
      <c r="B63" s="8"/>
      <c r="C63" s="156"/>
      <c r="D63" s="291"/>
      <c r="E63" s="195"/>
      <c r="F63" s="292"/>
      <c r="G63" s="156"/>
      <c r="H63" s="292"/>
      <c r="I63" s="202"/>
      <c r="J63" s="292"/>
      <c r="K63" s="202"/>
      <c r="L63" s="292"/>
      <c r="M63" s="202"/>
      <c r="N63" s="292"/>
      <c r="O63" s="202"/>
      <c r="P63" s="292"/>
      <c r="Q63" s="202"/>
      <c r="R63" s="292"/>
      <c r="S63" s="202"/>
      <c r="T63" s="292"/>
      <c r="U63" s="202"/>
      <c r="V63" s="292"/>
      <c r="W63" s="202"/>
      <c r="X63" s="292"/>
      <c r="Y63" s="202"/>
      <c r="Z63" s="292"/>
      <c r="AA63" s="202"/>
      <c r="AB63" s="292"/>
      <c r="AC63" s="202"/>
      <c r="AD63" s="292"/>
      <c r="AE63" s="202"/>
      <c r="AF63" s="292"/>
      <c r="AG63" s="202"/>
      <c r="AH63" s="292"/>
      <c r="AJ63" s="292"/>
      <c r="AL63" s="292"/>
      <c r="AN63" s="292"/>
      <c r="AP63" s="292"/>
      <c r="AR63" s="292"/>
      <c r="AT63" s="292"/>
      <c r="AV63" s="292">
        <f t="shared" si="0"/>
        <v>0</v>
      </c>
    </row>
    <row r="64" spans="1:48" ht="22.5">
      <c r="B64" s="8"/>
      <c r="C64" s="156"/>
      <c r="D64" s="293"/>
      <c r="E64" s="195"/>
      <c r="F64" s="294"/>
      <c r="G64" s="156"/>
      <c r="H64" s="294"/>
      <c r="I64" s="202"/>
      <c r="J64" s="294"/>
      <c r="K64" s="202"/>
      <c r="L64" s="294"/>
      <c r="M64" s="202"/>
      <c r="N64" s="294"/>
      <c r="O64" s="202"/>
      <c r="P64" s="294"/>
      <c r="Q64" s="202"/>
      <c r="R64" s="294"/>
      <c r="S64" s="202"/>
      <c r="T64" s="294"/>
      <c r="U64" s="202"/>
      <c r="V64" s="294"/>
      <c r="W64" s="202"/>
      <c r="X64" s="294"/>
      <c r="Y64" s="202"/>
      <c r="Z64" s="294"/>
      <c r="AA64" s="202"/>
      <c r="AB64" s="294"/>
      <c r="AC64" s="202"/>
      <c r="AD64" s="294"/>
      <c r="AE64" s="202"/>
      <c r="AF64" s="294"/>
      <c r="AG64" s="202"/>
      <c r="AH64" s="294"/>
      <c r="AJ64" s="294"/>
      <c r="AL64" s="294"/>
      <c r="AN64" s="294"/>
      <c r="AP64" s="294"/>
      <c r="AR64" s="294"/>
      <c r="AT64" s="294"/>
      <c r="AV64" s="294">
        <f t="shared" si="0"/>
        <v>0</v>
      </c>
    </row>
    <row r="65" spans="2:48" ht="22.5">
      <c r="B65" s="8"/>
      <c r="C65" s="156"/>
      <c r="D65" s="293">
        <f>-D62-D63+D64</f>
        <v>0</v>
      </c>
      <c r="E65" s="195"/>
      <c r="F65" s="294">
        <f>-F62-F63+F64</f>
        <v>0</v>
      </c>
      <c r="G65" s="156"/>
      <c r="H65" s="294">
        <f>-H62-H63+H64</f>
        <v>0</v>
      </c>
      <c r="I65" s="202"/>
      <c r="J65" s="294">
        <f>-J62-J63+J64</f>
        <v>0</v>
      </c>
      <c r="K65" s="202"/>
      <c r="L65" s="294">
        <f>-L62-L63+L64</f>
        <v>0</v>
      </c>
      <c r="M65" s="202"/>
      <c r="N65" s="294">
        <f>-N62-N63+N64</f>
        <v>0</v>
      </c>
      <c r="O65" s="202"/>
      <c r="P65" s="294">
        <f>-P62-P63+P64</f>
        <v>0</v>
      </c>
      <c r="Q65" s="202"/>
      <c r="R65" s="294">
        <f>-R62-R63+R64</f>
        <v>0</v>
      </c>
      <c r="S65" s="202"/>
      <c r="T65" s="294">
        <f>-T62-T63+T64</f>
        <v>0</v>
      </c>
      <c r="U65" s="202"/>
      <c r="V65" s="294">
        <f>-V62-V63+V64</f>
        <v>0</v>
      </c>
      <c r="W65" s="202"/>
      <c r="X65" s="294">
        <f>-X62-X63+X64</f>
        <v>0</v>
      </c>
      <c r="Y65" s="202"/>
      <c r="Z65" s="294">
        <f>-Z62-Z63+Z64</f>
        <v>0</v>
      </c>
      <c r="AA65" s="202"/>
      <c r="AB65" s="294">
        <f>-AB62-AB63+AB64</f>
        <v>0</v>
      </c>
      <c r="AC65" s="202"/>
      <c r="AD65" s="294">
        <f>-AD62-AD63+AD64</f>
        <v>0</v>
      </c>
      <c r="AE65" s="202"/>
      <c r="AF65" s="294">
        <f>-AF62-AF63+AF64</f>
        <v>0</v>
      </c>
      <c r="AG65" s="202"/>
      <c r="AH65" s="294">
        <f>-AH62-AH63+AH64</f>
        <v>0</v>
      </c>
      <c r="AJ65" s="294">
        <f>-AJ62-AJ63+AJ64</f>
        <v>0</v>
      </c>
      <c r="AL65" s="294">
        <f>-AL62-AL63+AL64</f>
        <v>0</v>
      </c>
      <c r="AN65" s="294">
        <f>-AN62-AN63+AN64</f>
        <v>0</v>
      </c>
      <c r="AP65" s="294">
        <f>-AP62-AP63+AP64</f>
        <v>0</v>
      </c>
      <c r="AR65" s="294">
        <f>-AR62-AR63+AR64</f>
        <v>0</v>
      </c>
      <c r="AT65" s="294">
        <f>-AT62-AT63+AT64</f>
        <v>0</v>
      </c>
      <c r="AV65" s="294">
        <f t="shared" si="0"/>
        <v>0</v>
      </c>
    </row>
    <row r="66" spans="2:48" ht="23.25" thickBot="1">
      <c r="B66" s="8"/>
      <c r="C66" s="156"/>
      <c r="D66" s="295">
        <f>+D65+D60</f>
        <v>0</v>
      </c>
      <c r="E66" s="195"/>
      <c r="F66" s="296">
        <f>+F65+F60</f>
        <v>0</v>
      </c>
      <c r="G66" s="156"/>
      <c r="H66" s="296">
        <f>+H65+H60</f>
        <v>0</v>
      </c>
      <c r="I66" s="202"/>
      <c r="J66" s="296">
        <f>+J65+J60</f>
        <v>0</v>
      </c>
      <c r="K66" s="202"/>
      <c r="L66" s="296">
        <f>+L65+L60</f>
        <v>0</v>
      </c>
      <c r="M66" s="202"/>
      <c r="N66" s="296">
        <f>+N65+N60</f>
        <v>0</v>
      </c>
      <c r="O66" s="202"/>
      <c r="P66" s="296">
        <f>+P65+P60</f>
        <v>0</v>
      </c>
      <c r="Q66" s="202"/>
      <c r="R66" s="296">
        <f>+R65+R60</f>
        <v>0</v>
      </c>
      <c r="S66" s="202"/>
      <c r="T66" s="296">
        <f>+T65+T60</f>
        <v>0</v>
      </c>
      <c r="U66" s="202"/>
      <c r="V66" s="296">
        <f>+V65+V60</f>
        <v>0</v>
      </c>
      <c r="W66" s="202"/>
      <c r="X66" s="296">
        <f>+X65+X60</f>
        <v>0</v>
      </c>
      <c r="Y66" s="202"/>
      <c r="Z66" s="296">
        <f>+Z65+Z60</f>
        <v>0</v>
      </c>
      <c r="AA66" s="202"/>
      <c r="AB66" s="296">
        <f>+AB65+AB60</f>
        <v>0</v>
      </c>
      <c r="AC66" s="202"/>
      <c r="AD66" s="296">
        <f>+AD65+AD60</f>
        <v>0</v>
      </c>
      <c r="AE66" s="202"/>
      <c r="AF66" s="296">
        <f>+AF65+AF60</f>
        <v>0</v>
      </c>
      <c r="AG66" s="202"/>
      <c r="AH66" s="296">
        <f>+AH65+AH60</f>
        <v>0</v>
      </c>
      <c r="AJ66" s="296">
        <f>+AJ65+AJ60</f>
        <v>0</v>
      </c>
      <c r="AL66" s="296">
        <f>+AL65+AL60</f>
        <v>0</v>
      </c>
      <c r="AN66" s="296">
        <f>+AN65+AN60</f>
        <v>0</v>
      </c>
      <c r="AP66" s="296">
        <f>+AP65+AP60</f>
        <v>0</v>
      </c>
      <c r="AR66" s="296">
        <f>+AR65+AR60</f>
        <v>0</v>
      </c>
      <c r="AT66" s="296">
        <f>+AT65+AT60</f>
        <v>0</v>
      </c>
      <c r="AV66" s="296">
        <f t="shared" si="0"/>
        <v>0</v>
      </c>
    </row>
    <row r="67" spans="2:48" ht="21.75" thickTop="1">
      <c r="B67" s="100"/>
      <c r="C67" s="156"/>
      <c r="D67" s="195"/>
      <c r="E67" s="195"/>
      <c r="F67" s="196"/>
      <c r="G67" s="156"/>
      <c r="H67" s="196"/>
      <c r="I67" s="202"/>
      <c r="J67" s="196"/>
      <c r="K67" s="202"/>
      <c r="L67" s="196"/>
      <c r="M67" s="202"/>
      <c r="N67" s="196"/>
      <c r="O67" s="202"/>
      <c r="P67" s="196"/>
      <c r="Q67" s="202"/>
      <c r="R67" s="196"/>
      <c r="S67" s="202"/>
      <c r="T67" s="196"/>
      <c r="U67" s="202"/>
      <c r="V67" s="196"/>
      <c r="W67" s="202"/>
      <c r="X67" s="196"/>
      <c r="Y67" s="202"/>
      <c r="Z67" s="196"/>
      <c r="AA67" s="202"/>
      <c r="AB67" s="196"/>
      <c r="AC67" s="202"/>
      <c r="AD67" s="196"/>
      <c r="AE67" s="202"/>
      <c r="AF67" s="196"/>
      <c r="AG67" s="202"/>
      <c r="AH67" s="196"/>
      <c r="AP67" s="196"/>
      <c r="AR67" s="196"/>
      <c r="AT67" s="196"/>
      <c r="AV67" s="191">
        <f t="shared" si="0"/>
        <v>0</v>
      </c>
    </row>
    <row r="68" spans="2:48" ht="21">
      <c r="D68" s="238"/>
      <c r="E68" s="195"/>
      <c r="F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P68" s="202"/>
      <c r="AR68" s="202"/>
      <c r="AT68" s="202"/>
      <c r="AV68" s="191">
        <f t="shared" ref="AV68:AV75" si="1">SUM(D68:AT68)</f>
        <v>0</v>
      </c>
    </row>
    <row r="69" spans="2:48" ht="22.5">
      <c r="B69" s="8"/>
      <c r="C69" s="8"/>
      <c r="G69" s="8"/>
      <c r="AV69" s="191">
        <f t="shared" si="1"/>
        <v>0</v>
      </c>
    </row>
    <row r="70" spans="2:48" s="240" customFormat="1" ht="21">
      <c r="B70" s="241" t="s">
        <v>188</v>
      </c>
      <c r="C70" s="241"/>
      <c r="D70" s="242" t="e">
        <f>(D43)/D10</f>
        <v>#DIV/0!</v>
      </c>
      <c r="E70" s="243"/>
      <c r="F70" s="242">
        <f>(F43)/F10</f>
        <v>7.6231629723814628E-2</v>
      </c>
      <c r="G70" s="241"/>
      <c r="H70" s="242">
        <f>(H43)/H10</f>
        <v>0.18285265154949393</v>
      </c>
      <c r="I70" s="242"/>
      <c r="J70" s="242">
        <f>(J43)/J10</f>
        <v>9.3677386341905963E-2</v>
      </c>
      <c r="K70" s="242"/>
      <c r="L70" s="242">
        <f>(L43)/L10</f>
        <v>8.5175430098253041E-2</v>
      </c>
      <c r="M70" s="242"/>
      <c r="N70" s="242" t="e">
        <f>(N43)/N10</f>
        <v>#DIV/0!</v>
      </c>
      <c r="O70" s="242"/>
      <c r="P70" s="242">
        <f>(P43)/P10</f>
        <v>0.10886919261972948</v>
      </c>
      <c r="Q70" s="242"/>
      <c r="R70" s="242" t="e">
        <f>(R43)/R10</f>
        <v>#DIV/0!</v>
      </c>
      <c r="S70" s="242"/>
      <c r="T70" s="242">
        <f>(T43)/T10</f>
        <v>9.4892892965484657E-2</v>
      </c>
      <c r="U70" s="242"/>
      <c r="V70" s="242">
        <f>(V43)/V10</f>
        <v>8.8342731982117673E-2</v>
      </c>
      <c r="W70" s="242"/>
      <c r="X70" s="242">
        <f>(X43)/X10</f>
        <v>3.0256070860806703E-2</v>
      </c>
      <c r="Y70" s="242"/>
      <c r="Z70" s="242">
        <f>(Z43)/Z10</f>
        <v>0.11083476137656723</v>
      </c>
      <c r="AA70" s="242"/>
      <c r="AB70" s="242">
        <f>(AB43)/AB10</f>
        <v>0.10646725306289427</v>
      </c>
      <c r="AC70" s="242"/>
      <c r="AD70" s="242">
        <f>(AD43)/AD10</f>
        <v>7.8031013779832598E-2</v>
      </c>
      <c r="AE70" s="242"/>
      <c r="AF70" s="242">
        <f>(AF43)/AF10</f>
        <v>5.4034457881150015E-2</v>
      </c>
      <c r="AG70" s="242"/>
      <c r="AH70" s="242">
        <f>(AH43)/AH10</f>
        <v>0.11798667909898634</v>
      </c>
      <c r="AI70" s="242"/>
      <c r="AJ70" s="242">
        <f>(AJ43)/AJ10</f>
        <v>0.11702173140286222</v>
      </c>
      <c r="AK70" s="242"/>
      <c r="AL70" s="242">
        <f>(AL43)/AL10</f>
        <v>8.0945019280572184E-2</v>
      </c>
      <c r="AM70" s="242"/>
      <c r="AN70" s="242">
        <f>(AN43)/AN10</f>
        <v>3.8869689099939618E-2</v>
      </c>
      <c r="AO70" s="242"/>
      <c r="AP70" s="242" t="e">
        <f>(AP43)/AP10</f>
        <v>#DIV/0!</v>
      </c>
      <c r="AQ70" s="242"/>
      <c r="AR70" s="242" t="e">
        <f>(AR43)/AR10</f>
        <v>#DIV/0!</v>
      </c>
      <c r="AS70" s="242"/>
      <c r="AT70" s="242" t="e">
        <f>(AT43)/AT10</f>
        <v>#DIV/0!</v>
      </c>
      <c r="AU70" s="242"/>
      <c r="AV70" s="242" t="e">
        <f t="shared" si="1"/>
        <v>#DIV/0!</v>
      </c>
    </row>
    <row r="71" spans="2:48" s="240" customFormat="1" ht="22.5">
      <c r="B71" s="244" t="s">
        <v>189</v>
      </c>
      <c r="C71" s="244"/>
      <c r="D71" s="242" t="e">
        <f>(D47)/D10</f>
        <v>#DIV/0!</v>
      </c>
      <c r="E71" s="243"/>
      <c r="F71" s="242">
        <f>(F47)/F10</f>
        <v>-8.0708773613649143E-2</v>
      </c>
      <c r="G71" s="244"/>
      <c r="H71" s="242">
        <f>(H47)/H10</f>
        <v>-0.14771953228192372</v>
      </c>
      <c r="I71" s="242"/>
      <c r="J71" s="242">
        <f>(J47)/J10</f>
        <v>-7.1610825258046004E-2</v>
      </c>
      <c r="K71" s="242"/>
      <c r="L71" s="242">
        <f>(L47)/L10</f>
        <v>-8.4200198538189719E-2</v>
      </c>
      <c r="M71" s="242"/>
      <c r="N71" s="242" t="e">
        <f>(N47)/N10</f>
        <v>#DIV/0!</v>
      </c>
      <c r="O71" s="242"/>
      <c r="P71" s="242">
        <f>(P47)/P10</f>
        <v>-5.4962414930400744E-2</v>
      </c>
      <c r="Q71" s="242"/>
      <c r="R71" s="242" t="e">
        <f>(R47)/R10</f>
        <v>#DIV/0!</v>
      </c>
      <c r="S71" s="242"/>
      <c r="T71" s="242">
        <f>(T47)/T10</f>
        <v>-8.8046282358065414E-2</v>
      </c>
      <c r="U71" s="242"/>
      <c r="V71" s="242">
        <f>(V47)/V10</f>
        <v>-7.5366737118706867E-2</v>
      </c>
      <c r="W71" s="242"/>
      <c r="X71" s="242">
        <f>(X47)/X10</f>
        <v>-7.9134716047152942E-2</v>
      </c>
      <c r="Y71" s="242"/>
      <c r="Z71" s="242">
        <f>(Z47)/Z10</f>
        <v>-8.0376838613970075E-2</v>
      </c>
      <c r="AA71" s="242"/>
      <c r="AB71" s="242">
        <f>(AB47)/AB10</f>
        <v>-0.12768385050916209</v>
      </c>
      <c r="AC71" s="242"/>
      <c r="AD71" s="242">
        <f>(AD47)/AD10</f>
        <v>-9.0129571560183586E-2</v>
      </c>
      <c r="AE71" s="242"/>
      <c r="AF71" s="242">
        <f>(AF47)/AF10</f>
        <v>-7.7882528500453421E-2</v>
      </c>
      <c r="AG71" s="242"/>
      <c r="AH71" s="242">
        <f>(AH47)/AH10</f>
        <v>-7.2236049873372968E-2</v>
      </c>
      <c r="AI71" s="242"/>
      <c r="AJ71" s="242">
        <f>(AJ47)/AJ10</f>
        <v>-7.4909944533186959E-2</v>
      </c>
      <c r="AK71" s="242"/>
      <c r="AL71" s="242">
        <f>(AL47)/AL10</f>
        <v>-3.916831337210127E-2</v>
      </c>
      <c r="AM71" s="242"/>
      <c r="AN71" s="242">
        <f>(AN47)/AN10</f>
        <v>-4.3441422567366515E-2</v>
      </c>
      <c r="AO71" s="242"/>
      <c r="AP71" s="242" t="e">
        <f>(AP47)/AP10</f>
        <v>#DIV/0!</v>
      </c>
      <c r="AQ71" s="242"/>
      <c r="AR71" s="242" t="e">
        <f>(AR47)/AR10</f>
        <v>#DIV/0!</v>
      </c>
      <c r="AS71" s="242"/>
      <c r="AT71" s="242" t="e">
        <f>(AT47)/AT10</f>
        <v>#DIV/0!</v>
      </c>
      <c r="AU71" s="242"/>
      <c r="AV71" s="242" t="e">
        <f t="shared" si="1"/>
        <v>#DIV/0!</v>
      </c>
    </row>
    <row r="72" spans="2:48" s="240" customFormat="1" ht="22.5">
      <c r="B72" s="244" t="s">
        <v>190</v>
      </c>
      <c r="C72" s="244"/>
      <c r="D72" s="242" t="e">
        <f>(+D42+D44)/D10</f>
        <v>#DIV/0!</v>
      </c>
      <c r="E72" s="243"/>
      <c r="F72" s="242">
        <f>(+F42+F44)/F10</f>
        <v>6.7458649360604028E-2</v>
      </c>
      <c r="G72" s="244"/>
      <c r="H72" s="242">
        <f>(+H42+H44)/H10</f>
        <v>0.10511860292598486</v>
      </c>
      <c r="I72" s="242"/>
      <c r="J72" s="242">
        <f>(+J42+J44)/J10</f>
        <v>6.0384545256445037E-2</v>
      </c>
      <c r="K72" s="242"/>
      <c r="L72" s="242">
        <f>(+L42+L44)/L10</f>
        <v>2.610336115545971E-2</v>
      </c>
      <c r="M72" s="242"/>
      <c r="N72" s="242" t="e">
        <f>(+N42+N44)/N10</f>
        <v>#DIV/0!</v>
      </c>
      <c r="O72" s="242"/>
      <c r="P72" s="242">
        <f>(+P42+P44)/P10</f>
        <v>4.6084040942738984E-2</v>
      </c>
      <c r="Q72" s="242"/>
      <c r="R72" s="242" t="e">
        <f>(+R42+R44)/R10</f>
        <v>#DIV/0!</v>
      </c>
      <c r="S72" s="242"/>
      <c r="T72" s="242">
        <f>(+T42+T44)/T10</f>
        <v>9.5969780415953054E-2</v>
      </c>
      <c r="U72" s="242"/>
      <c r="V72" s="242">
        <f>(+V42+V44)/V10</f>
        <v>0.14944916187931162</v>
      </c>
      <c r="W72" s="242"/>
      <c r="X72" s="242">
        <f>(+X42+X44)/X10</f>
        <v>1.0610704663519993E-2</v>
      </c>
      <c r="Y72" s="242"/>
      <c r="Z72" s="242">
        <f>(+Z42+Z44)/Z10</f>
        <v>0.22662627477279559</v>
      </c>
      <c r="AA72" s="242"/>
      <c r="AB72" s="242">
        <f>(+AB42+AB44)/AB10</f>
        <v>6.4521189009130162E-2</v>
      </c>
      <c r="AC72" s="242"/>
      <c r="AD72" s="242">
        <f>(+AD42+AD44)/AD10</f>
        <v>4.0568238486049714E-2</v>
      </c>
      <c r="AE72" s="242"/>
      <c r="AF72" s="242">
        <f>(+AF42+AF44)/AF10</f>
        <v>9.6787320116141773E-2</v>
      </c>
      <c r="AG72" s="242"/>
      <c r="AH72" s="242">
        <f>(+AH42+AH44)/AH10</f>
        <v>0.11999743646238512</v>
      </c>
      <c r="AI72" s="242"/>
      <c r="AJ72" s="242">
        <f>(+AJ42+AJ44)/AJ10</f>
        <v>9.4745316951295455E-2</v>
      </c>
      <c r="AK72" s="242"/>
      <c r="AL72" s="242">
        <f>(+AL42+AL44)/AL10</f>
        <v>4.4617950892893159E-2</v>
      </c>
      <c r="AM72" s="242"/>
      <c r="AN72" s="242">
        <f>(+AN42+AN44)/AN10</f>
        <v>7.4890932842390096E-2</v>
      </c>
      <c r="AO72" s="242"/>
      <c r="AP72" s="242" t="e">
        <f>(+AP42+AP44)/AP10</f>
        <v>#DIV/0!</v>
      </c>
      <c r="AQ72" s="242"/>
      <c r="AR72" s="242" t="e">
        <f>(+AR42+AR44)/AR10</f>
        <v>#DIV/0!</v>
      </c>
      <c r="AS72" s="242"/>
      <c r="AT72" s="242" t="e">
        <f>(+AT42+AT44)/AT10</f>
        <v>#DIV/0!</v>
      </c>
      <c r="AU72" s="242"/>
      <c r="AV72" s="242" t="e">
        <f t="shared" si="1"/>
        <v>#DIV/0!</v>
      </c>
    </row>
    <row r="73" spans="2:48" s="240" customFormat="1" ht="22.5">
      <c r="B73" s="244" t="s">
        <v>191</v>
      </c>
      <c r="C73" s="244"/>
      <c r="D73" s="242" t="e">
        <f>(D53)/D10</f>
        <v>#DIV/0!</v>
      </c>
      <c r="E73" s="243"/>
      <c r="F73" s="242">
        <f>(F53)/F10</f>
        <v>1.0045838173866072E-2</v>
      </c>
      <c r="G73" s="244"/>
      <c r="H73" s="242">
        <f>(H53)/H10</f>
        <v>9.8778193873207326E-2</v>
      </c>
      <c r="I73" s="242"/>
      <c r="J73" s="242">
        <f>(J53)/J10</f>
        <v>3.5459229619812953E-2</v>
      </c>
      <c r="K73" s="242"/>
      <c r="L73" s="242">
        <f>(L53)/L10</f>
        <v>5.7170964695541079E-3</v>
      </c>
      <c r="M73" s="242"/>
      <c r="N73" s="242" t="e">
        <f>(N53)/N10</f>
        <v>#DIV/0!</v>
      </c>
      <c r="O73" s="242"/>
      <c r="P73" s="242">
        <f>(P53)/P10</f>
        <v>6.65719597854324E-2</v>
      </c>
      <c r="Q73" s="242"/>
      <c r="R73" s="242" t="e">
        <f>(R53)/R10</f>
        <v>#DIV/0!</v>
      </c>
      <c r="S73" s="242"/>
      <c r="T73" s="242">
        <f>(T53)/T10</f>
        <v>6.5206080131904806E-2</v>
      </c>
      <c r="U73" s="242"/>
      <c r="V73" s="242">
        <f>(V53)/V10</f>
        <v>5.3593342901166047E-2</v>
      </c>
      <c r="W73" s="242"/>
      <c r="X73" s="242">
        <f>(X53)/X10</f>
        <v>2.3454454179964185E-2</v>
      </c>
      <c r="Y73" s="242"/>
      <c r="Z73" s="242">
        <f>(Z53)/Z10</f>
        <v>0.1133043657853334</v>
      </c>
      <c r="AA73" s="242"/>
      <c r="AB73" s="242">
        <f>(AB53)/AB10</f>
        <v>0.17190595064213776</v>
      </c>
      <c r="AC73" s="242"/>
      <c r="AD73" s="242">
        <f>(AD53)/AD10</f>
        <v>4.463266927556566E-2</v>
      </c>
      <c r="AE73" s="242"/>
      <c r="AF73" s="242">
        <f>(AF53)/AF10</f>
        <v>3.3029434842712893E-3</v>
      </c>
      <c r="AG73" s="242"/>
      <c r="AH73" s="242">
        <f>(AH53)/AH10</f>
        <v>8.3791377186581695E-2</v>
      </c>
      <c r="AI73" s="242"/>
      <c r="AJ73" s="242">
        <f>(AJ53)/AJ10</f>
        <v>0.10221941993187804</v>
      </c>
      <c r="AK73" s="242"/>
      <c r="AL73" s="242">
        <f>(AL53)/AL10</f>
        <v>5.27466434611722E-2</v>
      </c>
      <c r="AM73" s="242"/>
      <c r="AN73" s="242">
        <f>(AN53)/AN10</f>
        <v>2.2714751875238377E-2</v>
      </c>
      <c r="AO73" s="242"/>
      <c r="AP73" s="242" t="e">
        <f>(AP53)/AP10</f>
        <v>#DIV/0!</v>
      </c>
      <c r="AQ73" s="242"/>
      <c r="AR73" s="242" t="e">
        <f>(AR53)/AR10</f>
        <v>#DIV/0!</v>
      </c>
      <c r="AS73" s="242"/>
      <c r="AT73" s="242" t="e">
        <f>(AT53)/AT10</f>
        <v>#DIV/0!</v>
      </c>
      <c r="AU73" s="242"/>
      <c r="AV73" s="242" t="e">
        <f t="shared" si="1"/>
        <v>#DIV/0!</v>
      </c>
    </row>
    <row r="74" spans="2:48" s="240" customFormat="1" ht="22.5">
      <c r="B74" s="245" t="s">
        <v>192</v>
      </c>
      <c r="C74" s="245"/>
      <c r="D74" s="242" t="e">
        <f>(D32)/D19</f>
        <v>#DIV/0!</v>
      </c>
      <c r="E74" s="243"/>
      <c r="F74" s="242">
        <f>(F32)/F19</f>
        <v>-9.6928669824405664E-2</v>
      </c>
      <c r="G74" s="245"/>
      <c r="H74" s="242">
        <f>(H32)/H19</f>
        <v>-9.2033557801655633E-2</v>
      </c>
      <c r="I74" s="242"/>
      <c r="J74" s="242">
        <f>(J32)/J19</f>
        <v>-8.2118338960441864E-2</v>
      </c>
      <c r="K74" s="242"/>
      <c r="L74" s="242">
        <f>(L32)/L19</f>
        <v>-4.4611742532017454E-2</v>
      </c>
      <c r="M74" s="242"/>
      <c r="N74" s="242" t="e">
        <f>(N32)/N19</f>
        <v>#DIV/0!</v>
      </c>
      <c r="O74" s="242"/>
      <c r="P74" s="242">
        <f>(P32)/P19</f>
        <v>-9.9674568248215675E-2</v>
      </c>
      <c r="Q74" s="242"/>
      <c r="R74" s="242" t="e">
        <f>(R32)/R19</f>
        <v>#DIV/0!</v>
      </c>
      <c r="S74" s="242"/>
      <c r="T74" s="242">
        <f>(T32)/T19</f>
        <v>-4.9695504938092494E-2</v>
      </c>
      <c r="U74" s="242"/>
      <c r="V74" s="242">
        <f>(V32)/V19</f>
        <v>-0.23270447751511719</v>
      </c>
      <c r="W74" s="242"/>
      <c r="X74" s="242">
        <f>(X32)/X19</f>
        <v>-5.4012367493941121E-3</v>
      </c>
      <c r="Y74" s="242"/>
      <c r="Z74" s="242">
        <f>(Z32)/Z19</f>
        <v>-9.3150181853579109E-2</v>
      </c>
      <c r="AA74" s="242"/>
      <c r="AB74" s="242">
        <f>(AB32)/AB19</f>
        <v>-6.9153415712014651E-2</v>
      </c>
      <c r="AC74" s="242"/>
      <c r="AD74" s="242">
        <f>(AD32)/AD19</f>
        <v>-0.21451209557438219</v>
      </c>
      <c r="AE74" s="242"/>
      <c r="AF74" s="242">
        <f>(AF32)/AF19</f>
        <v>-9.3997959531381833E-2</v>
      </c>
      <c r="AG74" s="242"/>
      <c r="AH74" s="242">
        <f>(AH32)/AH19</f>
        <v>-0.15502401814245953</v>
      </c>
      <c r="AI74" s="242"/>
      <c r="AJ74" s="242">
        <f>(AJ32)/AJ19</f>
        <v>6.0322166402125748E-3</v>
      </c>
      <c r="AK74" s="242"/>
      <c r="AL74" s="242">
        <f>(AL32)/AL19</f>
        <v>-1.3488388958008978E-2</v>
      </c>
      <c r="AM74" s="242"/>
      <c r="AN74" s="242">
        <f>(AN32)/AN19</f>
        <v>-6.055269175083175E-2</v>
      </c>
      <c r="AO74" s="242"/>
      <c r="AP74" s="242" t="e">
        <f>(AP32)/AP19</f>
        <v>#DIV/0!</v>
      </c>
      <c r="AQ74" s="242"/>
      <c r="AR74" s="242" t="e">
        <f>(AR32)/AR19</f>
        <v>#DIV/0!</v>
      </c>
      <c r="AS74" s="242"/>
      <c r="AT74" s="242" t="e">
        <f>(AT32)/AT19</f>
        <v>#DIV/0!</v>
      </c>
      <c r="AU74" s="242"/>
      <c r="AV74" s="242" t="e">
        <f t="shared" si="1"/>
        <v>#DIV/0!</v>
      </c>
    </row>
    <row r="75" spans="2:48" s="240" customFormat="1" ht="22.5">
      <c r="B75" s="245" t="s">
        <v>193</v>
      </c>
      <c r="C75" s="245"/>
      <c r="D75" s="242" t="e">
        <f>(D28)/D19</f>
        <v>#DIV/0!</v>
      </c>
      <c r="E75" s="243"/>
      <c r="F75" s="242">
        <f>(F28)/F19</f>
        <v>-0.75293111007970015</v>
      </c>
      <c r="G75" s="245"/>
      <c r="H75" s="242">
        <f>(H28)/H19</f>
        <v>-0.42322499423276</v>
      </c>
      <c r="I75" s="242"/>
      <c r="J75" s="242">
        <f>(J28)/J19</f>
        <v>-0.7499874839068803</v>
      </c>
      <c r="K75" s="242"/>
      <c r="L75" s="242">
        <f>(L28)/L19</f>
        <v>-0.74718861491054744</v>
      </c>
      <c r="M75" s="242"/>
      <c r="N75" s="242" t="e">
        <f>(N28)/N19</f>
        <v>#DIV/0!</v>
      </c>
      <c r="O75" s="242"/>
      <c r="P75" s="242">
        <f>(P28)/P19</f>
        <v>-0.63832260202956548</v>
      </c>
      <c r="Q75" s="242"/>
      <c r="R75" s="242" t="e">
        <f>(R28)/R19</f>
        <v>#DIV/0!</v>
      </c>
      <c r="S75" s="242"/>
      <c r="T75" s="242">
        <f>(T28)/T19</f>
        <v>-0.6394806775678612</v>
      </c>
      <c r="U75" s="242"/>
      <c r="V75" s="242">
        <f>(V28)/V19</f>
        <v>-0.73431553199618593</v>
      </c>
      <c r="W75" s="242"/>
      <c r="X75" s="242">
        <f>(X28)/X19</f>
        <v>-0.87660558312089953</v>
      </c>
      <c r="Y75" s="242"/>
      <c r="Z75" s="242">
        <f>(Z28)/Z19</f>
        <v>-0.7779535351568837</v>
      </c>
      <c r="AA75" s="242"/>
      <c r="AB75" s="242">
        <f>(AB28)/AB19</f>
        <v>-0.62707625178241011</v>
      </c>
      <c r="AC75" s="242"/>
      <c r="AD75" s="242">
        <f>(AD28)/AD19</f>
        <v>-0.57688508609950961</v>
      </c>
      <c r="AE75" s="242"/>
      <c r="AF75" s="242">
        <f>(AF28)/AF19</f>
        <v>-0.83259689183488028</v>
      </c>
      <c r="AG75" s="242"/>
      <c r="AH75" s="242">
        <f>(AH28)/AH19</f>
        <v>-0.62234161426657042</v>
      </c>
      <c r="AI75" s="242"/>
      <c r="AJ75" s="242">
        <f>(AJ28)/AJ19</f>
        <v>-0.51399522117178142</v>
      </c>
      <c r="AK75" s="242"/>
      <c r="AL75" s="242">
        <f>(AL28)/AL19</f>
        <v>-0.73253833898758336</v>
      </c>
      <c r="AM75" s="242"/>
      <c r="AN75" s="242">
        <f>(AN28)/AN19</f>
        <v>-0.77787215343058824</v>
      </c>
      <c r="AO75" s="242"/>
      <c r="AP75" s="242" t="e">
        <f>(AP28)/AP19</f>
        <v>#DIV/0!</v>
      </c>
      <c r="AQ75" s="242"/>
      <c r="AR75" s="242" t="e">
        <f>(AR28)/AR19</f>
        <v>#DIV/0!</v>
      </c>
      <c r="AS75" s="242"/>
      <c r="AT75" s="242" t="e">
        <f>(AT28)/AT19</f>
        <v>#DIV/0!</v>
      </c>
      <c r="AU75" s="242"/>
      <c r="AV75" s="242" t="e">
        <f t="shared" si="1"/>
        <v>#DIV/0!</v>
      </c>
    </row>
    <row r="76" spans="2:48" ht="27">
      <c r="D76" s="246"/>
      <c r="E76" s="247"/>
      <c r="F76" s="248"/>
      <c r="H76" s="248"/>
    </row>
    <row r="77" spans="2:48" ht="27">
      <c r="B77" s="187"/>
      <c r="C77" s="187"/>
      <c r="D77" s="246"/>
      <c r="E77" s="247"/>
      <c r="F77" s="248"/>
      <c r="G77" s="187"/>
      <c r="H77" s="248"/>
    </row>
    <row r="78" spans="2:48" ht="27">
      <c r="B78" s="187"/>
      <c r="C78" s="187"/>
      <c r="D78" s="246"/>
      <c r="E78" s="247"/>
      <c r="F78" s="248"/>
      <c r="G78" s="187"/>
      <c r="H78" s="248"/>
    </row>
    <row r="79" spans="2:48" ht="27">
      <c r="D79" s="246"/>
      <c r="E79" s="247"/>
      <c r="F79" s="248"/>
      <c r="H79" s="248"/>
    </row>
    <row r="80" spans="2:48" ht="27">
      <c r="D80" s="246"/>
      <c r="E80" s="247"/>
      <c r="F80" s="248"/>
      <c r="H80" s="248"/>
    </row>
    <row r="81" spans="4:8" ht="27">
      <c r="D81" s="246"/>
      <c r="E81" s="247"/>
      <c r="F81" s="248"/>
      <c r="H81" s="248"/>
    </row>
    <row r="82" spans="4:8" ht="27">
      <c r="D82" s="246"/>
      <c r="E82" s="247"/>
      <c r="F82" s="248"/>
      <c r="H82" s="248"/>
    </row>
    <row r="83" spans="4:8" ht="27">
      <c r="D83" s="246"/>
      <c r="E83" s="247"/>
      <c r="F83" s="248"/>
      <c r="H83" s="248"/>
    </row>
    <row r="84" spans="4:8" ht="27">
      <c r="D84" s="246"/>
      <c r="E84" s="247"/>
      <c r="F84" s="248"/>
      <c r="H84" s="248"/>
    </row>
    <row r="85" spans="4:8" ht="27">
      <c r="D85" s="246"/>
      <c r="E85" s="247"/>
      <c r="F85" s="248"/>
      <c r="H85" s="248"/>
    </row>
    <row r="86" spans="4:8" ht="27">
      <c r="D86" s="246"/>
      <c r="E86" s="247"/>
      <c r="F86" s="248"/>
      <c r="H86" s="248"/>
    </row>
    <row r="87" spans="4:8" ht="27">
      <c r="D87" s="246"/>
      <c r="E87" s="247"/>
      <c r="F87" s="248"/>
      <c r="H87" s="248"/>
    </row>
    <row r="88" spans="4:8" ht="27">
      <c r="D88" s="246"/>
      <c r="E88" s="247"/>
      <c r="F88" s="248"/>
      <c r="H88" s="248"/>
    </row>
    <row r="89" spans="4:8" ht="27">
      <c r="D89" s="246"/>
      <c r="E89" s="247"/>
      <c r="F89" s="248"/>
      <c r="H89" s="248"/>
    </row>
    <row r="90" spans="4:8" ht="27">
      <c r="D90" s="246"/>
      <c r="E90" s="247"/>
      <c r="F90" s="248"/>
      <c r="H90" s="248"/>
    </row>
    <row r="91" spans="4:8" ht="27">
      <c r="D91" s="246"/>
      <c r="E91" s="247"/>
      <c r="F91" s="248"/>
      <c r="H91" s="248"/>
    </row>
    <row r="92" spans="4:8" ht="27">
      <c r="D92" s="246"/>
      <c r="E92" s="247"/>
      <c r="F92" s="248"/>
      <c r="H92" s="248"/>
    </row>
    <row r="93" spans="4:8" ht="27">
      <c r="D93" s="246"/>
      <c r="E93" s="247"/>
      <c r="F93" s="248"/>
      <c r="H93" s="248"/>
    </row>
    <row r="94" spans="4:8" ht="27">
      <c r="D94" s="246"/>
      <c r="E94" s="247"/>
      <c r="F94" s="248"/>
      <c r="H94" s="248"/>
    </row>
    <row r="95" spans="4:8" ht="27">
      <c r="D95" s="246"/>
      <c r="E95" s="247"/>
      <c r="F95" s="248"/>
      <c r="H95" s="248"/>
    </row>
    <row r="96" spans="4:8" ht="27">
      <c r="D96" s="246"/>
      <c r="E96" s="247"/>
      <c r="F96" s="248"/>
      <c r="H96" s="248"/>
    </row>
    <row r="97" spans="4:8" ht="27">
      <c r="D97" s="246"/>
      <c r="E97" s="247"/>
      <c r="F97" s="248"/>
      <c r="H97" s="248"/>
    </row>
    <row r="98" spans="4:8" ht="27">
      <c r="D98" s="246"/>
      <c r="E98" s="247"/>
      <c r="F98" s="248"/>
      <c r="H98" s="248"/>
    </row>
    <row r="99" spans="4:8" ht="27">
      <c r="D99" s="246"/>
      <c r="E99" s="247"/>
      <c r="F99" s="248"/>
      <c r="H99" s="248"/>
    </row>
    <row r="100" spans="4:8" ht="27">
      <c r="D100" s="246"/>
      <c r="E100" s="247"/>
      <c r="F100" s="248"/>
      <c r="H100" s="248"/>
    </row>
    <row r="101" spans="4:8" ht="27">
      <c r="D101" s="246"/>
      <c r="E101" s="247"/>
      <c r="F101" s="248"/>
      <c r="H101" s="248"/>
    </row>
    <row r="102" spans="4:8" ht="27">
      <c r="D102" s="246"/>
      <c r="E102" s="247"/>
      <c r="F102" s="248"/>
      <c r="H102" s="248"/>
    </row>
    <row r="103" spans="4:8" ht="27">
      <c r="D103" s="246"/>
      <c r="E103" s="247"/>
      <c r="F103" s="248"/>
      <c r="H103" s="248"/>
    </row>
    <row r="104" spans="4:8" ht="27">
      <c r="D104" s="246"/>
      <c r="E104" s="247"/>
      <c r="F104" s="248"/>
      <c r="H104" s="248"/>
    </row>
    <row r="105" spans="4:8" ht="27">
      <c r="D105" s="246"/>
      <c r="E105" s="247"/>
      <c r="F105" s="248"/>
      <c r="H105" s="248"/>
    </row>
    <row r="106" spans="4:8" ht="27">
      <c r="D106" s="246"/>
      <c r="E106" s="247"/>
      <c r="F106" s="248"/>
      <c r="H106" s="248"/>
    </row>
    <row r="107" spans="4:8" ht="27">
      <c r="D107" s="246"/>
      <c r="E107" s="247"/>
      <c r="F107" s="248"/>
      <c r="H107" s="248"/>
    </row>
    <row r="108" spans="4:8" ht="27">
      <c r="D108" s="246"/>
      <c r="E108" s="247"/>
      <c r="F108" s="248"/>
      <c r="H108" s="248"/>
    </row>
    <row r="109" spans="4:8" ht="27">
      <c r="D109" s="246"/>
      <c r="E109" s="247"/>
      <c r="F109" s="248"/>
      <c r="H109" s="248"/>
    </row>
    <row r="110" spans="4:8" ht="27">
      <c r="D110" s="246"/>
      <c r="E110" s="247"/>
      <c r="F110" s="248"/>
      <c r="H110" s="248"/>
    </row>
    <row r="111" spans="4:8" ht="27">
      <c r="D111" s="246"/>
      <c r="E111" s="247"/>
      <c r="F111" s="248"/>
      <c r="H111" s="248"/>
    </row>
    <row r="112" spans="4:8" ht="27">
      <c r="D112" s="246"/>
      <c r="E112" s="247"/>
      <c r="F112" s="248"/>
      <c r="H112" s="248"/>
    </row>
    <row r="113" spans="4:8" ht="27">
      <c r="D113" s="246"/>
      <c r="E113" s="247"/>
      <c r="F113" s="248"/>
      <c r="H113" s="248"/>
    </row>
    <row r="114" spans="4:8" ht="27">
      <c r="D114" s="246"/>
      <c r="E114" s="247"/>
      <c r="F114" s="248"/>
      <c r="H114" s="248"/>
    </row>
  </sheetData>
  <mergeCells count="1">
    <mergeCell ref="A9:A55"/>
  </mergeCells>
  <printOptions horizontalCentered="1" verticalCentered="1"/>
  <pageMargins left="0" right="0" top="0" bottom="0" header="0" footer="0"/>
  <pageSetup paperSize="9" scale="6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27</vt:i4>
      </vt:variant>
    </vt:vector>
  </HeadingPairs>
  <TitlesOfParts>
    <vt:vector size="49" baseType="lpstr">
      <vt:lpstr>cfs</vt:lpstr>
      <vt:lpstr>BS</vt:lpstr>
      <vt:lpstr>is</vt:lpstr>
      <vt:lpstr>BS-dia91</vt:lpstr>
      <vt:lpstr>is-dia91</vt:lpstr>
      <vt:lpstr>BS-dia92</vt:lpstr>
      <vt:lpstr>is-dia92</vt:lpstr>
      <vt:lpstr>BS-dia93</vt:lpstr>
      <vt:lpstr>is-dia93</vt:lpstr>
      <vt:lpstr>سربرگ</vt:lpstr>
      <vt:lpstr>جلد</vt:lpstr>
      <vt:lpstr>صورت وضعیت مالی</vt:lpstr>
      <vt:lpstr>درصد صورت وضعیت مالی</vt:lpstr>
      <vt:lpstr>سود و زیان</vt:lpstr>
      <vt:lpstr>درصد سودوزیان</vt:lpstr>
      <vt:lpstr>تجزیه و تحلیل نسبت‌های مالی</vt:lpstr>
      <vt:lpstr>نمودارها</vt:lpstr>
      <vt:lpstr>OC-CC</vt:lpstr>
      <vt:lpstr>fcf</vt:lpstr>
      <vt:lpstr>NAV</vt:lpstr>
      <vt:lpstr>Z altman</vt:lpstr>
      <vt:lpstr>WACC</vt:lpstr>
      <vt:lpstr>BS!Print_Area</vt:lpstr>
      <vt:lpstr>'BS-dia91'!Print_Area</vt:lpstr>
      <vt:lpstr>'BS-dia92'!Print_Area</vt:lpstr>
      <vt:lpstr>'BS-dia93'!Print_Area</vt:lpstr>
      <vt:lpstr>cfs!Print_Area</vt:lpstr>
      <vt:lpstr>fcf!Print_Area</vt:lpstr>
      <vt:lpstr>is!Print_Area</vt:lpstr>
      <vt:lpstr>'is-dia91'!Print_Area</vt:lpstr>
      <vt:lpstr>'is-dia92'!Print_Area</vt:lpstr>
      <vt:lpstr>'is-dia93'!Print_Area</vt:lpstr>
      <vt:lpstr>'OC-CC'!Print_Area</vt:lpstr>
      <vt:lpstr>'Z altman'!Print_Area</vt:lpstr>
      <vt:lpstr>'تجزیه و تحلیل نسبت‌های مالی'!Print_Area</vt:lpstr>
      <vt:lpstr>جلد!Print_Area</vt:lpstr>
      <vt:lpstr>'درصد سودوزیان'!Print_Area</vt:lpstr>
      <vt:lpstr>'درصد صورت وضعیت مالی'!Print_Area</vt:lpstr>
      <vt:lpstr>'سود و زیان'!Print_Area</vt:lpstr>
      <vt:lpstr>'صورت وضعیت مالی'!Print_Area</vt:lpstr>
      <vt:lpstr>'BS-dia91'!Print_Titles</vt:lpstr>
      <vt:lpstr>'BS-dia92'!Print_Titles</vt:lpstr>
      <vt:lpstr>'BS-dia93'!Print_Titles</vt:lpstr>
      <vt:lpstr>'is-dia91'!Print_Titles</vt:lpstr>
      <vt:lpstr>'is-dia92'!Print_Titles</vt:lpstr>
      <vt:lpstr>'is-dia93'!Print_Titles</vt:lpstr>
      <vt:lpstr>'درصد سودوزیان'!Print_Titles</vt:lpstr>
      <vt:lpstr>'سود و زیان'!Print_Titles</vt:lpstr>
      <vt:lpstr>نمودارها!Print_Titles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Hamid Dianatpey</dc:creator>
  <cp:lastModifiedBy>Hamed Chalabi</cp:lastModifiedBy>
  <cp:lastPrinted>2021-05-15T09:20:12Z</cp:lastPrinted>
  <dcterms:created xsi:type="dcterms:W3CDTF">2018-10-16T06:45:05Z</dcterms:created>
  <dcterms:modified xsi:type="dcterms:W3CDTF">2021-05-15T09:21:42Z</dcterms:modified>
</cp:coreProperties>
</file>